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roprietaire\Desktop\"/>
    </mc:Choice>
  </mc:AlternateContent>
  <workbookProtection workbookAlgorithmName="SHA-512" workbookHashValue="P4mLqiNyivnZD5XbHCevuLncAgClShmgdv4LXFcsNZFw04yBvirWMqAAddYX0G8a0/Qavcm166FuuAolAaW+3w==" workbookSaltValue="ArnfofKireFBL712DtSd3A==" workbookSpinCount="100000" lockStructure="1"/>
  <bookViews>
    <workbookView xWindow="0" yWindow="0" windowWidth="24000" windowHeight="9735" tabRatio="833" firstSheet="1" activeTab="14"/>
  </bookViews>
  <sheets>
    <sheet name="Comment utiliser ce modèle" sheetId="9" r:id="rId1"/>
    <sheet name="Liste des élèves" sheetId="5" r:id="rId2"/>
    <sheet name="Août" sheetId="4" r:id="rId3"/>
    <sheet name="Septembre" sheetId="25" r:id="rId4"/>
    <sheet name="Octobre" sheetId="27" r:id="rId5"/>
    <sheet name="Novembre" sheetId="38" r:id="rId6"/>
    <sheet name="Decembre" sheetId="28" r:id="rId7"/>
    <sheet name="Janvier" sheetId="29" r:id="rId8"/>
    <sheet name="Fevrier" sheetId="37" r:id="rId9"/>
    <sheet name="Mars" sheetId="30" r:id="rId10"/>
    <sheet name="Avril" sheetId="36" r:id="rId11"/>
    <sheet name="Mai" sheetId="31" r:id="rId12"/>
    <sheet name="Juin" sheetId="26" r:id="rId13"/>
    <sheet name="Juillet" sheetId="32" r:id="rId14"/>
    <sheet name="Rapport de présence des élèves" sheetId="6" r:id="rId15"/>
    <sheet name="Feuil14" sheetId="39" r:id="rId16"/>
  </sheets>
  <externalReferences>
    <externalReference r:id="rId17"/>
    <externalReference r:id="rId18"/>
  </externalReferences>
  <definedNames>
    <definedName name="AnnéeCivile">Août!$C$9</definedName>
    <definedName name="Code1">Août!$C$3</definedName>
    <definedName name="Code10">Août!$T$3</definedName>
    <definedName name="Code11">Août!$K$5</definedName>
    <definedName name="Code12">Août!$N$5</definedName>
    <definedName name="Code13">Août!$W$3</definedName>
    <definedName name="Code14">Août!$Q$5</definedName>
    <definedName name="Code15">Août!$Y$3</definedName>
    <definedName name="Code16">Août!$AB$3</definedName>
    <definedName name="Code17">Août!$AD$3</definedName>
    <definedName name="code18">Août!$W$5</definedName>
    <definedName name="code19">Août!$Y$5</definedName>
    <definedName name="Code2">Août!$G$3</definedName>
    <definedName name="code20">Août!$AB$5</definedName>
    <definedName name="code21">Août!$T$5</definedName>
    <definedName name="code22">Août!$E$3</definedName>
    <definedName name="Code23">Août!$C$5</definedName>
    <definedName name="Code24">Août!$AD$5</definedName>
    <definedName name="Code25">Août!$C$7</definedName>
    <definedName name="Code26">Août!$G$7</definedName>
    <definedName name="Code27">Août!$K$7</definedName>
    <definedName name="Code28">Août!$O$7</definedName>
    <definedName name="code29">Août!$S$7</definedName>
    <definedName name="Code3">Août!$I$3</definedName>
    <definedName name="code30">Août!$U$7</definedName>
    <definedName name="Code31">Août!$W$7</definedName>
    <definedName name="Code4">Août!$K$3</definedName>
    <definedName name="Code5">Août!$E$5</definedName>
    <definedName name="Code6">Août!$G$5</definedName>
    <definedName name="Code7">Août!$I$5</definedName>
    <definedName name="Code8">Août!$N$3</definedName>
    <definedName name="Code9">Août!$Q$3</definedName>
    <definedName name="IDÉtudiant1">ListeÉtudiants1[Référence]</definedName>
    <definedName name="NomÉtudiant1">ListeÉtudiants1[Nom complet de 
l’élève]</definedName>
    <definedName name="RechercheÉtudiant1">'Rapport de présence des élèves'!$B$4</definedName>
    <definedName name="SP">Août!$S$7</definedName>
    <definedName name="TexteCléDeCouleur">Août!$B$3</definedName>
    <definedName name="TexteCode1">Août!$D$3</definedName>
    <definedName name="TexteCode10">Août!$U$3</definedName>
    <definedName name="TexteCode11">Août!$L$5</definedName>
    <definedName name="TexteCode12">Août!$O$5</definedName>
    <definedName name="TexteCode13">Août!$X$3</definedName>
    <definedName name="TexteCode14">Août!$R$5</definedName>
    <definedName name="TexteCode15">Août!$Z$3</definedName>
    <definedName name="TexteCode16">Août!$AC$3</definedName>
    <definedName name="TexteCode17">Août!$AE$3</definedName>
    <definedName name="Textecode18">Août!$X$5</definedName>
    <definedName name="Textecode19">Août!$Z$5</definedName>
    <definedName name="TexteCode2">Août!$H$3</definedName>
    <definedName name="Textecode20">Août!$AC$5</definedName>
    <definedName name="Textecode21">Août!$T$5</definedName>
    <definedName name="Textecode22">Août!$E$3</definedName>
    <definedName name="Textecode23">Août!$C$5</definedName>
    <definedName name="Textecode24">Août!$AD$5</definedName>
    <definedName name="TexteCode25">Août!$C$7</definedName>
    <definedName name="TexteCode26">Août!$G$7</definedName>
    <definedName name="Textecode27">Août!$K$7</definedName>
    <definedName name="Textecode28">Août!$O$7</definedName>
    <definedName name="Textecode29">Août!$S$7</definedName>
    <definedName name="TexteCode3">Août!$J$3</definedName>
    <definedName name="Textecode30">Août!$V$7</definedName>
    <definedName name="Textecode31">Août!$X$7</definedName>
    <definedName name="TexteCode4">Août!$L$3</definedName>
    <definedName name="TexteCode5">Août!$F$5</definedName>
    <definedName name="TexteCode6">Août!$H$5</definedName>
    <definedName name="TexteCode7">Août!$J$5</definedName>
    <definedName name="TexteCode8">Août!$O$3</definedName>
    <definedName name="TexteCode9">Août!$R$3</definedName>
    <definedName name="Titres_à_imprimer" localSheetId="1">'Liste des élèves'!$A:$C,'Liste des élèves'!$3:$3</definedName>
    <definedName name="UEjanvier">Août!#REF!</definedName>
  </definedNames>
  <calcPr calcId="152511"/>
</workbook>
</file>

<file path=xl/calcChain.xml><?xml version="1.0" encoding="utf-8"?>
<calcChain xmlns="http://schemas.openxmlformats.org/spreadsheetml/2006/main">
  <c r="BN35" i="6" l="1"/>
  <c r="BO35" i="6"/>
  <c r="BP35" i="6"/>
  <c r="BQ35" i="6"/>
  <c r="BR35" i="6"/>
  <c r="BS35" i="6"/>
  <c r="BT35" i="6"/>
  <c r="BU35" i="6"/>
  <c r="BV35" i="6"/>
  <c r="BW35" i="6"/>
  <c r="BX35" i="6"/>
  <c r="BY35" i="6"/>
  <c r="BZ35" i="6"/>
  <c r="CA35" i="6"/>
  <c r="CB35" i="6"/>
  <c r="CC35" i="6"/>
  <c r="CD35" i="6"/>
  <c r="CE35" i="6"/>
  <c r="CF35" i="6"/>
  <c r="CG35" i="6"/>
  <c r="CH35" i="6"/>
  <c r="CI35" i="6"/>
  <c r="CJ35" i="6"/>
  <c r="CK35" i="6"/>
  <c r="CL35" i="6"/>
  <c r="CM35" i="6"/>
  <c r="CN35" i="6"/>
  <c r="CO35" i="6"/>
  <c r="CP35" i="6"/>
  <c r="CQ35" i="6"/>
  <c r="CR35" i="6"/>
  <c r="CS35" i="6"/>
  <c r="CT35" i="6"/>
  <c r="CU35" i="6"/>
  <c r="BM33" i="6"/>
  <c r="BM31" i="6"/>
  <c r="BM29" i="6"/>
  <c r="BM27" i="6"/>
  <c r="BM37" i="6"/>
  <c r="BM39" i="6"/>
  <c r="BM41" i="6"/>
  <c r="BM43" i="6"/>
  <c r="BM23" i="6"/>
  <c r="BM25" i="6"/>
  <c r="BM21" i="6"/>
  <c r="BN29" i="6"/>
  <c r="BO29" i="6"/>
  <c r="BP29" i="6"/>
  <c r="BQ29" i="6"/>
  <c r="BR29" i="6"/>
  <c r="BS29" i="6"/>
  <c r="BT29" i="6"/>
  <c r="BU29" i="6"/>
  <c r="BV29" i="6"/>
  <c r="BW29" i="6"/>
  <c r="BX29" i="6"/>
  <c r="BY29" i="6"/>
  <c r="BZ29" i="6"/>
  <c r="CA29" i="6"/>
  <c r="CB29" i="6"/>
  <c r="CC29" i="6"/>
  <c r="CD29" i="6"/>
  <c r="CE29" i="6"/>
  <c r="CF29" i="6"/>
  <c r="CG29" i="6"/>
  <c r="CH29" i="6"/>
  <c r="CI29" i="6"/>
  <c r="CJ29" i="6"/>
  <c r="CK29" i="6"/>
  <c r="CL29" i="6"/>
  <c r="CM29" i="6"/>
  <c r="CN29" i="6"/>
  <c r="CO29" i="6"/>
  <c r="CP29" i="6"/>
  <c r="CQ29" i="6"/>
  <c r="CR29" i="6"/>
  <c r="CS29" i="6"/>
  <c r="CT29" i="6"/>
  <c r="CU29" i="6"/>
  <c r="BN31" i="6"/>
  <c r="BO31" i="6"/>
  <c r="BP31" i="6"/>
  <c r="BQ31" i="6"/>
  <c r="BR31" i="6"/>
  <c r="BS31" i="6"/>
  <c r="BT31" i="6"/>
  <c r="BU31" i="6"/>
  <c r="BV31" i="6"/>
  <c r="BW31" i="6"/>
  <c r="BX31" i="6"/>
  <c r="BY31" i="6"/>
  <c r="BZ31" i="6"/>
  <c r="CA31" i="6"/>
  <c r="CB31" i="6"/>
  <c r="CC31" i="6"/>
  <c r="CD31" i="6"/>
  <c r="CE31" i="6"/>
  <c r="CF31" i="6"/>
  <c r="CG31" i="6"/>
  <c r="CH31" i="6"/>
  <c r="CI31" i="6"/>
  <c r="CJ31" i="6"/>
  <c r="CK31" i="6"/>
  <c r="CL31" i="6"/>
  <c r="CM31" i="6"/>
  <c r="CN31" i="6"/>
  <c r="CO31" i="6"/>
  <c r="CP31" i="6"/>
  <c r="CQ31" i="6"/>
  <c r="CR31" i="6"/>
  <c r="CS31" i="6"/>
  <c r="CT31" i="6"/>
  <c r="CU31" i="6"/>
  <c r="BN33" i="6"/>
  <c r="BO33" i="6"/>
  <c r="BP33" i="6"/>
  <c r="BQ33" i="6"/>
  <c r="BR33" i="6"/>
  <c r="BS33" i="6"/>
  <c r="BT33" i="6"/>
  <c r="BU33" i="6"/>
  <c r="BV33" i="6"/>
  <c r="BW33" i="6"/>
  <c r="BX33" i="6"/>
  <c r="BY33" i="6"/>
  <c r="BZ33" i="6"/>
  <c r="CA33" i="6"/>
  <c r="CB33" i="6"/>
  <c r="CC33" i="6"/>
  <c r="CD33" i="6"/>
  <c r="CE33" i="6"/>
  <c r="CF33" i="6"/>
  <c r="CG33" i="6"/>
  <c r="CH33" i="6"/>
  <c r="CI33" i="6"/>
  <c r="CJ33" i="6"/>
  <c r="CK33" i="6"/>
  <c r="CL33" i="6"/>
  <c r="CM33" i="6"/>
  <c r="CN33" i="6"/>
  <c r="CO33" i="6"/>
  <c r="CP33" i="6"/>
  <c r="CQ33" i="6"/>
  <c r="CR33" i="6"/>
  <c r="CS33" i="6"/>
  <c r="CT33" i="6"/>
  <c r="CU33" i="6"/>
  <c r="BN43" i="6"/>
  <c r="BO43" i="6"/>
  <c r="BP43" i="6"/>
  <c r="BQ43" i="6"/>
  <c r="BR43" i="6"/>
  <c r="BS43" i="6"/>
  <c r="BT43" i="6"/>
  <c r="BU43" i="6"/>
  <c r="BV43" i="6"/>
  <c r="BW43" i="6"/>
  <c r="BX43" i="6"/>
  <c r="BY43" i="6"/>
  <c r="BZ43" i="6"/>
  <c r="CA43" i="6"/>
  <c r="CB43" i="6"/>
  <c r="CC43" i="6"/>
  <c r="CD43" i="6"/>
  <c r="CE43" i="6"/>
  <c r="CF43" i="6"/>
  <c r="CG43" i="6"/>
  <c r="CH43" i="6"/>
  <c r="CI43" i="6"/>
  <c r="CJ43" i="6"/>
  <c r="CK43" i="6"/>
  <c r="CL43" i="6"/>
  <c r="CM43" i="6"/>
  <c r="CN43" i="6"/>
  <c r="CO43" i="6"/>
  <c r="CP43" i="6"/>
  <c r="CQ43" i="6"/>
  <c r="CR43" i="6"/>
  <c r="CS43" i="6"/>
  <c r="CT43" i="6"/>
  <c r="CU43" i="6"/>
  <c r="BN41" i="6"/>
  <c r="BO41" i="6"/>
  <c r="BP41" i="6"/>
  <c r="BQ41" i="6"/>
  <c r="BR41" i="6"/>
  <c r="BS41" i="6"/>
  <c r="BT41" i="6"/>
  <c r="BU41" i="6"/>
  <c r="BV41" i="6"/>
  <c r="BW41" i="6"/>
  <c r="BX41" i="6"/>
  <c r="BY41" i="6"/>
  <c r="BZ41" i="6"/>
  <c r="CA41" i="6"/>
  <c r="CB41" i="6"/>
  <c r="CC41" i="6"/>
  <c r="CD41" i="6"/>
  <c r="CE41" i="6"/>
  <c r="CF41" i="6"/>
  <c r="CG41" i="6"/>
  <c r="CH41" i="6"/>
  <c r="CI41" i="6"/>
  <c r="CJ41" i="6"/>
  <c r="CK41" i="6"/>
  <c r="CL41" i="6"/>
  <c r="CM41" i="6"/>
  <c r="CN41" i="6"/>
  <c r="CO41" i="6"/>
  <c r="CP41" i="6"/>
  <c r="CQ41" i="6"/>
  <c r="CR41" i="6"/>
  <c r="CS41" i="6"/>
  <c r="CT41" i="6"/>
  <c r="CU41" i="6"/>
  <c r="BN39" i="6"/>
  <c r="BO39" i="6"/>
  <c r="BP39" i="6"/>
  <c r="BQ39" i="6"/>
  <c r="BR39" i="6"/>
  <c r="BS39" i="6"/>
  <c r="BT39" i="6"/>
  <c r="BU39" i="6"/>
  <c r="BV39" i="6"/>
  <c r="BW39" i="6"/>
  <c r="BX39" i="6"/>
  <c r="BY39" i="6"/>
  <c r="BZ39" i="6"/>
  <c r="CA39" i="6"/>
  <c r="CB39" i="6"/>
  <c r="CC39" i="6"/>
  <c r="CD39" i="6"/>
  <c r="CE39" i="6"/>
  <c r="CF39" i="6"/>
  <c r="CG39" i="6"/>
  <c r="CH39" i="6"/>
  <c r="CI39" i="6"/>
  <c r="CJ39" i="6"/>
  <c r="CK39" i="6"/>
  <c r="CL39" i="6"/>
  <c r="CM39" i="6"/>
  <c r="CN39" i="6"/>
  <c r="CO39" i="6"/>
  <c r="CP39" i="6"/>
  <c r="CQ39" i="6"/>
  <c r="CR39" i="6"/>
  <c r="CS39" i="6"/>
  <c r="CT39" i="6"/>
  <c r="CU39" i="6"/>
  <c r="BN37" i="6"/>
  <c r="BO37" i="6"/>
  <c r="BP37" i="6"/>
  <c r="BQ37" i="6"/>
  <c r="BR37" i="6"/>
  <c r="BS37" i="6"/>
  <c r="BT37" i="6"/>
  <c r="BU37" i="6"/>
  <c r="BV37" i="6"/>
  <c r="BW37" i="6"/>
  <c r="BX37" i="6"/>
  <c r="BY37" i="6"/>
  <c r="BZ37" i="6"/>
  <c r="CA37" i="6"/>
  <c r="CB37" i="6"/>
  <c r="CC37" i="6"/>
  <c r="CD37" i="6"/>
  <c r="CE37" i="6"/>
  <c r="CF37" i="6"/>
  <c r="CG37" i="6"/>
  <c r="CH37" i="6"/>
  <c r="CI37" i="6"/>
  <c r="CJ37" i="6"/>
  <c r="CK37" i="6"/>
  <c r="CL37" i="6"/>
  <c r="CM37" i="6"/>
  <c r="CN37" i="6"/>
  <c r="CO37" i="6"/>
  <c r="CP37" i="6"/>
  <c r="CQ37" i="6"/>
  <c r="CR37" i="6"/>
  <c r="CS37" i="6"/>
  <c r="CT37" i="6"/>
  <c r="CU37"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AG22" i="6"/>
  <c r="BN27" i="6"/>
  <c r="BO27" i="6"/>
  <c r="BP27" i="6"/>
  <c r="BQ27" i="6"/>
  <c r="BR27" i="6"/>
  <c r="BS27" i="6"/>
  <c r="BT27" i="6"/>
  <c r="BU27" i="6"/>
  <c r="BV27" i="6"/>
  <c r="BW27" i="6"/>
  <c r="BX27" i="6"/>
  <c r="BY27" i="6"/>
  <c r="BZ27" i="6"/>
  <c r="CA27" i="6"/>
  <c r="CB27" i="6"/>
  <c r="CC27" i="6"/>
  <c r="CD27" i="6"/>
  <c r="CE27" i="6"/>
  <c r="CF27" i="6"/>
  <c r="CG27" i="6"/>
  <c r="CH27" i="6"/>
  <c r="CI27" i="6"/>
  <c r="CJ27" i="6"/>
  <c r="CK27" i="6"/>
  <c r="CL27" i="6"/>
  <c r="CM27" i="6"/>
  <c r="CN27" i="6"/>
  <c r="CO27" i="6"/>
  <c r="CP27" i="6"/>
  <c r="CU27" i="6"/>
  <c r="BN25" i="6"/>
  <c r="BO25" i="6"/>
  <c r="BP25" i="6"/>
  <c r="BQ25" i="6"/>
  <c r="BR25" i="6"/>
  <c r="BS25" i="6"/>
  <c r="BT25" i="6"/>
  <c r="BU25" i="6"/>
  <c r="BV25" i="6"/>
  <c r="BW25" i="6"/>
  <c r="BX25" i="6"/>
  <c r="BY25" i="6"/>
  <c r="BZ25" i="6"/>
  <c r="CA25" i="6"/>
  <c r="CB25" i="6"/>
  <c r="CC25" i="6"/>
  <c r="CD25" i="6"/>
  <c r="CE25" i="6"/>
  <c r="CF25" i="6"/>
  <c r="CG25" i="6"/>
  <c r="CH25" i="6"/>
  <c r="CI25" i="6"/>
  <c r="CJ25" i="6"/>
  <c r="CK25" i="6"/>
  <c r="CL25" i="6"/>
  <c r="CM25" i="6"/>
  <c r="CN25" i="6"/>
  <c r="CO25" i="6"/>
  <c r="CP25" i="6"/>
  <c r="CQ25" i="6"/>
  <c r="CR25" i="6"/>
  <c r="CS25" i="6"/>
  <c r="CT25" i="6"/>
  <c r="CU25" i="6"/>
  <c r="BN23" i="6"/>
  <c r="BO23" i="6"/>
  <c r="BP23" i="6"/>
  <c r="BQ23" i="6"/>
  <c r="BR23" i="6"/>
  <c r="BS23" i="6"/>
  <c r="BT23" i="6"/>
  <c r="BU23" i="6"/>
  <c r="BV23" i="6"/>
  <c r="BW23" i="6"/>
  <c r="BX23" i="6"/>
  <c r="BY23" i="6"/>
  <c r="BZ23" i="6"/>
  <c r="CA23" i="6"/>
  <c r="CB23" i="6"/>
  <c r="CC23" i="6"/>
  <c r="CD23" i="6"/>
  <c r="CE23" i="6"/>
  <c r="CF23" i="6"/>
  <c r="CG23" i="6"/>
  <c r="CH23" i="6"/>
  <c r="CI23" i="6"/>
  <c r="CJ23" i="6"/>
  <c r="CK23" i="6"/>
  <c r="CL23" i="6"/>
  <c r="CM23" i="6"/>
  <c r="CN23" i="6"/>
  <c r="CO23" i="6"/>
  <c r="CP23" i="6"/>
  <c r="CU23" i="6"/>
  <c r="AH34" i="32"/>
  <c r="AH35" i="32"/>
  <c r="AH36" i="32"/>
  <c r="AH37" i="32" l="1"/>
  <c r="AH38" i="32"/>
  <c r="AH39" i="32"/>
  <c r="AH40" i="32"/>
  <c r="AH41" i="32"/>
  <c r="AH42" i="32"/>
  <c r="AH43" i="32"/>
  <c r="AH44" i="32"/>
  <c r="AH45" i="32"/>
  <c r="AH46" i="32"/>
  <c r="AH47" i="32"/>
  <c r="AH48" i="32"/>
  <c r="AH49" i="32"/>
  <c r="AH50" i="32"/>
  <c r="AH51" i="32"/>
  <c r="AH52" i="32"/>
  <c r="AH53" i="32"/>
  <c r="AH54" i="32"/>
  <c r="AH55" i="32"/>
  <c r="AH56" i="32"/>
  <c r="AH57" i="32"/>
  <c r="AH58" i="32"/>
  <c r="AH59" i="32"/>
  <c r="AH60" i="32"/>
  <c r="AH61" i="32"/>
  <c r="AH62" i="32"/>
  <c r="AH63" i="32"/>
  <c r="AH64" i="32"/>
  <c r="AH65" i="32"/>
  <c r="AH66" i="32"/>
  <c r="AH67" i="32"/>
  <c r="AH68" i="32"/>
  <c r="AH69" i="32"/>
  <c r="AH70" i="32"/>
  <c r="AH71" i="32"/>
  <c r="AH72" i="32"/>
  <c r="AH73" i="32"/>
  <c r="AH74" i="32"/>
  <c r="AH75" i="32"/>
  <c r="AH76" i="32"/>
  <c r="AH77" i="32"/>
  <c r="AH78" i="32"/>
  <c r="AH79" i="32"/>
  <c r="AH80" i="32"/>
  <c r="AH81" i="32"/>
  <c r="AH82" i="32"/>
  <c r="AH83" i="32"/>
  <c r="AH84" i="32"/>
  <c r="AH85" i="32"/>
  <c r="AH86" i="32"/>
  <c r="AH87" i="32"/>
  <c r="AH88" i="32"/>
  <c r="AH89" i="32"/>
  <c r="AH90" i="32"/>
  <c r="AH91" i="32"/>
  <c r="AH92" i="32"/>
  <c r="AH93" i="32"/>
  <c r="AH94" i="32"/>
  <c r="AH95" i="32"/>
  <c r="AH96" i="32"/>
  <c r="AH97" i="32"/>
  <c r="AH98" i="32"/>
  <c r="AH99" i="32"/>
  <c r="AH100" i="32"/>
  <c r="AH101" i="32"/>
  <c r="AH102" i="32"/>
  <c r="AH103" i="32"/>
  <c r="AH104" i="32"/>
  <c r="AH105" i="32"/>
  <c r="AH106" i="32"/>
  <c r="AH107" i="32"/>
  <c r="AH108" i="32"/>
  <c r="AH109" i="32"/>
  <c r="AH110" i="32"/>
  <c r="AH111" i="32"/>
  <c r="AH112" i="32"/>
  <c r="AH113" i="32"/>
  <c r="AH114" i="32"/>
  <c r="AH115" i="32"/>
  <c r="AH116" i="32"/>
  <c r="AH117" i="32"/>
  <c r="AH118" i="32"/>
  <c r="AH119" i="32"/>
  <c r="AH120" i="32"/>
  <c r="AH121" i="32"/>
  <c r="AH122" i="32"/>
  <c r="AH123" i="32"/>
  <c r="AH124" i="32"/>
  <c r="AH125" i="32"/>
  <c r="AH126" i="32"/>
  <c r="AH127" i="32"/>
  <c r="AH128" i="32"/>
  <c r="AH129" i="32"/>
  <c r="AH130" i="32"/>
  <c r="AH131" i="32"/>
  <c r="AH132" i="32"/>
  <c r="AH133" i="32"/>
  <c r="AH134" i="32"/>
  <c r="AH135" i="32"/>
  <c r="AH136" i="32"/>
  <c r="AH137" i="32"/>
  <c r="AH138" i="32"/>
  <c r="AH139" i="32"/>
  <c r="AH140" i="32"/>
  <c r="AH141" i="32"/>
  <c r="AH142" i="32"/>
  <c r="AH143" i="32"/>
  <c r="AH144" i="32"/>
  <c r="AH145" i="32"/>
  <c r="AH146" i="32"/>
  <c r="AH147" i="32"/>
  <c r="AH148" i="32"/>
  <c r="AH149" i="32"/>
  <c r="AH150" i="32"/>
  <c r="AH151" i="32"/>
  <c r="AH152" i="32"/>
  <c r="AH153" i="32"/>
  <c r="AH154" i="32"/>
  <c r="AH155" i="32"/>
  <c r="AH156" i="32"/>
  <c r="AI35" i="32"/>
  <c r="AI36" i="32"/>
  <c r="AI37" i="32"/>
  <c r="AI38" i="32"/>
  <c r="AI39" i="32"/>
  <c r="AI40" i="32"/>
  <c r="AI41" i="32"/>
  <c r="AI42" i="32"/>
  <c r="AI43" i="32"/>
  <c r="AI44" i="32"/>
  <c r="AI45" i="32"/>
  <c r="AI46" i="32"/>
  <c r="AI47" i="32"/>
  <c r="AI48" i="32"/>
  <c r="AI49" i="32"/>
  <c r="AI50" i="32"/>
  <c r="AI51" i="32"/>
  <c r="AI52" i="32"/>
  <c r="AI53" i="32"/>
  <c r="AI54" i="32"/>
  <c r="AI55" i="32"/>
  <c r="AI56" i="32"/>
  <c r="AI57" i="32"/>
  <c r="AI58" i="32"/>
  <c r="AI59" i="32"/>
  <c r="AI60" i="32"/>
  <c r="AI61" i="32"/>
  <c r="AI62" i="32"/>
  <c r="AI63" i="32"/>
  <c r="AI64" i="32"/>
  <c r="AI65" i="32"/>
  <c r="AI66" i="32"/>
  <c r="AI67" i="32"/>
  <c r="AI68" i="32"/>
  <c r="AI69" i="32"/>
  <c r="AI70" i="32"/>
  <c r="AI71" i="32"/>
  <c r="AI72" i="32"/>
  <c r="AI73" i="32"/>
  <c r="AI74" i="32"/>
  <c r="AI75" i="32"/>
  <c r="AI76" i="32"/>
  <c r="AI77" i="32"/>
  <c r="AI78" i="32"/>
  <c r="AI79" i="32"/>
  <c r="AI80" i="32"/>
  <c r="AI81" i="32"/>
  <c r="AI82" i="32"/>
  <c r="AI83" i="32"/>
  <c r="AI84" i="32"/>
  <c r="AI85" i="32"/>
  <c r="AI86" i="32"/>
  <c r="AI87" i="32"/>
  <c r="AI88" i="32"/>
  <c r="AI89" i="32"/>
  <c r="AI90" i="32"/>
  <c r="AI91" i="32"/>
  <c r="AI92" i="32"/>
  <c r="AI93" i="32"/>
  <c r="AI94" i="32"/>
  <c r="AI95" i="32"/>
  <c r="AI96" i="32"/>
  <c r="AI97" i="32"/>
  <c r="AI98" i="32"/>
  <c r="AI99" i="32"/>
  <c r="AI100" i="32"/>
  <c r="AI101" i="32"/>
  <c r="AI102" i="32"/>
  <c r="AI103" i="32"/>
  <c r="AI104" i="32"/>
  <c r="AI105" i="32"/>
  <c r="AI106" i="32"/>
  <c r="AI107" i="32"/>
  <c r="AI108" i="32"/>
  <c r="AI109" i="32"/>
  <c r="AI110" i="32"/>
  <c r="AI111" i="32"/>
  <c r="AI112" i="32"/>
  <c r="AI113" i="32"/>
  <c r="AI114" i="32"/>
  <c r="AI115" i="32"/>
  <c r="AI116" i="32"/>
  <c r="AI117" i="32"/>
  <c r="AI118" i="32"/>
  <c r="AI119" i="32"/>
  <c r="AI120" i="32"/>
  <c r="AI121" i="32"/>
  <c r="AI122" i="32"/>
  <c r="AI123" i="32"/>
  <c r="AI124" i="32"/>
  <c r="AI125" i="32"/>
  <c r="AI126" i="32"/>
  <c r="AI127" i="32"/>
  <c r="AI128" i="32"/>
  <c r="AI129" i="32"/>
  <c r="AI130" i="32"/>
  <c r="AI131" i="32"/>
  <c r="AI132" i="32"/>
  <c r="AI133" i="32"/>
  <c r="AI134" i="32"/>
  <c r="AI135" i="32"/>
  <c r="AI136" i="32"/>
  <c r="AI137" i="32"/>
  <c r="AI138" i="32"/>
  <c r="AI139" i="32"/>
  <c r="AI140" i="32"/>
  <c r="AI141" i="32"/>
  <c r="AI142" i="32"/>
  <c r="AI143" i="32"/>
  <c r="AI144" i="32"/>
  <c r="AI145" i="32"/>
  <c r="AI146" i="32"/>
  <c r="AI147" i="32"/>
  <c r="AI148" i="32"/>
  <c r="AI149" i="32"/>
  <c r="AI150" i="32"/>
  <c r="AI151" i="32"/>
  <c r="AI152" i="32"/>
  <c r="AI153" i="32"/>
  <c r="AI154" i="32"/>
  <c r="AI155" i="32"/>
  <c r="AI156" i="32"/>
  <c r="AJ35" i="32"/>
  <c r="AJ36" i="32"/>
  <c r="AJ37" i="32"/>
  <c r="AJ38" i="32"/>
  <c r="AJ39" i="32"/>
  <c r="AJ40" i="32"/>
  <c r="AJ41" i="32"/>
  <c r="AJ42" i="32"/>
  <c r="AJ43" i="32"/>
  <c r="AJ44" i="32"/>
  <c r="AJ45" i="32"/>
  <c r="AJ46" i="32"/>
  <c r="AJ47" i="32"/>
  <c r="AJ48" i="32"/>
  <c r="AJ49" i="32"/>
  <c r="AJ50" i="32"/>
  <c r="AJ51" i="32"/>
  <c r="AJ52" i="32"/>
  <c r="AJ53" i="32"/>
  <c r="AJ54" i="32"/>
  <c r="AJ55" i="32"/>
  <c r="AJ56" i="32"/>
  <c r="AJ57" i="32"/>
  <c r="AJ58" i="32"/>
  <c r="AJ59" i="32"/>
  <c r="AJ60" i="32"/>
  <c r="AJ61" i="32"/>
  <c r="AJ62" i="32"/>
  <c r="AJ63" i="32"/>
  <c r="AJ64" i="32"/>
  <c r="AJ65" i="32"/>
  <c r="AJ66" i="32"/>
  <c r="AJ67" i="32"/>
  <c r="AJ68" i="32"/>
  <c r="AJ69" i="32"/>
  <c r="AJ70" i="32"/>
  <c r="AJ71" i="32"/>
  <c r="AJ72" i="32"/>
  <c r="AJ73" i="32"/>
  <c r="AJ74" i="32"/>
  <c r="AJ75" i="32"/>
  <c r="AJ76" i="32"/>
  <c r="AJ77" i="32"/>
  <c r="AJ78" i="32"/>
  <c r="AJ79" i="32"/>
  <c r="AJ80" i="32"/>
  <c r="AJ81" i="32"/>
  <c r="AJ82" i="32"/>
  <c r="AJ83" i="32"/>
  <c r="AJ84" i="32"/>
  <c r="AJ85" i="32"/>
  <c r="AJ86" i="32"/>
  <c r="AJ87" i="32"/>
  <c r="AJ88" i="32"/>
  <c r="AJ89" i="32"/>
  <c r="AJ90" i="32"/>
  <c r="AJ91" i="32"/>
  <c r="AJ92" i="32"/>
  <c r="AJ93" i="32"/>
  <c r="AJ94" i="32"/>
  <c r="AJ95" i="32"/>
  <c r="AJ96" i="32"/>
  <c r="AJ97" i="32"/>
  <c r="AJ98" i="32"/>
  <c r="AJ99" i="32"/>
  <c r="AJ100" i="32"/>
  <c r="AJ101" i="32"/>
  <c r="AJ102" i="32"/>
  <c r="AJ103" i="32"/>
  <c r="AJ104" i="32"/>
  <c r="AJ105" i="32"/>
  <c r="AJ106" i="32"/>
  <c r="AJ107" i="32"/>
  <c r="AJ108" i="32"/>
  <c r="AJ109" i="32"/>
  <c r="AJ110" i="32"/>
  <c r="AJ111" i="32"/>
  <c r="AJ112" i="32"/>
  <c r="AJ113" i="32"/>
  <c r="AJ114" i="32"/>
  <c r="AJ115" i="32"/>
  <c r="AJ116" i="32"/>
  <c r="AJ117" i="32"/>
  <c r="AJ118" i="32"/>
  <c r="AJ119" i="32"/>
  <c r="AJ120" i="32"/>
  <c r="AJ121" i="32"/>
  <c r="AJ122" i="32"/>
  <c r="AJ123" i="32"/>
  <c r="AJ124" i="32"/>
  <c r="AJ125" i="32"/>
  <c r="AJ126" i="32"/>
  <c r="AJ127" i="32"/>
  <c r="AJ128" i="32"/>
  <c r="AJ129" i="32"/>
  <c r="AJ130" i="32"/>
  <c r="AJ131" i="32"/>
  <c r="AJ132" i="32"/>
  <c r="AJ133" i="32"/>
  <c r="AJ134" i="32"/>
  <c r="AJ135" i="32"/>
  <c r="AJ136" i="32"/>
  <c r="AJ137" i="32"/>
  <c r="AJ138" i="32"/>
  <c r="AJ139" i="32"/>
  <c r="AJ140" i="32"/>
  <c r="AJ141" i="32"/>
  <c r="AJ142" i="32"/>
  <c r="AJ143" i="32"/>
  <c r="AJ144" i="32"/>
  <c r="AJ145" i="32"/>
  <c r="AJ146" i="32"/>
  <c r="AJ147" i="32"/>
  <c r="AJ148" i="32"/>
  <c r="AJ149" i="32"/>
  <c r="AJ150" i="32"/>
  <c r="AJ151" i="32"/>
  <c r="AJ152" i="32"/>
  <c r="AJ153" i="32"/>
  <c r="AJ154" i="32"/>
  <c r="AJ155" i="32"/>
  <c r="AJ156"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Y35" i="32"/>
  <c r="AY36" i="32"/>
  <c r="AY37" i="32"/>
  <c r="AY38" i="32"/>
  <c r="AY39" i="32"/>
  <c r="AY40" i="32"/>
  <c r="AY41" i="32"/>
  <c r="AY42" i="32"/>
  <c r="AY43" i="32"/>
  <c r="AY44" i="32"/>
  <c r="AY45" i="32"/>
  <c r="AY46" i="32"/>
  <c r="AY47" i="32"/>
  <c r="AY48" i="32"/>
  <c r="AY49" i="32"/>
  <c r="AY50" i="32"/>
  <c r="AY51" i="32"/>
  <c r="AY52" i="32"/>
  <c r="AY53" i="32"/>
  <c r="AY54" i="32"/>
  <c r="AY55" i="32"/>
  <c r="AY56" i="32"/>
  <c r="AY57" i="32"/>
  <c r="AY58" i="32"/>
  <c r="AY59" i="32"/>
  <c r="AY60" i="32"/>
  <c r="AY61" i="32"/>
  <c r="AY62" i="32"/>
  <c r="AY63" i="32"/>
  <c r="AY64" i="32"/>
  <c r="AY65" i="32"/>
  <c r="AY66" i="32"/>
  <c r="AY67" i="32"/>
  <c r="AY68" i="32"/>
  <c r="AY69" i="32"/>
  <c r="AY70" i="32"/>
  <c r="AY71" i="32"/>
  <c r="AY72" i="32"/>
  <c r="AY73" i="32"/>
  <c r="AY74" i="32"/>
  <c r="AY75" i="32"/>
  <c r="AY76" i="32"/>
  <c r="AY77" i="32"/>
  <c r="AY78" i="32"/>
  <c r="AY79" i="32"/>
  <c r="AY80" i="32"/>
  <c r="AY81" i="32"/>
  <c r="AY82" i="32"/>
  <c r="AY83" i="32"/>
  <c r="AY84" i="32"/>
  <c r="AY85" i="32"/>
  <c r="AY86" i="32"/>
  <c r="AY87" i="32"/>
  <c r="AY88" i="32"/>
  <c r="AY89" i="32"/>
  <c r="AY90" i="32"/>
  <c r="AY91" i="32"/>
  <c r="AY92" i="32"/>
  <c r="AY93" i="32"/>
  <c r="AY94" i="32"/>
  <c r="AY95" i="32"/>
  <c r="AY96" i="32"/>
  <c r="AY97" i="32"/>
  <c r="AY98" i="32"/>
  <c r="AY99" i="32"/>
  <c r="AY100" i="32"/>
  <c r="AY101" i="32"/>
  <c r="AY102" i="32"/>
  <c r="AY103" i="32"/>
  <c r="AY104" i="32"/>
  <c r="AY105" i="32"/>
  <c r="AY106" i="32"/>
  <c r="AY107" i="32"/>
  <c r="AY108" i="32"/>
  <c r="AY109" i="32"/>
  <c r="AY110" i="32"/>
  <c r="AY111" i="32"/>
  <c r="AY112" i="32"/>
  <c r="AY113" i="32"/>
  <c r="AY114" i="32"/>
  <c r="AY115" i="32"/>
  <c r="AY116" i="32"/>
  <c r="AY117" i="32"/>
  <c r="AY118" i="32"/>
  <c r="AY119" i="32"/>
  <c r="AY120" i="32"/>
  <c r="AY121" i="32"/>
  <c r="AY122" i="32"/>
  <c r="AY123" i="32"/>
  <c r="AY124" i="32"/>
  <c r="AY125" i="32"/>
  <c r="AY126" i="32"/>
  <c r="AY127" i="32"/>
  <c r="AY128" i="32"/>
  <c r="AY129" i="32"/>
  <c r="AY130" i="32"/>
  <c r="AY131" i="32"/>
  <c r="AY132" i="32"/>
  <c r="AY133" i="32"/>
  <c r="AY134" i="32"/>
  <c r="AY135" i="32"/>
  <c r="AY136" i="32"/>
  <c r="AY137" i="32"/>
  <c r="AY138" i="32"/>
  <c r="AY139" i="32"/>
  <c r="AY140" i="32"/>
  <c r="AY141" i="32"/>
  <c r="AY142" i="32"/>
  <c r="AY143" i="32"/>
  <c r="AY144" i="32"/>
  <c r="AY145" i="32"/>
  <c r="AY146" i="32"/>
  <c r="AY147" i="32"/>
  <c r="AY148" i="32"/>
  <c r="AY149" i="32"/>
  <c r="AY150" i="32"/>
  <c r="AY151" i="32"/>
  <c r="AY152" i="32"/>
  <c r="AY153" i="32"/>
  <c r="AY154" i="32"/>
  <c r="AY155" i="32"/>
  <c r="AY156"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BA35" i="32"/>
  <c r="BA36" i="32"/>
  <c r="BA37" i="32"/>
  <c r="BA38" i="32"/>
  <c r="BA39" i="32"/>
  <c r="BA40" i="32"/>
  <c r="BA41" i="32"/>
  <c r="BA42" i="32"/>
  <c r="BA43" i="32"/>
  <c r="BA44" i="32"/>
  <c r="BA45" i="32"/>
  <c r="BA46" i="32"/>
  <c r="BA47" i="32"/>
  <c r="BA48" i="32"/>
  <c r="BA49" i="32"/>
  <c r="BA50" i="32"/>
  <c r="BA51" i="32"/>
  <c r="BA52" i="32"/>
  <c r="BA53" i="32"/>
  <c r="BA54" i="32"/>
  <c r="BA55" i="32"/>
  <c r="BA56" i="32"/>
  <c r="BA57" i="32"/>
  <c r="BA58" i="32"/>
  <c r="BA59" i="32"/>
  <c r="BA60" i="32"/>
  <c r="BA61" i="32"/>
  <c r="BA62" i="32"/>
  <c r="BA63" i="32"/>
  <c r="BA64" i="32"/>
  <c r="BA65" i="32"/>
  <c r="BA66" i="32"/>
  <c r="BA67" i="32"/>
  <c r="BA68" i="32"/>
  <c r="BA69" i="32"/>
  <c r="BA70" i="32"/>
  <c r="BA71" i="32"/>
  <c r="BA72" i="32"/>
  <c r="BA73" i="32"/>
  <c r="BA74" i="32"/>
  <c r="BA75" i="32"/>
  <c r="BA76" i="32"/>
  <c r="BA77" i="32"/>
  <c r="BA78" i="32"/>
  <c r="BA79" i="32"/>
  <c r="BA80" i="32"/>
  <c r="BA81" i="32"/>
  <c r="BA82" i="32"/>
  <c r="BA83" i="32"/>
  <c r="BA84" i="32"/>
  <c r="BA85" i="32"/>
  <c r="BA86" i="32"/>
  <c r="BA87" i="32"/>
  <c r="BA88" i="32"/>
  <c r="BA89" i="32"/>
  <c r="BA90" i="32"/>
  <c r="BA91" i="32"/>
  <c r="BA92" i="32"/>
  <c r="BA93" i="32"/>
  <c r="BA94" i="32"/>
  <c r="BA95" i="32"/>
  <c r="BA96" i="32"/>
  <c r="BA97" i="32"/>
  <c r="BA98" i="32"/>
  <c r="BA99" i="32"/>
  <c r="BA100" i="32"/>
  <c r="BA101" i="32"/>
  <c r="BA102" i="32"/>
  <c r="BA103" i="32"/>
  <c r="BA104" i="32"/>
  <c r="BA105" i="32"/>
  <c r="BA106" i="32"/>
  <c r="BA107" i="32"/>
  <c r="BA108" i="32"/>
  <c r="BA109" i="32"/>
  <c r="BA110" i="32"/>
  <c r="BA111" i="32"/>
  <c r="BA112" i="32"/>
  <c r="BA113" i="32"/>
  <c r="BA114" i="32"/>
  <c r="BA115" i="32"/>
  <c r="BA116" i="32"/>
  <c r="BA117" i="32"/>
  <c r="BA118" i="32"/>
  <c r="BA119" i="32"/>
  <c r="BA120" i="32"/>
  <c r="BA121" i="32"/>
  <c r="BA122" i="32"/>
  <c r="BA123" i="32"/>
  <c r="BA124" i="32"/>
  <c r="BA125" i="32"/>
  <c r="BA126" i="32"/>
  <c r="BA127" i="32"/>
  <c r="BA128" i="32"/>
  <c r="BA129" i="32"/>
  <c r="BA130" i="32"/>
  <c r="BA131" i="32"/>
  <c r="BA132" i="32"/>
  <c r="BA133" i="32"/>
  <c r="BA134" i="32"/>
  <c r="BA135" i="32"/>
  <c r="BA136" i="32"/>
  <c r="BA137" i="32"/>
  <c r="BA138" i="32"/>
  <c r="BA139" i="32"/>
  <c r="BA140" i="32"/>
  <c r="BA141" i="32"/>
  <c r="BA142" i="32"/>
  <c r="BA143" i="32"/>
  <c r="BA144" i="32"/>
  <c r="BA145" i="32"/>
  <c r="BA146" i="32"/>
  <c r="BA147" i="32"/>
  <c r="BA148" i="32"/>
  <c r="BA149" i="32"/>
  <c r="BA150" i="32"/>
  <c r="BA151" i="32"/>
  <c r="BA152" i="32"/>
  <c r="BA153" i="32"/>
  <c r="BA154" i="32"/>
  <c r="BA155" i="32"/>
  <c r="BA156" i="32"/>
  <c r="BB35" i="32"/>
  <c r="BB36" i="32"/>
  <c r="BB37" i="32"/>
  <c r="BB38" i="32"/>
  <c r="BB39" i="32"/>
  <c r="BB40" i="32"/>
  <c r="BB41" i="32"/>
  <c r="BB42" i="32"/>
  <c r="BB43" i="32"/>
  <c r="BB44" i="32"/>
  <c r="BB45" i="32"/>
  <c r="BB46" i="32"/>
  <c r="BB47" i="32"/>
  <c r="BB48" i="32"/>
  <c r="BB49" i="32"/>
  <c r="BB50" i="32"/>
  <c r="BB51" i="32"/>
  <c r="BB52" i="32"/>
  <c r="BB53" i="32"/>
  <c r="BB54" i="32"/>
  <c r="BB55" i="32"/>
  <c r="BB56" i="32"/>
  <c r="BB57" i="32"/>
  <c r="BB58" i="32"/>
  <c r="BB59" i="32"/>
  <c r="BB60" i="32"/>
  <c r="BB61" i="32"/>
  <c r="BB62" i="32"/>
  <c r="BB63" i="32"/>
  <c r="BB64" i="32"/>
  <c r="BB65" i="32"/>
  <c r="BB66" i="32"/>
  <c r="BB67" i="32"/>
  <c r="BB68" i="32"/>
  <c r="BB69" i="32"/>
  <c r="BB70" i="32"/>
  <c r="BB71" i="32"/>
  <c r="BB72" i="32"/>
  <c r="BB73" i="32"/>
  <c r="BB74" i="32"/>
  <c r="BB75" i="32"/>
  <c r="BB76" i="32"/>
  <c r="BB77" i="32"/>
  <c r="BB78" i="32"/>
  <c r="BB79" i="32"/>
  <c r="BB80" i="32"/>
  <c r="BB81" i="32"/>
  <c r="BB82" i="32"/>
  <c r="BB83" i="32"/>
  <c r="BB84" i="32"/>
  <c r="BB85" i="32"/>
  <c r="BB86" i="32"/>
  <c r="BB87" i="32"/>
  <c r="BB88" i="32"/>
  <c r="BB89" i="32"/>
  <c r="BB90" i="32"/>
  <c r="BB91" i="32"/>
  <c r="BB92" i="32"/>
  <c r="BB93" i="32"/>
  <c r="BB94" i="32"/>
  <c r="BB95" i="32"/>
  <c r="BB96" i="32"/>
  <c r="BB97" i="32"/>
  <c r="BB98" i="32"/>
  <c r="BB99" i="32"/>
  <c r="BB100" i="32"/>
  <c r="BB101" i="32"/>
  <c r="BB102" i="32"/>
  <c r="BB103" i="32"/>
  <c r="BB104" i="32"/>
  <c r="BB105" i="32"/>
  <c r="BB106" i="32"/>
  <c r="BB107" i="32"/>
  <c r="BB108" i="32"/>
  <c r="BB109" i="32"/>
  <c r="BB110" i="32"/>
  <c r="BB111" i="32"/>
  <c r="BB112" i="32"/>
  <c r="BB113" i="32"/>
  <c r="BB114" i="32"/>
  <c r="BB115" i="32"/>
  <c r="BB116" i="32"/>
  <c r="BB117" i="32"/>
  <c r="BB118" i="32"/>
  <c r="BB119" i="32"/>
  <c r="BB120" i="32"/>
  <c r="BB121" i="32"/>
  <c r="BB122" i="32"/>
  <c r="BB123" i="32"/>
  <c r="BB124" i="32"/>
  <c r="BB125" i="32"/>
  <c r="BB126" i="32"/>
  <c r="BB127" i="32"/>
  <c r="BB128" i="32"/>
  <c r="BB129" i="32"/>
  <c r="BB130" i="32"/>
  <c r="BB131" i="32"/>
  <c r="BB132" i="32"/>
  <c r="BB133" i="32"/>
  <c r="BB134" i="32"/>
  <c r="BB135" i="32"/>
  <c r="BB136" i="32"/>
  <c r="BB137" i="32"/>
  <c r="BB138" i="32"/>
  <c r="BB139" i="32"/>
  <c r="BB140" i="32"/>
  <c r="BB141" i="32"/>
  <c r="BB142" i="32"/>
  <c r="BB143" i="32"/>
  <c r="BB144" i="32"/>
  <c r="BB145" i="32"/>
  <c r="BB146" i="32"/>
  <c r="BB147" i="32"/>
  <c r="BB148" i="32"/>
  <c r="BB149" i="32"/>
  <c r="BB150" i="32"/>
  <c r="BB151" i="32"/>
  <c r="BB152" i="32"/>
  <c r="BB153" i="32"/>
  <c r="BB154" i="32"/>
  <c r="BB155" i="32"/>
  <c r="BB156" i="32"/>
  <c r="BC35" i="32"/>
  <c r="BC36" i="32"/>
  <c r="BC37" i="32"/>
  <c r="BC38" i="32"/>
  <c r="BC39" i="32"/>
  <c r="BC40" i="32"/>
  <c r="BC41" i="32"/>
  <c r="BC42" i="32"/>
  <c r="BC43" i="32"/>
  <c r="BC44" i="32"/>
  <c r="BC45" i="32"/>
  <c r="BC46" i="32"/>
  <c r="BC47" i="32"/>
  <c r="BC48" i="32"/>
  <c r="BC49" i="32"/>
  <c r="BC50" i="32"/>
  <c r="BC51" i="32"/>
  <c r="BC52" i="32"/>
  <c r="BC53" i="32"/>
  <c r="BC54" i="32"/>
  <c r="BC55" i="32"/>
  <c r="BC56" i="32"/>
  <c r="BC57" i="32"/>
  <c r="BC58" i="32"/>
  <c r="BC59" i="32"/>
  <c r="BC60" i="32"/>
  <c r="BC61" i="32"/>
  <c r="BC62" i="32"/>
  <c r="BC63" i="32"/>
  <c r="BC64" i="32"/>
  <c r="BC65" i="32"/>
  <c r="BC66" i="32"/>
  <c r="BC67" i="32"/>
  <c r="BC68" i="32"/>
  <c r="BC69" i="32"/>
  <c r="BC70" i="32"/>
  <c r="BC71" i="32"/>
  <c r="BC72" i="32"/>
  <c r="BC73" i="32"/>
  <c r="BC74" i="32"/>
  <c r="BC75" i="32"/>
  <c r="BC76" i="32"/>
  <c r="BC77" i="32"/>
  <c r="BC78" i="32"/>
  <c r="BC79" i="32"/>
  <c r="BC80" i="32"/>
  <c r="BC81" i="32"/>
  <c r="BC82" i="32"/>
  <c r="BC83" i="32"/>
  <c r="BC84" i="32"/>
  <c r="BC85" i="32"/>
  <c r="BC86" i="32"/>
  <c r="BC87" i="32"/>
  <c r="BC88" i="32"/>
  <c r="BC89" i="32"/>
  <c r="BC90" i="32"/>
  <c r="BC91" i="32"/>
  <c r="BC92" i="32"/>
  <c r="BC93" i="32"/>
  <c r="BC94" i="32"/>
  <c r="BC95" i="32"/>
  <c r="BC96" i="32"/>
  <c r="BC97" i="32"/>
  <c r="BC98" i="32"/>
  <c r="BC99" i="32"/>
  <c r="BC100" i="32"/>
  <c r="BC101" i="32"/>
  <c r="BC102" i="32"/>
  <c r="BC103" i="32"/>
  <c r="BC104" i="32"/>
  <c r="BC105" i="32"/>
  <c r="BC106" i="32"/>
  <c r="BC107" i="32"/>
  <c r="BC108" i="32"/>
  <c r="BC109" i="32"/>
  <c r="BC110" i="32"/>
  <c r="BC111" i="32"/>
  <c r="BC112" i="32"/>
  <c r="BC113" i="32"/>
  <c r="BC114" i="32"/>
  <c r="BC115" i="32"/>
  <c r="BC116" i="32"/>
  <c r="BC117" i="32"/>
  <c r="BC118" i="32"/>
  <c r="BC119" i="32"/>
  <c r="BC120" i="32"/>
  <c r="BC121" i="32"/>
  <c r="BC122" i="32"/>
  <c r="BC123" i="32"/>
  <c r="BC124" i="32"/>
  <c r="BC125" i="32"/>
  <c r="BC126" i="32"/>
  <c r="BC127" i="32"/>
  <c r="BC128" i="32"/>
  <c r="BC129" i="32"/>
  <c r="BC130" i="32"/>
  <c r="BC131" i="32"/>
  <c r="BC132" i="32"/>
  <c r="BC133" i="32"/>
  <c r="BC134" i="32"/>
  <c r="BC135" i="32"/>
  <c r="BC136" i="32"/>
  <c r="BC137" i="32"/>
  <c r="BC138" i="32"/>
  <c r="BC139" i="32"/>
  <c r="BC140" i="32"/>
  <c r="BC141" i="32"/>
  <c r="BC142" i="32"/>
  <c r="BC143" i="32"/>
  <c r="BC144" i="32"/>
  <c r="BC145" i="32"/>
  <c r="BC146" i="32"/>
  <c r="BC147" i="32"/>
  <c r="BC148" i="32"/>
  <c r="BC149" i="32"/>
  <c r="BC150" i="32"/>
  <c r="BC151" i="32"/>
  <c r="BC152" i="32"/>
  <c r="BC153" i="32"/>
  <c r="BC154" i="32"/>
  <c r="BC155" i="32"/>
  <c r="BC156" i="32"/>
  <c r="BD35" i="32"/>
  <c r="BD36" i="32"/>
  <c r="BD37" i="32"/>
  <c r="BD38" i="32"/>
  <c r="BD39" i="32"/>
  <c r="BD40" i="32"/>
  <c r="BD41" i="32"/>
  <c r="BD42" i="32"/>
  <c r="BD43" i="32"/>
  <c r="BD44" i="32"/>
  <c r="BD45" i="32"/>
  <c r="BD46" i="32"/>
  <c r="BD47" i="32"/>
  <c r="BD48" i="32"/>
  <c r="BD49" i="32"/>
  <c r="BD50" i="32"/>
  <c r="BD51" i="32"/>
  <c r="BD52" i="32"/>
  <c r="BD53" i="32"/>
  <c r="BD54" i="32"/>
  <c r="BD55" i="32"/>
  <c r="BD56" i="32"/>
  <c r="BD57" i="32"/>
  <c r="BD58" i="32"/>
  <c r="BD59" i="32"/>
  <c r="BD60" i="32"/>
  <c r="BD61" i="32"/>
  <c r="BD62" i="32"/>
  <c r="BD63" i="32"/>
  <c r="BD64" i="32"/>
  <c r="BD65" i="32"/>
  <c r="BD66" i="32"/>
  <c r="BD67" i="32"/>
  <c r="BD68" i="32"/>
  <c r="BD69" i="32"/>
  <c r="BD70" i="32"/>
  <c r="BD71" i="32"/>
  <c r="BD72" i="32"/>
  <c r="BD73" i="32"/>
  <c r="BD74" i="32"/>
  <c r="BD75" i="32"/>
  <c r="BD76" i="32"/>
  <c r="BD77" i="32"/>
  <c r="BD78" i="32"/>
  <c r="BD79" i="32"/>
  <c r="BD80" i="32"/>
  <c r="BD81" i="32"/>
  <c r="BD82" i="32"/>
  <c r="BD83" i="32"/>
  <c r="BD84" i="32"/>
  <c r="BD85" i="32"/>
  <c r="BD86" i="32"/>
  <c r="BD87" i="32"/>
  <c r="BD88" i="32"/>
  <c r="BD89" i="32"/>
  <c r="BD90" i="32"/>
  <c r="BD91" i="32"/>
  <c r="BD92" i="32"/>
  <c r="BD93" i="32"/>
  <c r="BD94" i="32"/>
  <c r="BD95" i="32"/>
  <c r="BD96" i="32"/>
  <c r="BD97" i="32"/>
  <c r="BD98" i="32"/>
  <c r="BD99" i="32"/>
  <c r="BD100" i="32"/>
  <c r="BD101" i="32"/>
  <c r="BD102" i="32"/>
  <c r="BD103" i="32"/>
  <c r="BD104" i="32"/>
  <c r="BD105" i="32"/>
  <c r="BD106" i="32"/>
  <c r="BD107" i="32"/>
  <c r="BD108" i="32"/>
  <c r="BD109" i="32"/>
  <c r="BD110" i="32"/>
  <c r="BD111" i="32"/>
  <c r="BD112" i="32"/>
  <c r="BD113" i="32"/>
  <c r="BD114" i="32"/>
  <c r="BD115" i="32"/>
  <c r="BD116" i="32"/>
  <c r="BD117" i="32"/>
  <c r="BD118" i="32"/>
  <c r="BD119" i="32"/>
  <c r="BD120" i="32"/>
  <c r="BD121" i="32"/>
  <c r="BD122" i="32"/>
  <c r="BD123" i="32"/>
  <c r="BD124" i="32"/>
  <c r="BD125" i="32"/>
  <c r="BD126" i="32"/>
  <c r="BD127" i="32"/>
  <c r="BD128" i="32"/>
  <c r="BD129" i="32"/>
  <c r="BD130" i="32"/>
  <c r="BD131" i="32"/>
  <c r="BD132" i="32"/>
  <c r="BD133" i="32"/>
  <c r="BD134" i="32"/>
  <c r="BD135" i="32"/>
  <c r="BD136" i="32"/>
  <c r="BD137" i="32"/>
  <c r="BD138" i="32"/>
  <c r="BD139" i="32"/>
  <c r="BD140" i="32"/>
  <c r="BD141" i="32"/>
  <c r="BD142" i="32"/>
  <c r="BD143" i="32"/>
  <c r="BD144" i="32"/>
  <c r="BD145" i="32"/>
  <c r="BD146" i="32"/>
  <c r="BD147" i="32"/>
  <c r="BD148" i="32"/>
  <c r="BD149" i="32"/>
  <c r="BD150" i="32"/>
  <c r="BD151" i="32"/>
  <c r="BD152" i="32"/>
  <c r="BD153" i="32"/>
  <c r="BD154" i="32"/>
  <c r="BD155" i="32"/>
  <c r="BD156" i="32"/>
  <c r="BE35" i="32"/>
  <c r="BE36" i="32"/>
  <c r="BE37" i="32"/>
  <c r="BE38" i="32"/>
  <c r="BE39" i="32"/>
  <c r="BE40" i="32"/>
  <c r="BE41" i="32"/>
  <c r="BE42" i="32"/>
  <c r="BE43" i="32"/>
  <c r="BE44" i="32"/>
  <c r="BE45" i="32"/>
  <c r="BE46" i="32"/>
  <c r="BE47" i="32"/>
  <c r="BE48" i="32"/>
  <c r="BE49" i="32"/>
  <c r="BE50" i="32"/>
  <c r="BE51" i="32"/>
  <c r="BE52" i="32"/>
  <c r="BE53" i="32"/>
  <c r="BE54" i="32"/>
  <c r="BE55" i="32"/>
  <c r="BE56" i="32"/>
  <c r="BE57" i="32"/>
  <c r="BE58" i="32"/>
  <c r="BE59" i="32"/>
  <c r="BE60" i="32"/>
  <c r="BE61" i="32"/>
  <c r="BE62" i="32"/>
  <c r="BE63" i="32"/>
  <c r="BE64" i="32"/>
  <c r="BE65" i="32"/>
  <c r="BE66" i="32"/>
  <c r="BE67" i="32"/>
  <c r="BE68" i="32"/>
  <c r="BE69" i="32"/>
  <c r="BE70" i="32"/>
  <c r="BE71" i="32"/>
  <c r="BE72" i="32"/>
  <c r="BE73" i="32"/>
  <c r="BE74" i="32"/>
  <c r="BE75" i="32"/>
  <c r="BE76" i="32"/>
  <c r="BE77" i="32"/>
  <c r="BE78" i="32"/>
  <c r="BE79" i="32"/>
  <c r="BE80" i="32"/>
  <c r="BE81" i="32"/>
  <c r="BE82" i="32"/>
  <c r="BE83" i="32"/>
  <c r="BE84" i="32"/>
  <c r="BE85" i="32"/>
  <c r="BE86" i="32"/>
  <c r="BE87" i="32"/>
  <c r="BE88" i="32"/>
  <c r="BE89" i="32"/>
  <c r="BE90" i="32"/>
  <c r="BE91" i="32"/>
  <c r="BE92" i="32"/>
  <c r="BE93" i="32"/>
  <c r="BE94" i="32"/>
  <c r="BE95" i="32"/>
  <c r="BE96" i="32"/>
  <c r="BE97" i="32"/>
  <c r="BE98" i="32"/>
  <c r="BE99" i="32"/>
  <c r="BE100" i="32"/>
  <c r="BE101" i="32"/>
  <c r="BE102" i="32"/>
  <c r="BE103" i="32"/>
  <c r="BE104" i="32"/>
  <c r="BE105" i="32"/>
  <c r="BE106" i="32"/>
  <c r="BE107" i="32"/>
  <c r="BE108" i="32"/>
  <c r="BE109" i="32"/>
  <c r="BE110" i="32"/>
  <c r="BE111" i="32"/>
  <c r="BE112" i="32"/>
  <c r="BE113" i="32"/>
  <c r="BE114" i="32"/>
  <c r="BE115" i="32"/>
  <c r="BE116" i="32"/>
  <c r="BE117" i="32"/>
  <c r="BE118" i="32"/>
  <c r="BE119" i="32"/>
  <c r="BE120" i="32"/>
  <c r="BE121" i="32"/>
  <c r="BE122" i="32"/>
  <c r="BE123" i="32"/>
  <c r="BE124" i="32"/>
  <c r="BE125" i="32"/>
  <c r="BE126" i="32"/>
  <c r="BE127" i="32"/>
  <c r="BE128" i="32"/>
  <c r="BE129" i="32"/>
  <c r="BE130" i="32"/>
  <c r="BE131" i="32"/>
  <c r="BE132" i="32"/>
  <c r="BE133" i="32"/>
  <c r="BE134" i="32"/>
  <c r="BE135" i="32"/>
  <c r="BE136" i="32"/>
  <c r="BE137" i="32"/>
  <c r="BE138" i="32"/>
  <c r="BE139" i="32"/>
  <c r="BE140" i="32"/>
  <c r="BE141" i="32"/>
  <c r="BE142" i="32"/>
  <c r="BE143" i="32"/>
  <c r="BE144" i="32"/>
  <c r="BE145" i="32"/>
  <c r="BE146" i="32"/>
  <c r="BE147" i="32"/>
  <c r="BE148" i="32"/>
  <c r="BE149" i="32"/>
  <c r="BE150" i="32"/>
  <c r="BE151" i="32"/>
  <c r="BE152" i="32"/>
  <c r="BE153" i="32"/>
  <c r="BE154" i="32"/>
  <c r="BE155" i="32"/>
  <c r="BE156" i="32"/>
  <c r="BF35" i="32"/>
  <c r="BF36" i="32"/>
  <c r="BF37" i="32"/>
  <c r="BF38" i="32"/>
  <c r="BF39" i="32"/>
  <c r="BF40" i="32"/>
  <c r="BF41" i="32"/>
  <c r="BF42" i="32"/>
  <c r="BF43" i="32"/>
  <c r="BF44" i="32"/>
  <c r="BF45" i="32"/>
  <c r="BF46" i="32"/>
  <c r="BF47" i="32"/>
  <c r="BF48" i="32"/>
  <c r="BF49" i="32"/>
  <c r="BF50" i="32"/>
  <c r="BF51" i="32"/>
  <c r="BF52" i="32"/>
  <c r="BF53" i="32"/>
  <c r="BF54" i="32"/>
  <c r="BF55" i="32"/>
  <c r="BF56" i="32"/>
  <c r="BF57" i="32"/>
  <c r="BF58" i="32"/>
  <c r="BF59" i="32"/>
  <c r="BF60" i="32"/>
  <c r="BF61" i="32"/>
  <c r="BF62" i="32"/>
  <c r="BF63" i="32"/>
  <c r="BF64" i="32"/>
  <c r="BF65" i="32"/>
  <c r="BF66" i="32"/>
  <c r="BF67" i="32"/>
  <c r="BF68" i="32"/>
  <c r="BF69" i="32"/>
  <c r="BF70" i="32"/>
  <c r="BF71" i="32"/>
  <c r="BF72" i="32"/>
  <c r="BF73" i="32"/>
  <c r="BF74" i="32"/>
  <c r="BF75" i="32"/>
  <c r="BF76" i="32"/>
  <c r="BF77" i="32"/>
  <c r="BF78" i="32"/>
  <c r="BF79" i="32"/>
  <c r="BF80" i="32"/>
  <c r="BF81" i="32"/>
  <c r="BF82" i="32"/>
  <c r="BF83" i="32"/>
  <c r="BF84" i="32"/>
  <c r="BF85" i="32"/>
  <c r="BF86" i="32"/>
  <c r="BF87" i="32"/>
  <c r="BF88" i="32"/>
  <c r="BF89" i="32"/>
  <c r="BF90" i="32"/>
  <c r="BF91" i="32"/>
  <c r="BF92" i="32"/>
  <c r="BF93" i="32"/>
  <c r="BF94" i="32"/>
  <c r="BF95" i="32"/>
  <c r="BF96" i="32"/>
  <c r="BF97" i="32"/>
  <c r="BF98" i="32"/>
  <c r="BF99" i="32"/>
  <c r="BF100" i="32"/>
  <c r="BF101" i="32"/>
  <c r="BF102" i="32"/>
  <c r="BF103" i="32"/>
  <c r="BF104" i="32"/>
  <c r="BF105" i="32"/>
  <c r="BF106" i="32"/>
  <c r="BF107" i="32"/>
  <c r="BF108" i="32"/>
  <c r="BF109" i="32"/>
  <c r="BF110" i="32"/>
  <c r="BF111" i="32"/>
  <c r="BF112" i="32"/>
  <c r="BF113" i="32"/>
  <c r="BF114" i="32"/>
  <c r="BF115" i="32"/>
  <c r="BF116" i="32"/>
  <c r="BF117" i="32"/>
  <c r="BF118" i="32"/>
  <c r="BF119" i="32"/>
  <c r="BF120" i="32"/>
  <c r="BF121" i="32"/>
  <c r="BF122" i="32"/>
  <c r="BF123" i="32"/>
  <c r="BF124" i="32"/>
  <c r="BF125" i="32"/>
  <c r="BF126" i="32"/>
  <c r="BF127" i="32"/>
  <c r="BF128" i="32"/>
  <c r="BF129" i="32"/>
  <c r="BF130" i="32"/>
  <c r="BF131" i="32"/>
  <c r="BF132" i="32"/>
  <c r="BF133" i="32"/>
  <c r="BF134" i="32"/>
  <c r="BF135" i="32"/>
  <c r="BF136" i="32"/>
  <c r="BF137" i="32"/>
  <c r="BF138" i="32"/>
  <c r="BF139" i="32"/>
  <c r="BF140" i="32"/>
  <c r="BF141" i="32"/>
  <c r="BF142" i="32"/>
  <c r="BF143" i="32"/>
  <c r="BF144" i="32"/>
  <c r="BF145" i="32"/>
  <c r="BF146" i="32"/>
  <c r="BF147" i="32"/>
  <c r="BF148" i="32"/>
  <c r="BF149" i="32"/>
  <c r="BF150" i="32"/>
  <c r="BF151" i="32"/>
  <c r="BF152" i="32"/>
  <c r="BF153" i="32"/>
  <c r="BF154" i="32"/>
  <c r="BF155" i="32"/>
  <c r="BF156" i="32"/>
  <c r="BG35" i="32"/>
  <c r="BG36" i="32"/>
  <c r="BG37" i="32"/>
  <c r="BG38" i="32"/>
  <c r="BG39" i="32"/>
  <c r="BG40" i="32"/>
  <c r="BG41" i="32"/>
  <c r="BG42" i="32"/>
  <c r="BG43" i="32"/>
  <c r="BG44" i="32"/>
  <c r="BG45" i="32"/>
  <c r="BG46" i="32"/>
  <c r="BG47" i="32"/>
  <c r="BG48" i="32"/>
  <c r="BG49" i="32"/>
  <c r="BG50" i="32"/>
  <c r="BG51" i="32"/>
  <c r="BG52" i="32"/>
  <c r="BG53" i="32"/>
  <c r="BG54" i="32"/>
  <c r="BG55" i="32"/>
  <c r="BG56" i="32"/>
  <c r="BG57" i="32"/>
  <c r="BG58" i="32"/>
  <c r="BG59" i="32"/>
  <c r="BG60" i="32"/>
  <c r="BG61" i="32"/>
  <c r="BG62" i="32"/>
  <c r="BG63" i="32"/>
  <c r="BG64" i="32"/>
  <c r="BG65" i="32"/>
  <c r="BG66" i="32"/>
  <c r="BG67" i="32"/>
  <c r="BG68" i="32"/>
  <c r="BG69" i="32"/>
  <c r="BG70" i="32"/>
  <c r="BG71" i="32"/>
  <c r="BG72" i="32"/>
  <c r="BG73" i="32"/>
  <c r="BG74" i="32"/>
  <c r="BG75" i="32"/>
  <c r="BG76" i="32"/>
  <c r="BG77" i="32"/>
  <c r="BG78" i="32"/>
  <c r="BG79" i="32"/>
  <c r="BG80" i="32"/>
  <c r="BG81" i="32"/>
  <c r="BG82" i="32"/>
  <c r="BG83" i="32"/>
  <c r="BG84" i="32"/>
  <c r="BG85" i="32"/>
  <c r="BG86" i="32"/>
  <c r="BG87" i="32"/>
  <c r="BG88" i="32"/>
  <c r="BG89" i="32"/>
  <c r="BG90" i="32"/>
  <c r="BG91" i="32"/>
  <c r="BG92" i="32"/>
  <c r="BG93" i="32"/>
  <c r="BG94" i="32"/>
  <c r="BG95" i="32"/>
  <c r="BG96" i="32"/>
  <c r="BG97" i="32"/>
  <c r="BG98" i="32"/>
  <c r="BG99" i="32"/>
  <c r="BG100" i="32"/>
  <c r="BG101" i="32"/>
  <c r="BG102" i="32"/>
  <c r="BG103" i="32"/>
  <c r="BG104" i="32"/>
  <c r="BG105" i="32"/>
  <c r="BG106" i="32"/>
  <c r="BG107" i="32"/>
  <c r="BG108" i="32"/>
  <c r="BG109" i="32"/>
  <c r="BG110" i="32"/>
  <c r="BG111" i="32"/>
  <c r="BG112" i="32"/>
  <c r="BG113" i="32"/>
  <c r="BG114" i="32"/>
  <c r="BG115" i="32"/>
  <c r="BG116" i="32"/>
  <c r="BG117" i="32"/>
  <c r="BG118" i="32"/>
  <c r="BG119" i="32"/>
  <c r="BG120" i="32"/>
  <c r="BG121" i="32"/>
  <c r="BG122" i="32"/>
  <c r="BG123" i="32"/>
  <c r="BG124" i="32"/>
  <c r="BG125" i="32"/>
  <c r="BG126" i="32"/>
  <c r="BG127" i="32"/>
  <c r="BG128" i="32"/>
  <c r="BG129" i="32"/>
  <c r="BG130" i="32"/>
  <c r="BG131" i="32"/>
  <c r="BG132" i="32"/>
  <c r="BG133" i="32"/>
  <c r="BG134" i="32"/>
  <c r="BG135" i="32"/>
  <c r="BG136" i="32"/>
  <c r="BG137" i="32"/>
  <c r="BG138" i="32"/>
  <c r="BG139" i="32"/>
  <c r="BG140" i="32"/>
  <c r="BG141" i="32"/>
  <c r="BG142" i="32"/>
  <c r="BG143" i="32"/>
  <c r="BG144" i="32"/>
  <c r="BG145" i="32"/>
  <c r="BG146" i="32"/>
  <c r="BG147" i="32"/>
  <c r="BG148" i="32"/>
  <c r="BG149" i="32"/>
  <c r="BG150" i="32"/>
  <c r="BG151" i="32"/>
  <c r="BG152" i="32"/>
  <c r="BG153" i="32"/>
  <c r="BG154" i="32"/>
  <c r="BG155" i="32"/>
  <c r="BG156" i="32"/>
  <c r="BH35" i="32"/>
  <c r="BH36" i="32"/>
  <c r="BH37" i="32"/>
  <c r="BH38" i="32"/>
  <c r="BH39" i="32"/>
  <c r="BH40" i="32"/>
  <c r="BH41" i="32"/>
  <c r="BH42" i="32"/>
  <c r="BH43" i="32"/>
  <c r="BH44" i="32"/>
  <c r="BH45" i="32"/>
  <c r="BH46" i="32"/>
  <c r="BH47" i="32"/>
  <c r="BH48" i="32"/>
  <c r="BH49" i="32"/>
  <c r="BH50" i="32"/>
  <c r="BH51" i="32"/>
  <c r="BH52" i="32"/>
  <c r="BH53" i="32"/>
  <c r="BH54" i="32"/>
  <c r="BH55" i="32"/>
  <c r="BH56" i="32"/>
  <c r="BH57" i="32"/>
  <c r="BH58" i="32"/>
  <c r="BH59" i="32"/>
  <c r="BH60" i="32"/>
  <c r="BH61" i="32"/>
  <c r="BH62" i="32"/>
  <c r="BH63" i="32"/>
  <c r="BH64" i="32"/>
  <c r="BH65" i="32"/>
  <c r="BH66" i="32"/>
  <c r="BH67" i="32"/>
  <c r="BH68" i="32"/>
  <c r="BH69" i="32"/>
  <c r="BH70" i="32"/>
  <c r="BH71" i="32"/>
  <c r="BH72" i="32"/>
  <c r="BH73" i="32"/>
  <c r="BH74" i="32"/>
  <c r="BH75" i="32"/>
  <c r="BH76" i="32"/>
  <c r="BH77" i="32"/>
  <c r="BH78" i="32"/>
  <c r="BH79" i="32"/>
  <c r="BH80" i="32"/>
  <c r="BH81" i="32"/>
  <c r="BH82" i="32"/>
  <c r="BH83" i="32"/>
  <c r="BH84" i="32"/>
  <c r="BH85" i="32"/>
  <c r="BH86" i="32"/>
  <c r="BH87" i="32"/>
  <c r="BH88" i="32"/>
  <c r="BH89" i="32"/>
  <c r="BH90" i="32"/>
  <c r="BH91" i="32"/>
  <c r="BH92" i="32"/>
  <c r="BH93" i="32"/>
  <c r="BH94" i="32"/>
  <c r="BH95" i="32"/>
  <c r="BH96" i="32"/>
  <c r="BH97" i="32"/>
  <c r="BH98" i="32"/>
  <c r="BH99" i="32"/>
  <c r="BH100" i="32"/>
  <c r="BH101" i="32"/>
  <c r="BH102" i="32"/>
  <c r="BH103" i="32"/>
  <c r="BH104" i="32"/>
  <c r="BH105" i="32"/>
  <c r="BH106" i="32"/>
  <c r="BH107" i="32"/>
  <c r="BH108" i="32"/>
  <c r="BH109" i="32"/>
  <c r="BH110" i="32"/>
  <c r="BH111" i="32"/>
  <c r="BH112" i="32"/>
  <c r="BH113" i="32"/>
  <c r="BH114" i="32"/>
  <c r="BH115" i="32"/>
  <c r="BH116" i="32"/>
  <c r="BH117" i="32"/>
  <c r="BH118" i="32"/>
  <c r="BH119" i="32"/>
  <c r="BH120" i="32"/>
  <c r="BH121" i="32"/>
  <c r="BH122" i="32"/>
  <c r="BH123" i="32"/>
  <c r="BH124" i="32"/>
  <c r="BH125" i="32"/>
  <c r="BH126" i="32"/>
  <c r="BH127" i="32"/>
  <c r="BH128" i="32"/>
  <c r="BH129" i="32"/>
  <c r="BH130" i="32"/>
  <c r="BH131" i="32"/>
  <c r="BH132" i="32"/>
  <c r="BH133" i="32"/>
  <c r="BH134" i="32"/>
  <c r="BH135" i="32"/>
  <c r="BH136" i="32"/>
  <c r="BH137" i="32"/>
  <c r="BH138" i="32"/>
  <c r="BH139" i="32"/>
  <c r="BH140" i="32"/>
  <c r="BH141" i="32"/>
  <c r="BH142" i="32"/>
  <c r="BH143" i="32"/>
  <c r="BH144" i="32"/>
  <c r="BH145" i="32"/>
  <c r="BH146" i="32"/>
  <c r="BH147" i="32"/>
  <c r="BH148" i="32"/>
  <c r="BH149" i="32"/>
  <c r="BH150" i="32"/>
  <c r="BH151" i="32"/>
  <c r="BH152" i="32"/>
  <c r="BH153" i="32"/>
  <c r="BH154" i="32"/>
  <c r="BH155" i="32"/>
  <c r="BH156" i="32"/>
  <c r="BI35" i="32"/>
  <c r="BI36" i="32"/>
  <c r="BI37" i="32"/>
  <c r="BI38" i="32"/>
  <c r="BI39" i="32"/>
  <c r="BI40" i="32"/>
  <c r="BI41" i="32"/>
  <c r="BI42" i="32"/>
  <c r="BI43" i="32"/>
  <c r="BI44" i="32"/>
  <c r="BI45" i="32"/>
  <c r="BI46" i="32"/>
  <c r="BI47" i="32"/>
  <c r="BI48" i="32"/>
  <c r="BI49" i="32"/>
  <c r="BI50" i="32"/>
  <c r="BI51" i="32"/>
  <c r="BI52" i="32"/>
  <c r="BI53" i="32"/>
  <c r="BI54" i="32"/>
  <c r="BI55" i="32"/>
  <c r="BI56" i="32"/>
  <c r="BI57" i="32"/>
  <c r="BI58" i="32"/>
  <c r="BI59" i="32"/>
  <c r="BI60" i="32"/>
  <c r="BI61" i="32"/>
  <c r="BI62" i="32"/>
  <c r="BI63" i="32"/>
  <c r="BI64" i="32"/>
  <c r="BI65" i="32"/>
  <c r="BI66" i="32"/>
  <c r="BI67" i="32"/>
  <c r="BI68" i="32"/>
  <c r="BI69" i="32"/>
  <c r="BI70" i="32"/>
  <c r="BI71" i="32"/>
  <c r="BI72" i="32"/>
  <c r="BI73" i="32"/>
  <c r="BI74" i="32"/>
  <c r="BI75" i="32"/>
  <c r="BI76" i="32"/>
  <c r="BI77" i="32"/>
  <c r="BI78" i="32"/>
  <c r="BI79" i="32"/>
  <c r="BI80" i="32"/>
  <c r="BI81" i="32"/>
  <c r="BI82" i="32"/>
  <c r="BI83" i="32"/>
  <c r="BI84" i="32"/>
  <c r="BI85" i="32"/>
  <c r="BI86" i="32"/>
  <c r="BI87" i="32"/>
  <c r="BI88" i="32"/>
  <c r="BI89" i="32"/>
  <c r="BI90" i="32"/>
  <c r="BI91" i="32"/>
  <c r="BI92" i="32"/>
  <c r="BI93" i="32"/>
  <c r="BI94" i="32"/>
  <c r="BI95" i="32"/>
  <c r="BI96" i="32"/>
  <c r="BI97" i="32"/>
  <c r="BI98" i="32"/>
  <c r="BI99" i="32"/>
  <c r="BI100" i="32"/>
  <c r="BI101" i="32"/>
  <c r="BI102" i="32"/>
  <c r="BI103" i="32"/>
  <c r="BI104" i="32"/>
  <c r="BI105" i="32"/>
  <c r="BI106" i="32"/>
  <c r="BI107" i="32"/>
  <c r="BI108" i="32"/>
  <c r="BI109" i="32"/>
  <c r="BI110" i="32"/>
  <c r="BI111" i="32"/>
  <c r="BI112" i="32"/>
  <c r="BI113" i="32"/>
  <c r="BI114" i="32"/>
  <c r="BI115" i="32"/>
  <c r="BI116" i="32"/>
  <c r="BI117" i="32"/>
  <c r="BI118" i="32"/>
  <c r="BI119" i="32"/>
  <c r="BI120" i="32"/>
  <c r="BI121" i="32"/>
  <c r="BI122" i="32"/>
  <c r="BI123" i="32"/>
  <c r="BI124" i="32"/>
  <c r="BI125" i="32"/>
  <c r="BI126" i="32"/>
  <c r="BI127" i="32"/>
  <c r="BI128" i="32"/>
  <c r="BI129" i="32"/>
  <c r="BI130" i="32"/>
  <c r="BI131" i="32"/>
  <c r="BI132" i="32"/>
  <c r="BI133" i="32"/>
  <c r="BI134" i="32"/>
  <c r="BI135" i="32"/>
  <c r="BI136" i="32"/>
  <c r="BI137" i="32"/>
  <c r="BI138" i="32"/>
  <c r="BI139" i="32"/>
  <c r="BI140" i="32"/>
  <c r="BI141" i="32"/>
  <c r="BI142" i="32"/>
  <c r="BI143" i="32"/>
  <c r="BI144" i="32"/>
  <c r="BI145" i="32"/>
  <c r="BI146" i="32"/>
  <c r="BI147" i="32"/>
  <c r="BI148" i="32"/>
  <c r="BI149" i="32"/>
  <c r="BI150" i="32"/>
  <c r="BI151" i="32"/>
  <c r="BI152" i="32"/>
  <c r="BI153" i="32"/>
  <c r="BI154" i="32"/>
  <c r="BI155" i="32"/>
  <c r="BI156" i="32"/>
  <c r="BJ35" i="32"/>
  <c r="BJ36" i="32"/>
  <c r="BJ37" i="32"/>
  <c r="BJ38" i="32"/>
  <c r="BJ39" i="32"/>
  <c r="BJ40" i="32"/>
  <c r="BJ41" i="32"/>
  <c r="BJ42" i="32"/>
  <c r="BJ43" i="32"/>
  <c r="BJ44" i="32"/>
  <c r="BJ45" i="32"/>
  <c r="BJ46" i="32"/>
  <c r="BJ47" i="32"/>
  <c r="BJ48" i="32"/>
  <c r="BJ49" i="32"/>
  <c r="BJ50" i="32"/>
  <c r="BJ51" i="32"/>
  <c r="BJ52" i="32"/>
  <c r="BJ53" i="32"/>
  <c r="BJ54" i="32"/>
  <c r="BJ55" i="32"/>
  <c r="BJ56" i="32"/>
  <c r="BJ57" i="32"/>
  <c r="BJ58" i="32"/>
  <c r="BJ59" i="32"/>
  <c r="BJ60" i="32"/>
  <c r="BJ61" i="32"/>
  <c r="BJ62" i="32"/>
  <c r="BJ63" i="32"/>
  <c r="BJ64" i="32"/>
  <c r="BJ65" i="32"/>
  <c r="BJ66" i="32"/>
  <c r="BJ67" i="32"/>
  <c r="BJ68" i="32"/>
  <c r="BJ69" i="32"/>
  <c r="BJ70" i="32"/>
  <c r="BJ71" i="32"/>
  <c r="BJ72" i="32"/>
  <c r="BJ73" i="32"/>
  <c r="BJ74" i="32"/>
  <c r="BJ75" i="32"/>
  <c r="BJ76" i="32"/>
  <c r="BJ77" i="32"/>
  <c r="BJ78" i="32"/>
  <c r="BJ79" i="32"/>
  <c r="BJ80" i="32"/>
  <c r="BJ81" i="32"/>
  <c r="BJ82" i="32"/>
  <c r="BJ83" i="32"/>
  <c r="BJ84" i="32"/>
  <c r="BJ85" i="32"/>
  <c r="BJ86" i="32"/>
  <c r="BJ87" i="32"/>
  <c r="BJ88" i="32"/>
  <c r="BJ89" i="32"/>
  <c r="BJ90" i="32"/>
  <c r="BJ91" i="32"/>
  <c r="BJ92" i="32"/>
  <c r="BJ93" i="32"/>
  <c r="BJ94" i="32"/>
  <c r="BJ95" i="32"/>
  <c r="BJ96" i="32"/>
  <c r="BJ97" i="32"/>
  <c r="BJ98" i="32"/>
  <c r="BJ99" i="32"/>
  <c r="BJ100" i="32"/>
  <c r="BJ101" i="32"/>
  <c r="BJ102" i="32"/>
  <c r="BJ103" i="32"/>
  <c r="BJ104" i="32"/>
  <c r="BJ105" i="32"/>
  <c r="BJ106" i="32"/>
  <c r="BJ107" i="32"/>
  <c r="BJ108" i="32"/>
  <c r="BJ109" i="32"/>
  <c r="BJ110" i="32"/>
  <c r="BJ111" i="32"/>
  <c r="BJ112" i="32"/>
  <c r="BJ113" i="32"/>
  <c r="BJ114" i="32"/>
  <c r="BJ115" i="32"/>
  <c r="BJ116" i="32"/>
  <c r="BJ117" i="32"/>
  <c r="BJ118" i="32"/>
  <c r="BJ119" i="32"/>
  <c r="BJ120" i="32"/>
  <c r="BJ121" i="32"/>
  <c r="BJ122" i="32"/>
  <c r="BJ123" i="32"/>
  <c r="BJ124" i="32"/>
  <c r="BJ125" i="32"/>
  <c r="BJ126" i="32"/>
  <c r="BJ127" i="32"/>
  <c r="BJ128" i="32"/>
  <c r="BJ129" i="32"/>
  <c r="BJ130" i="32"/>
  <c r="BJ131" i="32"/>
  <c r="BJ132" i="32"/>
  <c r="BJ133" i="32"/>
  <c r="BJ134" i="32"/>
  <c r="BJ135" i="32"/>
  <c r="BJ136" i="32"/>
  <c r="BJ137" i="32"/>
  <c r="BJ138" i="32"/>
  <c r="BJ139" i="32"/>
  <c r="BJ140" i="32"/>
  <c r="BJ141" i="32"/>
  <c r="BJ142" i="32"/>
  <c r="BJ143" i="32"/>
  <c r="BJ144" i="32"/>
  <c r="BJ145" i="32"/>
  <c r="BJ146" i="32"/>
  <c r="BJ147" i="32"/>
  <c r="BJ148" i="32"/>
  <c r="BJ149" i="32"/>
  <c r="BJ150" i="32"/>
  <c r="BJ151" i="32"/>
  <c r="BJ152" i="32"/>
  <c r="BJ153" i="32"/>
  <c r="BJ154" i="32"/>
  <c r="BJ155" i="32"/>
  <c r="BJ156" i="32"/>
  <c r="BK35" i="32"/>
  <c r="BK36" i="32"/>
  <c r="BK37" i="32"/>
  <c r="BK38" i="32"/>
  <c r="BK39" i="32"/>
  <c r="BK40" i="32"/>
  <c r="BK41" i="32"/>
  <c r="BK42" i="32"/>
  <c r="BK43" i="32"/>
  <c r="BK44" i="32"/>
  <c r="BK45" i="32"/>
  <c r="BK46" i="32"/>
  <c r="BK47" i="32"/>
  <c r="BK48" i="32"/>
  <c r="BK49" i="32"/>
  <c r="BK50" i="32"/>
  <c r="BK51" i="32"/>
  <c r="BK52" i="32"/>
  <c r="BK53" i="32"/>
  <c r="BK54" i="32"/>
  <c r="BK55" i="32"/>
  <c r="BK56" i="32"/>
  <c r="BK57" i="32"/>
  <c r="BK58" i="32"/>
  <c r="BK59" i="32"/>
  <c r="BK60" i="32"/>
  <c r="BK61" i="32"/>
  <c r="BK62" i="32"/>
  <c r="BK63" i="32"/>
  <c r="BK64" i="32"/>
  <c r="BK65" i="32"/>
  <c r="BK66" i="32"/>
  <c r="BK67" i="32"/>
  <c r="BK68" i="32"/>
  <c r="BK69" i="32"/>
  <c r="BK70" i="32"/>
  <c r="BK71" i="32"/>
  <c r="BK72" i="32"/>
  <c r="BK73" i="32"/>
  <c r="BK74" i="32"/>
  <c r="BK75" i="32"/>
  <c r="BK76" i="32"/>
  <c r="BK77" i="32"/>
  <c r="BK78" i="32"/>
  <c r="BK79" i="32"/>
  <c r="BK80" i="32"/>
  <c r="BK81" i="32"/>
  <c r="BK82" i="32"/>
  <c r="BK83" i="32"/>
  <c r="BK84" i="32"/>
  <c r="BK85" i="32"/>
  <c r="BK86" i="32"/>
  <c r="BK87" i="32"/>
  <c r="BK88" i="32"/>
  <c r="BK89" i="32"/>
  <c r="BK90" i="32"/>
  <c r="BK91" i="32"/>
  <c r="BK92" i="32"/>
  <c r="BK93" i="32"/>
  <c r="BK94" i="32"/>
  <c r="BK95" i="32"/>
  <c r="BK96" i="32"/>
  <c r="BK97" i="32"/>
  <c r="BK98" i="32"/>
  <c r="BK99" i="32"/>
  <c r="BK100" i="32"/>
  <c r="BK101" i="32"/>
  <c r="BK102" i="32"/>
  <c r="BK103" i="32"/>
  <c r="BK104" i="32"/>
  <c r="BK105" i="32"/>
  <c r="BK106" i="32"/>
  <c r="BK107" i="32"/>
  <c r="BK108" i="32"/>
  <c r="BK109" i="32"/>
  <c r="BK110" i="32"/>
  <c r="BK111" i="32"/>
  <c r="BK112" i="32"/>
  <c r="BK113" i="32"/>
  <c r="BK114" i="32"/>
  <c r="BK115" i="32"/>
  <c r="BK116" i="32"/>
  <c r="BK117" i="32"/>
  <c r="BK118" i="32"/>
  <c r="BK119" i="32"/>
  <c r="BK120" i="32"/>
  <c r="BK121" i="32"/>
  <c r="BK122" i="32"/>
  <c r="BK123" i="32"/>
  <c r="BK124" i="32"/>
  <c r="BK125" i="32"/>
  <c r="BK126" i="32"/>
  <c r="BK127" i="32"/>
  <c r="BK128" i="32"/>
  <c r="BK129" i="32"/>
  <c r="BK130" i="32"/>
  <c r="BK131" i="32"/>
  <c r="BK132" i="32"/>
  <c r="BK133" i="32"/>
  <c r="BK134" i="32"/>
  <c r="BK135" i="32"/>
  <c r="BK136" i="32"/>
  <c r="BK137" i="32"/>
  <c r="BK138" i="32"/>
  <c r="BK139" i="32"/>
  <c r="BK140" i="32"/>
  <c r="BK141" i="32"/>
  <c r="BK142" i="32"/>
  <c r="BK143" i="32"/>
  <c r="BK144" i="32"/>
  <c r="BK145" i="32"/>
  <c r="BK146" i="32"/>
  <c r="BK147" i="32"/>
  <c r="BK148" i="32"/>
  <c r="BK149" i="32"/>
  <c r="BK150" i="32"/>
  <c r="BK151" i="32"/>
  <c r="BK152" i="32"/>
  <c r="BK153" i="32"/>
  <c r="BK154" i="32"/>
  <c r="BK155" i="32"/>
  <c r="BK156" i="32"/>
  <c r="BL35" i="32"/>
  <c r="BL36" i="32"/>
  <c r="BL37" i="32"/>
  <c r="BL38" i="32"/>
  <c r="BL39" i="32"/>
  <c r="BL40" i="32"/>
  <c r="BL41" i="32"/>
  <c r="BL42" i="32"/>
  <c r="BL43" i="32"/>
  <c r="BL44" i="32"/>
  <c r="BL45" i="32"/>
  <c r="BL46" i="32"/>
  <c r="BL47" i="32"/>
  <c r="BL48" i="32"/>
  <c r="BL49" i="32"/>
  <c r="BL50" i="32"/>
  <c r="BL51" i="32"/>
  <c r="BL52" i="32"/>
  <c r="BL53" i="32"/>
  <c r="BL54" i="32"/>
  <c r="BL55" i="32"/>
  <c r="BL56" i="32"/>
  <c r="BL57" i="32"/>
  <c r="BL58" i="32"/>
  <c r="BL59" i="32"/>
  <c r="BL60" i="32"/>
  <c r="BL61" i="32"/>
  <c r="BL62" i="32"/>
  <c r="BL63" i="32"/>
  <c r="BL64" i="32"/>
  <c r="BL65" i="32"/>
  <c r="BL66" i="32"/>
  <c r="BL67" i="32"/>
  <c r="BL68" i="32"/>
  <c r="BL69" i="32"/>
  <c r="BL70" i="32"/>
  <c r="BL71" i="32"/>
  <c r="BL72" i="32"/>
  <c r="BL73" i="32"/>
  <c r="BL74" i="32"/>
  <c r="BL75" i="32"/>
  <c r="BL76" i="32"/>
  <c r="BL77" i="32"/>
  <c r="BL78" i="32"/>
  <c r="BL79" i="32"/>
  <c r="BL80" i="32"/>
  <c r="BL81" i="32"/>
  <c r="BL82" i="32"/>
  <c r="BL83" i="32"/>
  <c r="BL84" i="32"/>
  <c r="BL85" i="32"/>
  <c r="BL86" i="32"/>
  <c r="BL87" i="32"/>
  <c r="BL88" i="32"/>
  <c r="BL89" i="32"/>
  <c r="BL90" i="32"/>
  <c r="BL91" i="32"/>
  <c r="BL92" i="32"/>
  <c r="BL93" i="32"/>
  <c r="BL94" i="32"/>
  <c r="BL95" i="32"/>
  <c r="BL96" i="32"/>
  <c r="BL97" i="32"/>
  <c r="BL98" i="32"/>
  <c r="BL99" i="32"/>
  <c r="BL100" i="32"/>
  <c r="BL101" i="32"/>
  <c r="BL102" i="32"/>
  <c r="BL103" i="32"/>
  <c r="BL104" i="32"/>
  <c r="BL105" i="32"/>
  <c r="BL106" i="32"/>
  <c r="BL107" i="32"/>
  <c r="BL108" i="32"/>
  <c r="BL109" i="32"/>
  <c r="BL110" i="32"/>
  <c r="BL111" i="32"/>
  <c r="BL112" i="32"/>
  <c r="BL113" i="32"/>
  <c r="BL114" i="32"/>
  <c r="BL115" i="32"/>
  <c r="BL116" i="32"/>
  <c r="BL117" i="32"/>
  <c r="BL118" i="32"/>
  <c r="BL119" i="32"/>
  <c r="BL120" i="32"/>
  <c r="BL121" i="32"/>
  <c r="BL122" i="32"/>
  <c r="BL123" i="32"/>
  <c r="BL124" i="32"/>
  <c r="BL125" i="32"/>
  <c r="BL126" i="32"/>
  <c r="BL127" i="32"/>
  <c r="BL128" i="32"/>
  <c r="BL129" i="32"/>
  <c r="BL130" i="32"/>
  <c r="BL131" i="32"/>
  <c r="BL132" i="32"/>
  <c r="BL133" i="32"/>
  <c r="BL134" i="32"/>
  <c r="BL135" i="32"/>
  <c r="BL136" i="32"/>
  <c r="BL137" i="32"/>
  <c r="BL138" i="32"/>
  <c r="BL139" i="32"/>
  <c r="BL140" i="32"/>
  <c r="BL141" i="32"/>
  <c r="BL142" i="32"/>
  <c r="BL143" i="32"/>
  <c r="BL144" i="32"/>
  <c r="BL145" i="32"/>
  <c r="BL146" i="32"/>
  <c r="BL147" i="32"/>
  <c r="BL148" i="32"/>
  <c r="BL149" i="32"/>
  <c r="BL150" i="32"/>
  <c r="BL151" i="32"/>
  <c r="BL152" i="32"/>
  <c r="BL153" i="32"/>
  <c r="BL154" i="32"/>
  <c r="BL155" i="32"/>
  <c r="BL156"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104" i="32"/>
  <c r="B105" i="32"/>
  <c r="B106" i="32"/>
  <c r="B107" i="32"/>
  <c r="B108" i="32"/>
  <c r="B109" i="32"/>
  <c r="B110" i="32"/>
  <c r="B111" i="32"/>
  <c r="B112" i="32"/>
  <c r="B113" i="32"/>
  <c r="B114" i="32"/>
  <c r="B115" i="32"/>
  <c r="B116" i="32"/>
  <c r="B117" i="32"/>
  <c r="B118" i="32"/>
  <c r="B119" i="32"/>
  <c r="B120" i="32"/>
  <c r="B121" i="32"/>
  <c r="B122" i="32"/>
  <c r="B123" i="32"/>
  <c r="B124" i="32"/>
  <c r="B125" i="32"/>
  <c r="B126" i="32"/>
  <c r="B127" i="32"/>
  <c r="B128" i="32"/>
  <c r="B129" i="32"/>
  <c r="B130" i="32"/>
  <c r="B131" i="32"/>
  <c r="B132" i="32"/>
  <c r="B133" i="32"/>
  <c r="B134" i="32"/>
  <c r="B135" i="32"/>
  <c r="B136" i="32"/>
  <c r="B137" i="32"/>
  <c r="B138" i="32"/>
  <c r="B139" i="32"/>
  <c r="B140" i="32"/>
  <c r="B141" i="32"/>
  <c r="B142" i="32"/>
  <c r="B143" i="32"/>
  <c r="B144" i="32"/>
  <c r="B145" i="32"/>
  <c r="B146" i="32"/>
  <c r="B147" i="32"/>
  <c r="B148" i="32"/>
  <c r="B149" i="32"/>
  <c r="B150" i="32"/>
  <c r="B151" i="32"/>
  <c r="B152" i="32"/>
  <c r="B153" i="32"/>
  <c r="B154" i="32"/>
  <c r="B155" i="32"/>
  <c r="B156" i="32"/>
  <c r="AG9" i="26"/>
  <c r="AF9" i="26"/>
  <c r="AE9" i="26"/>
  <c r="AD9" i="26"/>
  <c r="AC9" i="26"/>
  <c r="AB9" i="26"/>
  <c r="AA9" i="26"/>
  <c r="Z9" i="26"/>
  <c r="Y9" i="26"/>
  <c r="X9" i="26"/>
  <c r="W9" i="26"/>
  <c r="V9" i="26"/>
  <c r="U9" i="26"/>
  <c r="T9" i="26"/>
  <c r="S9" i="26"/>
  <c r="R9" i="26"/>
  <c r="Q9" i="26"/>
  <c r="P9" i="26"/>
  <c r="O9" i="26"/>
  <c r="N9" i="26"/>
  <c r="M9" i="26"/>
  <c r="L9" i="26"/>
  <c r="K9" i="26"/>
  <c r="J9" i="26"/>
  <c r="I9" i="26"/>
  <c r="H9" i="26"/>
  <c r="G9" i="26"/>
  <c r="F9" i="26"/>
  <c r="E9" i="26"/>
  <c r="D9" i="26"/>
  <c r="C9" i="26"/>
  <c r="CY156" i="32" l="1"/>
  <c r="CY152" i="32"/>
  <c r="CY148" i="32"/>
  <c r="CY144" i="32"/>
  <c r="CY140" i="32"/>
  <c r="CY136" i="32"/>
  <c r="CY132" i="32"/>
  <c r="CY128" i="32"/>
  <c r="CY124" i="32"/>
  <c r="CY120" i="32"/>
  <c r="CY116" i="32"/>
  <c r="CY112" i="32"/>
  <c r="CY108" i="32"/>
  <c r="CY104" i="32"/>
  <c r="CY100" i="32"/>
  <c r="CY96" i="32"/>
  <c r="CY92" i="32"/>
  <c r="CY88" i="32"/>
  <c r="CY84" i="32"/>
  <c r="CY80" i="32"/>
  <c r="CY76" i="32"/>
  <c r="CY72" i="32"/>
  <c r="CY68" i="32"/>
  <c r="CY64" i="32"/>
  <c r="CY60" i="32"/>
  <c r="CY56" i="32"/>
  <c r="CY52" i="32"/>
  <c r="CY48" i="32"/>
  <c r="CY44" i="32"/>
  <c r="CY40" i="32"/>
  <c r="CY36" i="32"/>
  <c r="CY155" i="32"/>
  <c r="CY151" i="32"/>
  <c r="CY147" i="32"/>
  <c r="CY143" i="32"/>
  <c r="CY139" i="32"/>
  <c r="CY135" i="32"/>
  <c r="CY131" i="32"/>
  <c r="CY127" i="32"/>
  <c r="CY123" i="32"/>
  <c r="CY119" i="32"/>
  <c r="CY115" i="32"/>
  <c r="CY111" i="32"/>
  <c r="CY107" i="32"/>
  <c r="CY103" i="32"/>
  <c r="CY99" i="32"/>
  <c r="CY95" i="32"/>
  <c r="CY91" i="32"/>
  <c r="CY87" i="32"/>
  <c r="CY83" i="32"/>
  <c r="CY79" i="32"/>
  <c r="CY75" i="32"/>
  <c r="CY71" i="32"/>
  <c r="CY67" i="32"/>
  <c r="CY63" i="32"/>
  <c r="CY59" i="32"/>
  <c r="CY55" i="32"/>
  <c r="CY51" i="32"/>
  <c r="CY47" i="32"/>
  <c r="CY43" i="32"/>
  <c r="CY39" i="32"/>
  <c r="CY35" i="32"/>
  <c r="CY154" i="32"/>
  <c r="CY150" i="32"/>
  <c r="CY146" i="32"/>
  <c r="CY142" i="32"/>
  <c r="CY138" i="32"/>
  <c r="CY134" i="32"/>
  <c r="CY130" i="32"/>
  <c r="CY126" i="32"/>
  <c r="CY122" i="32"/>
  <c r="CY118" i="32"/>
  <c r="CY114" i="32"/>
  <c r="CY110" i="32"/>
  <c r="CY106" i="32"/>
  <c r="CY102" i="32"/>
  <c r="CY98" i="32"/>
  <c r="CY94" i="32"/>
  <c r="CY90" i="32"/>
  <c r="CY86" i="32"/>
  <c r="CY82" i="32"/>
  <c r="CY78" i="32"/>
  <c r="CY74" i="32"/>
  <c r="CY70" i="32"/>
  <c r="CY66" i="32"/>
  <c r="CY62" i="32"/>
  <c r="CY58" i="32"/>
  <c r="CY54" i="32"/>
  <c r="CY50" i="32"/>
  <c r="CY46" i="32"/>
  <c r="CY42" i="32"/>
  <c r="CY38" i="32"/>
  <c r="CY153" i="32"/>
  <c r="CY149" i="32"/>
  <c r="CY145" i="32"/>
  <c r="CY141" i="32"/>
  <c r="CY137" i="32"/>
  <c r="CY133" i="32"/>
  <c r="CY129" i="32"/>
  <c r="CY125" i="32"/>
  <c r="CY121" i="32"/>
  <c r="CY117" i="32"/>
  <c r="CY113" i="32"/>
  <c r="CY109" i="32"/>
  <c r="CY105" i="32"/>
  <c r="CY101" i="32"/>
  <c r="CY97" i="32"/>
  <c r="CY93" i="32"/>
  <c r="CY89" i="32"/>
  <c r="CY85" i="32"/>
  <c r="CY81" i="32"/>
  <c r="CY77" i="32"/>
  <c r="CY73" i="32"/>
  <c r="CY69" i="32"/>
  <c r="CY65" i="32"/>
  <c r="CY61" i="32"/>
  <c r="CY57" i="32"/>
  <c r="CY53" i="32"/>
  <c r="CY49" i="32"/>
  <c r="CY45" i="32"/>
  <c r="CY41" i="32"/>
  <c r="CY37" i="32"/>
  <c r="CX145" i="32"/>
  <c r="CX133" i="32"/>
  <c r="CX121" i="32"/>
  <c r="CX109" i="32"/>
  <c r="CX97" i="32"/>
  <c r="CX85" i="32"/>
  <c r="CX73" i="32"/>
  <c r="CX69" i="32"/>
  <c r="CX57" i="32"/>
  <c r="CX45" i="32"/>
  <c r="CX153" i="32"/>
  <c r="CX141" i="32"/>
  <c r="CX129" i="32"/>
  <c r="CX117" i="32"/>
  <c r="CX101" i="32"/>
  <c r="CX93" i="32"/>
  <c r="CX81" i="32"/>
  <c r="CX65" i="32"/>
  <c r="CX49" i="32"/>
  <c r="CX41" i="32"/>
  <c r="CX149" i="32"/>
  <c r="CX137" i="32"/>
  <c r="CX125" i="32"/>
  <c r="CX113" i="32"/>
  <c r="CX105" i="32"/>
  <c r="CX89" i="32"/>
  <c r="CX77" i="32"/>
  <c r="CX61" i="32"/>
  <c r="CX53" i="32"/>
  <c r="CX37" i="32"/>
  <c r="CX156" i="32"/>
  <c r="CX152" i="32"/>
  <c r="CX148" i="32"/>
  <c r="CX144" i="32"/>
  <c r="CX140" i="32"/>
  <c r="CX136" i="32"/>
  <c r="CX132" i="32"/>
  <c r="CX128" i="32"/>
  <c r="CX124" i="32"/>
  <c r="CX120" i="32"/>
  <c r="CX116" i="32"/>
  <c r="CX112" i="32"/>
  <c r="CX108" i="32"/>
  <c r="CX104" i="32"/>
  <c r="CX100" i="32"/>
  <c r="CX96" i="32"/>
  <c r="CX92" i="32"/>
  <c r="CX88" i="32"/>
  <c r="CX84" i="32"/>
  <c r="CX80" i="32"/>
  <c r="CX76" i="32"/>
  <c r="CX72" i="32"/>
  <c r="CX68" i="32"/>
  <c r="CX64" i="32"/>
  <c r="CX60" i="32"/>
  <c r="CX56" i="32"/>
  <c r="CX52" i="32"/>
  <c r="CX48" i="32"/>
  <c r="CX44" i="32"/>
  <c r="CX40" i="32"/>
  <c r="CX36" i="32"/>
  <c r="CX155" i="32"/>
  <c r="CX151" i="32"/>
  <c r="CX147" i="32"/>
  <c r="CX143" i="32"/>
  <c r="CX139" i="32"/>
  <c r="CX135" i="32"/>
  <c r="CX131" i="32"/>
  <c r="CX127" i="32"/>
  <c r="CX123" i="32"/>
  <c r="CX119" i="32"/>
  <c r="CX115" i="32"/>
  <c r="CX111" i="32"/>
  <c r="CX107" i="32"/>
  <c r="CX103" i="32"/>
  <c r="CX99" i="32"/>
  <c r="CX95" i="32"/>
  <c r="CX91" i="32"/>
  <c r="CX87" i="32"/>
  <c r="CX83" i="32"/>
  <c r="CX79" i="32"/>
  <c r="CX75" i="32"/>
  <c r="CX71" i="32"/>
  <c r="CX67" i="32"/>
  <c r="CX63" i="32"/>
  <c r="CX59" i="32"/>
  <c r="CX55" i="32"/>
  <c r="CX51" i="32"/>
  <c r="CX47" i="32"/>
  <c r="CX43" i="32"/>
  <c r="CX39" i="32"/>
  <c r="CX35" i="32"/>
  <c r="CX154" i="32"/>
  <c r="CX150" i="32"/>
  <c r="CX146" i="32"/>
  <c r="CX142" i="32"/>
  <c r="CX138" i="32"/>
  <c r="CX134" i="32"/>
  <c r="CX130" i="32"/>
  <c r="CX126" i="32"/>
  <c r="CX122" i="32"/>
  <c r="CX118" i="32"/>
  <c r="CX114" i="32"/>
  <c r="CX110" i="32"/>
  <c r="CX106" i="32"/>
  <c r="CX102" i="32"/>
  <c r="CX98" i="32"/>
  <c r="CX94" i="32"/>
  <c r="CX90" i="32"/>
  <c r="CX86" i="32"/>
  <c r="CX82" i="32"/>
  <c r="CX78" i="32"/>
  <c r="CX74" i="32"/>
  <c r="CX70" i="32"/>
  <c r="CX66" i="32"/>
  <c r="CX62" i="32"/>
  <c r="CX58" i="32"/>
  <c r="CX54" i="32"/>
  <c r="CX50" i="32"/>
  <c r="CX46" i="32"/>
  <c r="CX42" i="32"/>
  <c r="CX38" i="32"/>
  <c r="CW154" i="32"/>
  <c r="CW150" i="32"/>
  <c r="CW146" i="32"/>
  <c r="CW142" i="32"/>
  <c r="CW138" i="32"/>
  <c r="CW134" i="32"/>
  <c r="CW130" i="32"/>
  <c r="CW126" i="32"/>
  <c r="CW122" i="32"/>
  <c r="CW118" i="32"/>
  <c r="CW114" i="32"/>
  <c r="CW110" i="32"/>
  <c r="CW106" i="32"/>
  <c r="CW102" i="32"/>
  <c r="CW98" i="32"/>
  <c r="CW94" i="32"/>
  <c r="CW90" i="32"/>
  <c r="CW86" i="32"/>
  <c r="CW82" i="32"/>
  <c r="CW78" i="32"/>
  <c r="CW74" i="32"/>
  <c r="CW70" i="32"/>
  <c r="CW66" i="32"/>
  <c r="CW62" i="32"/>
  <c r="CW58" i="32"/>
  <c r="CW54" i="32"/>
  <c r="CW50" i="32"/>
  <c r="CW46" i="32"/>
  <c r="CW42" i="32"/>
  <c r="CW38" i="32"/>
  <c r="CV156" i="32"/>
  <c r="CW155" i="32"/>
  <c r="CW151" i="32"/>
  <c r="CW147" i="32"/>
  <c r="CW143" i="32"/>
  <c r="CW139" i="32"/>
  <c r="CW135" i="32"/>
  <c r="CW131" i="32"/>
  <c r="CW127" i="32"/>
  <c r="CW123" i="32"/>
  <c r="CW119" i="32"/>
  <c r="CW115" i="32"/>
  <c r="CW111" i="32"/>
  <c r="CW107" i="32"/>
  <c r="CW103" i="32"/>
  <c r="CW99" i="32"/>
  <c r="CW95" i="32"/>
  <c r="CW91" i="32"/>
  <c r="CW87" i="32"/>
  <c r="CW83" i="32"/>
  <c r="CW79" i="32"/>
  <c r="CW75" i="32"/>
  <c r="CW71" i="32"/>
  <c r="CW67" i="32"/>
  <c r="CW63" i="32"/>
  <c r="CW59" i="32"/>
  <c r="CW55" i="32"/>
  <c r="CW51" i="32"/>
  <c r="CW47" i="32"/>
  <c r="CW43" i="32"/>
  <c r="CW39" i="32"/>
  <c r="CW35" i="32"/>
  <c r="CV155" i="32"/>
  <c r="CV139" i="32"/>
  <c r="CV123" i="32"/>
  <c r="CV107" i="32"/>
  <c r="CV91" i="32"/>
  <c r="CV75" i="32"/>
  <c r="CV59" i="32"/>
  <c r="CV43" i="32"/>
  <c r="CW152" i="32"/>
  <c r="CW148" i="32"/>
  <c r="CW144" i="32"/>
  <c r="CW140" i="32"/>
  <c r="CW136" i="32"/>
  <c r="CW132" i="32"/>
  <c r="CW128" i="32"/>
  <c r="CW124" i="32"/>
  <c r="CW120" i="32"/>
  <c r="CW116" i="32"/>
  <c r="CW112" i="32"/>
  <c r="CW108" i="32"/>
  <c r="CW104" i="32"/>
  <c r="CW100" i="32"/>
  <c r="CW96" i="32"/>
  <c r="CW92" i="32"/>
  <c r="CW88" i="32"/>
  <c r="CW84" i="32"/>
  <c r="CW80" i="32"/>
  <c r="CW76" i="32"/>
  <c r="CW72" i="32"/>
  <c r="CW68" i="32"/>
  <c r="CW64" i="32"/>
  <c r="CW60" i="32"/>
  <c r="CW56" i="32"/>
  <c r="CW52" i="32"/>
  <c r="CW48" i="32"/>
  <c r="CW44" i="32"/>
  <c r="CW40" i="32"/>
  <c r="CW36" i="32"/>
  <c r="CW156" i="32"/>
  <c r="CW153" i="32"/>
  <c r="CW141" i="32"/>
  <c r="CW129" i="32"/>
  <c r="CW117" i="32"/>
  <c r="CW109" i="32"/>
  <c r="CW93" i="32"/>
  <c r="CW85" i="32"/>
  <c r="CW73" i="32"/>
  <c r="CW57" i="32"/>
  <c r="CW49" i="32"/>
  <c r="CW37" i="32"/>
  <c r="CV143" i="32"/>
  <c r="CV131" i="32"/>
  <c r="CV119" i="32"/>
  <c r="CV103" i="32"/>
  <c r="CV83" i="32"/>
  <c r="CV67" i="32"/>
  <c r="CV51" i="32"/>
  <c r="CV39" i="32"/>
  <c r="CW145" i="32"/>
  <c r="CW133" i="32"/>
  <c r="CW121" i="32"/>
  <c r="CW105" i="32"/>
  <c r="CW97" i="32"/>
  <c r="CW81" i="32"/>
  <c r="CW69" i="32"/>
  <c r="CW61" i="32"/>
  <c r="CW53" i="32"/>
  <c r="CW41" i="32"/>
  <c r="CV151" i="32"/>
  <c r="CV127" i="32"/>
  <c r="CV115" i="32"/>
  <c r="CV95" i="32"/>
  <c r="CV79" i="32"/>
  <c r="CV71" i="32"/>
  <c r="CV55" i="32"/>
  <c r="CV47" i="32"/>
  <c r="CV35" i="32"/>
  <c r="CW149" i="32"/>
  <c r="CW137" i="32"/>
  <c r="CW125" i="32"/>
  <c r="CW113" i="32"/>
  <c r="CW101" i="32"/>
  <c r="CW89" i="32"/>
  <c r="CW77" i="32"/>
  <c r="CW65" i="32"/>
  <c r="CW45" i="32"/>
  <c r="CV147" i="32"/>
  <c r="CV135" i="32"/>
  <c r="CV111" i="32"/>
  <c r="CV99" i="32"/>
  <c r="CV87" i="32"/>
  <c r="CV63" i="32"/>
  <c r="CV154" i="32"/>
  <c r="CV150" i="32"/>
  <c r="CV146" i="32"/>
  <c r="CV142" i="32"/>
  <c r="CV138" i="32"/>
  <c r="CV134" i="32"/>
  <c r="CV130" i="32"/>
  <c r="CV126" i="32"/>
  <c r="CV122" i="32"/>
  <c r="CV118" i="32"/>
  <c r="CV114" i="32"/>
  <c r="CV110" i="32"/>
  <c r="CV106" i="32"/>
  <c r="CV102" i="32"/>
  <c r="CV98" i="32"/>
  <c r="CV94" i="32"/>
  <c r="CV90" i="32"/>
  <c r="CV86" i="32"/>
  <c r="CV82" i="32"/>
  <c r="CV78" i="32"/>
  <c r="CV74" i="32"/>
  <c r="CV70" i="32"/>
  <c r="CV66" i="32"/>
  <c r="CV62" i="32"/>
  <c r="CV58" i="32"/>
  <c r="CV54" i="32"/>
  <c r="CV50" i="32"/>
  <c r="CV46" i="32"/>
  <c r="CV42" i="32"/>
  <c r="CV38" i="32"/>
  <c r="CV153" i="32"/>
  <c r="CV149" i="32"/>
  <c r="CV145" i="32"/>
  <c r="CV141" i="32"/>
  <c r="CV137" i="32"/>
  <c r="CV133" i="32"/>
  <c r="CV129" i="32"/>
  <c r="CV125" i="32"/>
  <c r="CV121" i="32"/>
  <c r="CV117" i="32"/>
  <c r="CV113" i="32"/>
  <c r="CV109" i="32"/>
  <c r="CV105" i="32"/>
  <c r="CV101" i="32"/>
  <c r="CV97" i="32"/>
  <c r="CV93" i="32"/>
  <c r="CV89" i="32"/>
  <c r="CV85" i="32"/>
  <c r="CV81" i="32"/>
  <c r="CV77" i="32"/>
  <c r="CV73" i="32"/>
  <c r="CV69" i="32"/>
  <c r="CV65" i="32"/>
  <c r="CV61" i="32"/>
  <c r="CV57" i="32"/>
  <c r="CV53" i="32"/>
  <c r="CV49" i="32"/>
  <c r="CV45" i="32"/>
  <c r="CV41" i="32"/>
  <c r="CV37" i="32"/>
  <c r="CV152" i="32"/>
  <c r="CV148" i="32"/>
  <c r="CV144" i="32"/>
  <c r="CV140" i="32"/>
  <c r="CV136" i="32"/>
  <c r="CV132" i="32"/>
  <c r="CV128" i="32"/>
  <c r="CV124" i="32"/>
  <c r="CV120" i="32"/>
  <c r="CV116" i="32"/>
  <c r="CV112" i="32"/>
  <c r="CV108" i="32"/>
  <c r="CV104" i="32"/>
  <c r="CV100" i="32"/>
  <c r="CV96" i="32"/>
  <c r="CV92" i="32"/>
  <c r="CV88" i="32"/>
  <c r="CV84" i="32"/>
  <c r="CV80" i="32"/>
  <c r="CV76" i="32"/>
  <c r="CV72" i="32"/>
  <c r="CV68" i="32"/>
  <c r="CV64" i="32"/>
  <c r="CV60" i="32"/>
  <c r="CV56" i="32"/>
  <c r="CV52" i="32"/>
  <c r="CV48" i="32"/>
  <c r="CV44" i="32"/>
  <c r="CV40" i="32"/>
  <c r="CV36" i="32"/>
  <c r="BC11" i="26"/>
  <c r="BB11" i="26"/>
  <c r="BA11" i="26"/>
  <c r="BB11" i="31"/>
  <c r="BB12" i="31"/>
  <c r="BB13" i="31"/>
  <c r="BB14" i="31"/>
  <c r="BB15" i="31"/>
  <c r="BB16" i="31"/>
  <c r="BB17" i="31"/>
  <c r="BB18" i="31"/>
  <c r="BB19" i="31"/>
  <c r="BB20" i="31"/>
  <c r="BB21" i="31"/>
  <c r="BB22" i="31"/>
  <c r="BB23" i="31"/>
  <c r="BB24" i="31"/>
  <c r="BB25" i="31"/>
  <c r="BB26" i="31"/>
  <c r="BB27" i="31"/>
  <c r="BB28" i="31"/>
  <c r="BB29" i="31"/>
  <c r="BB30" i="31"/>
  <c r="BB31" i="31"/>
  <c r="BB32" i="31"/>
  <c r="BB33" i="31"/>
  <c r="BB34" i="31"/>
  <c r="BB35" i="31"/>
  <c r="BB36" i="31"/>
  <c r="BB37" i="31"/>
  <c r="BB38" i="31"/>
  <c r="BB39" i="31"/>
  <c r="BB40" i="31"/>
  <c r="BB41" i="31"/>
  <c r="BB42" i="31"/>
  <c r="BB43" i="31"/>
  <c r="BB44" i="31"/>
  <c r="BB45" i="31"/>
  <c r="BB46" i="31"/>
  <c r="BB47" i="31"/>
  <c r="BB48" i="31"/>
  <c r="BB49" i="31"/>
  <c r="BB50" i="31"/>
  <c r="BB51" i="31"/>
  <c r="BB52" i="31"/>
  <c r="BB53" i="31"/>
  <c r="BB54" i="31"/>
  <c r="BB55" i="31"/>
  <c r="BB56" i="31"/>
  <c r="BB57" i="31"/>
  <c r="BB58" i="31"/>
  <c r="BB59" i="31"/>
  <c r="BB60" i="31"/>
  <c r="BB61" i="31"/>
  <c r="BB62" i="31"/>
  <c r="BB63" i="31"/>
  <c r="BB64" i="31"/>
  <c r="BB65" i="31"/>
  <c r="BB66" i="31"/>
  <c r="BB67" i="31"/>
  <c r="BB68" i="31"/>
  <c r="BB69" i="31"/>
  <c r="BB70" i="31"/>
  <c r="BB71" i="31"/>
  <c r="BB72" i="31"/>
  <c r="BB73" i="31"/>
  <c r="BB74" i="31"/>
  <c r="BB75" i="31"/>
  <c r="BB76" i="31"/>
  <c r="BB77" i="31"/>
  <c r="BB78" i="31"/>
  <c r="BB79" i="31"/>
  <c r="BB80" i="31"/>
  <c r="BB81" i="31"/>
  <c r="BB82" i="31"/>
  <c r="BB83" i="31"/>
  <c r="BB84" i="31"/>
  <c r="BB85" i="31"/>
  <c r="BB86" i="31"/>
  <c r="BB87" i="31"/>
  <c r="BB88" i="31"/>
  <c r="BB89" i="31"/>
  <c r="BB90" i="31"/>
  <c r="BB91" i="31"/>
  <c r="BB92" i="31"/>
  <c r="BB93" i="31"/>
  <c r="BB94" i="31"/>
  <c r="BB95" i="31"/>
  <c r="BB96" i="31"/>
  <c r="BB97" i="31"/>
  <c r="BB98" i="31"/>
  <c r="BB99" i="31"/>
  <c r="BB100" i="31"/>
  <c r="BB101" i="31"/>
  <c r="BB102" i="31"/>
  <c r="BB103" i="31"/>
  <c r="BB104" i="31"/>
  <c r="BB105" i="31"/>
  <c r="BB106" i="31"/>
  <c r="BB107" i="31"/>
  <c r="BB108" i="31"/>
  <c r="BB109" i="31"/>
  <c r="BB110" i="31"/>
  <c r="BB111" i="31"/>
  <c r="BB112" i="31"/>
  <c r="BB113" i="31"/>
  <c r="BB114" i="31"/>
  <c r="BB115" i="31"/>
  <c r="BB116" i="31"/>
  <c r="BB117" i="31"/>
  <c r="BB118" i="31"/>
  <c r="BB119" i="31"/>
  <c r="BB120" i="31"/>
  <c r="BB121" i="31"/>
  <c r="BB122" i="31"/>
  <c r="BB123" i="31"/>
  <c r="BB124" i="31"/>
  <c r="BB125" i="31"/>
  <c r="BB126" i="31"/>
  <c r="BB127" i="31"/>
  <c r="BB128" i="31"/>
  <c r="BB129" i="31"/>
  <c r="BB130" i="31"/>
  <c r="BB131" i="31"/>
  <c r="BB132" i="31"/>
  <c r="BB133" i="31"/>
  <c r="BB134" i="31"/>
  <c r="BB135" i="31"/>
  <c r="BB136" i="31"/>
  <c r="BB137" i="31"/>
  <c r="BB138" i="31"/>
  <c r="BB139" i="31"/>
  <c r="BB140" i="31"/>
  <c r="BB141" i="31"/>
  <c r="BB142" i="31"/>
  <c r="BB143" i="31"/>
  <c r="BB144" i="31"/>
  <c r="BB145" i="31"/>
  <c r="BB146" i="31"/>
  <c r="BB147" i="31"/>
  <c r="BB148" i="31"/>
  <c r="BB149" i="31"/>
  <c r="BB150" i="31"/>
  <c r="BB151" i="31"/>
  <c r="BB152" i="31"/>
  <c r="BB153" i="31"/>
  <c r="BB154" i="31"/>
  <c r="BB155" i="31"/>
  <c r="BA11" i="31"/>
  <c r="BA12" i="31"/>
  <c r="BA13" i="31"/>
  <c r="BA14" i="31"/>
  <c r="BA15" i="31"/>
  <c r="BA16" i="31"/>
  <c r="BA17" i="31"/>
  <c r="BA18" i="31"/>
  <c r="BA19" i="31"/>
  <c r="BA20" i="31"/>
  <c r="BA21" i="31"/>
  <c r="BA22" i="31"/>
  <c r="BA23" i="31"/>
  <c r="BA24" i="31"/>
  <c r="BA25" i="31"/>
  <c r="BA26" i="31"/>
  <c r="BA27" i="31"/>
  <c r="BA28" i="31"/>
  <c r="BA29" i="31"/>
  <c r="BA30" i="31"/>
  <c r="BA31" i="31"/>
  <c r="BA32" i="31"/>
  <c r="BA33" i="31"/>
  <c r="BA34" i="31"/>
  <c r="BA35" i="31"/>
  <c r="BA36" i="31"/>
  <c r="BA37" i="31"/>
  <c r="BA38" i="31"/>
  <c r="BA39" i="31"/>
  <c r="BA40" i="31"/>
  <c r="BA41" i="31"/>
  <c r="BA42" i="31"/>
  <c r="BA43" i="31"/>
  <c r="BA44" i="31"/>
  <c r="BA45" i="31"/>
  <c r="BA46" i="31"/>
  <c r="BA47" i="31"/>
  <c r="BA48" i="31"/>
  <c r="BA49" i="31"/>
  <c r="BA50" i="31"/>
  <c r="BA51" i="31"/>
  <c r="BA52" i="31"/>
  <c r="BA53" i="31"/>
  <c r="BA54" i="31"/>
  <c r="BA55" i="31"/>
  <c r="BA56" i="31"/>
  <c r="BA57" i="31"/>
  <c r="BA58" i="31"/>
  <c r="BA59" i="31"/>
  <c r="BA60" i="31"/>
  <c r="BA61" i="31"/>
  <c r="BA62" i="31"/>
  <c r="BA63" i="31"/>
  <c r="BA64" i="31"/>
  <c r="BA65" i="31"/>
  <c r="BA66" i="31"/>
  <c r="BA67" i="31"/>
  <c r="BA68" i="31"/>
  <c r="BA69" i="31"/>
  <c r="BA70" i="31"/>
  <c r="BA71" i="31"/>
  <c r="BA72" i="31"/>
  <c r="BA73" i="31"/>
  <c r="BA74" i="31"/>
  <c r="BA75" i="31"/>
  <c r="BA76" i="31"/>
  <c r="BA77" i="31"/>
  <c r="BA78" i="31"/>
  <c r="BA79" i="31"/>
  <c r="BA80" i="31"/>
  <c r="BA81" i="31"/>
  <c r="BA82" i="31"/>
  <c r="BA83" i="31"/>
  <c r="BA84" i="31"/>
  <c r="BA85" i="31"/>
  <c r="BA86" i="31"/>
  <c r="BA87" i="31"/>
  <c r="BA88" i="31"/>
  <c r="BA89" i="31"/>
  <c r="BA90" i="31"/>
  <c r="BA91" i="31"/>
  <c r="BA92" i="31"/>
  <c r="BA93" i="31"/>
  <c r="BA94" i="31"/>
  <c r="BA95" i="31"/>
  <c r="BA96" i="31"/>
  <c r="BA97" i="31"/>
  <c r="BA98" i="31"/>
  <c r="BA99" i="31"/>
  <c r="BA100" i="31"/>
  <c r="BA101" i="31"/>
  <c r="BA102" i="31"/>
  <c r="BA103" i="31"/>
  <c r="BA104" i="31"/>
  <c r="BA105" i="31"/>
  <c r="BA106" i="31"/>
  <c r="BA107" i="31"/>
  <c r="BA108" i="31"/>
  <c r="BA109" i="31"/>
  <c r="BA110" i="31"/>
  <c r="BA111" i="31"/>
  <c r="BA112" i="31"/>
  <c r="BA113" i="31"/>
  <c r="BA114" i="31"/>
  <c r="BA115" i="31"/>
  <c r="BA116" i="31"/>
  <c r="BA117" i="31"/>
  <c r="BA118" i="31"/>
  <c r="BA119" i="31"/>
  <c r="BA120" i="31"/>
  <c r="BA121" i="31"/>
  <c r="BA122" i="31"/>
  <c r="BA123" i="31"/>
  <c r="BA124" i="31"/>
  <c r="BA125" i="31"/>
  <c r="BA126" i="31"/>
  <c r="BA127" i="31"/>
  <c r="BA128" i="31"/>
  <c r="BA129" i="31"/>
  <c r="BA130" i="31"/>
  <c r="BA131" i="31"/>
  <c r="BA132" i="31"/>
  <c r="BA133" i="31"/>
  <c r="BA134" i="31"/>
  <c r="BA135" i="31"/>
  <c r="BA136" i="31"/>
  <c r="BA137" i="31"/>
  <c r="BA138" i="31"/>
  <c r="BA139" i="31"/>
  <c r="BA140" i="31"/>
  <c r="BA141" i="31"/>
  <c r="BA142" i="31"/>
  <c r="BA143" i="31"/>
  <c r="BA144" i="31"/>
  <c r="BA145" i="31"/>
  <c r="BA146" i="31"/>
  <c r="BA147" i="31"/>
  <c r="BA148" i="31"/>
  <c r="BA149" i="31"/>
  <c r="BA150" i="31"/>
  <c r="BA151" i="31"/>
  <c r="BA152" i="31"/>
  <c r="BA153" i="31"/>
  <c r="BA154" i="31"/>
  <c r="BA155" i="31"/>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A9" i="26"/>
  <c r="BL155" i="26"/>
  <c r="BK155" i="26"/>
  <c r="BJ155" i="26"/>
  <c r="BI155" i="26"/>
  <c r="BH155" i="26"/>
  <c r="CX155" i="26" s="1"/>
  <c r="BG155" i="26"/>
  <c r="BF155" i="26"/>
  <c r="BE155" i="26"/>
  <c r="BD155" i="26"/>
  <c r="BC155" i="26"/>
  <c r="BB155" i="26"/>
  <c r="BA155" i="26"/>
  <c r="AZ155" i="26"/>
  <c r="AY155" i="26"/>
  <c r="AX155" i="26"/>
  <c r="AW155" i="26"/>
  <c r="AV155" i="26"/>
  <c r="AU155" i="26"/>
  <c r="AT155" i="26"/>
  <c r="AS155" i="26"/>
  <c r="AR155" i="26"/>
  <c r="AQ155" i="26"/>
  <c r="AP155" i="26"/>
  <c r="AO155" i="26"/>
  <c r="AN155" i="26"/>
  <c r="AM155" i="26"/>
  <c r="AL155" i="26"/>
  <c r="AK155" i="26"/>
  <c r="AJ155" i="26"/>
  <c r="AI155" i="26"/>
  <c r="AH155" i="26"/>
  <c r="B155" i="26"/>
  <c r="BL154" i="26"/>
  <c r="BK154" i="26"/>
  <c r="BJ154" i="26"/>
  <c r="BI154" i="26"/>
  <c r="BH154" i="26"/>
  <c r="CX154" i="26" s="1"/>
  <c r="BG154" i="26"/>
  <c r="BF154" i="26"/>
  <c r="BE154" i="26"/>
  <c r="BD154" i="26"/>
  <c r="BC154" i="26"/>
  <c r="BB154" i="26"/>
  <c r="BA154" i="26"/>
  <c r="AZ154" i="26"/>
  <c r="AY154" i="26"/>
  <c r="AX154" i="26"/>
  <c r="AW154" i="26"/>
  <c r="AV154" i="26"/>
  <c r="AU154" i="26"/>
  <c r="AT154" i="26"/>
  <c r="AS154" i="26"/>
  <c r="AR154" i="26"/>
  <c r="AQ154" i="26"/>
  <c r="AP154" i="26"/>
  <c r="AO154" i="26"/>
  <c r="AN154" i="26"/>
  <c r="AM154" i="26"/>
  <c r="AL154" i="26"/>
  <c r="AK154" i="26"/>
  <c r="AJ154" i="26"/>
  <c r="AI154" i="26"/>
  <c r="AH154" i="26"/>
  <c r="BL153" i="26"/>
  <c r="BK153" i="26"/>
  <c r="BJ153" i="26"/>
  <c r="BI153" i="26"/>
  <c r="BH153" i="26"/>
  <c r="CX153" i="26" s="1"/>
  <c r="BG153" i="26"/>
  <c r="BF153" i="26"/>
  <c r="BE153" i="26"/>
  <c r="BD153" i="26"/>
  <c r="BC153" i="26"/>
  <c r="BB153" i="26"/>
  <c r="BA153" i="26"/>
  <c r="AZ153" i="26"/>
  <c r="AY153" i="26"/>
  <c r="AX153" i="26"/>
  <c r="AW153" i="26"/>
  <c r="AV153" i="26"/>
  <c r="AU153" i="26"/>
  <c r="AT153" i="26"/>
  <c r="AS153" i="26"/>
  <c r="AR153" i="26"/>
  <c r="AQ153" i="26"/>
  <c r="AP153" i="26"/>
  <c r="AO153" i="26"/>
  <c r="AN153" i="26"/>
  <c r="AM153" i="26"/>
  <c r="AL153" i="26"/>
  <c r="AK153" i="26"/>
  <c r="AJ153" i="26"/>
  <c r="AI153" i="26"/>
  <c r="AH153" i="26"/>
  <c r="BL152" i="26"/>
  <c r="BK152" i="26"/>
  <c r="BJ152" i="26"/>
  <c r="BI152" i="26"/>
  <c r="BH152" i="26"/>
  <c r="CX152" i="26" s="1"/>
  <c r="BG152" i="26"/>
  <c r="BF152" i="26"/>
  <c r="BE152" i="26"/>
  <c r="BD152" i="26"/>
  <c r="BC152" i="26"/>
  <c r="BB152" i="26"/>
  <c r="BA152" i="26"/>
  <c r="AZ152" i="26"/>
  <c r="AY152" i="26"/>
  <c r="AX152" i="26"/>
  <c r="AW152" i="26"/>
  <c r="AV152" i="26"/>
  <c r="AU152" i="26"/>
  <c r="AT152" i="26"/>
  <c r="AS152" i="26"/>
  <c r="AR152" i="26"/>
  <c r="AQ152" i="26"/>
  <c r="AP152" i="26"/>
  <c r="AO152" i="26"/>
  <c r="AN152" i="26"/>
  <c r="AM152" i="26"/>
  <c r="AL152" i="26"/>
  <c r="AK152" i="26"/>
  <c r="AJ152" i="26"/>
  <c r="AI152" i="26"/>
  <c r="AH152" i="26"/>
  <c r="BL151" i="26"/>
  <c r="BK151" i="26"/>
  <c r="BJ151" i="26"/>
  <c r="BI151" i="26"/>
  <c r="BH151" i="26"/>
  <c r="CX151" i="26" s="1"/>
  <c r="BG151" i="26"/>
  <c r="BF151" i="26"/>
  <c r="BE151" i="26"/>
  <c r="BD151" i="26"/>
  <c r="BC151" i="26"/>
  <c r="BB151" i="26"/>
  <c r="BA151" i="26"/>
  <c r="AZ151" i="26"/>
  <c r="AY151" i="26"/>
  <c r="AX151" i="26"/>
  <c r="AW151" i="26"/>
  <c r="AV151" i="26"/>
  <c r="AU151" i="26"/>
  <c r="AT151" i="26"/>
  <c r="AS151" i="26"/>
  <c r="AR151" i="26"/>
  <c r="AQ151" i="26"/>
  <c r="AP151" i="26"/>
  <c r="AO151" i="26"/>
  <c r="AN151" i="26"/>
  <c r="AM151" i="26"/>
  <c r="AL151" i="26"/>
  <c r="AK151" i="26"/>
  <c r="AJ151" i="26"/>
  <c r="AI151" i="26"/>
  <c r="AH151" i="26"/>
  <c r="BL150" i="26"/>
  <c r="BK150" i="26"/>
  <c r="BJ150" i="26"/>
  <c r="BI150" i="26"/>
  <c r="BH150" i="26"/>
  <c r="CX150" i="26" s="1"/>
  <c r="BG150" i="26"/>
  <c r="BF150" i="26"/>
  <c r="BE150" i="26"/>
  <c r="BD150" i="26"/>
  <c r="BC150" i="26"/>
  <c r="BB150" i="26"/>
  <c r="BA150" i="26"/>
  <c r="AZ150" i="26"/>
  <c r="AY150" i="26"/>
  <c r="AX150" i="26"/>
  <c r="AW150" i="26"/>
  <c r="AV150" i="26"/>
  <c r="AU150" i="26"/>
  <c r="AT150" i="26"/>
  <c r="AS150" i="26"/>
  <c r="AR150" i="26"/>
  <c r="AQ150" i="26"/>
  <c r="AP150" i="26"/>
  <c r="AO150" i="26"/>
  <c r="AN150" i="26"/>
  <c r="AM150" i="26"/>
  <c r="AL150" i="26"/>
  <c r="AK150" i="26"/>
  <c r="AJ150" i="26"/>
  <c r="AI150" i="26"/>
  <c r="AH150" i="26"/>
  <c r="BL149" i="26"/>
  <c r="BK149" i="26"/>
  <c r="BJ149" i="26"/>
  <c r="BI149" i="26"/>
  <c r="BH149" i="26"/>
  <c r="CX149" i="26" s="1"/>
  <c r="BG149" i="26"/>
  <c r="BF149" i="26"/>
  <c r="BE149" i="26"/>
  <c r="BD149" i="26"/>
  <c r="BC149" i="26"/>
  <c r="BB149" i="26"/>
  <c r="BA149" i="26"/>
  <c r="AZ149" i="26"/>
  <c r="AY149" i="26"/>
  <c r="AX149" i="26"/>
  <c r="AW149" i="26"/>
  <c r="AV149" i="26"/>
  <c r="AU149" i="26"/>
  <c r="AT149" i="26"/>
  <c r="AS149" i="26"/>
  <c r="AR149" i="26"/>
  <c r="AQ149" i="26"/>
  <c r="AP149" i="26"/>
  <c r="AO149" i="26"/>
  <c r="AN149" i="26"/>
  <c r="AM149" i="26"/>
  <c r="AL149" i="26"/>
  <c r="AK149" i="26"/>
  <c r="AJ149" i="26"/>
  <c r="AI149" i="26"/>
  <c r="AH149" i="26"/>
  <c r="BL148" i="26"/>
  <c r="BK148" i="26"/>
  <c r="BJ148" i="26"/>
  <c r="BI148" i="26"/>
  <c r="BH148" i="26"/>
  <c r="CX148" i="26" s="1"/>
  <c r="BG148" i="26"/>
  <c r="BF148" i="26"/>
  <c r="BE148" i="26"/>
  <c r="BD148" i="26"/>
  <c r="BC148" i="26"/>
  <c r="BB148" i="26"/>
  <c r="BA148" i="26"/>
  <c r="AZ148" i="26"/>
  <c r="AY148" i="26"/>
  <c r="AX148" i="26"/>
  <c r="AW148" i="26"/>
  <c r="AV148" i="26"/>
  <c r="AU148" i="26"/>
  <c r="AT148" i="26"/>
  <c r="AS148" i="26"/>
  <c r="AR148" i="26"/>
  <c r="AQ148" i="26"/>
  <c r="AP148" i="26"/>
  <c r="AO148" i="26"/>
  <c r="AN148" i="26"/>
  <c r="AM148" i="26"/>
  <c r="AL148" i="26"/>
  <c r="AK148" i="26"/>
  <c r="AJ148" i="26"/>
  <c r="AI148" i="26"/>
  <c r="AH148" i="26"/>
  <c r="BL147" i="26"/>
  <c r="BK147" i="26"/>
  <c r="BJ147" i="26"/>
  <c r="BI147" i="26"/>
  <c r="BH147" i="26"/>
  <c r="CX147" i="26" s="1"/>
  <c r="BG147" i="26"/>
  <c r="BF147" i="26"/>
  <c r="BE147" i="26"/>
  <c r="BD147" i="26"/>
  <c r="BC147" i="26"/>
  <c r="BB147" i="26"/>
  <c r="BA147" i="26"/>
  <c r="AZ147" i="26"/>
  <c r="AY147" i="26"/>
  <c r="AX147" i="26"/>
  <c r="AW147" i="26"/>
  <c r="AV147" i="26"/>
  <c r="AU147" i="26"/>
  <c r="AT147" i="26"/>
  <c r="AS147" i="26"/>
  <c r="AR147" i="26"/>
  <c r="AQ147" i="26"/>
  <c r="AP147" i="26"/>
  <c r="AO147" i="26"/>
  <c r="AN147" i="26"/>
  <c r="AM147" i="26"/>
  <c r="AL147" i="26"/>
  <c r="AK147" i="26"/>
  <c r="AJ147" i="26"/>
  <c r="AI147" i="26"/>
  <c r="AH147" i="26"/>
  <c r="BL146" i="26"/>
  <c r="BK146" i="26"/>
  <c r="BJ146" i="26"/>
  <c r="BI146" i="26"/>
  <c r="BH146" i="26"/>
  <c r="CX146" i="26" s="1"/>
  <c r="BG146" i="26"/>
  <c r="BF146" i="26"/>
  <c r="BE146" i="26"/>
  <c r="BD146" i="26"/>
  <c r="BC146" i="26"/>
  <c r="BB146" i="26"/>
  <c r="BA146" i="26"/>
  <c r="AZ146" i="26"/>
  <c r="AY146" i="26"/>
  <c r="AX146" i="26"/>
  <c r="AW146" i="26"/>
  <c r="AV146" i="26"/>
  <c r="AU146" i="26"/>
  <c r="AT146" i="26"/>
  <c r="AS146" i="26"/>
  <c r="AR146" i="26"/>
  <c r="AQ146" i="26"/>
  <c r="AP146" i="26"/>
  <c r="AO146" i="26"/>
  <c r="AN146" i="26"/>
  <c r="AM146" i="26"/>
  <c r="AL146" i="26"/>
  <c r="AK146" i="26"/>
  <c r="AJ146" i="26"/>
  <c r="AI146" i="26"/>
  <c r="AH146" i="26"/>
  <c r="BL145" i="26"/>
  <c r="BK145" i="26"/>
  <c r="BJ145" i="26"/>
  <c r="BI145" i="26"/>
  <c r="BH145" i="26"/>
  <c r="CX145" i="26" s="1"/>
  <c r="BG145" i="26"/>
  <c r="BF145" i="26"/>
  <c r="BE145" i="26"/>
  <c r="BD145" i="26"/>
  <c r="BC145" i="26"/>
  <c r="BB145" i="26"/>
  <c r="BA145" i="26"/>
  <c r="AZ145" i="26"/>
  <c r="AY145" i="26"/>
  <c r="AX145" i="26"/>
  <c r="AW145" i="26"/>
  <c r="AV145" i="26"/>
  <c r="AU145" i="26"/>
  <c r="AT145" i="26"/>
  <c r="AS145" i="26"/>
  <c r="AR145" i="26"/>
  <c r="AQ145" i="26"/>
  <c r="AP145" i="26"/>
  <c r="AO145" i="26"/>
  <c r="AN145" i="26"/>
  <c r="AM145" i="26"/>
  <c r="AL145" i="26"/>
  <c r="AK145" i="26"/>
  <c r="AJ145" i="26"/>
  <c r="AI145" i="26"/>
  <c r="AH145" i="26"/>
  <c r="BL144" i="26"/>
  <c r="BK144" i="26"/>
  <c r="BJ144" i="26"/>
  <c r="BI144" i="26"/>
  <c r="BH144" i="26"/>
  <c r="CX144" i="26" s="1"/>
  <c r="BG144" i="26"/>
  <c r="BF144" i="26"/>
  <c r="BE144" i="26"/>
  <c r="BD144" i="26"/>
  <c r="BC144" i="26"/>
  <c r="BB144" i="26"/>
  <c r="BA144" i="26"/>
  <c r="AZ144" i="26"/>
  <c r="AY144" i="26"/>
  <c r="AX144" i="26"/>
  <c r="AW144" i="26"/>
  <c r="AV144" i="26"/>
  <c r="AU144" i="26"/>
  <c r="AT144" i="26"/>
  <c r="AS144" i="26"/>
  <c r="AR144" i="26"/>
  <c r="AQ144" i="26"/>
  <c r="AP144" i="26"/>
  <c r="AO144" i="26"/>
  <c r="AN144" i="26"/>
  <c r="AM144" i="26"/>
  <c r="AL144" i="26"/>
  <c r="AK144" i="26"/>
  <c r="AJ144" i="26"/>
  <c r="AI144" i="26"/>
  <c r="AH144" i="26"/>
  <c r="BL143" i="26"/>
  <c r="BK143" i="26"/>
  <c r="BJ143" i="26"/>
  <c r="BI143" i="26"/>
  <c r="BH143" i="26"/>
  <c r="CX143" i="26" s="1"/>
  <c r="BG143" i="26"/>
  <c r="BF143" i="26"/>
  <c r="BE143" i="26"/>
  <c r="BD143" i="26"/>
  <c r="BC143" i="26"/>
  <c r="BB143" i="26"/>
  <c r="BA143" i="26"/>
  <c r="AZ143" i="26"/>
  <c r="AY143" i="26"/>
  <c r="AX143" i="26"/>
  <c r="AW143" i="26"/>
  <c r="AV143" i="26"/>
  <c r="AU143" i="26"/>
  <c r="AT143" i="26"/>
  <c r="AS143" i="26"/>
  <c r="AR143" i="26"/>
  <c r="AQ143" i="26"/>
  <c r="AP143" i="26"/>
  <c r="AO143" i="26"/>
  <c r="AN143" i="26"/>
  <c r="AM143" i="26"/>
  <c r="AL143" i="26"/>
  <c r="AK143" i="26"/>
  <c r="AJ143" i="26"/>
  <c r="AI143" i="26"/>
  <c r="AH143" i="26"/>
  <c r="BL142" i="26"/>
  <c r="BK142" i="26"/>
  <c r="BJ142" i="26"/>
  <c r="BI142" i="26"/>
  <c r="BH142" i="26"/>
  <c r="CX142" i="26" s="1"/>
  <c r="BG142" i="26"/>
  <c r="BF142" i="26"/>
  <c r="BE142" i="26"/>
  <c r="BD142" i="26"/>
  <c r="BC142" i="26"/>
  <c r="BB142" i="26"/>
  <c r="BA142" i="26"/>
  <c r="AZ142" i="26"/>
  <c r="AY142" i="26"/>
  <c r="AX142" i="26"/>
  <c r="AW142" i="26"/>
  <c r="AV142" i="26"/>
  <c r="AU142" i="26"/>
  <c r="AT142" i="26"/>
  <c r="AS142" i="26"/>
  <c r="AR142" i="26"/>
  <c r="AQ142" i="26"/>
  <c r="AP142" i="26"/>
  <c r="AO142" i="26"/>
  <c r="AN142" i="26"/>
  <c r="AM142" i="26"/>
  <c r="AL142" i="26"/>
  <c r="AK142" i="26"/>
  <c r="AJ142" i="26"/>
  <c r="AI142" i="26"/>
  <c r="AH142" i="26"/>
  <c r="BL141" i="26"/>
  <c r="BK141" i="26"/>
  <c r="BJ141" i="26"/>
  <c r="BI141" i="26"/>
  <c r="BH141" i="26"/>
  <c r="CX141" i="26" s="1"/>
  <c r="BG141" i="26"/>
  <c r="BF141" i="26"/>
  <c r="BE141" i="26"/>
  <c r="BD141" i="26"/>
  <c r="BC141" i="26"/>
  <c r="BB141" i="26"/>
  <c r="BA141" i="26"/>
  <c r="AZ141" i="26"/>
  <c r="AY141" i="26"/>
  <c r="AX141" i="26"/>
  <c r="AW141" i="26"/>
  <c r="AV141" i="26"/>
  <c r="AU141" i="26"/>
  <c r="AT141" i="26"/>
  <c r="AS141" i="26"/>
  <c r="AR141" i="26"/>
  <c r="AQ141" i="26"/>
  <c r="AP141" i="26"/>
  <c r="AO141" i="26"/>
  <c r="AN141" i="26"/>
  <c r="AM141" i="26"/>
  <c r="AL141" i="26"/>
  <c r="AK141" i="26"/>
  <c r="AJ141" i="26"/>
  <c r="AI141" i="26"/>
  <c r="AH141" i="26"/>
  <c r="BL140" i="26"/>
  <c r="BK140" i="26"/>
  <c r="BJ140" i="26"/>
  <c r="BI140" i="26"/>
  <c r="BH140" i="26"/>
  <c r="CX140" i="26" s="1"/>
  <c r="BG140" i="26"/>
  <c r="BF140" i="26"/>
  <c r="BE140" i="26"/>
  <c r="BD140" i="26"/>
  <c r="BC140" i="26"/>
  <c r="BB140" i="26"/>
  <c r="BA140" i="26"/>
  <c r="AZ140" i="26"/>
  <c r="AY140" i="26"/>
  <c r="AX140" i="26"/>
  <c r="AW140" i="26"/>
  <c r="AV140" i="26"/>
  <c r="AU140" i="26"/>
  <c r="AT140" i="26"/>
  <c r="AS140" i="26"/>
  <c r="AR140" i="26"/>
  <c r="AQ140" i="26"/>
  <c r="AP140" i="26"/>
  <c r="AO140" i="26"/>
  <c r="AN140" i="26"/>
  <c r="AM140" i="26"/>
  <c r="AL140" i="26"/>
  <c r="AK140" i="26"/>
  <c r="AJ140" i="26"/>
  <c r="AI140" i="26"/>
  <c r="AH140" i="26"/>
  <c r="BL139" i="26"/>
  <c r="BK139" i="26"/>
  <c r="BJ139" i="26"/>
  <c r="BI139" i="26"/>
  <c r="BH139" i="26"/>
  <c r="CX139" i="26" s="1"/>
  <c r="BG139" i="26"/>
  <c r="BF139" i="26"/>
  <c r="BE139" i="26"/>
  <c r="BD139" i="26"/>
  <c r="BC139" i="26"/>
  <c r="BB139" i="26"/>
  <c r="BA139" i="26"/>
  <c r="AZ139" i="26"/>
  <c r="AY139" i="26"/>
  <c r="AX139" i="26"/>
  <c r="AW139" i="26"/>
  <c r="AV139" i="26"/>
  <c r="AU139" i="26"/>
  <c r="AT139" i="26"/>
  <c r="AS139" i="26"/>
  <c r="AR139" i="26"/>
  <c r="AQ139" i="26"/>
  <c r="AP139" i="26"/>
  <c r="AO139" i="26"/>
  <c r="AN139" i="26"/>
  <c r="AM139" i="26"/>
  <c r="AL139" i="26"/>
  <c r="AK139" i="26"/>
  <c r="AJ139" i="26"/>
  <c r="AI139" i="26"/>
  <c r="AH139" i="26"/>
  <c r="BL138" i="26"/>
  <c r="BK138" i="26"/>
  <c r="BJ138" i="26"/>
  <c r="BI138" i="26"/>
  <c r="BH138" i="26"/>
  <c r="CX138" i="26" s="1"/>
  <c r="BG138" i="26"/>
  <c r="BF138" i="26"/>
  <c r="BE138" i="26"/>
  <c r="BD138" i="26"/>
  <c r="BC138" i="26"/>
  <c r="BB138" i="26"/>
  <c r="BA138" i="26"/>
  <c r="AZ138" i="26"/>
  <c r="AY138" i="26"/>
  <c r="AX138" i="26"/>
  <c r="AW138" i="26"/>
  <c r="AV138" i="26"/>
  <c r="AU138" i="26"/>
  <c r="AT138" i="26"/>
  <c r="AS138" i="26"/>
  <c r="AR138" i="26"/>
  <c r="AQ138" i="26"/>
  <c r="AP138" i="26"/>
  <c r="AO138" i="26"/>
  <c r="AN138" i="26"/>
  <c r="AM138" i="26"/>
  <c r="AL138" i="26"/>
  <c r="AK138" i="26"/>
  <c r="AJ138" i="26"/>
  <c r="AI138" i="26"/>
  <c r="AH138" i="26"/>
  <c r="BL137" i="26"/>
  <c r="BK137" i="26"/>
  <c r="BJ137" i="26"/>
  <c r="BI137" i="26"/>
  <c r="BH137" i="26"/>
  <c r="CX137" i="26" s="1"/>
  <c r="BG137" i="26"/>
  <c r="BF137" i="26"/>
  <c r="BE137" i="26"/>
  <c r="BD137" i="26"/>
  <c r="BC137" i="26"/>
  <c r="BB137" i="26"/>
  <c r="BA137" i="26"/>
  <c r="AZ137" i="26"/>
  <c r="AY137" i="26"/>
  <c r="AX137" i="26"/>
  <c r="AW137" i="26"/>
  <c r="AV137" i="26"/>
  <c r="AU137" i="26"/>
  <c r="AT137" i="26"/>
  <c r="AS137" i="26"/>
  <c r="AR137" i="26"/>
  <c r="AQ137" i="26"/>
  <c r="AP137" i="26"/>
  <c r="AO137" i="26"/>
  <c r="AN137" i="26"/>
  <c r="AM137" i="26"/>
  <c r="AL137" i="26"/>
  <c r="AK137" i="26"/>
  <c r="AJ137" i="26"/>
  <c r="AI137" i="26"/>
  <c r="AH137" i="26"/>
  <c r="BL136" i="26"/>
  <c r="BK136" i="26"/>
  <c r="BJ136" i="26"/>
  <c r="BI136" i="26"/>
  <c r="BH136" i="26"/>
  <c r="CX136" i="26" s="1"/>
  <c r="BG136" i="26"/>
  <c r="BF136" i="26"/>
  <c r="BE136" i="26"/>
  <c r="BD136" i="26"/>
  <c r="BC136" i="26"/>
  <c r="BB136" i="26"/>
  <c r="BA136" i="26"/>
  <c r="AZ136" i="26"/>
  <c r="AY136" i="26"/>
  <c r="AX136" i="26"/>
  <c r="AW136" i="26"/>
  <c r="AV136" i="26"/>
  <c r="AU136" i="26"/>
  <c r="AT136" i="26"/>
  <c r="AS136" i="26"/>
  <c r="AR136" i="26"/>
  <c r="AQ136" i="26"/>
  <c r="AP136" i="26"/>
  <c r="AO136" i="26"/>
  <c r="AN136" i="26"/>
  <c r="AM136" i="26"/>
  <c r="AL136" i="26"/>
  <c r="AK136" i="26"/>
  <c r="AJ136" i="26"/>
  <c r="AI136" i="26"/>
  <c r="AH136" i="26"/>
  <c r="BL135" i="26"/>
  <c r="BK135" i="26"/>
  <c r="BJ135" i="26"/>
  <c r="BI135" i="26"/>
  <c r="BH135" i="26"/>
  <c r="CX135" i="26" s="1"/>
  <c r="BG135" i="26"/>
  <c r="BF135" i="26"/>
  <c r="BE135" i="26"/>
  <c r="BD135" i="26"/>
  <c r="BC135" i="26"/>
  <c r="BB135" i="26"/>
  <c r="BA135" i="26"/>
  <c r="AZ135" i="26"/>
  <c r="AY135" i="26"/>
  <c r="AX135" i="26"/>
  <c r="AW135" i="26"/>
  <c r="AV135" i="26"/>
  <c r="AU135" i="26"/>
  <c r="AT135" i="26"/>
  <c r="AS135" i="26"/>
  <c r="AR135" i="26"/>
  <c r="AQ135" i="26"/>
  <c r="AP135" i="26"/>
  <c r="AO135" i="26"/>
  <c r="AN135" i="26"/>
  <c r="AM135" i="26"/>
  <c r="AL135" i="26"/>
  <c r="AK135" i="26"/>
  <c r="AJ135" i="26"/>
  <c r="AI135" i="26"/>
  <c r="AH135" i="26"/>
  <c r="BL134" i="26"/>
  <c r="BK134" i="26"/>
  <c r="BJ134" i="26"/>
  <c r="BI134" i="26"/>
  <c r="BH134" i="26"/>
  <c r="CX134" i="26" s="1"/>
  <c r="BG134" i="26"/>
  <c r="BF134" i="26"/>
  <c r="BE134" i="26"/>
  <c r="BD134" i="26"/>
  <c r="BC134" i="26"/>
  <c r="BB134" i="26"/>
  <c r="BA134" i="26"/>
  <c r="AZ134" i="26"/>
  <c r="AY134" i="26"/>
  <c r="AX134" i="26"/>
  <c r="AW134" i="26"/>
  <c r="AV134" i="26"/>
  <c r="AU134" i="26"/>
  <c r="AT134" i="26"/>
  <c r="AS134" i="26"/>
  <c r="AR134" i="26"/>
  <c r="AQ134" i="26"/>
  <c r="AP134" i="26"/>
  <c r="AO134" i="26"/>
  <c r="AN134" i="26"/>
  <c r="AM134" i="26"/>
  <c r="AL134" i="26"/>
  <c r="AK134" i="26"/>
  <c r="AJ134" i="26"/>
  <c r="AI134" i="26"/>
  <c r="AH134" i="26"/>
  <c r="BL133" i="26"/>
  <c r="BK133" i="26"/>
  <c r="BJ133" i="26"/>
  <c r="BI133" i="26"/>
  <c r="BH133" i="26"/>
  <c r="CX133" i="26" s="1"/>
  <c r="BG133" i="26"/>
  <c r="BF133" i="26"/>
  <c r="BE133" i="26"/>
  <c r="BD133" i="26"/>
  <c r="BC133" i="26"/>
  <c r="BB133" i="26"/>
  <c r="BA133" i="26"/>
  <c r="AZ133" i="26"/>
  <c r="AY133" i="26"/>
  <c r="AX133" i="26"/>
  <c r="AW133" i="26"/>
  <c r="AV133" i="26"/>
  <c r="AU133" i="26"/>
  <c r="AT133" i="26"/>
  <c r="AS133" i="26"/>
  <c r="AR133" i="26"/>
  <c r="AQ133" i="26"/>
  <c r="AP133" i="26"/>
  <c r="AO133" i="26"/>
  <c r="AN133" i="26"/>
  <c r="AM133" i="26"/>
  <c r="AL133" i="26"/>
  <c r="AK133" i="26"/>
  <c r="AJ133" i="26"/>
  <c r="AI133" i="26"/>
  <c r="AH133" i="26"/>
  <c r="BL132" i="26"/>
  <c r="BK132" i="26"/>
  <c r="BJ132" i="26"/>
  <c r="BI132" i="26"/>
  <c r="BH132" i="26"/>
  <c r="CX132" i="26" s="1"/>
  <c r="BG132" i="26"/>
  <c r="BF132" i="26"/>
  <c r="BE132" i="26"/>
  <c r="BD132" i="26"/>
  <c r="BC132" i="26"/>
  <c r="BB132" i="26"/>
  <c r="BA132" i="26"/>
  <c r="AZ132" i="26"/>
  <c r="AY132" i="26"/>
  <c r="AX132" i="26"/>
  <c r="AW132" i="26"/>
  <c r="AV132" i="26"/>
  <c r="AU132" i="26"/>
  <c r="AT132" i="26"/>
  <c r="AS132" i="26"/>
  <c r="AR132" i="26"/>
  <c r="AQ132" i="26"/>
  <c r="AP132" i="26"/>
  <c r="AO132" i="26"/>
  <c r="AN132" i="26"/>
  <c r="AM132" i="26"/>
  <c r="AL132" i="26"/>
  <c r="AK132" i="26"/>
  <c r="AJ132" i="26"/>
  <c r="AI132" i="26"/>
  <c r="AH132" i="26"/>
  <c r="BL131" i="26"/>
  <c r="BK131" i="26"/>
  <c r="BJ131" i="26"/>
  <c r="BI131" i="26"/>
  <c r="BH131" i="26"/>
  <c r="CX131" i="26" s="1"/>
  <c r="BG131" i="26"/>
  <c r="BF131" i="26"/>
  <c r="BE131" i="26"/>
  <c r="BD131" i="26"/>
  <c r="BC131" i="26"/>
  <c r="BB131" i="26"/>
  <c r="BA131" i="26"/>
  <c r="AZ131" i="26"/>
  <c r="AY131" i="26"/>
  <c r="AX131" i="26"/>
  <c r="AW131" i="26"/>
  <c r="AV131" i="26"/>
  <c r="AU131" i="26"/>
  <c r="AT131" i="26"/>
  <c r="AS131" i="26"/>
  <c r="AR131" i="26"/>
  <c r="AQ131" i="26"/>
  <c r="AP131" i="26"/>
  <c r="AO131" i="26"/>
  <c r="AN131" i="26"/>
  <c r="AM131" i="26"/>
  <c r="AL131" i="26"/>
  <c r="AK131" i="26"/>
  <c r="AJ131" i="26"/>
  <c r="AI131" i="26"/>
  <c r="AH131" i="26"/>
  <c r="BL130" i="26"/>
  <c r="BK130" i="26"/>
  <c r="BJ130" i="26"/>
  <c r="BI130" i="26"/>
  <c r="BH130" i="26"/>
  <c r="CX130" i="26" s="1"/>
  <c r="BG130" i="26"/>
  <c r="BF130" i="26"/>
  <c r="BE130" i="26"/>
  <c r="BD130" i="26"/>
  <c r="BC130" i="26"/>
  <c r="BB130" i="26"/>
  <c r="BA130" i="26"/>
  <c r="AZ130" i="26"/>
  <c r="AY130" i="26"/>
  <c r="AX130" i="26"/>
  <c r="AW130" i="26"/>
  <c r="AV130" i="26"/>
  <c r="AU130" i="26"/>
  <c r="AT130" i="26"/>
  <c r="AS130" i="26"/>
  <c r="AR130" i="26"/>
  <c r="AQ130" i="26"/>
  <c r="AP130" i="26"/>
  <c r="AO130" i="26"/>
  <c r="AN130" i="26"/>
  <c r="AM130" i="26"/>
  <c r="AL130" i="26"/>
  <c r="AK130" i="26"/>
  <c r="AJ130" i="26"/>
  <c r="AI130" i="26"/>
  <c r="AH130" i="26"/>
  <c r="BL129" i="26"/>
  <c r="BK129" i="26"/>
  <c r="BJ129" i="26"/>
  <c r="BI129" i="26"/>
  <c r="BH129" i="26"/>
  <c r="CX129" i="26" s="1"/>
  <c r="BG129" i="26"/>
  <c r="BF129" i="26"/>
  <c r="BE129" i="26"/>
  <c r="BD129" i="26"/>
  <c r="BC129" i="26"/>
  <c r="BB129" i="26"/>
  <c r="BA129" i="26"/>
  <c r="AZ129" i="26"/>
  <c r="AY129" i="26"/>
  <c r="AX129" i="26"/>
  <c r="AW129" i="26"/>
  <c r="AV129" i="26"/>
  <c r="AU129" i="26"/>
  <c r="AT129" i="26"/>
  <c r="AS129" i="26"/>
  <c r="AR129" i="26"/>
  <c r="AQ129" i="26"/>
  <c r="AP129" i="26"/>
  <c r="AO129" i="26"/>
  <c r="AN129" i="26"/>
  <c r="AM129" i="26"/>
  <c r="AL129" i="26"/>
  <c r="AK129" i="26"/>
  <c r="AJ129" i="26"/>
  <c r="AI129" i="26"/>
  <c r="AH129" i="26"/>
  <c r="BL128" i="26"/>
  <c r="BK128" i="26"/>
  <c r="BJ128" i="26"/>
  <c r="BI128" i="26"/>
  <c r="BH128" i="26"/>
  <c r="CX128" i="26" s="1"/>
  <c r="BG128" i="26"/>
  <c r="BF128" i="26"/>
  <c r="BE128" i="26"/>
  <c r="BD128" i="26"/>
  <c r="BC128" i="26"/>
  <c r="BB128" i="26"/>
  <c r="BA128" i="26"/>
  <c r="AZ128" i="26"/>
  <c r="AY128" i="26"/>
  <c r="AX128" i="26"/>
  <c r="AW128" i="26"/>
  <c r="AV128" i="26"/>
  <c r="AU128" i="26"/>
  <c r="AT128" i="26"/>
  <c r="AS128" i="26"/>
  <c r="AR128" i="26"/>
  <c r="AQ128" i="26"/>
  <c r="AP128" i="26"/>
  <c r="AO128" i="26"/>
  <c r="AN128" i="26"/>
  <c r="AM128" i="26"/>
  <c r="AL128" i="26"/>
  <c r="AK128" i="26"/>
  <c r="AJ128" i="26"/>
  <c r="AI128" i="26"/>
  <c r="AH128" i="26"/>
  <c r="BL127" i="26"/>
  <c r="BK127" i="26"/>
  <c r="BJ127" i="26"/>
  <c r="BI127" i="26"/>
  <c r="BH127" i="26"/>
  <c r="CX127" i="26" s="1"/>
  <c r="BG127" i="26"/>
  <c r="BF127" i="26"/>
  <c r="BE127" i="26"/>
  <c r="BD127" i="26"/>
  <c r="BC127" i="26"/>
  <c r="BB127" i="26"/>
  <c r="BA127" i="26"/>
  <c r="AZ127" i="26"/>
  <c r="AY127" i="26"/>
  <c r="AX127" i="26"/>
  <c r="AW127" i="26"/>
  <c r="AV127" i="26"/>
  <c r="AU127" i="26"/>
  <c r="AT127" i="26"/>
  <c r="AS127" i="26"/>
  <c r="AR127" i="26"/>
  <c r="AQ127" i="26"/>
  <c r="AP127" i="26"/>
  <c r="AO127" i="26"/>
  <c r="AN127" i="26"/>
  <c r="AM127" i="26"/>
  <c r="AL127" i="26"/>
  <c r="AK127" i="26"/>
  <c r="AJ127" i="26"/>
  <c r="AI127" i="26"/>
  <c r="AH127" i="26"/>
  <c r="BL126" i="26"/>
  <c r="BK126" i="26"/>
  <c r="BJ126" i="26"/>
  <c r="BI126" i="26"/>
  <c r="BH126" i="26"/>
  <c r="CX126" i="26" s="1"/>
  <c r="BG126" i="26"/>
  <c r="BF126" i="26"/>
  <c r="BE126" i="26"/>
  <c r="BD126" i="26"/>
  <c r="BC126" i="26"/>
  <c r="BB126" i="26"/>
  <c r="BA126" i="26"/>
  <c r="AZ126" i="26"/>
  <c r="AY126" i="26"/>
  <c r="AX126" i="26"/>
  <c r="AW126" i="26"/>
  <c r="AV126" i="26"/>
  <c r="AU126" i="26"/>
  <c r="AT126" i="26"/>
  <c r="AS126" i="26"/>
  <c r="AR126" i="26"/>
  <c r="AQ126" i="26"/>
  <c r="AP126" i="26"/>
  <c r="AO126" i="26"/>
  <c r="AN126" i="26"/>
  <c r="AM126" i="26"/>
  <c r="AL126" i="26"/>
  <c r="AK126" i="26"/>
  <c r="AJ126" i="26"/>
  <c r="AI126" i="26"/>
  <c r="AH126" i="26"/>
  <c r="BL125" i="26"/>
  <c r="BK125" i="26"/>
  <c r="BJ125" i="26"/>
  <c r="BI125" i="26"/>
  <c r="BH125" i="26"/>
  <c r="CX125" i="26" s="1"/>
  <c r="BG125" i="26"/>
  <c r="BF125" i="26"/>
  <c r="BE125" i="26"/>
  <c r="BD125" i="26"/>
  <c r="BC125" i="26"/>
  <c r="BB125" i="26"/>
  <c r="BA125" i="26"/>
  <c r="AZ125" i="26"/>
  <c r="AY125" i="26"/>
  <c r="AX125" i="26"/>
  <c r="AW125" i="26"/>
  <c r="AV125" i="26"/>
  <c r="AU125" i="26"/>
  <c r="AT125" i="26"/>
  <c r="AS125" i="26"/>
  <c r="AR125" i="26"/>
  <c r="AQ125" i="26"/>
  <c r="AP125" i="26"/>
  <c r="AO125" i="26"/>
  <c r="AN125" i="26"/>
  <c r="AM125" i="26"/>
  <c r="AL125" i="26"/>
  <c r="AK125" i="26"/>
  <c r="AJ125" i="26"/>
  <c r="AI125" i="26"/>
  <c r="AH125" i="26"/>
  <c r="BL124" i="26"/>
  <c r="BK124" i="26"/>
  <c r="BJ124" i="26"/>
  <c r="BI124" i="26"/>
  <c r="BH124" i="26"/>
  <c r="CX124" i="26" s="1"/>
  <c r="BG124" i="26"/>
  <c r="BF124" i="26"/>
  <c r="BE124" i="26"/>
  <c r="BD124" i="26"/>
  <c r="BC124" i="26"/>
  <c r="BB124" i="26"/>
  <c r="BA124" i="26"/>
  <c r="AZ124" i="26"/>
  <c r="AY124" i="26"/>
  <c r="AX124" i="26"/>
  <c r="AW124" i="26"/>
  <c r="AV124" i="26"/>
  <c r="AU124" i="26"/>
  <c r="AT124" i="26"/>
  <c r="AS124" i="26"/>
  <c r="AR124" i="26"/>
  <c r="AQ124" i="26"/>
  <c r="AP124" i="26"/>
  <c r="AO124" i="26"/>
  <c r="AN124" i="26"/>
  <c r="AM124" i="26"/>
  <c r="AL124" i="26"/>
  <c r="AK124" i="26"/>
  <c r="AJ124" i="26"/>
  <c r="AI124" i="26"/>
  <c r="AH124" i="26"/>
  <c r="BL123" i="26"/>
  <c r="BK123" i="26"/>
  <c r="BJ123" i="26"/>
  <c r="BI123" i="26"/>
  <c r="BH123" i="26"/>
  <c r="CX123" i="26" s="1"/>
  <c r="BG123" i="26"/>
  <c r="BF123" i="26"/>
  <c r="BE123" i="26"/>
  <c r="BD123" i="26"/>
  <c r="BC123" i="26"/>
  <c r="BB123" i="26"/>
  <c r="BA123" i="26"/>
  <c r="AZ123" i="26"/>
  <c r="AY123" i="26"/>
  <c r="AX123" i="26"/>
  <c r="AW123" i="26"/>
  <c r="AV123" i="26"/>
  <c r="AU123" i="26"/>
  <c r="AT123" i="26"/>
  <c r="AS123" i="26"/>
  <c r="AR123" i="26"/>
  <c r="AQ123" i="26"/>
  <c r="AP123" i="26"/>
  <c r="AO123" i="26"/>
  <c r="AN123" i="26"/>
  <c r="AM123" i="26"/>
  <c r="AL123" i="26"/>
  <c r="AK123" i="26"/>
  <c r="AJ123" i="26"/>
  <c r="AI123" i="26"/>
  <c r="AH123" i="26"/>
  <c r="BL122" i="26"/>
  <c r="BK122" i="26"/>
  <c r="BJ122" i="26"/>
  <c r="BI122" i="26"/>
  <c r="BH122" i="26"/>
  <c r="CX122" i="26" s="1"/>
  <c r="BG122" i="26"/>
  <c r="BF122" i="26"/>
  <c r="BE122" i="26"/>
  <c r="BD122" i="26"/>
  <c r="BC122" i="26"/>
  <c r="BB122" i="26"/>
  <c r="BA122" i="26"/>
  <c r="AZ122" i="26"/>
  <c r="AY122" i="26"/>
  <c r="AX122" i="26"/>
  <c r="AW122" i="26"/>
  <c r="AV122" i="26"/>
  <c r="AU122" i="26"/>
  <c r="AT122" i="26"/>
  <c r="AS122" i="26"/>
  <c r="AR122" i="26"/>
  <c r="AQ122" i="26"/>
  <c r="AP122" i="26"/>
  <c r="AO122" i="26"/>
  <c r="AN122" i="26"/>
  <c r="AM122" i="26"/>
  <c r="AL122" i="26"/>
  <c r="AK122" i="26"/>
  <c r="AJ122" i="26"/>
  <c r="AI122" i="26"/>
  <c r="AH122" i="26"/>
  <c r="BL121" i="26"/>
  <c r="BK121" i="26"/>
  <c r="BJ121" i="26"/>
  <c r="BI121" i="26"/>
  <c r="BH121" i="26"/>
  <c r="CX121" i="26" s="1"/>
  <c r="BG121" i="26"/>
  <c r="BF121" i="26"/>
  <c r="BE121" i="26"/>
  <c r="BD121" i="26"/>
  <c r="BC121" i="26"/>
  <c r="BB121" i="26"/>
  <c r="BA121" i="26"/>
  <c r="AZ121" i="26"/>
  <c r="AY121" i="26"/>
  <c r="AX121" i="26"/>
  <c r="AW121" i="26"/>
  <c r="AV121" i="26"/>
  <c r="AU121" i="26"/>
  <c r="AT121" i="26"/>
  <c r="AS121" i="26"/>
  <c r="AR121" i="26"/>
  <c r="AQ121" i="26"/>
  <c r="AP121" i="26"/>
  <c r="AO121" i="26"/>
  <c r="AN121" i="26"/>
  <c r="AM121" i="26"/>
  <c r="AL121" i="26"/>
  <c r="AK121" i="26"/>
  <c r="AJ121" i="26"/>
  <c r="AI121" i="26"/>
  <c r="AH121" i="26"/>
  <c r="BL120" i="26"/>
  <c r="BK120" i="26"/>
  <c r="BJ120" i="26"/>
  <c r="BI120" i="26"/>
  <c r="BH120" i="26"/>
  <c r="CX120" i="26" s="1"/>
  <c r="BG120" i="26"/>
  <c r="BF120" i="26"/>
  <c r="BE120" i="26"/>
  <c r="BD120" i="26"/>
  <c r="BC120" i="26"/>
  <c r="BB120" i="26"/>
  <c r="BA120" i="26"/>
  <c r="AZ120" i="26"/>
  <c r="AY120" i="26"/>
  <c r="AX120" i="26"/>
  <c r="AW120" i="26"/>
  <c r="AV120" i="26"/>
  <c r="AU120" i="26"/>
  <c r="AT120" i="26"/>
  <c r="AS120" i="26"/>
  <c r="AR120" i="26"/>
  <c r="AQ120" i="26"/>
  <c r="AP120" i="26"/>
  <c r="AO120" i="26"/>
  <c r="AN120" i="26"/>
  <c r="AM120" i="26"/>
  <c r="AL120" i="26"/>
  <c r="AK120" i="26"/>
  <c r="AJ120" i="26"/>
  <c r="AI120" i="26"/>
  <c r="AH120" i="26"/>
  <c r="BL119" i="26"/>
  <c r="BK119" i="26"/>
  <c r="BJ119" i="26"/>
  <c r="BI119" i="26"/>
  <c r="BH119" i="26"/>
  <c r="CX119" i="26" s="1"/>
  <c r="BG119" i="26"/>
  <c r="BF119" i="26"/>
  <c r="BE119" i="26"/>
  <c r="BD119" i="26"/>
  <c r="BC119" i="26"/>
  <c r="BB119" i="26"/>
  <c r="BA119" i="26"/>
  <c r="AZ119" i="26"/>
  <c r="AY119" i="26"/>
  <c r="AX119" i="26"/>
  <c r="AW119" i="26"/>
  <c r="AV119" i="26"/>
  <c r="AU119" i="26"/>
  <c r="AT119" i="26"/>
  <c r="AS119" i="26"/>
  <c r="AR119" i="26"/>
  <c r="AQ119" i="26"/>
  <c r="AP119" i="26"/>
  <c r="AO119" i="26"/>
  <c r="AN119" i="26"/>
  <c r="AM119" i="26"/>
  <c r="AL119" i="26"/>
  <c r="AK119" i="26"/>
  <c r="AJ119" i="26"/>
  <c r="AI119" i="26"/>
  <c r="AH119" i="26"/>
  <c r="BL118" i="26"/>
  <c r="BK118" i="26"/>
  <c r="BJ118" i="26"/>
  <c r="BI118" i="26"/>
  <c r="BH118" i="26"/>
  <c r="CX118" i="26" s="1"/>
  <c r="BG118" i="26"/>
  <c r="BF118" i="26"/>
  <c r="BE118" i="26"/>
  <c r="BD118" i="26"/>
  <c r="BC118" i="26"/>
  <c r="BB118" i="26"/>
  <c r="BA118" i="26"/>
  <c r="AZ118" i="26"/>
  <c r="AY118" i="26"/>
  <c r="AX118" i="26"/>
  <c r="AW118" i="26"/>
  <c r="AV118" i="26"/>
  <c r="AU118" i="26"/>
  <c r="AT118" i="26"/>
  <c r="AS118" i="26"/>
  <c r="AR118" i="26"/>
  <c r="AQ118" i="26"/>
  <c r="AP118" i="26"/>
  <c r="AO118" i="26"/>
  <c r="AN118" i="26"/>
  <c r="AM118" i="26"/>
  <c r="AL118" i="26"/>
  <c r="AK118" i="26"/>
  <c r="AJ118" i="26"/>
  <c r="AI118" i="26"/>
  <c r="AH118" i="26"/>
  <c r="BL117" i="26"/>
  <c r="BK117" i="26"/>
  <c r="BJ117" i="26"/>
  <c r="BI117" i="26"/>
  <c r="BH117" i="26"/>
  <c r="CX117" i="26" s="1"/>
  <c r="BG117" i="26"/>
  <c r="BF117" i="26"/>
  <c r="BE117" i="26"/>
  <c r="BD117" i="26"/>
  <c r="BC117" i="26"/>
  <c r="BB117" i="26"/>
  <c r="BA117" i="26"/>
  <c r="AZ117" i="26"/>
  <c r="AY117" i="26"/>
  <c r="AX117" i="26"/>
  <c r="AW117" i="26"/>
  <c r="AV117" i="26"/>
  <c r="AU117" i="26"/>
  <c r="AT117" i="26"/>
  <c r="AS117" i="26"/>
  <c r="AR117" i="26"/>
  <c r="AQ117" i="26"/>
  <c r="AP117" i="26"/>
  <c r="AO117" i="26"/>
  <c r="AN117" i="26"/>
  <c r="AM117" i="26"/>
  <c r="AL117" i="26"/>
  <c r="AK117" i="26"/>
  <c r="AJ117" i="26"/>
  <c r="AI117" i="26"/>
  <c r="AH117" i="26"/>
  <c r="BL116" i="26"/>
  <c r="BK116" i="26"/>
  <c r="BJ116" i="26"/>
  <c r="BI116" i="26"/>
  <c r="BH116" i="26"/>
  <c r="CX116" i="26" s="1"/>
  <c r="BG116" i="26"/>
  <c r="BF116" i="26"/>
  <c r="BE116" i="26"/>
  <c r="BD116" i="26"/>
  <c r="BC116" i="26"/>
  <c r="BB116" i="26"/>
  <c r="BA116" i="26"/>
  <c r="AZ116" i="26"/>
  <c r="AY116" i="26"/>
  <c r="AX116" i="26"/>
  <c r="AW116" i="26"/>
  <c r="AV116" i="26"/>
  <c r="AU116" i="26"/>
  <c r="AT116" i="26"/>
  <c r="AS116" i="26"/>
  <c r="AR116" i="26"/>
  <c r="AQ116" i="26"/>
  <c r="AP116" i="26"/>
  <c r="AO116" i="26"/>
  <c r="AN116" i="26"/>
  <c r="AM116" i="26"/>
  <c r="AL116" i="26"/>
  <c r="AK116" i="26"/>
  <c r="AJ116" i="26"/>
  <c r="AI116" i="26"/>
  <c r="AH116" i="26"/>
  <c r="BL115" i="26"/>
  <c r="BK115" i="26"/>
  <c r="BJ115" i="26"/>
  <c r="BI115" i="26"/>
  <c r="BH115" i="26"/>
  <c r="CX115" i="26" s="1"/>
  <c r="BG115" i="26"/>
  <c r="BF115" i="26"/>
  <c r="BE115" i="26"/>
  <c r="BD115" i="26"/>
  <c r="BC115" i="26"/>
  <c r="BB115" i="26"/>
  <c r="BA115" i="26"/>
  <c r="AZ115" i="26"/>
  <c r="AY115" i="26"/>
  <c r="AX115" i="26"/>
  <c r="AW115" i="26"/>
  <c r="AV115" i="26"/>
  <c r="AU115" i="26"/>
  <c r="AT115" i="26"/>
  <c r="AS115" i="26"/>
  <c r="AR115" i="26"/>
  <c r="AQ115" i="26"/>
  <c r="AP115" i="26"/>
  <c r="AO115" i="26"/>
  <c r="AN115" i="26"/>
  <c r="AM115" i="26"/>
  <c r="AL115" i="26"/>
  <c r="AK115" i="26"/>
  <c r="AJ115" i="26"/>
  <c r="AI115" i="26"/>
  <c r="AH115" i="26"/>
  <c r="BL114" i="26"/>
  <c r="BK114" i="26"/>
  <c r="BJ114" i="26"/>
  <c r="BI114" i="26"/>
  <c r="BH114" i="26"/>
  <c r="CX114" i="26" s="1"/>
  <c r="BG114" i="26"/>
  <c r="BF114" i="26"/>
  <c r="BE114" i="26"/>
  <c r="BD114" i="26"/>
  <c r="BC114" i="26"/>
  <c r="BB114" i="26"/>
  <c r="BA114" i="26"/>
  <c r="AZ114" i="26"/>
  <c r="AY114" i="26"/>
  <c r="AX114" i="26"/>
  <c r="AW114" i="26"/>
  <c r="AV114" i="26"/>
  <c r="AU114" i="26"/>
  <c r="AT114" i="26"/>
  <c r="AS114" i="26"/>
  <c r="AR114" i="26"/>
  <c r="AQ114" i="26"/>
  <c r="AP114" i="26"/>
  <c r="AO114" i="26"/>
  <c r="AN114" i="26"/>
  <c r="AM114" i="26"/>
  <c r="AL114" i="26"/>
  <c r="AK114" i="26"/>
  <c r="AJ114" i="26"/>
  <c r="AI114" i="26"/>
  <c r="AH114" i="26"/>
  <c r="BL113" i="26"/>
  <c r="BK113" i="26"/>
  <c r="BJ113" i="26"/>
  <c r="BI113" i="26"/>
  <c r="BH113" i="26"/>
  <c r="CX113" i="26" s="1"/>
  <c r="BG113" i="26"/>
  <c r="BF113" i="26"/>
  <c r="BE113" i="26"/>
  <c r="BD113" i="26"/>
  <c r="BC113" i="26"/>
  <c r="BB113" i="26"/>
  <c r="BA113" i="26"/>
  <c r="AZ113" i="26"/>
  <c r="AY113" i="26"/>
  <c r="AX113" i="26"/>
  <c r="AW113" i="26"/>
  <c r="AV113" i="26"/>
  <c r="AU113" i="26"/>
  <c r="AT113" i="26"/>
  <c r="AS113" i="26"/>
  <c r="AR113" i="26"/>
  <c r="AQ113" i="26"/>
  <c r="AP113" i="26"/>
  <c r="AO113" i="26"/>
  <c r="AN113" i="26"/>
  <c r="AM113" i="26"/>
  <c r="AL113" i="26"/>
  <c r="AK113" i="26"/>
  <c r="AJ113" i="26"/>
  <c r="AI113" i="26"/>
  <c r="AH113" i="26"/>
  <c r="BL112" i="26"/>
  <c r="BK112" i="26"/>
  <c r="BJ112" i="26"/>
  <c r="BI112" i="26"/>
  <c r="BH112" i="26"/>
  <c r="CX112" i="26" s="1"/>
  <c r="BG112" i="26"/>
  <c r="BF112" i="26"/>
  <c r="BE112" i="26"/>
  <c r="BD112" i="26"/>
  <c r="BC112" i="26"/>
  <c r="BB112" i="26"/>
  <c r="BA112" i="26"/>
  <c r="AZ112" i="26"/>
  <c r="AY112" i="26"/>
  <c r="AX112" i="26"/>
  <c r="AW112" i="26"/>
  <c r="AV112" i="26"/>
  <c r="AU112" i="26"/>
  <c r="AT112" i="26"/>
  <c r="AS112" i="26"/>
  <c r="AR112" i="26"/>
  <c r="AQ112" i="26"/>
  <c r="AP112" i="26"/>
  <c r="AO112" i="26"/>
  <c r="AN112" i="26"/>
  <c r="AM112" i="26"/>
  <c r="AL112" i="26"/>
  <c r="AK112" i="26"/>
  <c r="AJ112" i="26"/>
  <c r="AI112" i="26"/>
  <c r="AH112" i="26"/>
  <c r="BL111" i="26"/>
  <c r="BK111" i="26"/>
  <c r="BJ111" i="26"/>
  <c r="BI111" i="26"/>
  <c r="BH111" i="26"/>
  <c r="CX111" i="26" s="1"/>
  <c r="BG111" i="26"/>
  <c r="BF111" i="26"/>
  <c r="BE111" i="26"/>
  <c r="BD111" i="26"/>
  <c r="BC111" i="26"/>
  <c r="BB111" i="26"/>
  <c r="BA111" i="26"/>
  <c r="AZ111" i="26"/>
  <c r="AY111" i="26"/>
  <c r="AX111" i="26"/>
  <c r="AW111" i="26"/>
  <c r="AV111" i="26"/>
  <c r="AU111" i="26"/>
  <c r="AT111" i="26"/>
  <c r="AS111" i="26"/>
  <c r="AR111" i="26"/>
  <c r="AQ111" i="26"/>
  <c r="AP111" i="26"/>
  <c r="AO111" i="26"/>
  <c r="AN111" i="26"/>
  <c r="AM111" i="26"/>
  <c r="AL111" i="26"/>
  <c r="AK111" i="26"/>
  <c r="AJ111" i="26"/>
  <c r="AI111" i="26"/>
  <c r="AH111" i="26"/>
  <c r="BL110" i="26"/>
  <c r="BK110" i="26"/>
  <c r="BJ110" i="26"/>
  <c r="BI110" i="26"/>
  <c r="BH110" i="26"/>
  <c r="CX110" i="26" s="1"/>
  <c r="BG110" i="26"/>
  <c r="BF110" i="26"/>
  <c r="BE110" i="26"/>
  <c r="BD110" i="26"/>
  <c r="BC110" i="26"/>
  <c r="BB110" i="26"/>
  <c r="BA110" i="26"/>
  <c r="AZ110" i="26"/>
  <c r="AY110" i="26"/>
  <c r="AX110" i="26"/>
  <c r="AW110" i="26"/>
  <c r="AV110" i="26"/>
  <c r="AU110" i="26"/>
  <c r="AT110" i="26"/>
  <c r="AS110" i="26"/>
  <c r="AR110" i="26"/>
  <c r="AQ110" i="26"/>
  <c r="AP110" i="26"/>
  <c r="AO110" i="26"/>
  <c r="AN110" i="26"/>
  <c r="AM110" i="26"/>
  <c r="AL110" i="26"/>
  <c r="AK110" i="26"/>
  <c r="AJ110" i="26"/>
  <c r="AI110" i="26"/>
  <c r="AH110" i="26"/>
  <c r="BL109" i="26"/>
  <c r="BK109" i="26"/>
  <c r="BJ109" i="26"/>
  <c r="BI109" i="26"/>
  <c r="BH109" i="26"/>
  <c r="CX109" i="26" s="1"/>
  <c r="BG109" i="26"/>
  <c r="BF109" i="26"/>
  <c r="BE109" i="26"/>
  <c r="BD109" i="26"/>
  <c r="BC109" i="26"/>
  <c r="BB109" i="26"/>
  <c r="BA109" i="26"/>
  <c r="AZ109" i="26"/>
  <c r="AY109" i="26"/>
  <c r="AX109" i="26"/>
  <c r="AW109" i="26"/>
  <c r="AV109" i="26"/>
  <c r="AU109" i="26"/>
  <c r="AT109" i="26"/>
  <c r="AS109" i="26"/>
  <c r="AR109" i="26"/>
  <c r="AQ109" i="26"/>
  <c r="AP109" i="26"/>
  <c r="AO109" i="26"/>
  <c r="AN109" i="26"/>
  <c r="AM109" i="26"/>
  <c r="AL109" i="26"/>
  <c r="AK109" i="26"/>
  <c r="AJ109" i="26"/>
  <c r="AI109" i="26"/>
  <c r="AH109" i="26"/>
  <c r="BL108" i="26"/>
  <c r="BK108" i="26"/>
  <c r="BJ108" i="26"/>
  <c r="BI108" i="26"/>
  <c r="BH108" i="26"/>
  <c r="CX108" i="26" s="1"/>
  <c r="BG108" i="26"/>
  <c r="BF108" i="26"/>
  <c r="BE108" i="26"/>
  <c r="BD108" i="26"/>
  <c r="BC108" i="26"/>
  <c r="BB108" i="26"/>
  <c r="BA108" i="26"/>
  <c r="AZ108" i="26"/>
  <c r="AY108" i="26"/>
  <c r="AX108" i="26"/>
  <c r="AW108" i="26"/>
  <c r="AV108" i="26"/>
  <c r="AU108" i="26"/>
  <c r="AT108" i="26"/>
  <c r="AS108" i="26"/>
  <c r="AR108" i="26"/>
  <c r="AQ108" i="26"/>
  <c r="AP108" i="26"/>
  <c r="AO108" i="26"/>
  <c r="AN108" i="26"/>
  <c r="AM108" i="26"/>
  <c r="AL108" i="26"/>
  <c r="AK108" i="26"/>
  <c r="AJ108" i="26"/>
  <c r="AI108" i="26"/>
  <c r="AH108" i="26"/>
  <c r="BL107" i="26"/>
  <c r="BK107" i="26"/>
  <c r="BJ107" i="26"/>
  <c r="BI107" i="26"/>
  <c r="BH107" i="26"/>
  <c r="CX107" i="26" s="1"/>
  <c r="BG107" i="26"/>
  <c r="BF107" i="26"/>
  <c r="BE107" i="26"/>
  <c r="BD107" i="26"/>
  <c r="BC107" i="26"/>
  <c r="BB107" i="26"/>
  <c r="BA107" i="26"/>
  <c r="AZ107" i="26"/>
  <c r="AY107" i="26"/>
  <c r="AX107" i="26"/>
  <c r="AW107" i="26"/>
  <c r="AV107" i="26"/>
  <c r="AU107" i="26"/>
  <c r="AT107" i="26"/>
  <c r="AS107" i="26"/>
  <c r="AR107" i="26"/>
  <c r="AQ107" i="26"/>
  <c r="AP107" i="26"/>
  <c r="AO107" i="26"/>
  <c r="AN107" i="26"/>
  <c r="AM107" i="26"/>
  <c r="AL107" i="26"/>
  <c r="AK107" i="26"/>
  <c r="AJ107" i="26"/>
  <c r="AI107" i="26"/>
  <c r="AH107" i="26"/>
  <c r="BL106" i="26"/>
  <c r="BK106" i="26"/>
  <c r="BJ106" i="26"/>
  <c r="BI106" i="26"/>
  <c r="BH106" i="26"/>
  <c r="CX106" i="26" s="1"/>
  <c r="BG106" i="26"/>
  <c r="BF106" i="26"/>
  <c r="BE106" i="26"/>
  <c r="BD106" i="26"/>
  <c r="BC106" i="26"/>
  <c r="BB106" i="26"/>
  <c r="BA106" i="26"/>
  <c r="AZ106" i="26"/>
  <c r="AY106" i="26"/>
  <c r="AX106" i="26"/>
  <c r="AW106" i="26"/>
  <c r="AV106" i="26"/>
  <c r="AU106" i="26"/>
  <c r="AT106" i="26"/>
  <c r="AS106" i="26"/>
  <c r="AR106" i="26"/>
  <c r="AQ106" i="26"/>
  <c r="AP106" i="26"/>
  <c r="AO106" i="26"/>
  <c r="AN106" i="26"/>
  <c r="AM106" i="26"/>
  <c r="AL106" i="26"/>
  <c r="AK106" i="26"/>
  <c r="AJ106" i="26"/>
  <c r="AI106" i="26"/>
  <c r="AH106" i="26"/>
  <c r="BL105" i="26"/>
  <c r="BK105" i="26"/>
  <c r="BJ105" i="26"/>
  <c r="BI105" i="26"/>
  <c r="BH105" i="26"/>
  <c r="CX105" i="26" s="1"/>
  <c r="BG105" i="26"/>
  <c r="BF105" i="26"/>
  <c r="BE105" i="26"/>
  <c r="BD105" i="26"/>
  <c r="BC105" i="26"/>
  <c r="BB105" i="26"/>
  <c r="BA105" i="26"/>
  <c r="AZ105" i="26"/>
  <c r="AY105" i="26"/>
  <c r="AX105" i="26"/>
  <c r="AW105" i="26"/>
  <c r="AV105" i="26"/>
  <c r="AU105" i="26"/>
  <c r="AT105" i="26"/>
  <c r="AS105" i="26"/>
  <c r="AR105" i="26"/>
  <c r="AQ105" i="26"/>
  <c r="AP105" i="26"/>
  <c r="AO105" i="26"/>
  <c r="AN105" i="26"/>
  <c r="AM105" i="26"/>
  <c r="AL105" i="26"/>
  <c r="AK105" i="26"/>
  <c r="AJ105" i="26"/>
  <c r="AI105" i="26"/>
  <c r="AH105" i="26"/>
  <c r="BL104" i="26"/>
  <c r="BK104" i="26"/>
  <c r="BJ104" i="26"/>
  <c r="BI104" i="26"/>
  <c r="BH104" i="26"/>
  <c r="CX104" i="26" s="1"/>
  <c r="BG104" i="26"/>
  <c r="BF104" i="26"/>
  <c r="BE104" i="26"/>
  <c r="BD104" i="26"/>
  <c r="BC104" i="26"/>
  <c r="BB104" i="26"/>
  <c r="BA104" i="26"/>
  <c r="AZ104" i="26"/>
  <c r="AY104" i="26"/>
  <c r="AX104" i="26"/>
  <c r="AW104" i="26"/>
  <c r="AV104" i="26"/>
  <c r="AU104" i="26"/>
  <c r="AT104" i="26"/>
  <c r="AS104" i="26"/>
  <c r="AR104" i="26"/>
  <c r="AQ104" i="26"/>
  <c r="AP104" i="26"/>
  <c r="AO104" i="26"/>
  <c r="AN104" i="26"/>
  <c r="AM104" i="26"/>
  <c r="AL104" i="26"/>
  <c r="AK104" i="26"/>
  <c r="AJ104" i="26"/>
  <c r="AI104" i="26"/>
  <c r="AH104" i="26"/>
  <c r="BL103" i="26"/>
  <c r="BK103" i="26"/>
  <c r="BJ103" i="26"/>
  <c r="BI103" i="26"/>
  <c r="BH103" i="26"/>
  <c r="CX103" i="26" s="1"/>
  <c r="BG103" i="26"/>
  <c r="BF103" i="26"/>
  <c r="BE103" i="26"/>
  <c r="BD103" i="26"/>
  <c r="BC103" i="26"/>
  <c r="BB103" i="26"/>
  <c r="BA103" i="26"/>
  <c r="AZ103" i="26"/>
  <c r="AY103" i="26"/>
  <c r="AX103" i="26"/>
  <c r="AW103" i="26"/>
  <c r="AV103" i="26"/>
  <c r="AU103" i="26"/>
  <c r="AT103" i="26"/>
  <c r="AS103" i="26"/>
  <c r="AR103" i="26"/>
  <c r="AQ103" i="26"/>
  <c r="AP103" i="26"/>
  <c r="AO103" i="26"/>
  <c r="AN103" i="26"/>
  <c r="AM103" i="26"/>
  <c r="AL103" i="26"/>
  <c r="AK103" i="26"/>
  <c r="AJ103" i="26"/>
  <c r="AI103" i="26"/>
  <c r="AH103" i="26"/>
  <c r="BL102" i="26"/>
  <c r="BK102" i="26"/>
  <c r="BJ102" i="26"/>
  <c r="BI102" i="26"/>
  <c r="BH102" i="26"/>
  <c r="CX102" i="26" s="1"/>
  <c r="BG102" i="26"/>
  <c r="BF102" i="26"/>
  <c r="BE102" i="26"/>
  <c r="BD102" i="26"/>
  <c r="BC102" i="26"/>
  <c r="BB102" i="26"/>
  <c r="BA102" i="26"/>
  <c r="AZ102" i="26"/>
  <c r="AY102" i="26"/>
  <c r="AX102" i="26"/>
  <c r="AW102" i="26"/>
  <c r="AV102" i="26"/>
  <c r="AU102" i="26"/>
  <c r="AT102" i="26"/>
  <c r="AS102" i="26"/>
  <c r="AR102" i="26"/>
  <c r="AQ102" i="26"/>
  <c r="AP102" i="26"/>
  <c r="AO102" i="26"/>
  <c r="AN102" i="26"/>
  <c r="AM102" i="26"/>
  <c r="AL102" i="26"/>
  <c r="AK102" i="26"/>
  <c r="AJ102" i="26"/>
  <c r="AI102" i="26"/>
  <c r="AH102" i="26"/>
  <c r="BL101" i="26"/>
  <c r="BK101" i="26"/>
  <c r="BJ101" i="26"/>
  <c r="BI101" i="26"/>
  <c r="BH101" i="26"/>
  <c r="CX101" i="26" s="1"/>
  <c r="BG101" i="26"/>
  <c r="BF101" i="26"/>
  <c r="BE101" i="26"/>
  <c r="BD101" i="26"/>
  <c r="BC101" i="26"/>
  <c r="BB101" i="26"/>
  <c r="BA101" i="26"/>
  <c r="AZ101" i="26"/>
  <c r="AY101" i="26"/>
  <c r="AX101" i="26"/>
  <c r="AW101" i="26"/>
  <c r="AV101" i="26"/>
  <c r="AU101" i="26"/>
  <c r="AT101" i="26"/>
  <c r="AS101" i="26"/>
  <c r="AR101" i="26"/>
  <c r="AQ101" i="26"/>
  <c r="AP101" i="26"/>
  <c r="AO101" i="26"/>
  <c r="AN101" i="26"/>
  <c r="AM101" i="26"/>
  <c r="AL101" i="26"/>
  <c r="AK101" i="26"/>
  <c r="AJ101" i="26"/>
  <c r="AI101" i="26"/>
  <c r="AH101" i="26"/>
  <c r="BL100" i="26"/>
  <c r="BK100" i="26"/>
  <c r="BJ100" i="26"/>
  <c r="BI100" i="26"/>
  <c r="BH100" i="26"/>
  <c r="CX100" i="26" s="1"/>
  <c r="BG100" i="26"/>
  <c r="BF100" i="26"/>
  <c r="BE100" i="26"/>
  <c r="BD100" i="26"/>
  <c r="BC100" i="26"/>
  <c r="BB100" i="26"/>
  <c r="BA100" i="26"/>
  <c r="AZ100" i="26"/>
  <c r="AY100" i="26"/>
  <c r="AX100" i="26"/>
  <c r="AW100" i="26"/>
  <c r="AV100" i="26"/>
  <c r="AU100" i="26"/>
  <c r="AT100" i="26"/>
  <c r="AS100" i="26"/>
  <c r="AR100" i="26"/>
  <c r="AQ100" i="26"/>
  <c r="AP100" i="26"/>
  <c r="AO100" i="26"/>
  <c r="AN100" i="26"/>
  <c r="AM100" i="26"/>
  <c r="AL100" i="26"/>
  <c r="AK100" i="26"/>
  <c r="AJ100" i="26"/>
  <c r="AI100" i="26"/>
  <c r="AH100" i="26"/>
  <c r="BL99" i="26"/>
  <c r="BK99" i="26"/>
  <c r="BJ99" i="26"/>
  <c r="BI99" i="26"/>
  <c r="BH99" i="26"/>
  <c r="CX99" i="26" s="1"/>
  <c r="BG99" i="26"/>
  <c r="BF99" i="26"/>
  <c r="BE99" i="26"/>
  <c r="BD99" i="26"/>
  <c r="BC99" i="26"/>
  <c r="BB99" i="26"/>
  <c r="BA99" i="26"/>
  <c r="AZ99" i="26"/>
  <c r="AY99" i="26"/>
  <c r="AX99" i="26"/>
  <c r="AW99" i="26"/>
  <c r="AV99" i="26"/>
  <c r="AU99" i="26"/>
  <c r="AT99" i="26"/>
  <c r="AS99" i="26"/>
  <c r="AR99" i="26"/>
  <c r="AQ99" i="26"/>
  <c r="AP99" i="26"/>
  <c r="AO99" i="26"/>
  <c r="AN99" i="26"/>
  <c r="AM99" i="26"/>
  <c r="AL99" i="26"/>
  <c r="AK99" i="26"/>
  <c r="AJ99" i="26"/>
  <c r="AI99" i="26"/>
  <c r="AH99" i="26"/>
  <c r="BL98" i="26"/>
  <c r="BK98" i="26"/>
  <c r="BJ98" i="26"/>
  <c r="BI98" i="26"/>
  <c r="BH98" i="26"/>
  <c r="CX98" i="26" s="1"/>
  <c r="BG98" i="26"/>
  <c r="BF98" i="26"/>
  <c r="BE98" i="26"/>
  <c r="BD98" i="26"/>
  <c r="BC98" i="26"/>
  <c r="BB98" i="26"/>
  <c r="BA98" i="26"/>
  <c r="AZ98" i="26"/>
  <c r="AY98" i="26"/>
  <c r="AX98" i="26"/>
  <c r="AW98" i="26"/>
  <c r="AV98" i="26"/>
  <c r="AU98" i="26"/>
  <c r="AT98" i="26"/>
  <c r="AS98" i="26"/>
  <c r="AR98" i="26"/>
  <c r="AQ98" i="26"/>
  <c r="AP98" i="26"/>
  <c r="AO98" i="26"/>
  <c r="AN98" i="26"/>
  <c r="AM98" i="26"/>
  <c r="AL98" i="26"/>
  <c r="AK98" i="26"/>
  <c r="AJ98" i="26"/>
  <c r="AI98" i="26"/>
  <c r="AH98" i="26"/>
  <c r="BL97" i="26"/>
  <c r="BK97" i="26"/>
  <c r="BJ97" i="26"/>
  <c r="BI97" i="26"/>
  <c r="BH97" i="26"/>
  <c r="CX97" i="26" s="1"/>
  <c r="BG97" i="26"/>
  <c r="BF97" i="26"/>
  <c r="BE97" i="26"/>
  <c r="BD97" i="26"/>
  <c r="BC97" i="26"/>
  <c r="BB97" i="26"/>
  <c r="BA97" i="26"/>
  <c r="AZ97" i="26"/>
  <c r="AY97" i="26"/>
  <c r="AX97" i="26"/>
  <c r="AW97" i="26"/>
  <c r="AV97" i="26"/>
  <c r="AU97" i="26"/>
  <c r="AT97" i="26"/>
  <c r="AS97" i="26"/>
  <c r="AR97" i="26"/>
  <c r="AQ97" i="26"/>
  <c r="AP97" i="26"/>
  <c r="AO97" i="26"/>
  <c r="AN97" i="26"/>
  <c r="AM97" i="26"/>
  <c r="AL97" i="26"/>
  <c r="AK97" i="26"/>
  <c r="AJ97" i="26"/>
  <c r="AI97" i="26"/>
  <c r="AH97" i="26"/>
  <c r="BL96" i="26"/>
  <c r="BK96" i="26"/>
  <c r="BJ96" i="26"/>
  <c r="BI96" i="26"/>
  <c r="BH96" i="26"/>
  <c r="CX96" i="26" s="1"/>
  <c r="BG96" i="26"/>
  <c r="BF96" i="26"/>
  <c r="BE96" i="26"/>
  <c r="BD96" i="26"/>
  <c r="BC96" i="26"/>
  <c r="BB96" i="26"/>
  <c r="BA96" i="26"/>
  <c r="AZ96" i="26"/>
  <c r="AY96" i="26"/>
  <c r="AX96" i="26"/>
  <c r="AW96" i="26"/>
  <c r="AV96" i="26"/>
  <c r="AU96" i="26"/>
  <c r="AT96" i="26"/>
  <c r="AS96" i="26"/>
  <c r="AR96" i="26"/>
  <c r="AQ96" i="26"/>
  <c r="AP96" i="26"/>
  <c r="AO96" i="26"/>
  <c r="AN96" i="26"/>
  <c r="AM96" i="26"/>
  <c r="AL96" i="26"/>
  <c r="AK96" i="26"/>
  <c r="AJ96" i="26"/>
  <c r="AI96" i="26"/>
  <c r="AH96" i="26"/>
  <c r="BL95" i="26"/>
  <c r="BK95" i="26"/>
  <c r="BJ95" i="26"/>
  <c r="BI95" i="26"/>
  <c r="BH95" i="26"/>
  <c r="CX95" i="26" s="1"/>
  <c r="BG95" i="26"/>
  <c r="BF95" i="26"/>
  <c r="BE95" i="26"/>
  <c r="BD95" i="26"/>
  <c r="BC95" i="26"/>
  <c r="BB95" i="26"/>
  <c r="BA95" i="26"/>
  <c r="AZ95" i="26"/>
  <c r="AY95" i="26"/>
  <c r="AX95" i="26"/>
  <c r="AW95" i="26"/>
  <c r="AV95" i="26"/>
  <c r="AU95" i="26"/>
  <c r="AT95" i="26"/>
  <c r="AS95" i="26"/>
  <c r="AR95" i="26"/>
  <c r="AQ95" i="26"/>
  <c r="AP95" i="26"/>
  <c r="AO95" i="26"/>
  <c r="AN95" i="26"/>
  <c r="AM95" i="26"/>
  <c r="AL95" i="26"/>
  <c r="AK95" i="26"/>
  <c r="AJ95" i="26"/>
  <c r="AI95" i="26"/>
  <c r="AH95" i="26"/>
  <c r="BL94" i="26"/>
  <c r="BK94" i="26"/>
  <c r="BJ94" i="26"/>
  <c r="BI94" i="26"/>
  <c r="BH94" i="26"/>
  <c r="CX94" i="26" s="1"/>
  <c r="BG94" i="26"/>
  <c r="BF94" i="26"/>
  <c r="BE94" i="26"/>
  <c r="BD94" i="26"/>
  <c r="BC94" i="26"/>
  <c r="BB94" i="26"/>
  <c r="BA94" i="26"/>
  <c r="AZ94" i="26"/>
  <c r="AY94" i="26"/>
  <c r="AX94" i="26"/>
  <c r="AW94" i="26"/>
  <c r="AV94" i="26"/>
  <c r="AU94" i="26"/>
  <c r="AT94" i="26"/>
  <c r="AS94" i="26"/>
  <c r="AR94" i="26"/>
  <c r="AQ94" i="26"/>
  <c r="AP94" i="26"/>
  <c r="AO94" i="26"/>
  <c r="AN94" i="26"/>
  <c r="AM94" i="26"/>
  <c r="AL94" i="26"/>
  <c r="AK94" i="26"/>
  <c r="AJ94" i="26"/>
  <c r="AI94" i="26"/>
  <c r="AH94" i="26"/>
  <c r="BL93" i="26"/>
  <c r="BK93" i="26"/>
  <c r="BJ93" i="26"/>
  <c r="BI93" i="26"/>
  <c r="BH93" i="26"/>
  <c r="CX93" i="26" s="1"/>
  <c r="BG93" i="26"/>
  <c r="BF93" i="26"/>
  <c r="BE93" i="26"/>
  <c r="BD93" i="26"/>
  <c r="BC93" i="26"/>
  <c r="BB93" i="26"/>
  <c r="BA93" i="26"/>
  <c r="AZ93" i="26"/>
  <c r="AY93" i="26"/>
  <c r="AX93" i="26"/>
  <c r="AW93" i="26"/>
  <c r="AV93" i="26"/>
  <c r="AU93" i="26"/>
  <c r="AT93" i="26"/>
  <c r="AS93" i="26"/>
  <c r="AR93" i="26"/>
  <c r="AQ93" i="26"/>
  <c r="AP93" i="26"/>
  <c r="AO93" i="26"/>
  <c r="AN93" i="26"/>
  <c r="AM93" i="26"/>
  <c r="AL93" i="26"/>
  <c r="AK93" i="26"/>
  <c r="AJ93" i="26"/>
  <c r="AI93" i="26"/>
  <c r="AH93" i="26"/>
  <c r="BL92" i="26"/>
  <c r="BK92" i="26"/>
  <c r="BJ92" i="26"/>
  <c r="BI92" i="26"/>
  <c r="BH92" i="26"/>
  <c r="CX92" i="26" s="1"/>
  <c r="BG92" i="26"/>
  <c r="BF92" i="26"/>
  <c r="BE92" i="26"/>
  <c r="BD92" i="26"/>
  <c r="BC92" i="26"/>
  <c r="BB92" i="26"/>
  <c r="BA92" i="26"/>
  <c r="AZ92" i="26"/>
  <c r="AY92" i="26"/>
  <c r="AX92" i="26"/>
  <c r="AW92" i="26"/>
  <c r="AV92" i="26"/>
  <c r="AU92" i="26"/>
  <c r="AT92" i="26"/>
  <c r="AS92" i="26"/>
  <c r="AR92" i="26"/>
  <c r="AQ92" i="26"/>
  <c r="AP92" i="26"/>
  <c r="AO92" i="26"/>
  <c r="AN92" i="26"/>
  <c r="AM92" i="26"/>
  <c r="AL92" i="26"/>
  <c r="AK92" i="26"/>
  <c r="AJ92" i="26"/>
  <c r="AI92" i="26"/>
  <c r="AH92" i="26"/>
  <c r="BL91" i="26"/>
  <c r="BK91" i="26"/>
  <c r="BJ91" i="26"/>
  <c r="BI91" i="26"/>
  <c r="BH91" i="26"/>
  <c r="CX91" i="26" s="1"/>
  <c r="BG91" i="26"/>
  <c r="BF91" i="26"/>
  <c r="BE91" i="26"/>
  <c r="BD91" i="26"/>
  <c r="BC91" i="26"/>
  <c r="BB91" i="26"/>
  <c r="BA91" i="26"/>
  <c r="AZ91" i="26"/>
  <c r="AY91" i="26"/>
  <c r="AX91" i="26"/>
  <c r="AW91" i="26"/>
  <c r="AV91" i="26"/>
  <c r="AU91" i="26"/>
  <c r="AT91" i="26"/>
  <c r="AS91" i="26"/>
  <c r="AR91" i="26"/>
  <c r="AQ91" i="26"/>
  <c r="AP91" i="26"/>
  <c r="AO91" i="26"/>
  <c r="AN91" i="26"/>
  <c r="AM91" i="26"/>
  <c r="AL91" i="26"/>
  <c r="AK91" i="26"/>
  <c r="AJ91" i="26"/>
  <c r="AI91" i="26"/>
  <c r="AH91" i="26"/>
  <c r="BL90" i="26"/>
  <c r="BK90" i="26"/>
  <c r="BJ90" i="26"/>
  <c r="BI90" i="26"/>
  <c r="BH90" i="26"/>
  <c r="CX90" i="26" s="1"/>
  <c r="BG90" i="26"/>
  <c r="BF90" i="26"/>
  <c r="BE90" i="26"/>
  <c r="BD90" i="26"/>
  <c r="BC90" i="26"/>
  <c r="BB90" i="26"/>
  <c r="BA90" i="26"/>
  <c r="AZ90" i="26"/>
  <c r="AY90" i="26"/>
  <c r="AX90" i="26"/>
  <c r="AW90" i="26"/>
  <c r="AV90" i="26"/>
  <c r="AU90" i="26"/>
  <c r="AT90" i="26"/>
  <c r="AS90" i="26"/>
  <c r="AR90" i="26"/>
  <c r="AQ90" i="26"/>
  <c r="AP90" i="26"/>
  <c r="AO90" i="26"/>
  <c r="AN90" i="26"/>
  <c r="AM90" i="26"/>
  <c r="AL90" i="26"/>
  <c r="AK90" i="26"/>
  <c r="AJ90" i="26"/>
  <c r="AI90" i="26"/>
  <c r="AH90" i="26"/>
  <c r="BL89" i="26"/>
  <c r="BK89" i="26"/>
  <c r="BJ89" i="26"/>
  <c r="BI89" i="26"/>
  <c r="BH89" i="26"/>
  <c r="BG89" i="26"/>
  <c r="BF89" i="26"/>
  <c r="BE89" i="26"/>
  <c r="BD89" i="26"/>
  <c r="BC89" i="26"/>
  <c r="BB89" i="26"/>
  <c r="BA89" i="26"/>
  <c r="AZ89" i="26"/>
  <c r="AY89" i="26"/>
  <c r="AX89" i="26"/>
  <c r="AW89" i="26"/>
  <c r="AV89" i="26"/>
  <c r="AU89" i="26"/>
  <c r="AT89" i="26"/>
  <c r="AS89" i="26"/>
  <c r="AR89" i="26"/>
  <c r="AQ89" i="26"/>
  <c r="AP89" i="26"/>
  <c r="AO89" i="26"/>
  <c r="AN89" i="26"/>
  <c r="AM89" i="26"/>
  <c r="AL89" i="26"/>
  <c r="AK89" i="26"/>
  <c r="AJ89" i="26"/>
  <c r="AI89" i="26"/>
  <c r="AH89" i="26"/>
  <c r="BL88" i="26"/>
  <c r="BK88" i="26"/>
  <c r="BJ88" i="26"/>
  <c r="BI88" i="26"/>
  <c r="BH88" i="26"/>
  <c r="CX88" i="26" s="1"/>
  <c r="BG88" i="26"/>
  <c r="BF88" i="26"/>
  <c r="BE88" i="26"/>
  <c r="BD88" i="26"/>
  <c r="BC88" i="26"/>
  <c r="BB88" i="26"/>
  <c r="BA88" i="26"/>
  <c r="AZ88" i="26"/>
  <c r="AY88" i="26"/>
  <c r="AX88" i="26"/>
  <c r="AW88" i="26"/>
  <c r="AV88" i="26"/>
  <c r="AU88" i="26"/>
  <c r="AT88" i="26"/>
  <c r="AS88" i="26"/>
  <c r="AR88" i="26"/>
  <c r="AQ88" i="26"/>
  <c r="AP88" i="26"/>
  <c r="AO88" i="26"/>
  <c r="AN88" i="26"/>
  <c r="AM88" i="26"/>
  <c r="AL88" i="26"/>
  <c r="AK88" i="26"/>
  <c r="AJ88" i="26"/>
  <c r="AI88" i="26"/>
  <c r="AH88" i="26"/>
  <c r="BL87" i="26"/>
  <c r="BK87" i="26"/>
  <c r="BJ87" i="26"/>
  <c r="BI87" i="26"/>
  <c r="BH87" i="26"/>
  <c r="CX87" i="26" s="1"/>
  <c r="BG87" i="26"/>
  <c r="BF87" i="26"/>
  <c r="BE87" i="26"/>
  <c r="BD87" i="26"/>
  <c r="BC87" i="26"/>
  <c r="BB87" i="26"/>
  <c r="BA87" i="26"/>
  <c r="AZ87" i="26"/>
  <c r="AY87" i="26"/>
  <c r="AX87" i="26"/>
  <c r="AW87" i="26"/>
  <c r="AV87" i="26"/>
  <c r="AU87" i="26"/>
  <c r="AT87" i="26"/>
  <c r="AS87" i="26"/>
  <c r="AR87" i="26"/>
  <c r="AQ87" i="26"/>
  <c r="AP87" i="26"/>
  <c r="AO87" i="26"/>
  <c r="AN87" i="26"/>
  <c r="AM87" i="26"/>
  <c r="AL87" i="26"/>
  <c r="AK87" i="26"/>
  <c r="AJ87" i="26"/>
  <c r="AI87" i="26"/>
  <c r="AH87" i="26"/>
  <c r="BL86" i="26"/>
  <c r="BK86" i="26"/>
  <c r="BJ86" i="26"/>
  <c r="BI86" i="26"/>
  <c r="BH86" i="26"/>
  <c r="CX86" i="26" s="1"/>
  <c r="BG86" i="26"/>
  <c r="BF86" i="26"/>
  <c r="BE86" i="26"/>
  <c r="BD86" i="26"/>
  <c r="BC86" i="26"/>
  <c r="BB86" i="26"/>
  <c r="BA86" i="26"/>
  <c r="AZ86" i="26"/>
  <c r="AY86" i="26"/>
  <c r="AX86" i="26"/>
  <c r="AW86" i="26"/>
  <c r="AV86" i="26"/>
  <c r="AU86" i="26"/>
  <c r="AT86" i="26"/>
  <c r="AS86" i="26"/>
  <c r="AR86" i="26"/>
  <c r="AQ86" i="26"/>
  <c r="AP86" i="26"/>
  <c r="AO86" i="26"/>
  <c r="AN86" i="26"/>
  <c r="AM86" i="26"/>
  <c r="AL86" i="26"/>
  <c r="AK86" i="26"/>
  <c r="AJ86" i="26"/>
  <c r="AI86" i="26"/>
  <c r="AH86" i="26"/>
  <c r="BL85" i="26"/>
  <c r="BK85" i="26"/>
  <c r="BJ85" i="26"/>
  <c r="BI85" i="26"/>
  <c r="BH85" i="26"/>
  <c r="BG85" i="26"/>
  <c r="BF85" i="26"/>
  <c r="BE85" i="26"/>
  <c r="BD85" i="26"/>
  <c r="BC85" i="26"/>
  <c r="BB85" i="26"/>
  <c r="BA85" i="26"/>
  <c r="AZ85" i="26"/>
  <c r="AY85" i="26"/>
  <c r="AX85" i="26"/>
  <c r="AW85" i="26"/>
  <c r="AV85" i="26"/>
  <c r="AU85" i="26"/>
  <c r="AT85" i="26"/>
  <c r="AS85" i="26"/>
  <c r="AR85" i="26"/>
  <c r="AQ85" i="26"/>
  <c r="AP85" i="26"/>
  <c r="AO85" i="26"/>
  <c r="AN85" i="26"/>
  <c r="AM85" i="26"/>
  <c r="AL85" i="26"/>
  <c r="AK85" i="26"/>
  <c r="AJ85" i="26"/>
  <c r="AI85" i="26"/>
  <c r="AH85" i="26"/>
  <c r="BL84" i="26"/>
  <c r="BK84" i="26"/>
  <c r="BJ84" i="26"/>
  <c r="BI84" i="26"/>
  <c r="BH84" i="26"/>
  <c r="CX84" i="26" s="1"/>
  <c r="BG84" i="26"/>
  <c r="BF84" i="26"/>
  <c r="BE84" i="26"/>
  <c r="BD84" i="26"/>
  <c r="BC84" i="26"/>
  <c r="BB84" i="26"/>
  <c r="BA84" i="26"/>
  <c r="AZ84" i="26"/>
  <c r="AY84" i="26"/>
  <c r="AX84" i="26"/>
  <c r="AW84" i="26"/>
  <c r="AV84" i="26"/>
  <c r="AU84" i="26"/>
  <c r="AT84" i="26"/>
  <c r="AS84" i="26"/>
  <c r="AR84" i="26"/>
  <c r="AQ84" i="26"/>
  <c r="AP84" i="26"/>
  <c r="AO84" i="26"/>
  <c r="AN84" i="26"/>
  <c r="AM84" i="26"/>
  <c r="AL84" i="26"/>
  <c r="AK84" i="26"/>
  <c r="AJ84" i="26"/>
  <c r="AI84" i="26"/>
  <c r="AH84" i="26"/>
  <c r="BL83" i="26"/>
  <c r="BK83" i="26"/>
  <c r="BJ83" i="26"/>
  <c r="BI83" i="26"/>
  <c r="BH83" i="26"/>
  <c r="CX83" i="26" s="1"/>
  <c r="BG83" i="26"/>
  <c r="BF83" i="26"/>
  <c r="BE83" i="26"/>
  <c r="BD83" i="26"/>
  <c r="BC83" i="26"/>
  <c r="BB83" i="26"/>
  <c r="BA83" i="26"/>
  <c r="AZ83" i="26"/>
  <c r="AY83" i="26"/>
  <c r="AX83" i="26"/>
  <c r="AW83" i="26"/>
  <c r="AV83" i="26"/>
  <c r="AU83" i="26"/>
  <c r="AT83" i="26"/>
  <c r="AS83" i="26"/>
  <c r="AR83" i="26"/>
  <c r="AQ83" i="26"/>
  <c r="AP83" i="26"/>
  <c r="AO83" i="26"/>
  <c r="AN83" i="26"/>
  <c r="AM83" i="26"/>
  <c r="AL83" i="26"/>
  <c r="AK83" i="26"/>
  <c r="AJ83" i="26"/>
  <c r="AI83" i="26"/>
  <c r="AH83" i="26"/>
  <c r="BL82" i="26"/>
  <c r="BK82" i="26"/>
  <c r="BJ82" i="26"/>
  <c r="BI82" i="26"/>
  <c r="BH82" i="26"/>
  <c r="CX82" i="26" s="1"/>
  <c r="BG82" i="26"/>
  <c r="BF82" i="26"/>
  <c r="BE82" i="26"/>
  <c r="BD82" i="26"/>
  <c r="BC82" i="26"/>
  <c r="BB82" i="26"/>
  <c r="BA82" i="26"/>
  <c r="AZ82" i="26"/>
  <c r="AY82" i="26"/>
  <c r="AX82" i="26"/>
  <c r="AW82" i="26"/>
  <c r="AV82" i="26"/>
  <c r="AU82" i="26"/>
  <c r="AT82" i="26"/>
  <c r="AS82" i="26"/>
  <c r="AR82" i="26"/>
  <c r="AQ82" i="26"/>
  <c r="AP82" i="26"/>
  <c r="AO82" i="26"/>
  <c r="AN82" i="26"/>
  <c r="AM82" i="26"/>
  <c r="AL82" i="26"/>
  <c r="AK82" i="26"/>
  <c r="AJ82" i="26"/>
  <c r="AI82" i="26"/>
  <c r="AH82" i="26"/>
  <c r="BL81" i="26"/>
  <c r="BK81" i="26"/>
  <c r="BJ81" i="26"/>
  <c r="BI81" i="26"/>
  <c r="BH81" i="26"/>
  <c r="CX81" i="26" s="1"/>
  <c r="BG81" i="26"/>
  <c r="BF81" i="26"/>
  <c r="BE81" i="26"/>
  <c r="BD81" i="26"/>
  <c r="BC81" i="26"/>
  <c r="BB81" i="26"/>
  <c r="BA81" i="26"/>
  <c r="AZ81" i="26"/>
  <c r="AY81" i="26"/>
  <c r="AX81" i="26"/>
  <c r="AW81" i="26"/>
  <c r="AV81" i="26"/>
  <c r="AU81" i="26"/>
  <c r="AT81" i="26"/>
  <c r="AS81" i="26"/>
  <c r="AR81" i="26"/>
  <c r="AQ81" i="26"/>
  <c r="AP81" i="26"/>
  <c r="AO81" i="26"/>
  <c r="AN81" i="26"/>
  <c r="AM81" i="26"/>
  <c r="AL81" i="26"/>
  <c r="AK81" i="26"/>
  <c r="AJ81" i="26"/>
  <c r="AI81" i="26"/>
  <c r="AH81" i="26"/>
  <c r="BL80" i="26"/>
  <c r="BK80" i="26"/>
  <c r="BJ80" i="26"/>
  <c r="BI80" i="26"/>
  <c r="BH80" i="26"/>
  <c r="CX80" i="26" s="1"/>
  <c r="BG80" i="26"/>
  <c r="BF80" i="26"/>
  <c r="BE80" i="26"/>
  <c r="BD80" i="26"/>
  <c r="BC80" i="26"/>
  <c r="BB80" i="26"/>
  <c r="BA80" i="26"/>
  <c r="AZ80" i="26"/>
  <c r="AY80" i="26"/>
  <c r="AX80" i="26"/>
  <c r="AW80" i="26"/>
  <c r="AV80" i="26"/>
  <c r="AU80" i="26"/>
  <c r="AT80" i="26"/>
  <c r="AS80" i="26"/>
  <c r="AR80" i="26"/>
  <c r="AQ80" i="26"/>
  <c r="AP80" i="26"/>
  <c r="AO80" i="26"/>
  <c r="AN80" i="26"/>
  <c r="AM80" i="26"/>
  <c r="AL80" i="26"/>
  <c r="AK80" i="26"/>
  <c r="AJ80" i="26"/>
  <c r="AI80" i="26"/>
  <c r="AH80" i="26"/>
  <c r="BL79" i="26"/>
  <c r="BK79" i="26"/>
  <c r="BJ79" i="26"/>
  <c r="BI79" i="26"/>
  <c r="BH79" i="26"/>
  <c r="BG79" i="26"/>
  <c r="BF79" i="26"/>
  <c r="BE79" i="26"/>
  <c r="BD79" i="26"/>
  <c r="BC79" i="26"/>
  <c r="BB79" i="26"/>
  <c r="BA79" i="26"/>
  <c r="AZ79" i="26"/>
  <c r="AY79" i="26"/>
  <c r="AX79" i="26"/>
  <c r="AW79" i="26"/>
  <c r="AV79" i="26"/>
  <c r="AU79" i="26"/>
  <c r="AT79" i="26"/>
  <c r="AS79" i="26"/>
  <c r="AR79" i="26"/>
  <c r="AQ79" i="26"/>
  <c r="AP79" i="26"/>
  <c r="AO79" i="26"/>
  <c r="AN79" i="26"/>
  <c r="AM79" i="26"/>
  <c r="AL79" i="26"/>
  <c r="AK79" i="26"/>
  <c r="AJ79" i="26"/>
  <c r="AI79" i="26"/>
  <c r="AH79" i="26"/>
  <c r="BL78" i="26"/>
  <c r="BK78" i="26"/>
  <c r="BJ78" i="26"/>
  <c r="BI78" i="26"/>
  <c r="BH78" i="26"/>
  <c r="CX78" i="26" s="1"/>
  <c r="BG78" i="26"/>
  <c r="BF78" i="26"/>
  <c r="BE78" i="26"/>
  <c r="BD78" i="26"/>
  <c r="BC78" i="26"/>
  <c r="BB78" i="26"/>
  <c r="BA78" i="26"/>
  <c r="AZ78" i="26"/>
  <c r="AY78" i="26"/>
  <c r="AX78" i="26"/>
  <c r="AW78" i="26"/>
  <c r="AV78" i="26"/>
  <c r="AU78" i="26"/>
  <c r="AT78" i="26"/>
  <c r="AS78" i="26"/>
  <c r="AR78" i="26"/>
  <c r="AQ78" i="26"/>
  <c r="AP78" i="26"/>
  <c r="AO78" i="26"/>
  <c r="AN78" i="26"/>
  <c r="AM78" i="26"/>
  <c r="AL78" i="26"/>
  <c r="AK78" i="26"/>
  <c r="AJ78" i="26"/>
  <c r="AI78" i="26"/>
  <c r="AH78" i="26"/>
  <c r="BL77" i="26"/>
  <c r="BK77" i="26"/>
  <c r="BJ77" i="26"/>
  <c r="BI77" i="26"/>
  <c r="BH77" i="26"/>
  <c r="CX77" i="26" s="1"/>
  <c r="BG77" i="26"/>
  <c r="BF77" i="26"/>
  <c r="BE77" i="26"/>
  <c r="BD77" i="26"/>
  <c r="BC77" i="26"/>
  <c r="BB77" i="26"/>
  <c r="BA77" i="26"/>
  <c r="AZ77" i="26"/>
  <c r="AY77" i="26"/>
  <c r="AX77" i="26"/>
  <c r="AW77" i="26"/>
  <c r="AV77" i="26"/>
  <c r="AU77" i="26"/>
  <c r="AT77" i="26"/>
  <c r="AS77" i="26"/>
  <c r="AR77" i="26"/>
  <c r="AQ77" i="26"/>
  <c r="AP77" i="26"/>
  <c r="AO77" i="26"/>
  <c r="AN77" i="26"/>
  <c r="AM77" i="26"/>
  <c r="AL77" i="26"/>
  <c r="AK77" i="26"/>
  <c r="AJ77" i="26"/>
  <c r="AI77" i="26"/>
  <c r="AH77" i="26"/>
  <c r="BL76" i="26"/>
  <c r="BK76" i="26"/>
  <c r="BJ76" i="26"/>
  <c r="BI76" i="26"/>
  <c r="BH76" i="26"/>
  <c r="CX76" i="26" s="1"/>
  <c r="BG76" i="26"/>
  <c r="BF76" i="26"/>
  <c r="BE76" i="26"/>
  <c r="BD76" i="26"/>
  <c r="BC76" i="26"/>
  <c r="BB76" i="26"/>
  <c r="BA76" i="26"/>
  <c r="AZ76" i="26"/>
  <c r="AY76" i="26"/>
  <c r="AX76" i="26"/>
  <c r="AW76" i="26"/>
  <c r="AV76" i="26"/>
  <c r="AU76" i="26"/>
  <c r="AT76" i="26"/>
  <c r="AS76" i="26"/>
  <c r="AR76" i="26"/>
  <c r="AQ76" i="26"/>
  <c r="AP76" i="26"/>
  <c r="AO76" i="26"/>
  <c r="AN76" i="26"/>
  <c r="AM76" i="26"/>
  <c r="AL76" i="26"/>
  <c r="AK76" i="26"/>
  <c r="AJ76" i="26"/>
  <c r="AI76" i="26"/>
  <c r="AH76" i="26"/>
  <c r="BL75" i="26"/>
  <c r="BK75" i="26"/>
  <c r="BJ75" i="26"/>
  <c r="BI75" i="26"/>
  <c r="BH75" i="26"/>
  <c r="CX75" i="26" s="1"/>
  <c r="BG75" i="26"/>
  <c r="BF75" i="26"/>
  <c r="BE75" i="26"/>
  <c r="BD75" i="26"/>
  <c r="BC75" i="26"/>
  <c r="BB75" i="26"/>
  <c r="BA75" i="26"/>
  <c r="AZ75" i="26"/>
  <c r="AY75" i="26"/>
  <c r="AX75" i="26"/>
  <c r="AW75" i="26"/>
  <c r="AV75" i="26"/>
  <c r="AU75" i="26"/>
  <c r="AT75" i="26"/>
  <c r="AS75" i="26"/>
  <c r="AR75" i="26"/>
  <c r="AQ75" i="26"/>
  <c r="AP75" i="26"/>
  <c r="AO75" i="26"/>
  <c r="AN75" i="26"/>
  <c r="AM75" i="26"/>
  <c r="AL75" i="26"/>
  <c r="AK75" i="26"/>
  <c r="AJ75" i="26"/>
  <c r="AI75" i="26"/>
  <c r="AH75" i="26"/>
  <c r="BL74" i="26"/>
  <c r="BK74" i="26"/>
  <c r="BJ74" i="26"/>
  <c r="BI74" i="26"/>
  <c r="BH74" i="26"/>
  <c r="CX74" i="26" s="1"/>
  <c r="BG74" i="26"/>
  <c r="BF74" i="26"/>
  <c r="BE74" i="26"/>
  <c r="BD74" i="26"/>
  <c r="BC74" i="26"/>
  <c r="BB74" i="26"/>
  <c r="BA74" i="26"/>
  <c r="AZ74" i="26"/>
  <c r="AY74" i="26"/>
  <c r="AX74" i="26"/>
  <c r="AW74" i="26"/>
  <c r="AV74" i="26"/>
  <c r="AU74" i="26"/>
  <c r="AT74" i="26"/>
  <c r="AS74" i="26"/>
  <c r="AR74" i="26"/>
  <c r="AQ74" i="26"/>
  <c r="AP74" i="26"/>
  <c r="AO74" i="26"/>
  <c r="AN74" i="26"/>
  <c r="AM74" i="26"/>
  <c r="AL74" i="26"/>
  <c r="AK74" i="26"/>
  <c r="AJ74" i="26"/>
  <c r="AI74" i="26"/>
  <c r="AH74" i="26"/>
  <c r="BL73" i="26"/>
  <c r="BK73" i="26"/>
  <c r="BJ73" i="26"/>
  <c r="BI73" i="26"/>
  <c r="BH73" i="26"/>
  <c r="CX73" i="26" s="1"/>
  <c r="BG73" i="26"/>
  <c r="BF73" i="26"/>
  <c r="BE73" i="26"/>
  <c r="BD73" i="26"/>
  <c r="BC73" i="26"/>
  <c r="BB73" i="26"/>
  <c r="BA73" i="26"/>
  <c r="AZ73" i="26"/>
  <c r="AY73" i="26"/>
  <c r="AX73" i="26"/>
  <c r="AW73" i="26"/>
  <c r="AV73" i="26"/>
  <c r="AU73" i="26"/>
  <c r="AT73" i="26"/>
  <c r="AS73" i="26"/>
  <c r="AR73" i="26"/>
  <c r="AQ73" i="26"/>
  <c r="AP73" i="26"/>
  <c r="AO73" i="26"/>
  <c r="AN73" i="26"/>
  <c r="AM73" i="26"/>
  <c r="AL73" i="26"/>
  <c r="AK73" i="26"/>
  <c r="AJ73" i="26"/>
  <c r="AI73" i="26"/>
  <c r="AH73" i="26"/>
  <c r="BL72" i="26"/>
  <c r="BK72" i="26"/>
  <c r="BJ72" i="26"/>
  <c r="BI72" i="26"/>
  <c r="BH72" i="26"/>
  <c r="CX72" i="26" s="1"/>
  <c r="BG72" i="26"/>
  <c r="BF72" i="26"/>
  <c r="BE72" i="26"/>
  <c r="BD72" i="26"/>
  <c r="BC72" i="26"/>
  <c r="BB72" i="26"/>
  <c r="BA72" i="26"/>
  <c r="AZ72" i="26"/>
  <c r="AY72" i="26"/>
  <c r="AX72" i="26"/>
  <c r="AW72" i="26"/>
  <c r="AV72" i="26"/>
  <c r="AU72" i="26"/>
  <c r="AT72" i="26"/>
  <c r="AS72" i="26"/>
  <c r="AR72" i="26"/>
  <c r="AQ72" i="26"/>
  <c r="AP72" i="26"/>
  <c r="AO72" i="26"/>
  <c r="AN72" i="26"/>
  <c r="AM72" i="26"/>
  <c r="AL72" i="26"/>
  <c r="AK72" i="26"/>
  <c r="AJ72" i="26"/>
  <c r="AI72" i="26"/>
  <c r="AH72" i="26"/>
  <c r="BL71" i="26"/>
  <c r="BK71" i="26"/>
  <c r="BJ71" i="26"/>
  <c r="BI71" i="26"/>
  <c r="BH71" i="26"/>
  <c r="CX71" i="26" s="1"/>
  <c r="BG71" i="26"/>
  <c r="BF71" i="26"/>
  <c r="BE71" i="26"/>
  <c r="BD71" i="26"/>
  <c r="BC71" i="26"/>
  <c r="BB71" i="26"/>
  <c r="BA71" i="26"/>
  <c r="AZ71" i="26"/>
  <c r="AY71" i="26"/>
  <c r="AX71" i="26"/>
  <c r="AW71" i="26"/>
  <c r="AV71" i="26"/>
  <c r="AU71" i="26"/>
  <c r="AT71" i="26"/>
  <c r="AS71" i="26"/>
  <c r="AR71" i="26"/>
  <c r="AQ71" i="26"/>
  <c r="AP71" i="26"/>
  <c r="AO71" i="26"/>
  <c r="AN71" i="26"/>
  <c r="AM71" i="26"/>
  <c r="AL71" i="26"/>
  <c r="AK71" i="26"/>
  <c r="AJ71" i="26"/>
  <c r="AI71" i="26"/>
  <c r="AH71" i="26"/>
  <c r="BL70" i="26"/>
  <c r="BK70" i="26"/>
  <c r="BJ70" i="26"/>
  <c r="BI70" i="26"/>
  <c r="BH70" i="26"/>
  <c r="CX70" i="26" s="1"/>
  <c r="BG70" i="26"/>
  <c r="BF70" i="26"/>
  <c r="BE70" i="26"/>
  <c r="BD70" i="26"/>
  <c r="BC70" i="26"/>
  <c r="BB70" i="26"/>
  <c r="BA70" i="26"/>
  <c r="AZ70" i="26"/>
  <c r="AY70" i="26"/>
  <c r="AX70" i="26"/>
  <c r="AW70" i="26"/>
  <c r="AV70" i="26"/>
  <c r="AU70" i="26"/>
  <c r="AT70" i="26"/>
  <c r="AS70" i="26"/>
  <c r="AR70" i="26"/>
  <c r="AQ70" i="26"/>
  <c r="AP70" i="26"/>
  <c r="AO70" i="26"/>
  <c r="AN70" i="26"/>
  <c r="AM70" i="26"/>
  <c r="AL70" i="26"/>
  <c r="AK70" i="26"/>
  <c r="AJ70" i="26"/>
  <c r="AI70" i="26"/>
  <c r="AH70" i="26"/>
  <c r="BL69" i="26"/>
  <c r="BK69" i="26"/>
  <c r="BJ69" i="26"/>
  <c r="BI69" i="26"/>
  <c r="BH69" i="26"/>
  <c r="CX69" i="26" s="1"/>
  <c r="BG69" i="26"/>
  <c r="BF69" i="26"/>
  <c r="BE69" i="26"/>
  <c r="BD69" i="26"/>
  <c r="BC69" i="26"/>
  <c r="BB69" i="26"/>
  <c r="BA69" i="26"/>
  <c r="AZ69" i="26"/>
  <c r="AY69" i="26"/>
  <c r="AX69" i="26"/>
  <c r="AW69" i="26"/>
  <c r="AV69" i="26"/>
  <c r="AU69" i="26"/>
  <c r="AT69" i="26"/>
  <c r="AS69" i="26"/>
  <c r="AR69" i="26"/>
  <c r="AQ69" i="26"/>
  <c r="AP69" i="26"/>
  <c r="AO69" i="26"/>
  <c r="AN69" i="26"/>
  <c r="AM69" i="26"/>
  <c r="AL69" i="26"/>
  <c r="AK69" i="26"/>
  <c r="AJ69" i="26"/>
  <c r="AI69" i="26"/>
  <c r="AH69" i="26"/>
  <c r="BL68" i="26"/>
  <c r="BK68" i="26"/>
  <c r="BJ68" i="26"/>
  <c r="BI68" i="26"/>
  <c r="BH68" i="26"/>
  <c r="CX68" i="26" s="1"/>
  <c r="BG68" i="26"/>
  <c r="BF68" i="26"/>
  <c r="BE68" i="26"/>
  <c r="BD68" i="26"/>
  <c r="BC68" i="26"/>
  <c r="BB68" i="26"/>
  <c r="BA68" i="26"/>
  <c r="AZ68" i="26"/>
  <c r="AY68" i="26"/>
  <c r="AX68" i="26"/>
  <c r="AW68" i="26"/>
  <c r="AV68" i="26"/>
  <c r="AU68" i="26"/>
  <c r="AT68" i="26"/>
  <c r="AS68" i="26"/>
  <c r="AR68" i="26"/>
  <c r="AQ68" i="26"/>
  <c r="AP68" i="26"/>
  <c r="AO68" i="26"/>
  <c r="AN68" i="26"/>
  <c r="AM68" i="26"/>
  <c r="AL68" i="26"/>
  <c r="AK68" i="26"/>
  <c r="AJ68" i="26"/>
  <c r="AI68" i="26"/>
  <c r="AH68" i="26"/>
  <c r="BL67" i="26"/>
  <c r="BK67" i="26"/>
  <c r="BJ67" i="26"/>
  <c r="BI67" i="26"/>
  <c r="BH67" i="26"/>
  <c r="CX67" i="26" s="1"/>
  <c r="BG67" i="26"/>
  <c r="BF67" i="26"/>
  <c r="BE67" i="26"/>
  <c r="BD67" i="26"/>
  <c r="BC67" i="26"/>
  <c r="BB67" i="26"/>
  <c r="BA67" i="26"/>
  <c r="AZ67" i="26"/>
  <c r="AY67" i="26"/>
  <c r="AX67" i="26"/>
  <c r="AW67" i="26"/>
  <c r="AV67" i="26"/>
  <c r="AU67" i="26"/>
  <c r="AT67" i="26"/>
  <c r="AS67" i="26"/>
  <c r="AR67" i="26"/>
  <c r="AQ67" i="26"/>
  <c r="AP67" i="26"/>
  <c r="AO67" i="26"/>
  <c r="AN67" i="26"/>
  <c r="AM67" i="26"/>
  <c r="AL67" i="26"/>
  <c r="AK67" i="26"/>
  <c r="AJ67" i="26"/>
  <c r="AI67" i="26"/>
  <c r="AH67" i="26"/>
  <c r="BL66" i="26"/>
  <c r="BK66" i="26"/>
  <c r="BJ66" i="26"/>
  <c r="BI66" i="26"/>
  <c r="BH66" i="26"/>
  <c r="CX66" i="26" s="1"/>
  <c r="BG66" i="26"/>
  <c r="BF66" i="26"/>
  <c r="BE66" i="26"/>
  <c r="BD66" i="26"/>
  <c r="BC66" i="26"/>
  <c r="BB66" i="26"/>
  <c r="BA66" i="26"/>
  <c r="AZ66" i="26"/>
  <c r="AY66" i="26"/>
  <c r="AX66" i="26"/>
  <c r="AW66" i="26"/>
  <c r="AV66" i="26"/>
  <c r="AU66" i="26"/>
  <c r="AT66" i="26"/>
  <c r="AS66" i="26"/>
  <c r="AR66" i="26"/>
  <c r="AQ66" i="26"/>
  <c r="AP66" i="26"/>
  <c r="AO66" i="26"/>
  <c r="AN66" i="26"/>
  <c r="AM66" i="26"/>
  <c r="AL66" i="26"/>
  <c r="AK66" i="26"/>
  <c r="AJ66" i="26"/>
  <c r="AI66" i="26"/>
  <c r="AH66" i="26"/>
  <c r="BL65" i="26"/>
  <c r="BK65" i="26"/>
  <c r="BJ65" i="26"/>
  <c r="BI65" i="26"/>
  <c r="BH65" i="26"/>
  <c r="CX65" i="26" s="1"/>
  <c r="BG65" i="26"/>
  <c r="BF65" i="26"/>
  <c r="BE65" i="26"/>
  <c r="BD65" i="26"/>
  <c r="BC65" i="26"/>
  <c r="BB65" i="26"/>
  <c r="BA65" i="26"/>
  <c r="AZ65" i="26"/>
  <c r="AY65" i="26"/>
  <c r="AX65" i="26"/>
  <c r="AW65" i="26"/>
  <c r="AV65" i="26"/>
  <c r="AU65" i="26"/>
  <c r="AT65" i="26"/>
  <c r="AS65" i="26"/>
  <c r="AR65" i="26"/>
  <c r="AQ65" i="26"/>
  <c r="AP65" i="26"/>
  <c r="AO65" i="26"/>
  <c r="AN65" i="26"/>
  <c r="AM65" i="26"/>
  <c r="AL65" i="26"/>
  <c r="AK65" i="26"/>
  <c r="AJ65" i="26"/>
  <c r="AI65" i="26"/>
  <c r="AH65" i="26"/>
  <c r="BL64" i="26"/>
  <c r="BK64" i="26"/>
  <c r="BJ64" i="26"/>
  <c r="BI64" i="26"/>
  <c r="BH64" i="26"/>
  <c r="CX64" i="26" s="1"/>
  <c r="BG64" i="26"/>
  <c r="BF64" i="26"/>
  <c r="BE64" i="26"/>
  <c r="BD64" i="26"/>
  <c r="BC64" i="26"/>
  <c r="BB64" i="26"/>
  <c r="BA64" i="26"/>
  <c r="AZ64" i="26"/>
  <c r="AY64" i="26"/>
  <c r="AX64" i="26"/>
  <c r="AW64" i="26"/>
  <c r="AV64" i="26"/>
  <c r="AU64" i="26"/>
  <c r="AT64" i="26"/>
  <c r="AS64" i="26"/>
  <c r="AR64" i="26"/>
  <c r="AQ64" i="26"/>
  <c r="AP64" i="26"/>
  <c r="AO64" i="26"/>
  <c r="AN64" i="26"/>
  <c r="AM64" i="26"/>
  <c r="AL64" i="26"/>
  <c r="AK64" i="26"/>
  <c r="AJ64" i="26"/>
  <c r="AI64" i="26"/>
  <c r="AH64" i="26"/>
  <c r="BL63" i="26"/>
  <c r="BK63" i="26"/>
  <c r="BJ63" i="26"/>
  <c r="BI63" i="26"/>
  <c r="BH63" i="26"/>
  <c r="CX63" i="26" s="1"/>
  <c r="BG63" i="26"/>
  <c r="BF63" i="26"/>
  <c r="BE63" i="26"/>
  <c r="BD63" i="26"/>
  <c r="BC63" i="26"/>
  <c r="BB63" i="26"/>
  <c r="BA63" i="26"/>
  <c r="AZ63" i="26"/>
  <c r="AY63" i="26"/>
  <c r="AX63" i="26"/>
  <c r="AW63" i="26"/>
  <c r="AV63" i="26"/>
  <c r="AU63" i="26"/>
  <c r="AT63" i="26"/>
  <c r="AS63" i="26"/>
  <c r="AR63" i="26"/>
  <c r="AQ63" i="26"/>
  <c r="AP63" i="26"/>
  <c r="AO63" i="26"/>
  <c r="AN63" i="26"/>
  <c r="AM63" i="26"/>
  <c r="AL63" i="26"/>
  <c r="AK63" i="26"/>
  <c r="AJ63" i="26"/>
  <c r="AI63" i="26"/>
  <c r="AH63" i="26"/>
  <c r="BL62" i="26"/>
  <c r="BK62" i="26"/>
  <c r="BJ62" i="26"/>
  <c r="BI62" i="26"/>
  <c r="BH62" i="26"/>
  <c r="CX62" i="26" s="1"/>
  <c r="BG62" i="26"/>
  <c r="BF62" i="26"/>
  <c r="BE62" i="26"/>
  <c r="BD62" i="26"/>
  <c r="BC62" i="26"/>
  <c r="BB62" i="26"/>
  <c r="BA62" i="26"/>
  <c r="AZ62" i="26"/>
  <c r="AY62" i="26"/>
  <c r="AX62" i="26"/>
  <c r="AW62" i="26"/>
  <c r="AV62" i="26"/>
  <c r="AU62" i="26"/>
  <c r="AT62" i="26"/>
  <c r="AS62" i="26"/>
  <c r="AR62" i="26"/>
  <c r="AQ62" i="26"/>
  <c r="AP62" i="26"/>
  <c r="AO62" i="26"/>
  <c r="AN62" i="26"/>
  <c r="AM62" i="26"/>
  <c r="AL62" i="26"/>
  <c r="AK62" i="26"/>
  <c r="AJ62" i="26"/>
  <c r="AI62" i="26"/>
  <c r="AH62" i="26"/>
  <c r="BL61" i="26"/>
  <c r="BK61" i="26"/>
  <c r="BJ61" i="26"/>
  <c r="BI61" i="26"/>
  <c r="BH61" i="26"/>
  <c r="CX61" i="26" s="1"/>
  <c r="BG61" i="26"/>
  <c r="BF61" i="26"/>
  <c r="BE61" i="26"/>
  <c r="BD61" i="26"/>
  <c r="BC61" i="26"/>
  <c r="BB61" i="26"/>
  <c r="BA61" i="26"/>
  <c r="AZ61" i="26"/>
  <c r="AY61" i="26"/>
  <c r="AX61" i="26"/>
  <c r="AW61" i="26"/>
  <c r="AV61" i="26"/>
  <c r="AU61" i="26"/>
  <c r="AT61" i="26"/>
  <c r="AS61" i="26"/>
  <c r="AR61" i="26"/>
  <c r="AQ61" i="26"/>
  <c r="AP61" i="26"/>
  <c r="AO61" i="26"/>
  <c r="AN61" i="26"/>
  <c r="AM61" i="26"/>
  <c r="AL61" i="26"/>
  <c r="AK61" i="26"/>
  <c r="AJ61" i="26"/>
  <c r="AI61" i="26"/>
  <c r="AH61" i="26"/>
  <c r="BL60" i="26"/>
  <c r="BK60" i="26"/>
  <c r="BJ60" i="26"/>
  <c r="BI60" i="26"/>
  <c r="BH60" i="26"/>
  <c r="CX60" i="26" s="1"/>
  <c r="BG60" i="26"/>
  <c r="BF60" i="26"/>
  <c r="BE60" i="26"/>
  <c r="BD60" i="26"/>
  <c r="BC60" i="26"/>
  <c r="BB60" i="26"/>
  <c r="BA60" i="26"/>
  <c r="AZ60" i="26"/>
  <c r="AY60" i="26"/>
  <c r="AX60" i="26"/>
  <c r="AW60" i="26"/>
  <c r="AV60" i="26"/>
  <c r="AU60" i="26"/>
  <c r="AT60" i="26"/>
  <c r="AS60" i="26"/>
  <c r="AR60" i="26"/>
  <c r="AQ60" i="26"/>
  <c r="AP60" i="26"/>
  <c r="AO60" i="26"/>
  <c r="AN60" i="26"/>
  <c r="AM60" i="26"/>
  <c r="AL60" i="26"/>
  <c r="AK60" i="26"/>
  <c r="AJ60" i="26"/>
  <c r="AI60" i="26"/>
  <c r="AH60" i="26"/>
  <c r="BL59" i="26"/>
  <c r="BK59" i="26"/>
  <c r="BJ59" i="26"/>
  <c r="BI59" i="26"/>
  <c r="BH59" i="26"/>
  <c r="CX59" i="26" s="1"/>
  <c r="BG59" i="26"/>
  <c r="BF59" i="26"/>
  <c r="BE59" i="26"/>
  <c r="BD59" i="26"/>
  <c r="BC59" i="26"/>
  <c r="BB59" i="26"/>
  <c r="BA59" i="26"/>
  <c r="AZ59" i="26"/>
  <c r="AY59" i="26"/>
  <c r="AX59" i="26"/>
  <c r="AW59" i="26"/>
  <c r="AV59" i="26"/>
  <c r="AU59" i="26"/>
  <c r="AT59" i="26"/>
  <c r="AS59" i="26"/>
  <c r="AR59" i="26"/>
  <c r="AQ59" i="26"/>
  <c r="AP59" i="26"/>
  <c r="AO59" i="26"/>
  <c r="AN59" i="26"/>
  <c r="AM59" i="26"/>
  <c r="AL59" i="26"/>
  <c r="AK59" i="26"/>
  <c r="AJ59" i="26"/>
  <c r="AI59" i="26"/>
  <c r="AH59" i="26"/>
  <c r="BL58" i="26"/>
  <c r="BK58" i="26"/>
  <c r="BJ58" i="26"/>
  <c r="BI58" i="26"/>
  <c r="BH58" i="26"/>
  <c r="CX58" i="26" s="1"/>
  <c r="BG58" i="26"/>
  <c r="BF58" i="26"/>
  <c r="BE58" i="26"/>
  <c r="BD58" i="26"/>
  <c r="BC58" i="26"/>
  <c r="BB58" i="26"/>
  <c r="BA58" i="26"/>
  <c r="AZ58" i="26"/>
  <c r="AY58" i="26"/>
  <c r="AX58" i="26"/>
  <c r="AW58" i="26"/>
  <c r="AV58" i="26"/>
  <c r="AU58" i="26"/>
  <c r="AT58" i="26"/>
  <c r="AS58" i="26"/>
  <c r="AR58" i="26"/>
  <c r="AQ58" i="26"/>
  <c r="AP58" i="26"/>
  <c r="AO58" i="26"/>
  <c r="AN58" i="26"/>
  <c r="AM58" i="26"/>
  <c r="AL58" i="26"/>
  <c r="AK58" i="26"/>
  <c r="AJ58" i="26"/>
  <c r="AI58" i="26"/>
  <c r="AH58" i="26"/>
  <c r="BL57" i="26"/>
  <c r="BK57" i="26"/>
  <c r="BJ57" i="26"/>
  <c r="BI57" i="26"/>
  <c r="BH57" i="26"/>
  <c r="CX57" i="26" s="1"/>
  <c r="BG57" i="26"/>
  <c r="BF57" i="26"/>
  <c r="BE57" i="26"/>
  <c r="BD57" i="26"/>
  <c r="BC57" i="26"/>
  <c r="BB57" i="26"/>
  <c r="BA57" i="26"/>
  <c r="AZ57" i="26"/>
  <c r="AY57" i="26"/>
  <c r="AX57" i="26"/>
  <c r="AW57" i="26"/>
  <c r="AV57" i="26"/>
  <c r="AU57" i="26"/>
  <c r="AT57" i="26"/>
  <c r="AS57" i="26"/>
  <c r="AR57" i="26"/>
  <c r="AQ57" i="26"/>
  <c r="AP57" i="26"/>
  <c r="AO57" i="26"/>
  <c r="AN57" i="26"/>
  <c r="AM57" i="26"/>
  <c r="AL57" i="26"/>
  <c r="AK57" i="26"/>
  <c r="AJ57" i="26"/>
  <c r="AI57" i="26"/>
  <c r="AH57" i="26"/>
  <c r="BL56" i="26"/>
  <c r="BK56" i="26"/>
  <c r="BJ56" i="26"/>
  <c r="BI56" i="26"/>
  <c r="BH56" i="26"/>
  <c r="CX56" i="26" s="1"/>
  <c r="BG56" i="26"/>
  <c r="BF56" i="26"/>
  <c r="BE56" i="26"/>
  <c r="BD56" i="26"/>
  <c r="BC56" i="26"/>
  <c r="BB56" i="26"/>
  <c r="BA56" i="26"/>
  <c r="AZ56" i="26"/>
  <c r="AY56" i="26"/>
  <c r="AX56" i="26"/>
  <c r="AW56" i="26"/>
  <c r="AV56" i="26"/>
  <c r="AU56" i="26"/>
  <c r="AT56" i="26"/>
  <c r="AS56" i="26"/>
  <c r="AR56" i="26"/>
  <c r="AQ56" i="26"/>
  <c r="AP56" i="26"/>
  <c r="AO56" i="26"/>
  <c r="AN56" i="26"/>
  <c r="AM56" i="26"/>
  <c r="AL56" i="26"/>
  <c r="AK56" i="26"/>
  <c r="AJ56" i="26"/>
  <c r="AI56" i="26"/>
  <c r="AH56" i="26"/>
  <c r="BL55" i="26"/>
  <c r="BK55" i="26"/>
  <c r="BJ55" i="26"/>
  <c r="BI55" i="26"/>
  <c r="BH55" i="26"/>
  <c r="CX55" i="26" s="1"/>
  <c r="BG55" i="26"/>
  <c r="BF55" i="26"/>
  <c r="BE55" i="26"/>
  <c r="BD55" i="26"/>
  <c r="BC55" i="26"/>
  <c r="BB55" i="26"/>
  <c r="BA55" i="26"/>
  <c r="AZ55" i="26"/>
  <c r="AY55" i="26"/>
  <c r="AX55" i="26"/>
  <c r="AW55" i="26"/>
  <c r="AV55" i="26"/>
  <c r="AU55" i="26"/>
  <c r="AT55" i="26"/>
  <c r="AS55" i="26"/>
  <c r="AR55" i="26"/>
  <c r="AQ55" i="26"/>
  <c r="AP55" i="26"/>
  <c r="AO55" i="26"/>
  <c r="AN55" i="26"/>
  <c r="AM55" i="26"/>
  <c r="AL55" i="26"/>
  <c r="AK55" i="26"/>
  <c r="AJ55" i="26"/>
  <c r="AI55" i="26"/>
  <c r="AH55" i="26"/>
  <c r="BL54" i="26"/>
  <c r="BK54" i="26"/>
  <c r="BJ54" i="26"/>
  <c r="BI54" i="26"/>
  <c r="BH54" i="26"/>
  <c r="CX54" i="26" s="1"/>
  <c r="BG54" i="26"/>
  <c r="BF54" i="26"/>
  <c r="BE54" i="26"/>
  <c r="BD54" i="26"/>
  <c r="BC54" i="26"/>
  <c r="BB54" i="26"/>
  <c r="BA54" i="26"/>
  <c r="AZ54" i="26"/>
  <c r="AY54" i="26"/>
  <c r="AX54" i="26"/>
  <c r="AW54" i="26"/>
  <c r="AV54" i="26"/>
  <c r="AU54" i="26"/>
  <c r="AT54" i="26"/>
  <c r="AS54" i="26"/>
  <c r="AR54" i="26"/>
  <c r="AQ54" i="26"/>
  <c r="AP54" i="26"/>
  <c r="AO54" i="26"/>
  <c r="AN54" i="26"/>
  <c r="AM54" i="26"/>
  <c r="AL54" i="26"/>
  <c r="AK54" i="26"/>
  <c r="AJ54" i="26"/>
  <c r="AI54" i="26"/>
  <c r="AH54" i="26"/>
  <c r="BL53" i="26"/>
  <c r="BK53" i="26"/>
  <c r="BJ53" i="26"/>
  <c r="BI53" i="26"/>
  <c r="BH53" i="26"/>
  <c r="CX53" i="26" s="1"/>
  <c r="BG53" i="26"/>
  <c r="BF53" i="26"/>
  <c r="BE53" i="26"/>
  <c r="BD53" i="26"/>
  <c r="BC53" i="26"/>
  <c r="BB53" i="26"/>
  <c r="BA53" i="26"/>
  <c r="AZ53" i="26"/>
  <c r="AY53" i="26"/>
  <c r="AX53" i="26"/>
  <c r="AW53" i="26"/>
  <c r="AV53" i="26"/>
  <c r="AU53" i="26"/>
  <c r="AT53" i="26"/>
  <c r="AS53" i="26"/>
  <c r="AR53" i="26"/>
  <c r="AQ53" i="26"/>
  <c r="AP53" i="26"/>
  <c r="AO53" i="26"/>
  <c r="AN53" i="26"/>
  <c r="AM53" i="26"/>
  <c r="AL53" i="26"/>
  <c r="AK53" i="26"/>
  <c r="AJ53" i="26"/>
  <c r="AI53" i="26"/>
  <c r="AH53" i="26"/>
  <c r="BL52" i="26"/>
  <c r="BK52" i="26"/>
  <c r="BJ52" i="26"/>
  <c r="BI52" i="26"/>
  <c r="BH52" i="26"/>
  <c r="CX52" i="26" s="1"/>
  <c r="BG52" i="26"/>
  <c r="BF52" i="26"/>
  <c r="BE52" i="26"/>
  <c r="BD52" i="26"/>
  <c r="BC52" i="26"/>
  <c r="BB52" i="26"/>
  <c r="BA52" i="26"/>
  <c r="AZ52" i="26"/>
  <c r="AY52" i="26"/>
  <c r="AX52" i="26"/>
  <c r="AW52" i="26"/>
  <c r="AV52" i="26"/>
  <c r="AU52" i="26"/>
  <c r="AT52" i="26"/>
  <c r="AS52" i="26"/>
  <c r="AR52" i="26"/>
  <c r="AQ52" i="26"/>
  <c r="AP52" i="26"/>
  <c r="AO52" i="26"/>
  <c r="AN52" i="26"/>
  <c r="AM52" i="26"/>
  <c r="AL52" i="26"/>
  <c r="AK52" i="26"/>
  <c r="AJ52" i="26"/>
  <c r="AI52" i="26"/>
  <c r="AH52" i="26"/>
  <c r="BL51" i="26"/>
  <c r="BK51" i="26"/>
  <c r="BJ51" i="26"/>
  <c r="BI51" i="26"/>
  <c r="BH51" i="26"/>
  <c r="CX51" i="26" s="1"/>
  <c r="BG51" i="26"/>
  <c r="BF51" i="26"/>
  <c r="BE51" i="26"/>
  <c r="BD51" i="26"/>
  <c r="BC51" i="26"/>
  <c r="BB51" i="26"/>
  <c r="BA51" i="26"/>
  <c r="AZ51" i="26"/>
  <c r="AY51" i="26"/>
  <c r="AX51" i="26"/>
  <c r="AW51" i="26"/>
  <c r="AV51" i="26"/>
  <c r="AU51" i="26"/>
  <c r="AT51" i="26"/>
  <c r="AS51" i="26"/>
  <c r="AR51" i="26"/>
  <c r="AQ51" i="26"/>
  <c r="AP51" i="26"/>
  <c r="AO51" i="26"/>
  <c r="AN51" i="26"/>
  <c r="AM51" i="26"/>
  <c r="AL51" i="26"/>
  <c r="AK51" i="26"/>
  <c r="AJ51" i="26"/>
  <c r="AI51" i="26"/>
  <c r="AH51" i="26"/>
  <c r="BL50" i="26"/>
  <c r="BK50" i="26"/>
  <c r="BJ50" i="26"/>
  <c r="BI50" i="26"/>
  <c r="BH50" i="26"/>
  <c r="CX50" i="26" s="1"/>
  <c r="BG50" i="26"/>
  <c r="BF50" i="26"/>
  <c r="BE50" i="26"/>
  <c r="BD50" i="26"/>
  <c r="BC50" i="26"/>
  <c r="BB50" i="26"/>
  <c r="BA50" i="26"/>
  <c r="AZ50" i="26"/>
  <c r="AY50" i="26"/>
  <c r="AX50" i="26"/>
  <c r="AW50" i="26"/>
  <c r="AV50" i="26"/>
  <c r="AU50" i="26"/>
  <c r="AT50" i="26"/>
  <c r="AS50" i="26"/>
  <c r="AR50" i="26"/>
  <c r="AQ50" i="26"/>
  <c r="AP50" i="26"/>
  <c r="AO50" i="26"/>
  <c r="AN50" i="26"/>
  <c r="AM50" i="26"/>
  <c r="AL50" i="26"/>
  <c r="AK50" i="26"/>
  <c r="AJ50" i="26"/>
  <c r="AI50" i="26"/>
  <c r="AH50" i="26"/>
  <c r="BL49" i="26"/>
  <c r="BK49" i="26"/>
  <c r="BJ49" i="26"/>
  <c r="BI49" i="26"/>
  <c r="BH49" i="26"/>
  <c r="CX49" i="26" s="1"/>
  <c r="BG49" i="26"/>
  <c r="BF49" i="26"/>
  <c r="BE49" i="26"/>
  <c r="BD49" i="26"/>
  <c r="BC49" i="26"/>
  <c r="BB49" i="26"/>
  <c r="BA49" i="26"/>
  <c r="AZ49" i="26"/>
  <c r="AY49" i="26"/>
  <c r="AX49" i="26"/>
  <c r="AW49" i="26"/>
  <c r="AV49" i="26"/>
  <c r="AU49" i="26"/>
  <c r="AT49" i="26"/>
  <c r="AS49" i="26"/>
  <c r="AR49" i="26"/>
  <c r="AQ49" i="26"/>
  <c r="AP49" i="26"/>
  <c r="AO49" i="26"/>
  <c r="AN49" i="26"/>
  <c r="AM49" i="26"/>
  <c r="AL49" i="26"/>
  <c r="AK49" i="26"/>
  <c r="AJ49" i="26"/>
  <c r="AI49" i="26"/>
  <c r="AH49" i="26"/>
  <c r="BL48" i="26"/>
  <c r="BK48" i="26"/>
  <c r="BJ48" i="26"/>
  <c r="BI48" i="26"/>
  <c r="BH48" i="26"/>
  <c r="CX48" i="26" s="1"/>
  <c r="BG48" i="26"/>
  <c r="BF48" i="26"/>
  <c r="BE48" i="26"/>
  <c r="BD48" i="26"/>
  <c r="BC48" i="26"/>
  <c r="BB48" i="26"/>
  <c r="BA48" i="26"/>
  <c r="AZ48" i="26"/>
  <c r="AY48" i="26"/>
  <c r="AX48" i="26"/>
  <c r="AW48" i="26"/>
  <c r="AV48" i="26"/>
  <c r="AU48" i="26"/>
  <c r="AT48" i="26"/>
  <c r="AS48" i="26"/>
  <c r="AR48" i="26"/>
  <c r="AQ48" i="26"/>
  <c r="AP48" i="26"/>
  <c r="AO48" i="26"/>
  <c r="AN48" i="26"/>
  <c r="AM48" i="26"/>
  <c r="AL48" i="26"/>
  <c r="AK48" i="26"/>
  <c r="AJ48" i="26"/>
  <c r="AI48" i="26"/>
  <c r="AH48" i="26"/>
  <c r="BL47" i="26"/>
  <c r="BK47" i="26"/>
  <c r="BJ47" i="26"/>
  <c r="BI47" i="26"/>
  <c r="BH47" i="26"/>
  <c r="CX47" i="26" s="1"/>
  <c r="BG47" i="26"/>
  <c r="BF47" i="26"/>
  <c r="BE47" i="26"/>
  <c r="BD47" i="26"/>
  <c r="BC47" i="26"/>
  <c r="BB47" i="26"/>
  <c r="BA47" i="26"/>
  <c r="AZ47" i="26"/>
  <c r="AY47" i="26"/>
  <c r="AX47" i="26"/>
  <c r="AW47" i="26"/>
  <c r="AV47" i="26"/>
  <c r="AU47" i="26"/>
  <c r="AT47" i="26"/>
  <c r="AS47" i="26"/>
  <c r="AR47" i="26"/>
  <c r="AQ47" i="26"/>
  <c r="AP47" i="26"/>
  <c r="AO47" i="26"/>
  <c r="AN47" i="26"/>
  <c r="AM47" i="26"/>
  <c r="AL47" i="26"/>
  <c r="AK47" i="26"/>
  <c r="AJ47" i="26"/>
  <c r="AI47" i="26"/>
  <c r="AH47" i="26"/>
  <c r="BL46" i="26"/>
  <c r="BK46" i="26"/>
  <c r="BJ46" i="26"/>
  <c r="BI46" i="26"/>
  <c r="BH46" i="26"/>
  <c r="CX46" i="26" s="1"/>
  <c r="BG46" i="26"/>
  <c r="BF46" i="26"/>
  <c r="BE46" i="26"/>
  <c r="BD46" i="26"/>
  <c r="BC46" i="26"/>
  <c r="BB46" i="26"/>
  <c r="BA46" i="26"/>
  <c r="AZ46" i="26"/>
  <c r="AY46" i="26"/>
  <c r="AX46" i="26"/>
  <c r="AW46" i="26"/>
  <c r="AV46" i="26"/>
  <c r="AU46" i="26"/>
  <c r="AT46" i="26"/>
  <c r="AS46" i="26"/>
  <c r="AR46" i="26"/>
  <c r="AQ46" i="26"/>
  <c r="AP46" i="26"/>
  <c r="AO46" i="26"/>
  <c r="AN46" i="26"/>
  <c r="AM46" i="26"/>
  <c r="AL46" i="26"/>
  <c r="AK46" i="26"/>
  <c r="AJ46" i="26"/>
  <c r="AI46" i="26"/>
  <c r="AH46" i="26"/>
  <c r="BL45" i="26"/>
  <c r="BK45" i="26"/>
  <c r="BJ45" i="26"/>
  <c r="BI45" i="26"/>
  <c r="BH45" i="26"/>
  <c r="CX45" i="26" s="1"/>
  <c r="BG45" i="26"/>
  <c r="BF45" i="26"/>
  <c r="BE45" i="26"/>
  <c r="BD45" i="26"/>
  <c r="BC45" i="26"/>
  <c r="BB45" i="26"/>
  <c r="BA45" i="26"/>
  <c r="AZ45" i="26"/>
  <c r="AY45" i="26"/>
  <c r="AX45" i="26"/>
  <c r="AW45" i="26"/>
  <c r="AV45" i="26"/>
  <c r="AU45" i="26"/>
  <c r="AT45" i="26"/>
  <c r="AS45" i="26"/>
  <c r="AR45" i="26"/>
  <c r="AQ45" i="26"/>
  <c r="AP45" i="26"/>
  <c r="AO45" i="26"/>
  <c r="AN45" i="26"/>
  <c r="AM45" i="26"/>
  <c r="AL45" i="26"/>
  <c r="AK45" i="26"/>
  <c r="AJ45" i="26"/>
  <c r="AI45" i="26"/>
  <c r="AH45" i="26"/>
  <c r="BL44" i="26"/>
  <c r="BK44" i="26"/>
  <c r="BJ44" i="26"/>
  <c r="BI44" i="26"/>
  <c r="BH44" i="26"/>
  <c r="CX44" i="26" s="1"/>
  <c r="BG44" i="26"/>
  <c r="BF44" i="26"/>
  <c r="BE44" i="26"/>
  <c r="BD44" i="26"/>
  <c r="BC44" i="26"/>
  <c r="BB44" i="26"/>
  <c r="BA44" i="26"/>
  <c r="AZ44" i="26"/>
  <c r="AY44" i="26"/>
  <c r="AX44" i="26"/>
  <c r="AW44" i="26"/>
  <c r="AV44" i="26"/>
  <c r="AU44" i="26"/>
  <c r="AT44" i="26"/>
  <c r="AS44" i="26"/>
  <c r="AR44" i="26"/>
  <c r="AQ44" i="26"/>
  <c r="AP44" i="26"/>
  <c r="AO44" i="26"/>
  <c r="AN44" i="26"/>
  <c r="AM44" i="26"/>
  <c r="AL44" i="26"/>
  <c r="AK44" i="26"/>
  <c r="AJ44" i="26"/>
  <c r="AI44" i="26"/>
  <c r="AH44" i="26"/>
  <c r="BL43" i="26"/>
  <c r="BK43" i="26"/>
  <c r="BJ43" i="26"/>
  <c r="BI43" i="26"/>
  <c r="BH43" i="26"/>
  <c r="CX43" i="26" s="1"/>
  <c r="BG43" i="26"/>
  <c r="BF43" i="26"/>
  <c r="BE43" i="26"/>
  <c r="BD43" i="26"/>
  <c r="BC43" i="26"/>
  <c r="BB43" i="26"/>
  <c r="BA43" i="26"/>
  <c r="AZ43" i="26"/>
  <c r="AY43" i="26"/>
  <c r="AX43" i="26"/>
  <c r="AW43" i="26"/>
  <c r="AV43" i="26"/>
  <c r="AU43" i="26"/>
  <c r="AT43" i="26"/>
  <c r="AS43" i="26"/>
  <c r="AR43" i="26"/>
  <c r="AQ43" i="26"/>
  <c r="AP43" i="26"/>
  <c r="AO43" i="26"/>
  <c r="AN43" i="26"/>
  <c r="AM43" i="26"/>
  <c r="AL43" i="26"/>
  <c r="AK43" i="26"/>
  <c r="AJ43" i="26"/>
  <c r="AI43" i="26"/>
  <c r="AH43" i="26"/>
  <c r="BL42" i="26"/>
  <c r="BK42" i="26"/>
  <c r="BJ42" i="26"/>
  <c r="BI42" i="26"/>
  <c r="BH42" i="26"/>
  <c r="CX42" i="26" s="1"/>
  <c r="BG42" i="26"/>
  <c r="BF42" i="26"/>
  <c r="BE42" i="26"/>
  <c r="BD42" i="26"/>
  <c r="BC42" i="26"/>
  <c r="BB42" i="26"/>
  <c r="BA42" i="26"/>
  <c r="AZ42" i="26"/>
  <c r="AY42" i="26"/>
  <c r="AX42" i="26"/>
  <c r="AW42" i="26"/>
  <c r="AV42" i="26"/>
  <c r="AU42" i="26"/>
  <c r="AT42" i="26"/>
  <c r="AS42" i="26"/>
  <c r="AR42" i="26"/>
  <c r="AQ42" i="26"/>
  <c r="AP42" i="26"/>
  <c r="AO42" i="26"/>
  <c r="AN42" i="26"/>
  <c r="AM42" i="26"/>
  <c r="AL42" i="26"/>
  <c r="AK42" i="26"/>
  <c r="AJ42" i="26"/>
  <c r="AI42" i="26"/>
  <c r="AH42" i="26"/>
  <c r="BL41" i="26"/>
  <c r="BK41" i="26"/>
  <c r="BJ41" i="26"/>
  <c r="BI41" i="26"/>
  <c r="BH41" i="26"/>
  <c r="CX41" i="26" s="1"/>
  <c r="BG41" i="26"/>
  <c r="BF41" i="26"/>
  <c r="BE41" i="26"/>
  <c r="BD41" i="26"/>
  <c r="BC41" i="26"/>
  <c r="BB41" i="26"/>
  <c r="BA41" i="26"/>
  <c r="AZ41" i="26"/>
  <c r="AY41" i="26"/>
  <c r="AX41" i="26"/>
  <c r="AW41" i="26"/>
  <c r="AV41" i="26"/>
  <c r="AU41" i="26"/>
  <c r="AT41" i="26"/>
  <c r="AS41" i="26"/>
  <c r="AR41" i="26"/>
  <c r="AQ41" i="26"/>
  <c r="AP41" i="26"/>
  <c r="AO41" i="26"/>
  <c r="AN41" i="26"/>
  <c r="AM41" i="26"/>
  <c r="AL41" i="26"/>
  <c r="AK41" i="26"/>
  <c r="AJ41" i="26"/>
  <c r="AI41" i="26"/>
  <c r="AH41" i="26"/>
  <c r="BL40" i="26"/>
  <c r="BK40" i="26"/>
  <c r="BJ40" i="26"/>
  <c r="BI40" i="26"/>
  <c r="BH40" i="26"/>
  <c r="CX40" i="26" s="1"/>
  <c r="BG40" i="26"/>
  <c r="BF40" i="26"/>
  <c r="BE40" i="26"/>
  <c r="BD40" i="26"/>
  <c r="BC40" i="26"/>
  <c r="BB40" i="26"/>
  <c r="BA40" i="26"/>
  <c r="AZ40" i="26"/>
  <c r="AY40" i="26"/>
  <c r="AX40" i="26"/>
  <c r="AW40" i="26"/>
  <c r="AV40" i="26"/>
  <c r="AU40" i="26"/>
  <c r="AT40" i="26"/>
  <c r="AS40" i="26"/>
  <c r="AR40" i="26"/>
  <c r="AQ40" i="26"/>
  <c r="AP40" i="26"/>
  <c r="AO40" i="26"/>
  <c r="AN40" i="26"/>
  <c r="AM40" i="26"/>
  <c r="AL40" i="26"/>
  <c r="AK40" i="26"/>
  <c r="AJ40" i="26"/>
  <c r="AI40" i="26"/>
  <c r="AH40" i="26"/>
  <c r="BL39" i="26"/>
  <c r="BK39" i="26"/>
  <c r="BJ39" i="26"/>
  <c r="BI39" i="26"/>
  <c r="BH39" i="26"/>
  <c r="BG39" i="26"/>
  <c r="BF39" i="26"/>
  <c r="BE39" i="26"/>
  <c r="BD39" i="26"/>
  <c r="BC39" i="26"/>
  <c r="BB39" i="26"/>
  <c r="BA39" i="26"/>
  <c r="AZ39" i="26"/>
  <c r="AY39" i="26"/>
  <c r="AX39" i="26"/>
  <c r="AW39" i="26"/>
  <c r="AV39" i="26"/>
  <c r="AU39" i="26"/>
  <c r="AT39" i="26"/>
  <c r="AS39" i="26"/>
  <c r="AR39" i="26"/>
  <c r="AQ39" i="26"/>
  <c r="AP39" i="26"/>
  <c r="AO39" i="26"/>
  <c r="AN39" i="26"/>
  <c r="AM39" i="26"/>
  <c r="AL39" i="26"/>
  <c r="AK39" i="26"/>
  <c r="AJ39" i="26"/>
  <c r="AI39" i="26"/>
  <c r="AH39" i="26"/>
  <c r="BL38" i="26"/>
  <c r="BK38" i="26"/>
  <c r="BJ38" i="26"/>
  <c r="BI38" i="26"/>
  <c r="BH38" i="26"/>
  <c r="CX38" i="26" s="1"/>
  <c r="BG38" i="26"/>
  <c r="BF38" i="26"/>
  <c r="BE38" i="26"/>
  <c r="BD38" i="26"/>
  <c r="BC38" i="26"/>
  <c r="BB38" i="26"/>
  <c r="BA38" i="26"/>
  <c r="AZ38" i="26"/>
  <c r="AY38" i="26"/>
  <c r="AX38" i="26"/>
  <c r="AW38" i="26"/>
  <c r="AV38" i="26"/>
  <c r="AU38" i="26"/>
  <c r="AT38" i="26"/>
  <c r="AS38" i="26"/>
  <c r="AR38" i="26"/>
  <c r="AQ38" i="26"/>
  <c r="AP38" i="26"/>
  <c r="AO38" i="26"/>
  <c r="AN38" i="26"/>
  <c r="AM38" i="26"/>
  <c r="AL38" i="26"/>
  <c r="AK38" i="26"/>
  <c r="AJ38" i="26"/>
  <c r="AI38" i="26"/>
  <c r="AH38" i="26"/>
  <c r="BL37" i="26"/>
  <c r="BK37" i="26"/>
  <c r="BJ37" i="26"/>
  <c r="BI37" i="26"/>
  <c r="BH37" i="26"/>
  <c r="CX37" i="26" s="1"/>
  <c r="BG37" i="26"/>
  <c r="BF37" i="26"/>
  <c r="BE37" i="26"/>
  <c r="BD37" i="26"/>
  <c r="BC37" i="26"/>
  <c r="BB37" i="26"/>
  <c r="BA37" i="26"/>
  <c r="AZ37" i="26"/>
  <c r="AY37" i="26"/>
  <c r="AX37" i="26"/>
  <c r="AW37" i="26"/>
  <c r="AV37" i="26"/>
  <c r="AU37" i="26"/>
  <c r="AT37" i="26"/>
  <c r="AS37" i="26"/>
  <c r="AR37" i="26"/>
  <c r="AQ37" i="26"/>
  <c r="AP37" i="26"/>
  <c r="AO37" i="26"/>
  <c r="AN37" i="26"/>
  <c r="AM37" i="26"/>
  <c r="AL37" i="26"/>
  <c r="AK37" i="26"/>
  <c r="AJ37" i="26"/>
  <c r="AI37" i="26"/>
  <c r="AH37" i="26"/>
  <c r="BL36" i="26"/>
  <c r="BK36" i="26"/>
  <c r="BJ36" i="26"/>
  <c r="BI36" i="26"/>
  <c r="BH36" i="26"/>
  <c r="CX36" i="26" s="1"/>
  <c r="BG36" i="26"/>
  <c r="BF36" i="26"/>
  <c r="BE36" i="26"/>
  <c r="BD36" i="26"/>
  <c r="BC36" i="26"/>
  <c r="BB36" i="26"/>
  <c r="BA36" i="26"/>
  <c r="AZ36" i="26"/>
  <c r="AY36" i="26"/>
  <c r="AX36" i="26"/>
  <c r="AW36" i="26"/>
  <c r="AV36" i="26"/>
  <c r="AU36" i="26"/>
  <c r="AT36" i="26"/>
  <c r="AS36" i="26"/>
  <c r="AR36" i="26"/>
  <c r="AQ36" i="26"/>
  <c r="AP36" i="26"/>
  <c r="AO36" i="26"/>
  <c r="AN36" i="26"/>
  <c r="AM36" i="26"/>
  <c r="AL36" i="26"/>
  <c r="AK36" i="26"/>
  <c r="AJ36" i="26"/>
  <c r="AI36" i="26"/>
  <c r="AH36" i="26"/>
  <c r="BL35" i="26"/>
  <c r="BK35" i="26"/>
  <c r="BJ35" i="26"/>
  <c r="BI35" i="26"/>
  <c r="BH35" i="26"/>
  <c r="BG35" i="26"/>
  <c r="BF35" i="26"/>
  <c r="BE35" i="26"/>
  <c r="BD35" i="26"/>
  <c r="BC35" i="26"/>
  <c r="BB35" i="26"/>
  <c r="BA35" i="26"/>
  <c r="AZ35" i="26"/>
  <c r="AY35" i="26"/>
  <c r="AX35" i="26"/>
  <c r="AW35" i="26"/>
  <c r="AV35" i="26"/>
  <c r="AU35" i="26"/>
  <c r="AT35" i="26"/>
  <c r="AS35" i="26"/>
  <c r="AR35" i="26"/>
  <c r="AQ35" i="26"/>
  <c r="AP35" i="26"/>
  <c r="AO35" i="26"/>
  <c r="AN35" i="26"/>
  <c r="AM35" i="26"/>
  <c r="AL35" i="26"/>
  <c r="AK35" i="26"/>
  <c r="AJ35" i="26"/>
  <c r="AI35" i="26"/>
  <c r="AH35" i="26"/>
  <c r="BL34" i="26"/>
  <c r="BK34" i="26"/>
  <c r="BJ34" i="26"/>
  <c r="BI34" i="26"/>
  <c r="BH34" i="26"/>
  <c r="CX34" i="26" s="1"/>
  <c r="BG34" i="26"/>
  <c r="BF34" i="26"/>
  <c r="BE34" i="26"/>
  <c r="BD34" i="26"/>
  <c r="BC34" i="26"/>
  <c r="BB34" i="26"/>
  <c r="BA34" i="26"/>
  <c r="AZ34" i="26"/>
  <c r="AY34" i="26"/>
  <c r="AX34" i="26"/>
  <c r="AW34" i="26"/>
  <c r="AV34" i="26"/>
  <c r="AU34" i="26"/>
  <c r="AT34" i="26"/>
  <c r="AS34" i="26"/>
  <c r="AR34" i="26"/>
  <c r="AQ34" i="26"/>
  <c r="AP34" i="26"/>
  <c r="AO34" i="26"/>
  <c r="AN34" i="26"/>
  <c r="AM34" i="26"/>
  <c r="AL34" i="26"/>
  <c r="AK34" i="26"/>
  <c r="AJ34" i="26"/>
  <c r="AI34" i="26"/>
  <c r="AH34" i="26"/>
  <c r="BL33" i="26"/>
  <c r="BK33" i="26"/>
  <c r="BJ33" i="26"/>
  <c r="BI33" i="26"/>
  <c r="BH33" i="26"/>
  <c r="CX33" i="26" s="1"/>
  <c r="BG33" i="26"/>
  <c r="BF33" i="26"/>
  <c r="BE33" i="26"/>
  <c r="BD33" i="26"/>
  <c r="BC33" i="26"/>
  <c r="BB33" i="26"/>
  <c r="BA33" i="26"/>
  <c r="AZ33" i="26"/>
  <c r="AY33" i="26"/>
  <c r="AX33" i="26"/>
  <c r="AW33" i="26"/>
  <c r="AV33" i="26"/>
  <c r="AU33" i="26"/>
  <c r="AT33" i="26"/>
  <c r="AS33" i="26"/>
  <c r="AR33" i="26"/>
  <c r="AQ33" i="26"/>
  <c r="AP33" i="26"/>
  <c r="AO33" i="26"/>
  <c r="AN33" i="26"/>
  <c r="AM33" i="26"/>
  <c r="AL33" i="26"/>
  <c r="AK33" i="26"/>
  <c r="AJ33" i="26"/>
  <c r="AI33" i="26"/>
  <c r="AH33" i="26"/>
  <c r="BL32" i="26"/>
  <c r="BK32" i="26"/>
  <c r="BJ32" i="26"/>
  <c r="BI32" i="26"/>
  <c r="BH32" i="26"/>
  <c r="CX32" i="26" s="1"/>
  <c r="BG32" i="26"/>
  <c r="BF32" i="26"/>
  <c r="BE32" i="26"/>
  <c r="BD32" i="26"/>
  <c r="BC32" i="26"/>
  <c r="BB32" i="26"/>
  <c r="BA32" i="26"/>
  <c r="AZ32" i="26"/>
  <c r="AY32" i="26"/>
  <c r="AX32" i="26"/>
  <c r="AW32" i="26"/>
  <c r="AV32" i="26"/>
  <c r="AU32" i="26"/>
  <c r="AT32" i="26"/>
  <c r="AS32" i="26"/>
  <c r="AR32" i="26"/>
  <c r="AQ32" i="26"/>
  <c r="AP32" i="26"/>
  <c r="AO32" i="26"/>
  <c r="AN32" i="26"/>
  <c r="AM32" i="26"/>
  <c r="AL32" i="26"/>
  <c r="AK32" i="26"/>
  <c r="AJ32" i="26"/>
  <c r="AI32" i="26"/>
  <c r="AH32" i="26"/>
  <c r="BL31" i="26"/>
  <c r="BK31" i="26"/>
  <c r="BJ31" i="26"/>
  <c r="BI31" i="26"/>
  <c r="BH31" i="26"/>
  <c r="CX31" i="26" s="1"/>
  <c r="BG31" i="26"/>
  <c r="BF31" i="26"/>
  <c r="BE31" i="26"/>
  <c r="BD31" i="26"/>
  <c r="BC31" i="26"/>
  <c r="BB31" i="26"/>
  <c r="BA31" i="26"/>
  <c r="AZ31" i="26"/>
  <c r="AY31" i="26"/>
  <c r="AX31" i="26"/>
  <c r="AW31" i="26"/>
  <c r="AV31" i="26"/>
  <c r="AU31" i="26"/>
  <c r="AT31" i="26"/>
  <c r="AS31" i="26"/>
  <c r="AR31" i="26"/>
  <c r="AQ31" i="26"/>
  <c r="AP31" i="26"/>
  <c r="AO31" i="26"/>
  <c r="AN31" i="26"/>
  <c r="AM31" i="26"/>
  <c r="AL31" i="26"/>
  <c r="AK31" i="26"/>
  <c r="AJ31" i="26"/>
  <c r="AI31" i="26"/>
  <c r="AH31" i="26"/>
  <c r="BL30" i="26"/>
  <c r="BK30" i="26"/>
  <c r="BJ30" i="26"/>
  <c r="BI30" i="26"/>
  <c r="BH30" i="26"/>
  <c r="CX30" i="26" s="1"/>
  <c r="BG30" i="26"/>
  <c r="BF30" i="26"/>
  <c r="BE30" i="26"/>
  <c r="BD30" i="26"/>
  <c r="BC30" i="26"/>
  <c r="BB30" i="26"/>
  <c r="BA30" i="26"/>
  <c r="AZ30" i="26"/>
  <c r="AY30" i="26"/>
  <c r="AX30" i="26"/>
  <c r="AW30" i="26"/>
  <c r="AV30" i="26"/>
  <c r="AU30" i="26"/>
  <c r="AT30" i="26"/>
  <c r="AS30" i="26"/>
  <c r="AR30" i="26"/>
  <c r="AQ30" i="26"/>
  <c r="AP30" i="26"/>
  <c r="AO30" i="26"/>
  <c r="AN30" i="26"/>
  <c r="AM30" i="26"/>
  <c r="AL30" i="26"/>
  <c r="AK30" i="26"/>
  <c r="AJ30" i="26"/>
  <c r="AI30" i="26"/>
  <c r="AH30" i="26"/>
  <c r="BL29" i="26"/>
  <c r="BK29" i="26"/>
  <c r="BJ29" i="26"/>
  <c r="BI29" i="26"/>
  <c r="BH29" i="26"/>
  <c r="CX29" i="26" s="1"/>
  <c r="BG29" i="26"/>
  <c r="BF29" i="26"/>
  <c r="BE29" i="26"/>
  <c r="BD29" i="26"/>
  <c r="BC29" i="26"/>
  <c r="BB29" i="26"/>
  <c r="BA29" i="26"/>
  <c r="AZ29" i="26"/>
  <c r="AY29" i="26"/>
  <c r="AX29" i="26"/>
  <c r="AW29" i="26"/>
  <c r="AV29" i="26"/>
  <c r="AU29" i="26"/>
  <c r="AT29" i="26"/>
  <c r="AS29" i="26"/>
  <c r="AR29" i="26"/>
  <c r="AQ29" i="26"/>
  <c r="AP29" i="26"/>
  <c r="AO29" i="26"/>
  <c r="AN29" i="26"/>
  <c r="AM29" i="26"/>
  <c r="AL29" i="26"/>
  <c r="AK29" i="26"/>
  <c r="AJ29" i="26"/>
  <c r="AI29" i="26"/>
  <c r="AH29" i="26"/>
  <c r="BL28" i="26"/>
  <c r="BK28" i="26"/>
  <c r="BJ28" i="26"/>
  <c r="BI28" i="26"/>
  <c r="BH28" i="26"/>
  <c r="CX28" i="26" s="1"/>
  <c r="BG28" i="26"/>
  <c r="BF28" i="26"/>
  <c r="BE28" i="26"/>
  <c r="BD28" i="26"/>
  <c r="BC28" i="26"/>
  <c r="BB28" i="26"/>
  <c r="BA28" i="26"/>
  <c r="AZ28" i="26"/>
  <c r="AY28" i="26"/>
  <c r="AX28" i="26"/>
  <c r="AW28" i="26"/>
  <c r="AV28" i="26"/>
  <c r="AU28" i="26"/>
  <c r="AT28" i="26"/>
  <c r="AS28" i="26"/>
  <c r="AR28" i="26"/>
  <c r="AQ28" i="26"/>
  <c r="AP28" i="26"/>
  <c r="AO28" i="26"/>
  <c r="AN28" i="26"/>
  <c r="AM28" i="26"/>
  <c r="AL28" i="26"/>
  <c r="AK28" i="26"/>
  <c r="AJ28" i="26"/>
  <c r="AI28" i="26"/>
  <c r="AH28" i="26"/>
  <c r="BL27" i="26"/>
  <c r="BK27" i="26"/>
  <c r="BJ27" i="26"/>
  <c r="BI27" i="26"/>
  <c r="BH27" i="26"/>
  <c r="CX27" i="26" s="1"/>
  <c r="BG27" i="26"/>
  <c r="BF27" i="26"/>
  <c r="BE27" i="26"/>
  <c r="BD27" i="26"/>
  <c r="BC27" i="26"/>
  <c r="BB27" i="26"/>
  <c r="BA27" i="26"/>
  <c r="AZ27" i="26"/>
  <c r="AY27" i="26"/>
  <c r="AX27" i="26"/>
  <c r="AW27" i="26"/>
  <c r="AV27" i="26"/>
  <c r="AU27" i="26"/>
  <c r="AT27" i="26"/>
  <c r="AS27" i="26"/>
  <c r="AR27" i="26"/>
  <c r="AQ27" i="26"/>
  <c r="AP27" i="26"/>
  <c r="AO27" i="26"/>
  <c r="AN27" i="26"/>
  <c r="AM27" i="26"/>
  <c r="AL27" i="26"/>
  <c r="AK27" i="26"/>
  <c r="AJ27" i="26"/>
  <c r="AI27" i="26"/>
  <c r="AH27" i="26"/>
  <c r="BL26" i="26"/>
  <c r="BK26" i="26"/>
  <c r="BJ26" i="26"/>
  <c r="BI26" i="26"/>
  <c r="BH26" i="26"/>
  <c r="CX26" i="26" s="1"/>
  <c r="BG26" i="26"/>
  <c r="BF26" i="26"/>
  <c r="BE26" i="26"/>
  <c r="BD26" i="26"/>
  <c r="BC26" i="26"/>
  <c r="BB26" i="26"/>
  <c r="BA26" i="26"/>
  <c r="AZ26" i="26"/>
  <c r="AY26" i="26"/>
  <c r="AX26" i="26"/>
  <c r="AW26" i="26"/>
  <c r="AV26" i="26"/>
  <c r="AU26" i="26"/>
  <c r="AT26" i="26"/>
  <c r="AS26" i="26"/>
  <c r="AR26" i="26"/>
  <c r="AQ26" i="26"/>
  <c r="AP26" i="26"/>
  <c r="AO26" i="26"/>
  <c r="AN26" i="26"/>
  <c r="AM26" i="26"/>
  <c r="AL26" i="26"/>
  <c r="AK26" i="26"/>
  <c r="AJ26" i="26"/>
  <c r="AI26" i="26"/>
  <c r="AH26" i="26"/>
  <c r="BL25" i="26"/>
  <c r="BK25" i="26"/>
  <c r="BJ25" i="26"/>
  <c r="BI25" i="26"/>
  <c r="BH25" i="26"/>
  <c r="CX25" i="26" s="1"/>
  <c r="BG25" i="26"/>
  <c r="BF25" i="26"/>
  <c r="BE25" i="26"/>
  <c r="BD25" i="26"/>
  <c r="BC25" i="26"/>
  <c r="BB25" i="26"/>
  <c r="BA25" i="26"/>
  <c r="AZ25" i="26"/>
  <c r="AY25" i="26"/>
  <c r="AX25" i="26"/>
  <c r="AW25" i="26"/>
  <c r="AV25" i="26"/>
  <c r="AU25" i="26"/>
  <c r="AT25" i="26"/>
  <c r="AS25" i="26"/>
  <c r="AR25" i="26"/>
  <c r="AQ25" i="26"/>
  <c r="AP25" i="26"/>
  <c r="AO25" i="26"/>
  <c r="AN25" i="26"/>
  <c r="AM25" i="26"/>
  <c r="AL25" i="26"/>
  <c r="AK25" i="26"/>
  <c r="AJ25" i="26"/>
  <c r="AI25" i="26"/>
  <c r="AH25" i="26"/>
  <c r="BL24" i="26"/>
  <c r="BK24" i="26"/>
  <c r="BJ24" i="26"/>
  <c r="BI24" i="26"/>
  <c r="BH24" i="26"/>
  <c r="CX24" i="26" s="1"/>
  <c r="BG24" i="26"/>
  <c r="BF24" i="26"/>
  <c r="BE24" i="26"/>
  <c r="BD24" i="26"/>
  <c r="BC24" i="26"/>
  <c r="BB24" i="26"/>
  <c r="BA24" i="26"/>
  <c r="AZ24" i="26"/>
  <c r="AY24" i="26"/>
  <c r="AX24" i="26"/>
  <c r="AW24" i="26"/>
  <c r="AV24" i="26"/>
  <c r="AU24" i="26"/>
  <c r="AT24" i="26"/>
  <c r="AS24" i="26"/>
  <c r="AR24" i="26"/>
  <c r="AQ24" i="26"/>
  <c r="AP24" i="26"/>
  <c r="AO24" i="26"/>
  <c r="AN24" i="26"/>
  <c r="AM24" i="26"/>
  <c r="AL24" i="26"/>
  <c r="AK24" i="26"/>
  <c r="AJ24" i="26"/>
  <c r="AI24" i="26"/>
  <c r="AH24" i="26"/>
  <c r="BL23" i="26"/>
  <c r="BK23" i="26"/>
  <c r="BJ23" i="26"/>
  <c r="BI23" i="26"/>
  <c r="BH23" i="26"/>
  <c r="CX23" i="26" s="1"/>
  <c r="BG23" i="26"/>
  <c r="BF23" i="26"/>
  <c r="BE23" i="26"/>
  <c r="BD23" i="26"/>
  <c r="BC23" i="26"/>
  <c r="BB23" i="26"/>
  <c r="BA23" i="26"/>
  <c r="AZ23" i="26"/>
  <c r="AY23" i="26"/>
  <c r="AX23" i="26"/>
  <c r="AW23" i="26"/>
  <c r="AV23" i="26"/>
  <c r="AU23" i="26"/>
  <c r="AT23" i="26"/>
  <c r="AS23" i="26"/>
  <c r="AR23" i="26"/>
  <c r="AQ23" i="26"/>
  <c r="AP23" i="26"/>
  <c r="AO23" i="26"/>
  <c r="AN23" i="26"/>
  <c r="AM23" i="26"/>
  <c r="AL23" i="26"/>
  <c r="AK23" i="26"/>
  <c r="AJ23" i="26"/>
  <c r="AI23" i="26"/>
  <c r="AH23" i="26"/>
  <c r="BL22" i="26"/>
  <c r="BK22" i="26"/>
  <c r="BJ22" i="26"/>
  <c r="BI22" i="26"/>
  <c r="BH22" i="26"/>
  <c r="CX22" i="26" s="1"/>
  <c r="BG22" i="26"/>
  <c r="BF22" i="26"/>
  <c r="BE22" i="26"/>
  <c r="BD22" i="26"/>
  <c r="BC22" i="26"/>
  <c r="BB22" i="26"/>
  <c r="BA22" i="26"/>
  <c r="AZ22" i="26"/>
  <c r="AY22" i="26"/>
  <c r="AX22" i="26"/>
  <c r="AW22" i="26"/>
  <c r="AV22" i="26"/>
  <c r="AU22" i="26"/>
  <c r="AT22" i="26"/>
  <c r="AS22" i="26"/>
  <c r="AR22" i="26"/>
  <c r="AQ22" i="26"/>
  <c r="AP22" i="26"/>
  <c r="AO22" i="26"/>
  <c r="AN22" i="26"/>
  <c r="AM22" i="26"/>
  <c r="AL22" i="26"/>
  <c r="AK22" i="26"/>
  <c r="AJ22" i="26"/>
  <c r="AI22" i="26"/>
  <c r="AH22" i="26"/>
  <c r="BL21" i="26"/>
  <c r="BK21" i="26"/>
  <c r="BJ21" i="26"/>
  <c r="BI21" i="26"/>
  <c r="BH21" i="26"/>
  <c r="CX21" i="26" s="1"/>
  <c r="BG21" i="26"/>
  <c r="BF21" i="26"/>
  <c r="BE21" i="26"/>
  <c r="BD21" i="26"/>
  <c r="BC21" i="26"/>
  <c r="BB21" i="26"/>
  <c r="BA21" i="26"/>
  <c r="AZ21" i="26"/>
  <c r="AY21" i="26"/>
  <c r="AX21" i="26"/>
  <c r="AW21" i="26"/>
  <c r="AV21" i="26"/>
  <c r="AU21" i="26"/>
  <c r="AT21" i="26"/>
  <c r="AS21" i="26"/>
  <c r="AR21" i="26"/>
  <c r="AQ21" i="26"/>
  <c r="AP21" i="26"/>
  <c r="AO21" i="26"/>
  <c r="AN21" i="26"/>
  <c r="AM21" i="26"/>
  <c r="AL21" i="26"/>
  <c r="AK21" i="26"/>
  <c r="AJ21" i="26"/>
  <c r="AI21" i="26"/>
  <c r="AH21" i="26"/>
  <c r="BL20" i="26"/>
  <c r="BK20" i="26"/>
  <c r="BJ20" i="26"/>
  <c r="BI20" i="26"/>
  <c r="BH20" i="26"/>
  <c r="BG20" i="26"/>
  <c r="BF20" i="26"/>
  <c r="BE20" i="26"/>
  <c r="BD20" i="26"/>
  <c r="BC20" i="26"/>
  <c r="BB20" i="26"/>
  <c r="BA20" i="26"/>
  <c r="AZ20" i="26"/>
  <c r="AY20" i="26"/>
  <c r="AX20" i="26"/>
  <c r="AW20" i="26"/>
  <c r="AV20" i="26"/>
  <c r="AU20" i="26"/>
  <c r="AT20" i="26"/>
  <c r="AS20" i="26"/>
  <c r="AR20" i="26"/>
  <c r="AQ20" i="26"/>
  <c r="AP20" i="26"/>
  <c r="AO20" i="26"/>
  <c r="AN20" i="26"/>
  <c r="AM20" i="26"/>
  <c r="AL20" i="26"/>
  <c r="AK20" i="26"/>
  <c r="AJ20" i="26"/>
  <c r="AI20" i="26"/>
  <c r="AH20" i="26"/>
  <c r="BL19" i="26"/>
  <c r="BK19" i="26"/>
  <c r="BJ19" i="26"/>
  <c r="BI19" i="26"/>
  <c r="BH19" i="26"/>
  <c r="CX19" i="26" s="1"/>
  <c r="BG19" i="26"/>
  <c r="BF19" i="26"/>
  <c r="BE19" i="26"/>
  <c r="BD19" i="26"/>
  <c r="BC19" i="26"/>
  <c r="BB19" i="26"/>
  <c r="BA19" i="26"/>
  <c r="AZ19" i="26"/>
  <c r="AY19" i="26"/>
  <c r="AX19" i="26"/>
  <c r="AW19" i="26"/>
  <c r="AV19" i="26"/>
  <c r="AU19" i="26"/>
  <c r="AT19" i="26"/>
  <c r="AS19" i="26"/>
  <c r="AR19" i="26"/>
  <c r="AQ19" i="26"/>
  <c r="AP19" i="26"/>
  <c r="AO19" i="26"/>
  <c r="AN19" i="26"/>
  <c r="AM19" i="26"/>
  <c r="AL19" i="26"/>
  <c r="AK19" i="26"/>
  <c r="AJ19" i="26"/>
  <c r="AI19" i="26"/>
  <c r="AH19" i="26"/>
  <c r="BL18" i="26"/>
  <c r="BK18" i="26"/>
  <c r="BJ18" i="26"/>
  <c r="BI18" i="26"/>
  <c r="BH18" i="26"/>
  <c r="CX18" i="26" s="1"/>
  <c r="BG18" i="26"/>
  <c r="BF18" i="26"/>
  <c r="BE18" i="26"/>
  <c r="BD18" i="26"/>
  <c r="BC18" i="26"/>
  <c r="BB18" i="26"/>
  <c r="BA18" i="26"/>
  <c r="AZ18" i="26"/>
  <c r="AY18" i="26"/>
  <c r="AX18" i="26"/>
  <c r="AW18" i="26"/>
  <c r="AV18" i="26"/>
  <c r="AU18" i="26"/>
  <c r="AT18" i="26"/>
  <c r="AS18" i="26"/>
  <c r="AR18" i="26"/>
  <c r="AQ18" i="26"/>
  <c r="AP18" i="26"/>
  <c r="AO18" i="26"/>
  <c r="AN18" i="26"/>
  <c r="AM18" i="26"/>
  <c r="AL18" i="26"/>
  <c r="AK18" i="26"/>
  <c r="AJ18" i="26"/>
  <c r="AI18" i="26"/>
  <c r="AH18" i="26"/>
  <c r="BL17" i="26"/>
  <c r="BK17" i="26"/>
  <c r="BJ17" i="26"/>
  <c r="BI17" i="26"/>
  <c r="BH17" i="26"/>
  <c r="CX17" i="26" s="1"/>
  <c r="BG17" i="26"/>
  <c r="BF17" i="26"/>
  <c r="BE17" i="26"/>
  <c r="BD17" i="26"/>
  <c r="BC17" i="26"/>
  <c r="BB17" i="26"/>
  <c r="BA17" i="26"/>
  <c r="AZ17" i="26"/>
  <c r="AY17" i="26"/>
  <c r="AX17" i="26"/>
  <c r="AW17" i="26"/>
  <c r="AV17" i="26"/>
  <c r="AU17" i="26"/>
  <c r="AT17" i="26"/>
  <c r="AS17" i="26"/>
  <c r="AR17" i="26"/>
  <c r="AQ17" i="26"/>
  <c r="AP17" i="26"/>
  <c r="AO17" i="26"/>
  <c r="AN17" i="26"/>
  <c r="AM17" i="26"/>
  <c r="AL17" i="26"/>
  <c r="AK17" i="26"/>
  <c r="AJ17" i="26"/>
  <c r="AI17" i="26"/>
  <c r="AH17" i="26"/>
  <c r="BL16" i="26"/>
  <c r="BK16" i="26"/>
  <c r="BJ16" i="26"/>
  <c r="BI16" i="26"/>
  <c r="BH16" i="26"/>
  <c r="CX16" i="26" s="1"/>
  <c r="BG16" i="26"/>
  <c r="BF16" i="26"/>
  <c r="BE16" i="26"/>
  <c r="BD16" i="26"/>
  <c r="BC16" i="26"/>
  <c r="BB16" i="26"/>
  <c r="BA16" i="26"/>
  <c r="AZ16" i="26"/>
  <c r="AY16" i="26"/>
  <c r="AX16" i="26"/>
  <c r="AW16" i="26"/>
  <c r="AV16" i="26"/>
  <c r="AU16" i="26"/>
  <c r="AT16" i="26"/>
  <c r="AS16" i="26"/>
  <c r="AR16" i="26"/>
  <c r="AQ16" i="26"/>
  <c r="AP16" i="26"/>
  <c r="AO16" i="26"/>
  <c r="AN16" i="26"/>
  <c r="AM16" i="26"/>
  <c r="AL16" i="26"/>
  <c r="AK16" i="26"/>
  <c r="AJ16" i="26"/>
  <c r="AI16" i="26"/>
  <c r="AH16" i="26"/>
  <c r="BL15" i="26"/>
  <c r="BK15" i="26"/>
  <c r="BJ15" i="26"/>
  <c r="BI15" i="26"/>
  <c r="BH15" i="26"/>
  <c r="CX15" i="26" s="1"/>
  <c r="BG15" i="26"/>
  <c r="BF15" i="26"/>
  <c r="BE15" i="26"/>
  <c r="BD15" i="26"/>
  <c r="BC15" i="26"/>
  <c r="BB15" i="26"/>
  <c r="BA15" i="26"/>
  <c r="AZ15" i="26"/>
  <c r="AY15" i="26"/>
  <c r="AX15" i="26"/>
  <c r="AW15" i="26"/>
  <c r="AV15" i="26"/>
  <c r="AU15" i="26"/>
  <c r="AT15" i="26"/>
  <c r="AS15" i="26"/>
  <c r="AR15" i="26"/>
  <c r="AQ15" i="26"/>
  <c r="AP15" i="26"/>
  <c r="AO15" i="26"/>
  <c r="AN15" i="26"/>
  <c r="AM15" i="26"/>
  <c r="AL15" i="26"/>
  <c r="AK15" i="26"/>
  <c r="AJ15" i="26"/>
  <c r="AI15" i="26"/>
  <c r="AH15" i="26"/>
  <c r="BL14" i="26"/>
  <c r="BK14" i="26"/>
  <c r="BJ14" i="26"/>
  <c r="BI14" i="26"/>
  <c r="BH14" i="26"/>
  <c r="CX14" i="26" s="1"/>
  <c r="BG14" i="26"/>
  <c r="BF14" i="26"/>
  <c r="BE14" i="26"/>
  <c r="BD14" i="26"/>
  <c r="BC14" i="26"/>
  <c r="BB14" i="26"/>
  <c r="BA14" i="26"/>
  <c r="AZ14" i="26"/>
  <c r="AY14" i="26"/>
  <c r="AX14" i="26"/>
  <c r="AW14" i="26"/>
  <c r="AV14" i="26"/>
  <c r="AU14" i="26"/>
  <c r="AT14" i="26"/>
  <c r="AS14" i="26"/>
  <c r="AR14" i="26"/>
  <c r="AQ14" i="26"/>
  <c r="AP14" i="26"/>
  <c r="AO14" i="26"/>
  <c r="AN14" i="26"/>
  <c r="AM14" i="26"/>
  <c r="AL14" i="26"/>
  <c r="AK14" i="26"/>
  <c r="AJ14" i="26"/>
  <c r="AI14" i="26"/>
  <c r="AH14" i="26"/>
  <c r="BL13" i="26"/>
  <c r="BK13" i="26"/>
  <c r="BJ13" i="26"/>
  <c r="BI13" i="26"/>
  <c r="BH13" i="26"/>
  <c r="BG13" i="26"/>
  <c r="BF13" i="26"/>
  <c r="BE13" i="26"/>
  <c r="BD13" i="26"/>
  <c r="BC13" i="26"/>
  <c r="BB13" i="26"/>
  <c r="BA13" i="26"/>
  <c r="AZ13" i="26"/>
  <c r="AY13" i="26"/>
  <c r="AX13" i="26"/>
  <c r="AW13" i="26"/>
  <c r="AV13" i="26"/>
  <c r="AU13" i="26"/>
  <c r="AT13" i="26"/>
  <c r="AS13" i="26"/>
  <c r="AR13" i="26"/>
  <c r="AQ13" i="26"/>
  <c r="AP13" i="26"/>
  <c r="AO13" i="26"/>
  <c r="AN13" i="26"/>
  <c r="AM13" i="26"/>
  <c r="AL13" i="26"/>
  <c r="AK13" i="26"/>
  <c r="AJ13" i="26"/>
  <c r="AI13" i="26"/>
  <c r="AH13" i="26"/>
  <c r="BL12" i="26"/>
  <c r="BK12" i="26"/>
  <c r="BJ12" i="26"/>
  <c r="BI12" i="26"/>
  <c r="BH12" i="26"/>
  <c r="CX12" i="26" s="1"/>
  <c r="BG12" i="26"/>
  <c r="BF12" i="26"/>
  <c r="BE12" i="26"/>
  <c r="BD12" i="26"/>
  <c r="BC12" i="26"/>
  <c r="BB12" i="26"/>
  <c r="BA12" i="26"/>
  <c r="AZ12" i="26"/>
  <c r="AY12" i="26"/>
  <c r="AX12" i="26"/>
  <c r="AW12" i="26"/>
  <c r="AV12" i="26"/>
  <c r="AU12" i="26"/>
  <c r="AT12" i="26"/>
  <c r="AS12" i="26"/>
  <c r="AR12" i="26"/>
  <c r="AQ12" i="26"/>
  <c r="AP12" i="26"/>
  <c r="AO12" i="26"/>
  <c r="AN12" i="26"/>
  <c r="AM12" i="26"/>
  <c r="AL12" i="26"/>
  <c r="AK12" i="26"/>
  <c r="AJ12" i="26"/>
  <c r="AI12" i="26"/>
  <c r="AH12" i="26"/>
  <c r="BL11" i="26"/>
  <c r="BK11" i="26"/>
  <c r="BJ11" i="26"/>
  <c r="BI11" i="26"/>
  <c r="BH11" i="26"/>
  <c r="CX11" i="26" s="1"/>
  <c r="BG11" i="26"/>
  <c r="BF11" i="26"/>
  <c r="BE11" i="26"/>
  <c r="BD11" i="26"/>
  <c r="AZ11" i="26"/>
  <c r="AY11" i="26"/>
  <c r="AX11" i="26"/>
  <c r="AW11" i="26"/>
  <c r="AV11" i="26"/>
  <c r="AU11" i="26"/>
  <c r="AT11" i="26"/>
  <c r="AS11" i="26"/>
  <c r="AR11" i="26"/>
  <c r="AQ11" i="26"/>
  <c r="AP11" i="26"/>
  <c r="AO11" i="26"/>
  <c r="AN11" i="26"/>
  <c r="AM11" i="26"/>
  <c r="AL11" i="26"/>
  <c r="AK11" i="26"/>
  <c r="AJ11" i="26"/>
  <c r="AI11" i="26"/>
  <c r="AH11" i="26"/>
  <c r="B134" i="30"/>
  <c r="B11" i="36"/>
  <c r="B155" i="29"/>
  <c r="B154" i="29"/>
  <c r="R136" i="5"/>
  <c r="AH152" i="36"/>
  <c r="AI152" i="36"/>
  <c r="AJ152" i="36"/>
  <c r="AK152" i="36"/>
  <c r="AL152" i="36"/>
  <c r="AM152" i="36"/>
  <c r="AN152" i="36"/>
  <c r="AO152" i="36"/>
  <c r="AP152" i="36"/>
  <c r="AQ152" i="36"/>
  <c r="AR152" i="36"/>
  <c r="AS152" i="36"/>
  <c r="AT152" i="36"/>
  <c r="AU152" i="36"/>
  <c r="AV152" i="36"/>
  <c r="AW152" i="36"/>
  <c r="AX152" i="36"/>
  <c r="AY152" i="36"/>
  <c r="AZ152" i="36"/>
  <c r="BA152" i="36"/>
  <c r="BB152" i="36"/>
  <c r="BC152" i="36"/>
  <c r="BD152" i="36"/>
  <c r="BE152" i="36"/>
  <c r="BF152" i="36"/>
  <c r="BG152" i="36"/>
  <c r="BH152" i="36"/>
  <c r="BI152" i="36"/>
  <c r="BJ152" i="36"/>
  <c r="BK152" i="36"/>
  <c r="BL152" i="36"/>
  <c r="AH153" i="36"/>
  <c r="AI153" i="36"/>
  <c r="AJ153" i="36"/>
  <c r="AK153" i="36"/>
  <c r="AL153" i="36"/>
  <c r="AM153" i="36"/>
  <c r="AN153" i="36"/>
  <c r="AO153" i="36"/>
  <c r="AP153" i="36"/>
  <c r="AQ153" i="36"/>
  <c r="AR153" i="36"/>
  <c r="AS153" i="36"/>
  <c r="AT153" i="36"/>
  <c r="AU153" i="36"/>
  <c r="AV153" i="36"/>
  <c r="AW153" i="36"/>
  <c r="AX153" i="36"/>
  <c r="AY153" i="36"/>
  <c r="AZ153" i="36"/>
  <c r="BA153" i="36"/>
  <c r="BB153" i="36"/>
  <c r="BC153" i="36"/>
  <c r="BD153" i="36"/>
  <c r="BE153" i="36"/>
  <c r="BF153" i="36"/>
  <c r="BG153" i="36"/>
  <c r="BH153" i="36"/>
  <c r="BI153" i="36"/>
  <c r="BJ153" i="36"/>
  <c r="BK153" i="36"/>
  <c r="BL153" i="36"/>
  <c r="AH155" i="36"/>
  <c r="AI155" i="36"/>
  <c r="AJ155" i="36"/>
  <c r="AK155" i="36"/>
  <c r="AL155" i="36"/>
  <c r="AM155" i="36"/>
  <c r="AN155" i="36"/>
  <c r="AO155" i="36"/>
  <c r="AP155" i="36"/>
  <c r="AQ155" i="36"/>
  <c r="AR155" i="36"/>
  <c r="AS155" i="36"/>
  <c r="AT155" i="36"/>
  <c r="AU155" i="36"/>
  <c r="AV155" i="36"/>
  <c r="AW155" i="36"/>
  <c r="AX155" i="36"/>
  <c r="AY155" i="36"/>
  <c r="AZ155" i="36"/>
  <c r="BA155" i="36"/>
  <c r="BB155" i="36"/>
  <c r="BC155" i="36"/>
  <c r="BD155" i="36"/>
  <c r="BE155" i="36"/>
  <c r="BF155" i="36"/>
  <c r="BG155" i="36"/>
  <c r="BH155" i="36"/>
  <c r="BI155" i="36"/>
  <c r="BJ155" i="36"/>
  <c r="BK155" i="36"/>
  <c r="BL155" i="36"/>
  <c r="AH150" i="36"/>
  <c r="AI150" i="36"/>
  <c r="AJ150" i="36"/>
  <c r="AK150" i="36"/>
  <c r="AL150" i="36"/>
  <c r="AM150" i="36"/>
  <c r="AN150" i="36"/>
  <c r="AO150" i="36"/>
  <c r="AP150" i="36"/>
  <c r="AQ150" i="36"/>
  <c r="AR150" i="36"/>
  <c r="AS150" i="36"/>
  <c r="AT150" i="36"/>
  <c r="AU150" i="36"/>
  <c r="AV150" i="36"/>
  <c r="AW150" i="36"/>
  <c r="AX150" i="36"/>
  <c r="AY150" i="36"/>
  <c r="AZ150" i="36"/>
  <c r="BA150" i="36"/>
  <c r="BB150" i="36"/>
  <c r="BC150" i="36"/>
  <c r="BD150" i="36"/>
  <c r="BE150" i="36"/>
  <c r="BF150" i="36"/>
  <c r="BG150" i="36"/>
  <c r="BH150" i="36"/>
  <c r="BI150" i="36"/>
  <c r="BJ150" i="36"/>
  <c r="BK150" i="36"/>
  <c r="BL150" i="36"/>
  <c r="AH146" i="36"/>
  <c r="AI146" i="36"/>
  <c r="AJ146" i="36"/>
  <c r="AK146" i="36"/>
  <c r="AL146" i="36"/>
  <c r="AM146" i="36"/>
  <c r="AN146" i="36"/>
  <c r="AO146" i="36"/>
  <c r="AP146" i="36"/>
  <c r="AQ146" i="36"/>
  <c r="AR146" i="36"/>
  <c r="AS146" i="36"/>
  <c r="AT146" i="36"/>
  <c r="AU146" i="36"/>
  <c r="AV146" i="36"/>
  <c r="AW146" i="36"/>
  <c r="AX146" i="36"/>
  <c r="AY146" i="36"/>
  <c r="AZ146" i="36"/>
  <c r="BA146" i="36"/>
  <c r="BB146" i="36"/>
  <c r="BC146" i="36"/>
  <c r="BD146" i="36"/>
  <c r="BE146" i="36"/>
  <c r="BF146" i="36"/>
  <c r="BG146" i="36"/>
  <c r="BH146" i="36"/>
  <c r="BI146" i="36"/>
  <c r="BJ146" i="36"/>
  <c r="BK146" i="36"/>
  <c r="BL146" i="36"/>
  <c r="CX146" i="36" s="1"/>
  <c r="AH154" i="36"/>
  <c r="AI154" i="36"/>
  <c r="AJ154" i="36"/>
  <c r="AK154" i="36"/>
  <c r="AL154" i="36"/>
  <c r="AM154" i="36"/>
  <c r="AN154" i="36"/>
  <c r="AO154" i="36"/>
  <c r="AP154" i="36"/>
  <c r="AQ154" i="36"/>
  <c r="AR154" i="36"/>
  <c r="AS154" i="36"/>
  <c r="AT154" i="36"/>
  <c r="AU154" i="36"/>
  <c r="AV154" i="36"/>
  <c r="AW154" i="36"/>
  <c r="AX154" i="36"/>
  <c r="AY154" i="36"/>
  <c r="AZ154" i="36"/>
  <c r="BA154" i="36"/>
  <c r="BB154" i="36"/>
  <c r="BC154" i="36"/>
  <c r="BD154" i="36"/>
  <c r="BE154" i="36"/>
  <c r="BF154" i="36"/>
  <c r="BG154" i="36"/>
  <c r="BH154" i="36"/>
  <c r="BI154" i="36"/>
  <c r="BJ154" i="36"/>
  <c r="BK154" i="36"/>
  <c r="BL154" i="36"/>
  <c r="AH138" i="36"/>
  <c r="AI138" i="36"/>
  <c r="AJ138" i="36"/>
  <c r="AK138" i="36"/>
  <c r="AL138" i="36"/>
  <c r="AM138" i="36"/>
  <c r="AN138" i="36"/>
  <c r="AO138" i="36"/>
  <c r="AP138" i="36"/>
  <c r="AQ138" i="36"/>
  <c r="AR138" i="36"/>
  <c r="AS138" i="36"/>
  <c r="AT138" i="36"/>
  <c r="AU138" i="36"/>
  <c r="AV138" i="36"/>
  <c r="AW138" i="36"/>
  <c r="AX138" i="36"/>
  <c r="AY138" i="36"/>
  <c r="AZ138" i="36"/>
  <c r="BA138" i="36"/>
  <c r="BB138" i="36"/>
  <c r="BC138" i="36"/>
  <c r="BD138" i="36"/>
  <c r="BE138" i="36"/>
  <c r="BF138" i="36"/>
  <c r="BG138" i="36"/>
  <c r="BH138" i="36"/>
  <c r="BI138" i="36"/>
  <c r="BJ138" i="36"/>
  <c r="BK138" i="36"/>
  <c r="BL138" i="36"/>
  <c r="CX138" i="36" s="1"/>
  <c r="AH136" i="36"/>
  <c r="AI136" i="36"/>
  <c r="AJ136" i="36"/>
  <c r="AK136" i="36"/>
  <c r="AL136" i="36"/>
  <c r="AM136" i="36"/>
  <c r="AN136" i="36"/>
  <c r="AO136" i="36"/>
  <c r="AP136" i="36"/>
  <c r="AQ136" i="36"/>
  <c r="AR136" i="36"/>
  <c r="AS136" i="36"/>
  <c r="AT136" i="36"/>
  <c r="AU136" i="36"/>
  <c r="AV136" i="36"/>
  <c r="AW136" i="36"/>
  <c r="AX136" i="36"/>
  <c r="AY136" i="36"/>
  <c r="AZ136" i="36"/>
  <c r="BA136" i="36"/>
  <c r="BB136" i="36"/>
  <c r="BC136" i="36"/>
  <c r="BD136" i="36"/>
  <c r="BE136" i="36"/>
  <c r="BF136" i="36"/>
  <c r="BG136" i="36"/>
  <c r="BH136" i="36"/>
  <c r="BI136" i="36"/>
  <c r="BJ136" i="36"/>
  <c r="BK136" i="36"/>
  <c r="BL136" i="36"/>
  <c r="AH134" i="36"/>
  <c r="AI134" i="36"/>
  <c r="AJ134" i="36"/>
  <c r="AK134" i="36"/>
  <c r="AL134" i="36"/>
  <c r="AM134" i="36"/>
  <c r="AN134" i="36"/>
  <c r="AO134" i="36"/>
  <c r="AP134" i="36"/>
  <c r="AQ134" i="36"/>
  <c r="AR134" i="36"/>
  <c r="AS134" i="36"/>
  <c r="AT134" i="36"/>
  <c r="AU134" i="36"/>
  <c r="AV134" i="36"/>
  <c r="AW134" i="36"/>
  <c r="AX134" i="36"/>
  <c r="AY134" i="36"/>
  <c r="AZ134" i="36"/>
  <c r="BA134" i="36"/>
  <c r="BB134" i="36"/>
  <c r="BC134" i="36"/>
  <c r="BD134" i="36"/>
  <c r="BE134" i="36"/>
  <c r="BF134" i="36"/>
  <c r="BG134" i="36"/>
  <c r="BH134" i="36"/>
  <c r="BI134" i="36"/>
  <c r="BJ134" i="36"/>
  <c r="BK134" i="36"/>
  <c r="BL134" i="36"/>
  <c r="AH130" i="36"/>
  <c r="AI130" i="36"/>
  <c r="AJ130" i="36"/>
  <c r="AK130" i="36"/>
  <c r="AL130" i="36"/>
  <c r="AM130" i="36"/>
  <c r="AN130" i="36"/>
  <c r="AO130" i="36"/>
  <c r="AP130" i="36"/>
  <c r="AQ130" i="36"/>
  <c r="AR130" i="36"/>
  <c r="AS130" i="36"/>
  <c r="AT130" i="36"/>
  <c r="AU130" i="36"/>
  <c r="AV130" i="36"/>
  <c r="AW130" i="36"/>
  <c r="AX130" i="36"/>
  <c r="AY130" i="36"/>
  <c r="AZ130" i="36"/>
  <c r="BA130" i="36"/>
  <c r="BB130" i="36"/>
  <c r="BC130" i="36"/>
  <c r="BD130" i="36"/>
  <c r="BE130" i="36"/>
  <c r="BF130" i="36"/>
  <c r="BG130" i="36"/>
  <c r="BH130" i="36"/>
  <c r="BI130" i="36"/>
  <c r="BJ130" i="36"/>
  <c r="BK130" i="36"/>
  <c r="BL130" i="36"/>
  <c r="AH131" i="36"/>
  <c r="AI131" i="36"/>
  <c r="AJ131" i="36"/>
  <c r="AK131" i="36"/>
  <c r="AL131" i="36"/>
  <c r="AM131" i="36"/>
  <c r="AN131" i="36"/>
  <c r="AO131" i="36"/>
  <c r="AP131" i="36"/>
  <c r="AQ131" i="36"/>
  <c r="AR131" i="36"/>
  <c r="AS131" i="36"/>
  <c r="AT131" i="36"/>
  <c r="AU131" i="36"/>
  <c r="AV131" i="36"/>
  <c r="AW131" i="36"/>
  <c r="AX131" i="36"/>
  <c r="AY131" i="36"/>
  <c r="AZ131" i="36"/>
  <c r="BA131" i="36"/>
  <c r="BB131" i="36"/>
  <c r="BC131" i="36"/>
  <c r="BD131" i="36"/>
  <c r="BE131" i="36"/>
  <c r="BF131" i="36"/>
  <c r="BG131" i="36"/>
  <c r="BH131" i="36"/>
  <c r="BI131" i="36"/>
  <c r="BJ131" i="36"/>
  <c r="BK131" i="36"/>
  <c r="BL131" i="36"/>
  <c r="AH123" i="36"/>
  <c r="AI123" i="36"/>
  <c r="AJ123" i="36"/>
  <c r="AK123" i="36"/>
  <c r="AL123" i="36"/>
  <c r="AM123" i="36"/>
  <c r="AN123" i="36"/>
  <c r="AO123" i="36"/>
  <c r="AP123" i="36"/>
  <c r="AQ123" i="36"/>
  <c r="AR123" i="36"/>
  <c r="AS123" i="36"/>
  <c r="AT123" i="36"/>
  <c r="AU123" i="36"/>
  <c r="AV123" i="36"/>
  <c r="AW123" i="36"/>
  <c r="AX123" i="36"/>
  <c r="AY123" i="36"/>
  <c r="AZ123" i="36"/>
  <c r="BA123" i="36"/>
  <c r="BB123" i="36"/>
  <c r="BC123" i="36"/>
  <c r="BD123" i="36"/>
  <c r="BE123" i="36"/>
  <c r="BF123" i="36"/>
  <c r="BG123" i="36"/>
  <c r="BH123" i="36"/>
  <c r="BI123" i="36"/>
  <c r="BJ123" i="36"/>
  <c r="BK123" i="36"/>
  <c r="BL123" i="36"/>
  <c r="CX123" i="36" s="1"/>
  <c r="AH124" i="36"/>
  <c r="AI124" i="36"/>
  <c r="AJ124" i="36"/>
  <c r="AK124" i="36"/>
  <c r="AL124" i="36"/>
  <c r="AM124" i="36"/>
  <c r="AN124" i="36"/>
  <c r="AO124" i="36"/>
  <c r="AP124" i="36"/>
  <c r="AQ124" i="36"/>
  <c r="AR124" i="36"/>
  <c r="AS124" i="36"/>
  <c r="AT124" i="36"/>
  <c r="AU124" i="36"/>
  <c r="AV124" i="36"/>
  <c r="AW124" i="36"/>
  <c r="AX124" i="36"/>
  <c r="AY124" i="36"/>
  <c r="AZ124" i="36"/>
  <c r="BA124" i="36"/>
  <c r="BB124" i="36"/>
  <c r="BC124" i="36"/>
  <c r="BD124" i="36"/>
  <c r="BE124" i="36"/>
  <c r="BF124" i="36"/>
  <c r="BG124" i="36"/>
  <c r="BH124" i="36"/>
  <c r="BI124" i="36"/>
  <c r="BJ124" i="36"/>
  <c r="BK124" i="36"/>
  <c r="BL124" i="36"/>
  <c r="AH125" i="36"/>
  <c r="AI125" i="36"/>
  <c r="AJ125" i="36"/>
  <c r="AK125" i="36"/>
  <c r="AL125" i="36"/>
  <c r="AM125" i="36"/>
  <c r="AN125" i="36"/>
  <c r="AO125" i="36"/>
  <c r="AP125" i="36"/>
  <c r="AQ125" i="36"/>
  <c r="AR125" i="36"/>
  <c r="AS125" i="36"/>
  <c r="AT125" i="36"/>
  <c r="AU125" i="36"/>
  <c r="AV125" i="36"/>
  <c r="AW125" i="36"/>
  <c r="AX125" i="36"/>
  <c r="AY125" i="36"/>
  <c r="AZ125" i="36"/>
  <c r="BA125" i="36"/>
  <c r="BB125" i="36"/>
  <c r="BC125" i="36"/>
  <c r="BD125" i="36"/>
  <c r="BE125" i="36"/>
  <c r="BF125" i="36"/>
  <c r="BG125" i="36"/>
  <c r="BH125" i="36"/>
  <c r="BI125" i="36"/>
  <c r="BJ125" i="36"/>
  <c r="BK125" i="36"/>
  <c r="BL125" i="36"/>
  <c r="AH126" i="36"/>
  <c r="AI126" i="36"/>
  <c r="AJ126" i="36"/>
  <c r="AK126" i="36"/>
  <c r="AL126" i="36"/>
  <c r="AM126" i="36"/>
  <c r="AN126" i="36"/>
  <c r="AO126" i="36"/>
  <c r="AP126" i="36"/>
  <c r="AQ126" i="36"/>
  <c r="AR126" i="36"/>
  <c r="AS126" i="36"/>
  <c r="AT126" i="36"/>
  <c r="AU126" i="36"/>
  <c r="AV126" i="36"/>
  <c r="AW126" i="36"/>
  <c r="AX126" i="36"/>
  <c r="AY126" i="36"/>
  <c r="AZ126" i="36"/>
  <c r="BA126" i="36"/>
  <c r="BB126" i="36"/>
  <c r="BC126" i="36"/>
  <c r="BD126" i="36"/>
  <c r="BE126" i="36"/>
  <c r="BF126" i="36"/>
  <c r="BG126" i="36"/>
  <c r="BH126" i="36"/>
  <c r="BI126" i="36"/>
  <c r="BJ126" i="36"/>
  <c r="BK126" i="36"/>
  <c r="BL126" i="36"/>
  <c r="AH121" i="36"/>
  <c r="AI121" i="36"/>
  <c r="AJ121" i="36"/>
  <c r="AK121" i="36"/>
  <c r="AL121" i="36"/>
  <c r="AM121" i="36"/>
  <c r="AN121" i="36"/>
  <c r="AO121" i="36"/>
  <c r="AP121" i="36"/>
  <c r="AQ121" i="36"/>
  <c r="AR121" i="36"/>
  <c r="AS121" i="36"/>
  <c r="AT121" i="36"/>
  <c r="AU121" i="36"/>
  <c r="AV121" i="36"/>
  <c r="AW121" i="36"/>
  <c r="AX121" i="36"/>
  <c r="AY121" i="36"/>
  <c r="AZ121" i="36"/>
  <c r="BA121" i="36"/>
  <c r="BB121" i="36"/>
  <c r="BC121" i="36"/>
  <c r="BD121" i="36"/>
  <c r="BE121" i="36"/>
  <c r="BF121" i="36"/>
  <c r="BG121" i="36"/>
  <c r="BH121" i="36"/>
  <c r="BI121" i="36"/>
  <c r="BJ121" i="36"/>
  <c r="BK121" i="36"/>
  <c r="BL121" i="36"/>
  <c r="AH116" i="36"/>
  <c r="AI116" i="36"/>
  <c r="AJ116" i="36"/>
  <c r="AK116" i="36"/>
  <c r="AL116" i="36"/>
  <c r="AM116" i="36"/>
  <c r="AN116" i="36"/>
  <c r="AO116" i="36"/>
  <c r="AP116" i="36"/>
  <c r="AQ116" i="36"/>
  <c r="AR116" i="36"/>
  <c r="AS116" i="36"/>
  <c r="AT116" i="36"/>
  <c r="AU116" i="36"/>
  <c r="AV116" i="36"/>
  <c r="AW116" i="36"/>
  <c r="AX116" i="36"/>
  <c r="AY116" i="36"/>
  <c r="AZ116" i="36"/>
  <c r="BA116" i="36"/>
  <c r="BB116" i="36"/>
  <c r="BC116" i="36"/>
  <c r="BD116" i="36"/>
  <c r="BE116" i="36"/>
  <c r="BF116" i="36"/>
  <c r="BG116" i="36"/>
  <c r="BH116" i="36"/>
  <c r="BI116" i="36"/>
  <c r="BJ116" i="36"/>
  <c r="BK116" i="36"/>
  <c r="BL116" i="36"/>
  <c r="AH117" i="36"/>
  <c r="AI117" i="36"/>
  <c r="AJ117" i="36"/>
  <c r="AK117" i="36"/>
  <c r="AL117" i="36"/>
  <c r="AM117" i="36"/>
  <c r="AN117" i="36"/>
  <c r="AO117" i="36"/>
  <c r="AP117" i="36"/>
  <c r="AQ117" i="36"/>
  <c r="AR117" i="36"/>
  <c r="AS117" i="36"/>
  <c r="AT117" i="36"/>
  <c r="AU117" i="36"/>
  <c r="AV117" i="36"/>
  <c r="AW117" i="36"/>
  <c r="AX117" i="36"/>
  <c r="AY117" i="36"/>
  <c r="AZ117" i="36"/>
  <c r="BA117" i="36"/>
  <c r="BB117" i="36"/>
  <c r="BC117" i="36"/>
  <c r="BD117" i="36"/>
  <c r="BE117" i="36"/>
  <c r="BF117" i="36"/>
  <c r="BG117" i="36"/>
  <c r="BH117" i="36"/>
  <c r="BI117" i="36"/>
  <c r="BJ117" i="36"/>
  <c r="BK117" i="36"/>
  <c r="BL117" i="36"/>
  <c r="AH113" i="36"/>
  <c r="AI113" i="36"/>
  <c r="AJ113" i="36"/>
  <c r="AK113" i="36"/>
  <c r="AL113" i="36"/>
  <c r="AM113" i="36"/>
  <c r="AN113" i="36"/>
  <c r="AO113" i="36"/>
  <c r="AP113" i="36"/>
  <c r="AQ113" i="36"/>
  <c r="AR113" i="36"/>
  <c r="AS113" i="36"/>
  <c r="AT113" i="36"/>
  <c r="AU113" i="36"/>
  <c r="AV113" i="36"/>
  <c r="AW113" i="36"/>
  <c r="AX113" i="36"/>
  <c r="AY113" i="36"/>
  <c r="AZ113" i="36"/>
  <c r="BA113" i="36"/>
  <c r="BB113" i="36"/>
  <c r="BC113" i="36"/>
  <c r="BD113" i="36"/>
  <c r="BE113" i="36"/>
  <c r="BF113" i="36"/>
  <c r="BG113" i="36"/>
  <c r="BH113" i="36"/>
  <c r="BI113" i="36"/>
  <c r="BJ113" i="36"/>
  <c r="BK113" i="36"/>
  <c r="BL113" i="36"/>
  <c r="AH106" i="36"/>
  <c r="AI106" i="36"/>
  <c r="AJ106" i="36"/>
  <c r="AK106" i="36"/>
  <c r="AL106" i="36"/>
  <c r="AM106" i="36"/>
  <c r="AN106" i="36"/>
  <c r="AO106" i="36"/>
  <c r="AP106" i="36"/>
  <c r="AQ106" i="36"/>
  <c r="AR106" i="36"/>
  <c r="AS106" i="36"/>
  <c r="AT106" i="36"/>
  <c r="AU106" i="36"/>
  <c r="AV106" i="36"/>
  <c r="AW106" i="36"/>
  <c r="AX106" i="36"/>
  <c r="AY106" i="36"/>
  <c r="AZ106" i="36"/>
  <c r="BA106" i="36"/>
  <c r="BB106" i="36"/>
  <c r="BC106" i="36"/>
  <c r="BD106" i="36"/>
  <c r="BE106" i="36"/>
  <c r="BF106" i="36"/>
  <c r="BG106" i="36"/>
  <c r="BH106" i="36"/>
  <c r="BI106" i="36"/>
  <c r="BJ106" i="36"/>
  <c r="BK106" i="36"/>
  <c r="BL106" i="36"/>
  <c r="AH102" i="36"/>
  <c r="AI102" i="36"/>
  <c r="AJ102" i="36"/>
  <c r="AK102" i="36"/>
  <c r="AL102" i="36"/>
  <c r="AM102" i="36"/>
  <c r="AN102" i="36"/>
  <c r="AO102" i="36"/>
  <c r="AP102" i="36"/>
  <c r="AQ102" i="36"/>
  <c r="AR102" i="36"/>
  <c r="AS102" i="36"/>
  <c r="AT102" i="36"/>
  <c r="AU102" i="36"/>
  <c r="AV102" i="36"/>
  <c r="AW102" i="36"/>
  <c r="AX102" i="36"/>
  <c r="AY102" i="36"/>
  <c r="AZ102" i="36"/>
  <c r="BA102" i="36"/>
  <c r="BB102" i="36"/>
  <c r="BC102" i="36"/>
  <c r="BD102" i="36"/>
  <c r="BE102" i="36"/>
  <c r="BF102" i="36"/>
  <c r="BG102" i="36"/>
  <c r="BH102" i="36"/>
  <c r="BI102" i="36"/>
  <c r="BJ102" i="36"/>
  <c r="BK102" i="36"/>
  <c r="BL102" i="36"/>
  <c r="CX102" i="36" s="1"/>
  <c r="AH103" i="36"/>
  <c r="AI103" i="36"/>
  <c r="AJ103" i="36"/>
  <c r="AK103" i="36"/>
  <c r="AL103" i="36"/>
  <c r="AM103" i="36"/>
  <c r="AN103" i="36"/>
  <c r="AO103" i="36"/>
  <c r="AP103" i="36"/>
  <c r="AQ103" i="36"/>
  <c r="AR103" i="36"/>
  <c r="AS103" i="36"/>
  <c r="AT103" i="36"/>
  <c r="AU103" i="36"/>
  <c r="AV103" i="36"/>
  <c r="AW103" i="36"/>
  <c r="AX103" i="36"/>
  <c r="AY103" i="36"/>
  <c r="AZ103" i="36"/>
  <c r="BA103" i="36"/>
  <c r="BB103" i="36"/>
  <c r="BC103" i="36"/>
  <c r="BD103" i="36"/>
  <c r="BE103" i="36"/>
  <c r="BF103" i="36"/>
  <c r="BG103" i="36"/>
  <c r="BH103" i="36"/>
  <c r="BI103" i="36"/>
  <c r="BJ103" i="36"/>
  <c r="BK103" i="36"/>
  <c r="BL103" i="36"/>
  <c r="AH104" i="36"/>
  <c r="AI104" i="36"/>
  <c r="AJ104" i="36"/>
  <c r="AK104" i="36"/>
  <c r="AL104" i="36"/>
  <c r="AM104" i="36"/>
  <c r="AN104" i="36"/>
  <c r="AO104" i="36"/>
  <c r="AP104" i="36"/>
  <c r="AQ104" i="36"/>
  <c r="AR104" i="36"/>
  <c r="AS104" i="36"/>
  <c r="AT104" i="36"/>
  <c r="AU104" i="36"/>
  <c r="AV104" i="36"/>
  <c r="AW104" i="36"/>
  <c r="AX104" i="36"/>
  <c r="AY104" i="36"/>
  <c r="AZ104" i="36"/>
  <c r="BA104" i="36"/>
  <c r="BB104" i="36"/>
  <c r="BC104" i="36"/>
  <c r="BD104" i="36"/>
  <c r="BE104" i="36"/>
  <c r="BF104" i="36"/>
  <c r="BG104" i="36"/>
  <c r="BH104" i="36"/>
  <c r="BI104" i="36"/>
  <c r="BJ104" i="36"/>
  <c r="BK104" i="36"/>
  <c r="BL104" i="36"/>
  <c r="AH91" i="36"/>
  <c r="AI91" i="36"/>
  <c r="AJ91" i="36"/>
  <c r="AK91" i="36"/>
  <c r="AL91" i="36"/>
  <c r="AM91" i="36"/>
  <c r="AN91" i="36"/>
  <c r="AO91" i="36"/>
  <c r="AP91" i="36"/>
  <c r="AQ91" i="36"/>
  <c r="AR91" i="36"/>
  <c r="AS91" i="36"/>
  <c r="AT91" i="36"/>
  <c r="AU91" i="36"/>
  <c r="AV91" i="36"/>
  <c r="AW91" i="36"/>
  <c r="AX91" i="36"/>
  <c r="AY91" i="36"/>
  <c r="AZ91" i="36"/>
  <c r="BA91" i="36"/>
  <c r="BB91" i="36"/>
  <c r="BC91" i="36"/>
  <c r="BD91" i="36"/>
  <c r="BE91" i="36"/>
  <c r="BF91" i="36"/>
  <c r="BG91" i="36"/>
  <c r="BH91" i="36"/>
  <c r="BI91" i="36"/>
  <c r="BJ91" i="36"/>
  <c r="BK91" i="36"/>
  <c r="BL91" i="36"/>
  <c r="AH92" i="36"/>
  <c r="AI92" i="36"/>
  <c r="AJ92" i="36"/>
  <c r="AK92" i="36"/>
  <c r="AL92" i="36"/>
  <c r="AM92" i="36"/>
  <c r="AN92" i="36"/>
  <c r="AO92" i="36"/>
  <c r="AP92" i="36"/>
  <c r="AQ92" i="36"/>
  <c r="AR92" i="36"/>
  <c r="AS92" i="36"/>
  <c r="AT92" i="36"/>
  <c r="AU92" i="36"/>
  <c r="AV92" i="36"/>
  <c r="AW92" i="36"/>
  <c r="AX92" i="36"/>
  <c r="AY92" i="36"/>
  <c r="AZ92" i="36"/>
  <c r="BA92" i="36"/>
  <c r="BB92" i="36"/>
  <c r="BC92" i="36"/>
  <c r="BD92" i="36"/>
  <c r="BE92" i="36"/>
  <c r="BF92" i="36"/>
  <c r="BG92" i="36"/>
  <c r="BH92" i="36"/>
  <c r="BI92" i="36"/>
  <c r="BJ92" i="36"/>
  <c r="BK92" i="36"/>
  <c r="BL92" i="36"/>
  <c r="AH89" i="36"/>
  <c r="AI89" i="36"/>
  <c r="AJ89" i="36"/>
  <c r="AK89" i="36"/>
  <c r="AL89" i="36"/>
  <c r="AM89" i="36"/>
  <c r="AN89" i="36"/>
  <c r="AO89" i="36"/>
  <c r="AP89" i="36"/>
  <c r="AQ89" i="36"/>
  <c r="AR89" i="36"/>
  <c r="AS89" i="36"/>
  <c r="AT89" i="36"/>
  <c r="AU89" i="36"/>
  <c r="AV89" i="36"/>
  <c r="AW89" i="36"/>
  <c r="AX89" i="36"/>
  <c r="AY89" i="36"/>
  <c r="AZ89" i="36"/>
  <c r="BA89" i="36"/>
  <c r="BB89" i="36"/>
  <c r="BC89" i="36"/>
  <c r="BD89" i="36"/>
  <c r="BE89" i="36"/>
  <c r="BF89" i="36"/>
  <c r="BG89" i="36"/>
  <c r="BH89" i="36"/>
  <c r="BI89" i="36"/>
  <c r="BJ89" i="36"/>
  <c r="BK89" i="36"/>
  <c r="BL89" i="36"/>
  <c r="AH84" i="36"/>
  <c r="AI84" i="36"/>
  <c r="AJ84" i="36"/>
  <c r="AK84" i="36"/>
  <c r="AL84" i="36"/>
  <c r="AM84" i="36"/>
  <c r="AN84" i="36"/>
  <c r="AO84" i="36"/>
  <c r="AP84" i="36"/>
  <c r="AQ84" i="36"/>
  <c r="AR84" i="36"/>
  <c r="AS84" i="36"/>
  <c r="AT84" i="36"/>
  <c r="AU84" i="36"/>
  <c r="AV84" i="36"/>
  <c r="AW84" i="36"/>
  <c r="AX84" i="36"/>
  <c r="AY84" i="36"/>
  <c r="AZ84" i="36"/>
  <c r="BA84" i="36"/>
  <c r="BB84" i="36"/>
  <c r="BC84" i="36"/>
  <c r="BD84" i="36"/>
  <c r="BE84" i="36"/>
  <c r="BF84" i="36"/>
  <c r="BG84" i="36"/>
  <c r="BH84" i="36"/>
  <c r="BI84" i="36"/>
  <c r="BJ84" i="36"/>
  <c r="BK84" i="36"/>
  <c r="BL84" i="36"/>
  <c r="CX84" i="36" s="1"/>
  <c r="AH82" i="36"/>
  <c r="AI82" i="36"/>
  <c r="AJ82" i="36"/>
  <c r="AK82" i="36"/>
  <c r="AL82" i="36"/>
  <c r="AM82" i="36"/>
  <c r="AN82" i="36"/>
  <c r="AO82" i="36"/>
  <c r="AP82" i="36"/>
  <c r="AQ82" i="36"/>
  <c r="AR82" i="36"/>
  <c r="AS82" i="36"/>
  <c r="AT82" i="36"/>
  <c r="AU82" i="36"/>
  <c r="AV82" i="36"/>
  <c r="AW82" i="36"/>
  <c r="AX82" i="36"/>
  <c r="AY82" i="36"/>
  <c r="AZ82" i="36"/>
  <c r="BA82" i="36"/>
  <c r="BB82" i="36"/>
  <c r="BC82" i="36"/>
  <c r="BD82" i="36"/>
  <c r="BE82" i="36"/>
  <c r="BF82" i="36"/>
  <c r="BG82" i="36"/>
  <c r="BH82" i="36"/>
  <c r="BI82" i="36"/>
  <c r="BJ82" i="36"/>
  <c r="BK82" i="36"/>
  <c r="BL82" i="36"/>
  <c r="AH73" i="36"/>
  <c r="AI73" i="36"/>
  <c r="AJ73" i="36"/>
  <c r="AK73" i="36"/>
  <c r="AL73" i="36"/>
  <c r="AM73" i="36"/>
  <c r="AN73" i="36"/>
  <c r="AO73" i="36"/>
  <c r="AP73" i="36"/>
  <c r="AQ73" i="36"/>
  <c r="AR73" i="36"/>
  <c r="AS73" i="36"/>
  <c r="AT73" i="36"/>
  <c r="AU73" i="36"/>
  <c r="AV73" i="36"/>
  <c r="AW73" i="36"/>
  <c r="AX73" i="36"/>
  <c r="AY73" i="36"/>
  <c r="AZ73" i="36"/>
  <c r="BA73" i="36"/>
  <c r="BB73" i="36"/>
  <c r="BC73" i="36"/>
  <c r="BD73" i="36"/>
  <c r="BE73" i="36"/>
  <c r="BF73" i="36"/>
  <c r="BG73" i="36"/>
  <c r="BH73" i="36"/>
  <c r="BI73" i="36"/>
  <c r="BJ73" i="36"/>
  <c r="BK73" i="36"/>
  <c r="BL73" i="36"/>
  <c r="AH71" i="36"/>
  <c r="AI71" i="36"/>
  <c r="AJ71" i="36"/>
  <c r="AK71" i="36"/>
  <c r="AL71" i="36"/>
  <c r="AM71" i="36"/>
  <c r="AN71" i="36"/>
  <c r="AO71" i="36"/>
  <c r="AP71" i="36"/>
  <c r="AQ71" i="36"/>
  <c r="AR71" i="36"/>
  <c r="AS71" i="36"/>
  <c r="AT71" i="36"/>
  <c r="AU71" i="36"/>
  <c r="AV71" i="36"/>
  <c r="AW71" i="36"/>
  <c r="AX71" i="36"/>
  <c r="AY71" i="36"/>
  <c r="AZ71" i="36"/>
  <c r="BA71" i="36"/>
  <c r="BB71" i="36"/>
  <c r="BC71" i="36"/>
  <c r="BD71" i="36"/>
  <c r="BE71" i="36"/>
  <c r="BF71" i="36"/>
  <c r="BG71" i="36"/>
  <c r="BH71" i="36"/>
  <c r="BI71" i="36"/>
  <c r="BJ71" i="36"/>
  <c r="BK71" i="36"/>
  <c r="BL71" i="36"/>
  <c r="AH65" i="36"/>
  <c r="AI65" i="36"/>
  <c r="AJ65" i="36"/>
  <c r="AK65" i="36"/>
  <c r="AL65" i="36"/>
  <c r="AM65" i="36"/>
  <c r="AN65" i="36"/>
  <c r="AO65" i="36"/>
  <c r="AP65" i="36"/>
  <c r="AQ65" i="36"/>
  <c r="AR65" i="36"/>
  <c r="AS65" i="36"/>
  <c r="AT65" i="36"/>
  <c r="AU65" i="36"/>
  <c r="AV65" i="36"/>
  <c r="AW65" i="36"/>
  <c r="AX65" i="36"/>
  <c r="AY65" i="36"/>
  <c r="AZ65" i="36"/>
  <c r="BA65" i="36"/>
  <c r="BB65" i="36"/>
  <c r="BC65" i="36"/>
  <c r="BD65" i="36"/>
  <c r="BE65" i="36"/>
  <c r="BF65" i="36"/>
  <c r="BG65" i="36"/>
  <c r="BH65" i="36"/>
  <c r="BI65" i="36"/>
  <c r="BJ65" i="36"/>
  <c r="BK65" i="36"/>
  <c r="BL65" i="36"/>
  <c r="CX65" i="36" s="1"/>
  <c r="AH62" i="36"/>
  <c r="AI62" i="36"/>
  <c r="AJ62" i="36"/>
  <c r="AK62" i="36"/>
  <c r="AL62" i="36"/>
  <c r="AM62" i="36"/>
  <c r="AN62" i="36"/>
  <c r="AO62" i="36"/>
  <c r="AP62" i="36"/>
  <c r="AQ62" i="36"/>
  <c r="AR62" i="36"/>
  <c r="AS62" i="36"/>
  <c r="AT62" i="36"/>
  <c r="AU62" i="36"/>
  <c r="AV62" i="36"/>
  <c r="AW62" i="36"/>
  <c r="AX62" i="36"/>
  <c r="AY62" i="36"/>
  <c r="AZ62" i="36"/>
  <c r="BA62" i="36"/>
  <c r="BB62" i="36"/>
  <c r="BC62" i="36"/>
  <c r="BD62" i="36"/>
  <c r="BE62" i="36"/>
  <c r="BF62" i="36"/>
  <c r="BG62" i="36"/>
  <c r="BH62" i="36"/>
  <c r="BI62" i="36"/>
  <c r="BJ62" i="36"/>
  <c r="BK62" i="36"/>
  <c r="BL62" i="36"/>
  <c r="AH55" i="36"/>
  <c r="AI55" i="36"/>
  <c r="AJ55" i="36"/>
  <c r="AK55" i="36"/>
  <c r="AL55" i="36"/>
  <c r="AM55" i="36"/>
  <c r="AN55" i="36"/>
  <c r="AO55" i="36"/>
  <c r="AP55" i="36"/>
  <c r="AQ55" i="36"/>
  <c r="AR55" i="36"/>
  <c r="AS55" i="36"/>
  <c r="AT55" i="36"/>
  <c r="AU55" i="36"/>
  <c r="AV55" i="36"/>
  <c r="AW55" i="36"/>
  <c r="AX55" i="36"/>
  <c r="AY55" i="36"/>
  <c r="AZ55" i="36"/>
  <c r="BA55" i="36"/>
  <c r="BB55" i="36"/>
  <c r="BC55" i="36"/>
  <c r="BD55" i="36"/>
  <c r="BE55" i="36"/>
  <c r="BF55" i="36"/>
  <c r="BG55" i="36"/>
  <c r="BH55" i="36"/>
  <c r="BI55" i="36"/>
  <c r="BJ55" i="36"/>
  <c r="BK55" i="36"/>
  <c r="BL55" i="36"/>
  <c r="CX55" i="36" s="1"/>
  <c r="AH47" i="36"/>
  <c r="AI47" i="36"/>
  <c r="AJ47" i="36"/>
  <c r="AK47" i="36"/>
  <c r="AL47" i="36"/>
  <c r="AM47" i="36"/>
  <c r="AN47" i="36"/>
  <c r="AO47" i="36"/>
  <c r="AP47" i="36"/>
  <c r="AQ47" i="36"/>
  <c r="AR47" i="36"/>
  <c r="AS47" i="36"/>
  <c r="AT47" i="36"/>
  <c r="AU47" i="36"/>
  <c r="AV47" i="36"/>
  <c r="AW47" i="36"/>
  <c r="AX47" i="36"/>
  <c r="AY47" i="36"/>
  <c r="AZ47" i="36"/>
  <c r="BA47" i="36"/>
  <c r="BB47" i="36"/>
  <c r="BC47" i="36"/>
  <c r="BD47" i="36"/>
  <c r="BE47" i="36"/>
  <c r="BF47" i="36"/>
  <c r="BG47" i="36"/>
  <c r="BH47" i="36"/>
  <c r="BI47" i="36"/>
  <c r="BJ47" i="36"/>
  <c r="BK47" i="36"/>
  <c r="BL47" i="36"/>
  <c r="CX47" i="36" s="1"/>
  <c r="AH48" i="36"/>
  <c r="AI48" i="36"/>
  <c r="AJ48" i="36"/>
  <c r="AK48" i="36"/>
  <c r="AL48" i="36"/>
  <c r="AM48" i="36"/>
  <c r="AN48" i="36"/>
  <c r="AO48" i="36"/>
  <c r="AP48" i="36"/>
  <c r="AQ48" i="36"/>
  <c r="AR48" i="36"/>
  <c r="AS48" i="36"/>
  <c r="AT48" i="36"/>
  <c r="AU48" i="36"/>
  <c r="AV48" i="36"/>
  <c r="AW48" i="36"/>
  <c r="AX48" i="36"/>
  <c r="AY48" i="36"/>
  <c r="AZ48" i="36"/>
  <c r="BA48" i="36"/>
  <c r="BB48" i="36"/>
  <c r="BC48" i="36"/>
  <c r="BD48" i="36"/>
  <c r="BE48" i="36"/>
  <c r="BF48" i="36"/>
  <c r="BG48" i="36"/>
  <c r="BH48" i="36"/>
  <c r="BI48" i="36"/>
  <c r="BJ48" i="36"/>
  <c r="BK48" i="36"/>
  <c r="BL48" i="36"/>
  <c r="AH49" i="36"/>
  <c r="AI49" i="36"/>
  <c r="AJ49" i="36"/>
  <c r="AK49" i="36"/>
  <c r="AL49" i="36"/>
  <c r="AM49" i="36"/>
  <c r="AN49" i="36"/>
  <c r="AO49" i="36"/>
  <c r="AP49" i="36"/>
  <c r="AQ49" i="36"/>
  <c r="AR49" i="36"/>
  <c r="AS49" i="36"/>
  <c r="AT49" i="36"/>
  <c r="AU49" i="36"/>
  <c r="AV49" i="36"/>
  <c r="AW49" i="36"/>
  <c r="AX49" i="36"/>
  <c r="AY49" i="36"/>
  <c r="AZ49" i="36"/>
  <c r="BA49" i="36"/>
  <c r="BB49" i="36"/>
  <c r="BC49" i="36"/>
  <c r="BD49" i="36"/>
  <c r="BE49" i="36"/>
  <c r="BF49" i="36"/>
  <c r="BG49" i="36"/>
  <c r="BH49" i="36"/>
  <c r="BI49" i="36"/>
  <c r="BJ49" i="36"/>
  <c r="BK49" i="36"/>
  <c r="BL49" i="36"/>
  <c r="AH50" i="36"/>
  <c r="AI50" i="36"/>
  <c r="AJ50" i="36"/>
  <c r="AK50" i="36"/>
  <c r="AL50" i="36"/>
  <c r="AM50" i="36"/>
  <c r="AN50" i="36"/>
  <c r="AO50" i="36"/>
  <c r="AP50" i="36"/>
  <c r="AQ50" i="36"/>
  <c r="AR50" i="36"/>
  <c r="AS50" i="36"/>
  <c r="AT50" i="36"/>
  <c r="AU50" i="36"/>
  <c r="AV50" i="36"/>
  <c r="AW50" i="36"/>
  <c r="AX50" i="36"/>
  <c r="AY50" i="36"/>
  <c r="AZ50" i="36"/>
  <c r="BA50" i="36"/>
  <c r="BB50" i="36"/>
  <c r="BC50" i="36"/>
  <c r="BD50" i="36"/>
  <c r="BE50" i="36"/>
  <c r="BF50" i="36"/>
  <c r="BG50" i="36"/>
  <c r="BH50" i="36"/>
  <c r="BI50" i="36"/>
  <c r="BJ50" i="36"/>
  <c r="BK50" i="36"/>
  <c r="BL50" i="36"/>
  <c r="AH51" i="36"/>
  <c r="AI51" i="36"/>
  <c r="AJ51" i="36"/>
  <c r="AK51" i="36"/>
  <c r="AL51" i="36"/>
  <c r="AM51" i="36"/>
  <c r="AN51" i="36"/>
  <c r="AO51" i="36"/>
  <c r="AP51" i="36"/>
  <c r="AQ51" i="36"/>
  <c r="AR51" i="36"/>
  <c r="AS51" i="36"/>
  <c r="AT51" i="36"/>
  <c r="AU51" i="36"/>
  <c r="AV51" i="36"/>
  <c r="AW51" i="36"/>
  <c r="AX51" i="36"/>
  <c r="AY51" i="36"/>
  <c r="AZ51" i="36"/>
  <c r="BA51" i="36"/>
  <c r="BB51" i="36"/>
  <c r="BC51" i="36"/>
  <c r="BD51" i="36"/>
  <c r="BE51" i="36"/>
  <c r="BF51" i="36"/>
  <c r="BG51" i="36"/>
  <c r="BH51" i="36"/>
  <c r="BI51" i="36"/>
  <c r="BJ51" i="36"/>
  <c r="BK51" i="36"/>
  <c r="BL51" i="36"/>
  <c r="AH52" i="36"/>
  <c r="AI52" i="36"/>
  <c r="AJ52" i="36"/>
  <c r="AK52" i="36"/>
  <c r="AL52" i="36"/>
  <c r="AM52" i="36"/>
  <c r="AN52" i="36"/>
  <c r="AO52" i="36"/>
  <c r="AP52" i="36"/>
  <c r="AQ52" i="36"/>
  <c r="AR52" i="36"/>
  <c r="AS52" i="36"/>
  <c r="AT52" i="36"/>
  <c r="AU52" i="36"/>
  <c r="AV52" i="36"/>
  <c r="AW52" i="36"/>
  <c r="AX52" i="36"/>
  <c r="AY52" i="36"/>
  <c r="AZ52" i="36"/>
  <c r="BA52" i="36"/>
  <c r="BB52" i="36"/>
  <c r="BC52" i="36"/>
  <c r="BD52" i="36"/>
  <c r="BE52" i="36"/>
  <c r="BF52" i="36"/>
  <c r="BG52" i="36"/>
  <c r="BH52" i="36"/>
  <c r="BI52" i="36"/>
  <c r="BJ52" i="36"/>
  <c r="BK52" i="36"/>
  <c r="BL52" i="36"/>
  <c r="AH53" i="36"/>
  <c r="AI53" i="36"/>
  <c r="AJ53" i="36"/>
  <c r="AK53" i="36"/>
  <c r="AL53" i="36"/>
  <c r="AM53" i="36"/>
  <c r="AN53" i="36"/>
  <c r="AO53" i="36"/>
  <c r="AP53" i="36"/>
  <c r="AQ53" i="36"/>
  <c r="AR53" i="36"/>
  <c r="AS53" i="36"/>
  <c r="AT53" i="36"/>
  <c r="AU53" i="36"/>
  <c r="AV53" i="36"/>
  <c r="AW53" i="36"/>
  <c r="AX53" i="36"/>
  <c r="AY53" i="36"/>
  <c r="AZ53" i="36"/>
  <c r="BA53" i="36"/>
  <c r="BB53" i="36"/>
  <c r="BC53" i="36"/>
  <c r="BD53" i="36"/>
  <c r="BE53" i="36"/>
  <c r="BF53" i="36"/>
  <c r="BG53" i="36"/>
  <c r="BH53" i="36"/>
  <c r="BI53" i="36"/>
  <c r="BJ53" i="36"/>
  <c r="BK53" i="36"/>
  <c r="BL53" i="36"/>
  <c r="AH42" i="36"/>
  <c r="AI42" i="36"/>
  <c r="AJ42" i="36"/>
  <c r="AK42" i="36"/>
  <c r="AL42" i="36"/>
  <c r="AM42" i="36"/>
  <c r="AN42" i="36"/>
  <c r="AO42" i="36"/>
  <c r="AP42" i="36"/>
  <c r="AQ42" i="36"/>
  <c r="AR42" i="36"/>
  <c r="AS42" i="36"/>
  <c r="AT42" i="36"/>
  <c r="AU42" i="36"/>
  <c r="AV42" i="36"/>
  <c r="AW42" i="36"/>
  <c r="AX42" i="36"/>
  <c r="AY42" i="36"/>
  <c r="AZ42" i="36"/>
  <c r="BA42" i="36"/>
  <c r="BB42" i="36"/>
  <c r="BC42" i="36"/>
  <c r="BD42" i="36"/>
  <c r="BE42" i="36"/>
  <c r="BF42" i="36"/>
  <c r="BG42" i="36"/>
  <c r="BH42" i="36"/>
  <c r="BI42" i="36"/>
  <c r="BJ42" i="36"/>
  <c r="BK42" i="36"/>
  <c r="BL42" i="36"/>
  <c r="AH43" i="36"/>
  <c r="AI43" i="36"/>
  <c r="AJ43" i="36"/>
  <c r="AK43" i="36"/>
  <c r="AL43" i="36"/>
  <c r="AM43" i="36"/>
  <c r="AN43" i="36"/>
  <c r="AO43" i="36"/>
  <c r="AP43" i="36"/>
  <c r="AQ43" i="36"/>
  <c r="AR43" i="36"/>
  <c r="AS43" i="36"/>
  <c r="AT43" i="36"/>
  <c r="AU43" i="36"/>
  <c r="AV43" i="36"/>
  <c r="AW43" i="36"/>
  <c r="AX43" i="36"/>
  <c r="AY43" i="36"/>
  <c r="AZ43" i="36"/>
  <c r="BA43" i="36"/>
  <c r="BB43" i="36"/>
  <c r="BC43" i="36"/>
  <c r="BD43" i="36"/>
  <c r="BE43" i="36"/>
  <c r="BF43" i="36"/>
  <c r="BG43" i="36"/>
  <c r="BH43" i="36"/>
  <c r="BI43" i="36"/>
  <c r="BJ43" i="36"/>
  <c r="BK43" i="36"/>
  <c r="BL43" i="36"/>
  <c r="AH44" i="36"/>
  <c r="AI44" i="36"/>
  <c r="AJ44" i="36"/>
  <c r="AK44" i="36"/>
  <c r="AL44" i="36"/>
  <c r="AM44" i="36"/>
  <c r="AN44" i="36"/>
  <c r="AO44" i="36"/>
  <c r="AP44" i="36"/>
  <c r="AQ44" i="36"/>
  <c r="AR44" i="36"/>
  <c r="AS44" i="36"/>
  <c r="AT44" i="36"/>
  <c r="AU44" i="36"/>
  <c r="AV44" i="36"/>
  <c r="AW44" i="36"/>
  <c r="AX44" i="36"/>
  <c r="AY44" i="36"/>
  <c r="AZ44" i="36"/>
  <c r="BA44" i="36"/>
  <c r="BB44" i="36"/>
  <c r="BC44" i="36"/>
  <c r="BD44" i="36"/>
  <c r="BE44" i="36"/>
  <c r="BF44" i="36"/>
  <c r="BG44" i="36"/>
  <c r="BH44" i="36"/>
  <c r="BI44" i="36"/>
  <c r="BJ44" i="36"/>
  <c r="BK44" i="36"/>
  <c r="BL44" i="36"/>
  <c r="AH45" i="36"/>
  <c r="AI45" i="36"/>
  <c r="AJ45" i="36"/>
  <c r="AK45" i="36"/>
  <c r="AL45" i="36"/>
  <c r="AM45" i="36"/>
  <c r="AN45" i="36"/>
  <c r="AO45" i="36"/>
  <c r="AP45" i="36"/>
  <c r="AQ45" i="36"/>
  <c r="AR45" i="36"/>
  <c r="AS45" i="36"/>
  <c r="AT45" i="36"/>
  <c r="AU45" i="36"/>
  <c r="AV45" i="36"/>
  <c r="AW45" i="36"/>
  <c r="AX45" i="36"/>
  <c r="AY45" i="36"/>
  <c r="AZ45" i="36"/>
  <c r="BA45" i="36"/>
  <c r="BB45" i="36"/>
  <c r="BC45" i="36"/>
  <c r="BD45" i="36"/>
  <c r="BE45" i="36"/>
  <c r="BF45" i="36"/>
  <c r="BG45" i="36"/>
  <c r="BH45" i="36"/>
  <c r="BI45" i="36"/>
  <c r="BJ45" i="36"/>
  <c r="BK45" i="36"/>
  <c r="BL45" i="36"/>
  <c r="AH36" i="36"/>
  <c r="AI36" i="36"/>
  <c r="AJ36" i="36"/>
  <c r="AK36" i="36"/>
  <c r="AL36" i="36"/>
  <c r="AM36" i="36"/>
  <c r="AN36" i="36"/>
  <c r="AO36" i="36"/>
  <c r="AP36" i="36"/>
  <c r="AQ36" i="36"/>
  <c r="AR36" i="36"/>
  <c r="AS36" i="36"/>
  <c r="AT36" i="36"/>
  <c r="AU36" i="36"/>
  <c r="AV36" i="36"/>
  <c r="AW36" i="36"/>
  <c r="AX36" i="36"/>
  <c r="AY36" i="36"/>
  <c r="AZ36" i="36"/>
  <c r="BA36" i="36"/>
  <c r="BB36" i="36"/>
  <c r="BC36" i="36"/>
  <c r="BD36" i="36"/>
  <c r="BE36" i="36"/>
  <c r="BF36" i="36"/>
  <c r="BG36" i="36"/>
  <c r="BH36" i="36"/>
  <c r="BI36" i="36"/>
  <c r="BJ36" i="36"/>
  <c r="BK36" i="36"/>
  <c r="BL36" i="36"/>
  <c r="AH37" i="36"/>
  <c r="AI37" i="36"/>
  <c r="AJ37" i="36"/>
  <c r="AK37" i="36"/>
  <c r="AL37" i="36"/>
  <c r="AM37" i="36"/>
  <c r="AN37" i="36"/>
  <c r="AO37" i="36"/>
  <c r="AP37" i="36"/>
  <c r="AQ37" i="36"/>
  <c r="AR37" i="36"/>
  <c r="AS37" i="36"/>
  <c r="AT37" i="36"/>
  <c r="AU37" i="36"/>
  <c r="AV37" i="36"/>
  <c r="AW37" i="36"/>
  <c r="AX37" i="36"/>
  <c r="AY37" i="36"/>
  <c r="AZ37" i="36"/>
  <c r="BA37" i="36"/>
  <c r="BB37" i="36"/>
  <c r="BC37" i="36"/>
  <c r="BD37" i="36"/>
  <c r="BE37" i="36"/>
  <c r="BF37" i="36"/>
  <c r="BG37" i="36"/>
  <c r="BH37" i="36"/>
  <c r="BI37" i="36"/>
  <c r="BJ37" i="36"/>
  <c r="BK37" i="36"/>
  <c r="BL37" i="36"/>
  <c r="AH38" i="36"/>
  <c r="AI38" i="36"/>
  <c r="AJ38" i="36"/>
  <c r="AK38" i="36"/>
  <c r="AL38" i="36"/>
  <c r="AM38" i="36"/>
  <c r="AN38" i="36"/>
  <c r="AO38" i="36"/>
  <c r="AP38" i="36"/>
  <c r="AQ38" i="36"/>
  <c r="AR38" i="36"/>
  <c r="AS38" i="36"/>
  <c r="AT38" i="36"/>
  <c r="AU38" i="36"/>
  <c r="AV38" i="36"/>
  <c r="AW38" i="36"/>
  <c r="AX38" i="36"/>
  <c r="AY38" i="36"/>
  <c r="AZ38" i="36"/>
  <c r="BA38" i="36"/>
  <c r="BB38" i="36"/>
  <c r="BC38" i="36"/>
  <c r="BD38" i="36"/>
  <c r="BE38" i="36"/>
  <c r="BF38" i="36"/>
  <c r="BG38" i="36"/>
  <c r="BH38" i="36"/>
  <c r="BI38" i="36"/>
  <c r="BJ38" i="36"/>
  <c r="BK38" i="36"/>
  <c r="BL38" i="36"/>
  <c r="AH39" i="36"/>
  <c r="AI39" i="36"/>
  <c r="AJ39" i="36"/>
  <c r="AK39" i="36"/>
  <c r="AL39" i="36"/>
  <c r="AM39" i="36"/>
  <c r="AN39" i="36"/>
  <c r="AO39" i="36"/>
  <c r="AP39" i="36"/>
  <c r="AQ39" i="36"/>
  <c r="AR39" i="36"/>
  <c r="AS39" i="36"/>
  <c r="AT39" i="36"/>
  <c r="AU39" i="36"/>
  <c r="AV39" i="36"/>
  <c r="AW39" i="36"/>
  <c r="AX39" i="36"/>
  <c r="AY39" i="36"/>
  <c r="AZ39" i="36"/>
  <c r="BA39" i="36"/>
  <c r="BB39" i="36"/>
  <c r="BC39" i="36"/>
  <c r="BD39" i="36"/>
  <c r="BE39" i="36"/>
  <c r="BF39" i="36"/>
  <c r="BG39" i="36"/>
  <c r="BH39" i="36"/>
  <c r="BI39" i="36"/>
  <c r="BJ39" i="36"/>
  <c r="BK39" i="36"/>
  <c r="BL39" i="36"/>
  <c r="AH28" i="36"/>
  <c r="AI28" i="36"/>
  <c r="AJ28" i="36"/>
  <c r="AK28" i="36"/>
  <c r="AL28" i="36"/>
  <c r="AM28" i="36"/>
  <c r="AN28" i="36"/>
  <c r="AO28" i="36"/>
  <c r="AP28" i="36"/>
  <c r="AQ28" i="36"/>
  <c r="AR28" i="36"/>
  <c r="AS28" i="36"/>
  <c r="AT28" i="36"/>
  <c r="AU28" i="36"/>
  <c r="AV28" i="36"/>
  <c r="AW28" i="36"/>
  <c r="AX28" i="36"/>
  <c r="AY28" i="36"/>
  <c r="AZ28" i="36"/>
  <c r="BA28" i="36"/>
  <c r="BB28" i="36"/>
  <c r="BC28" i="36"/>
  <c r="BD28" i="36"/>
  <c r="BE28" i="36"/>
  <c r="BF28" i="36"/>
  <c r="BG28" i="36"/>
  <c r="BH28" i="36"/>
  <c r="BI28" i="36"/>
  <c r="BJ28" i="36"/>
  <c r="BK28" i="36"/>
  <c r="BL28" i="36"/>
  <c r="AH20" i="36"/>
  <c r="AI20" i="36"/>
  <c r="AJ20" i="36"/>
  <c r="AK20" i="36"/>
  <c r="AL20" i="36"/>
  <c r="AM20" i="36"/>
  <c r="AN20" i="36"/>
  <c r="AO20" i="36"/>
  <c r="AP20" i="36"/>
  <c r="AQ20" i="36"/>
  <c r="AR20" i="36"/>
  <c r="AS20" i="36"/>
  <c r="AT20" i="36"/>
  <c r="AU20" i="36"/>
  <c r="AV20" i="36"/>
  <c r="AW20" i="36"/>
  <c r="AX20" i="36"/>
  <c r="AY20" i="36"/>
  <c r="AZ20" i="36"/>
  <c r="BA20" i="36"/>
  <c r="BB20" i="36"/>
  <c r="BC20" i="36"/>
  <c r="BD20" i="36"/>
  <c r="BE20" i="36"/>
  <c r="BF20" i="36"/>
  <c r="BG20" i="36"/>
  <c r="BH20" i="36"/>
  <c r="BI20" i="36"/>
  <c r="BJ20" i="36"/>
  <c r="BK20" i="36"/>
  <c r="BL20" i="36"/>
  <c r="CX20" i="36" s="1"/>
  <c r="AH21" i="36"/>
  <c r="AI21" i="36"/>
  <c r="AJ21" i="36"/>
  <c r="AK21" i="36"/>
  <c r="AL21" i="36"/>
  <c r="AM21" i="36"/>
  <c r="AN21" i="36"/>
  <c r="AO21" i="36"/>
  <c r="AP21" i="36"/>
  <c r="AQ21" i="36"/>
  <c r="AR21" i="36"/>
  <c r="AS21" i="36"/>
  <c r="AT21" i="36"/>
  <c r="AU21" i="36"/>
  <c r="AV21" i="36"/>
  <c r="AW21" i="36"/>
  <c r="AX21" i="36"/>
  <c r="AY21" i="36"/>
  <c r="AZ21" i="36"/>
  <c r="BA21" i="36"/>
  <c r="BB21" i="36"/>
  <c r="BC21" i="36"/>
  <c r="BD21" i="36"/>
  <c r="BE21" i="36"/>
  <c r="BF21" i="36"/>
  <c r="BG21" i="36"/>
  <c r="BH21" i="36"/>
  <c r="BI21" i="36"/>
  <c r="BJ21" i="36"/>
  <c r="BK21" i="36"/>
  <c r="BL21" i="36"/>
  <c r="AH18" i="36"/>
  <c r="AI18" i="36"/>
  <c r="AJ18" i="36"/>
  <c r="AK18" i="36"/>
  <c r="AL18" i="36"/>
  <c r="AM18" i="36"/>
  <c r="AN18" i="36"/>
  <c r="AO18" i="36"/>
  <c r="AP18" i="36"/>
  <c r="AQ18" i="36"/>
  <c r="AR18" i="36"/>
  <c r="AS18" i="36"/>
  <c r="AT18" i="36"/>
  <c r="AU18" i="36"/>
  <c r="AV18" i="36"/>
  <c r="AW18" i="36"/>
  <c r="AX18" i="36"/>
  <c r="AY18" i="36"/>
  <c r="AZ18" i="36"/>
  <c r="BA18" i="36"/>
  <c r="BB18" i="36"/>
  <c r="BC18" i="36"/>
  <c r="BD18" i="36"/>
  <c r="BE18" i="36"/>
  <c r="BF18" i="36"/>
  <c r="BG18" i="36"/>
  <c r="BH18" i="36"/>
  <c r="BI18" i="36"/>
  <c r="BJ18" i="36"/>
  <c r="BK18" i="36"/>
  <c r="BL18" i="36"/>
  <c r="AH12" i="36"/>
  <c r="AI12" i="36"/>
  <c r="AJ12" i="36"/>
  <c r="AK12" i="36"/>
  <c r="AL12" i="36"/>
  <c r="AM12" i="36"/>
  <c r="AN12" i="36"/>
  <c r="AO12" i="36"/>
  <c r="AP12" i="36"/>
  <c r="AQ12" i="36"/>
  <c r="AR12" i="36"/>
  <c r="AS12" i="36"/>
  <c r="AT12" i="36"/>
  <c r="AU12" i="36"/>
  <c r="AV12" i="36"/>
  <c r="AW12" i="36"/>
  <c r="AX12" i="36"/>
  <c r="AY12" i="36"/>
  <c r="AZ12" i="36"/>
  <c r="BA12" i="36"/>
  <c r="BB12" i="36"/>
  <c r="BC12" i="36"/>
  <c r="BD12" i="36"/>
  <c r="BE12" i="36"/>
  <c r="BF12" i="36"/>
  <c r="BG12" i="36"/>
  <c r="BH12" i="36"/>
  <c r="BI12" i="36"/>
  <c r="BJ12" i="36"/>
  <c r="BK12" i="36"/>
  <c r="BL12" i="36"/>
  <c r="AH13" i="36"/>
  <c r="AI13" i="36"/>
  <c r="AJ13" i="36"/>
  <c r="AK13" i="36"/>
  <c r="AL13" i="36"/>
  <c r="AM13" i="36"/>
  <c r="AN13" i="36"/>
  <c r="AO13" i="36"/>
  <c r="AP13" i="36"/>
  <c r="AQ13" i="36"/>
  <c r="AR13" i="36"/>
  <c r="AS13" i="36"/>
  <c r="AT13" i="36"/>
  <c r="AU13" i="36"/>
  <c r="AV13" i="36"/>
  <c r="AW13" i="36"/>
  <c r="AX13" i="36"/>
  <c r="AY13" i="36"/>
  <c r="AZ13" i="36"/>
  <c r="BA13" i="36"/>
  <c r="BB13" i="36"/>
  <c r="BC13" i="36"/>
  <c r="BD13" i="36"/>
  <c r="BE13" i="36"/>
  <c r="BF13" i="36"/>
  <c r="BG13" i="36"/>
  <c r="BH13" i="36"/>
  <c r="BI13" i="36"/>
  <c r="BJ13" i="36"/>
  <c r="BK13" i="36"/>
  <c r="BL13" i="36"/>
  <c r="AH14" i="36"/>
  <c r="AI14" i="36"/>
  <c r="AJ14" i="36"/>
  <c r="AK14" i="36"/>
  <c r="AL14" i="36"/>
  <c r="AM14" i="36"/>
  <c r="AN14" i="36"/>
  <c r="AO14" i="36"/>
  <c r="AP14" i="36"/>
  <c r="AQ14" i="36"/>
  <c r="AR14" i="36"/>
  <c r="AS14" i="36"/>
  <c r="AT14" i="36"/>
  <c r="AU14" i="36"/>
  <c r="AV14" i="36"/>
  <c r="AW14" i="36"/>
  <c r="AX14" i="36"/>
  <c r="AY14" i="36"/>
  <c r="AZ14" i="36"/>
  <c r="BA14" i="36"/>
  <c r="BB14" i="36"/>
  <c r="BC14" i="36"/>
  <c r="BD14" i="36"/>
  <c r="BE14" i="36"/>
  <c r="BF14" i="36"/>
  <c r="BG14" i="36"/>
  <c r="BH14" i="36"/>
  <c r="BI14" i="36"/>
  <c r="BJ14" i="36"/>
  <c r="BK14" i="36"/>
  <c r="BL14" i="36"/>
  <c r="AH94" i="30"/>
  <c r="AI94" i="30"/>
  <c r="AJ94" i="30"/>
  <c r="AK94" i="30"/>
  <c r="AL94" i="30"/>
  <c r="AM94" i="30"/>
  <c r="AN94" i="30"/>
  <c r="AO94" i="30"/>
  <c r="AP94" i="30"/>
  <c r="AQ94" i="30"/>
  <c r="AR94" i="30"/>
  <c r="AS94" i="30"/>
  <c r="AT94" i="30"/>
  <c r="AU94" i="30"/>
  <c r="AV94" i="30"/>
  <c r="AW94" i="30"/>
  <c r="AX94" i="30"/>
  <c r="AY94" i="30"/>
  <c r="AZ94" i="30"/>
  <c r="BA94" i="30"/>
  <c r="BB94" i="30"/>
  <c r="BC94" i="30"/>
  <c r="BD94" i="30"/>
  <c r="BE94" i="30"/>
  <c r="BF94" i="30"/>
  <c r="BG94" i="30"/>
  <c r="BH94" i="30"/>
  <c r="BI94" i="30"/>
  <c r="BJ94" i="30"/>
  <c r="BK94" i="30"/>
  <c r="BL94" i="30"/>
  <c r="AH95" i="30"/>
  <c r="AI95" i="30"/>
  <c r="AJ95" i="30"/>
  <c r="AK95" i="30"/>
  <c r="AL95" i="30"/>
  <c r="AM95" i="30"/>
  <c r="AN95" i="30"/>
  <c r="AO95" i="30"/>
  <c r="AP95" i="30"/>
  <c r="AQ95" i="30"/>
  <c r="AR95" i="30"/>
  <c r="AS95" i="30"/>
  <c r="AT95" i="30"/>
  <c r="AU95" i="30"/>
  <c r="AV95" i="30"/>
  <c r="AW95" i="30"/>
  <c r="AX95" i="30"/>
  <c r="AY95" i="30"/>
  <c r="AZ95" i="30"/>
  <c r="BA95" i="30"/>
  <c r="BB95" i="30"/>
  <c r="BC95" i="30"/>
  <c r="BD95" i="30"/>
  <c r="BE95" i="30"/>
  <c r="BF95" i="30"/>
  <c r="BG95" i="30"/>
  <c r="BH95" i="30"/>
  <c r="BI95" i="30"/>
  <c r="BJ95" i="30"/>
  <c r="BK95" i="30"/>
  <c r="BL95" i="30"/>
  <c r="AH96" i="30"/>
  <c r="AI96" i="30"/>
  <c r="AJ96" i="30"/>
  <c r="AK96" i="30"/>
  <c r="AL96" i="30"/>
  <c r="AM96" i="30"/>
  <c r="AN96" i="30"/>
  <c r="AO96" i="30"/>
  <c r="AP96" i="30"/>
  <c r="AQ96" i="30"/>
  <c r="AR96" i="30"/>
  <c r="AS96" i="30"/>
  <c r="AT96" i="30"/>
  <c r="AU96" i="30"/>
  <c r="AV96" i="30"/>
  <c r="AW96" i="30"/>
  <c r="AX96" i="30"/>
  <c r="AY96" i="30"/>
  <c r="AZ96" i="30"/>
  <c r="BA96" i="30"/>
  <c r="BB96" i="30"/>
  <c r="BC96" i="30"/>
  <c r="BD96" i="30"/>
  <c r="BE96" i="30"/>
  <c r="BF96" i="30"/>
  <c r="BG96" i="30"/>
  <c r="BH96" i="30"/>
  <c r="BI96" i="30"/>
  <c r="BJ96" i="30"/>
  <c r="BK96" i="30"/>
  <c r="BL96" i="30"/>
  <c r="AH97" i="30"/>
  <c r="AI97" i="30"/>
  <c r="AJ97" i="30"/>
  <c r="AK97" i="30"/>
  <c r="AL97" i="30"/>
  <c r="AM97" i="30"/>
  <c r="AN97" i="30"/>
  <c r="AO97" i="30"/>
  <c r="AP97" i="30"/>
  <c r="AQ97" i="30"/>
  <c r="AR97" i="30"/>
  <c r="AS97" i="30"/>
  <c r="AT97" i="30"/>
  <c r="AU97" i="30"/>
  <c r="AV97" i="30"/>
  <c r="AW97" i="30"/>
  <c r="AX97" i="30"/>
  <c r="AY97" i="30"/>
  <c r="AZ97" i="30"/>
  <c r="BA97" i="30"/>
  <c r="BB97" i="30"/>
  <c r="BC97" i="30"/>
  <c r="BD97" i="30"/>
  <c r="BE97" i="30"/>
  <c r="BF97" i="30"/>
  <c r="BG97" i="30"/>
  <c r="BH97" i="30"/>
  <c r="BI97" i="30"/>
  <c r="BJ97" i="30"/>
  <c r="BK97" i="30"/>
  <c r="BL97" i="30"/>
  <c r="AH91" i="30"/>
  <c r="AI91" i="30"/>
  <c r="AJ91" i="30"/>
  <c r="AK91" i="30"/>
  <c r="AL91" i="30"/>
  <c r="AM91" i="30"/>
  <c r="AN91" i="30"/>
  <c r="AO91" i="30"/>
  <c r="AP91" i="30"/>
  <c r="AQ91" i="30"/>
  <c r="AR91" i="30"/>
  <c r="AS91" i="30"/>
  <c r="AT91" i="30"/>
  <c r="AU91" i="30"/>
  <c r="AV91" i="30"/>
  <c r="AW91" i="30"/>
  <c r="AX91" i="30"/>
  <c r="AY91" i="30"/>
  <c r="AZ91" i="30"/>
  <c r="BA91" i="30"/>
  <c r="BB91" i="30"/>
  <c r="BC91" i="30"/>
  <c r="BD91" i="30"/>
  <c r="BE91" i="30"/>
  <c r="BF91" i="30"/>
  <c r="BG91" i="30"/>
  <c r="BH91" i="30"/>
  <c r="BI91" i="30"/>
  <c r="BJ91" i="30"/>
  <c r="BK91" i="30"/>
  <c r="BL91" i="30"/>
  <c r="AH92" i="30"/>
  <c r="AI92" i="30"/>
  <c r="AJ92" i="30"/>
  <c r="AK92" i="30"/>
  <c r="AL92" i="30"/>
  <c r="AM92" i="30"/>
  <c r="AN92" i="30"/>
  <c r="AO92" i="30"/>
  <c r="AP92" i="30"/>
  <c r="AQ92" i="30"/>
  <c r="AR92" i="30"/>
  <c r="AS92" i="30"/>
  <c r="AT92" i="30"/>
  <c r="AU92" i="30"/>
  <c r="AV92" i="30"/>
  <c r="AW92" i="30"/>
  <c r="AX92" i="30"/>
  <c r="AY92" i="30"/>
  <c r="AZ92" i="30"/>
  <c r="BA92" i="30"/>
  <c r="BB92" i="30"/>
  <c r="BC92" i="30"/>
  <c r="BD92" i="30"/>
  <c r="BE92" i="30"/>
  <c r="BF92" i="30"/>
  <c r="BG92" i="30"/>
  <c r="BH92" i="30"/>
  <c r="BI92" i="30"/>
  <c r="BJ92" i="30"/>
  <c r="BK92" i="30"/>
  <c r="BL92" i="30"/>
  <c r="CX20" i="26" l="1"/>
  <c r="CY13" i="26"/>
  <c r="CY17" i="26"/>
  <c r="CY21" i="26"/>
  <c r="CY25" i="26"/>
  <c r="CY29" i="26"/>
  <c r="CV33" i="26"/>
  <c r="CW33" i="26"/>
  <c r="CY33" i="26"/>
  <c r="CX13" i="26"/>
  <c r="CV13" i="26"/>
  <c r="CW13" i="26"/>
  <c r="CV17" i="26"/>
  <c r="CW17" i="26"/>
  <c r="CV21" i="26"/>
  <c r="CW21" i="26"/>
  <c r="CV25" i="26"/>
  <c r="CW25" i="26"/>
  <c r="CV29" i="26"/>
  <c r="CW29" i="26"/>
  <c r="CW50" i="26"/>
  <c r="CW52" i="26"/>
  <c r="CW54" i="26"/>
  <c r="CW58" i="26"/>
  <c r="CW62" i="26"/>
  <c r="CW64" i="26"/>
  <c r="CW71" i="26"/>
  <c r="CW79" i="26"/>
  <c r="CV84" i="26"/>
  <c r="CW84" i="26"/>
  <c r="CV88" i="26"/>
  <c r="CW88" i="26"/>
  <c r="CV92" i="26"/>
  <c r="CW92" i="26"/>
  <c r="CV96" i="26"/>
  <c r="CW96" i="26"/>
  <c r="CV100" i="26"/>
  <c r="CW100" i="26"/>
  <c r="CV104" i="26"/>
  <c r="CW104" i="26"/>
  <c r="CV108" i="26"/>
  <c r="CW108" i="26"/>
  <c r="CV112" i="26"/>
  <c r="CW112" i="26"/>
  <c r="CV116" i="26"/>
  <c r="CW116" i="26"/>
  <c r="CV120" i="26"/>
  <c r="CW120" i="26"/>
  <c r="CV124" i="26"/>
  <c r="CW124" i="26"/>
  <c r="CV128" i="26"/>
  <c r="CW128" i="26"/>
  <c r="CV132" i="26"/>
  <c r="CW132" i="26"/>
  <c r="CW56" i="26"/>
  <c r="CX79" i="26"/>
  <c r="CX89" i="26"/>
  <c r="CY11" i="26"/>
  <c r="CV15" i="26"/>
  <c r="CW15" i="26"/>
  <c r="CY15" i="26"/>
  <c r="CV19" i="26"/>
  <c r="CW19" i="26"/>
  <c r="CY19" i="26"/>
  <c r="CV23" i="26"/>
  <c r="CW23" i="26"/>
  <c r="CY23" i="26"/>
  <c r="CV27" i="26"/>
  <c r="CW27" i="26"/>
  <c r="CY27" i="26"/>
  <c r="CV31" i="26"/>
  <c r="CW31" i="26"/>
  <c r="CY31" i="26"/>
  <c r="CW102" i="26"/>
  <c r="CW106" i="26"/>
  <c r="CW110" i="26"/>
  <c r="CW114" i="26"/>
  <c r="CW118" i="26"/>
  <c r="CW122" i="26"/>
  <c r="CW126" i="26"/>
  <c r="CW130" i="26"/>
  <c r="CV14" i="26"/>
  <c r="CW14" i="26"/>
  <c r="CY14" i="26"/>
  <c r="CV18" i="26"/>
  <c r="CY18" i="26"/>
  <c r="CV22" i="26"/>
  <c r="CW22" i="26"/>
  <c r="CY22" i="26"/>
  <c r="CV26" i="26"/>
  <c r="CW26" i="26"/>
  <c r="CY26" i="26"/>
  <c r="CV30" i="26"/>
  <c r="CW30" i="26"/>
  <c r="CY30" i="26"/>
  <c r="CY46" i="26"/>
  <c r="CX85" i="26"/>
  <c r="CV12" i="26"/>
  <c r="CW12" i="26"/>
  <c r="CY12" i="26"/>
  <c r="CV16" i="26"/>
  <c r="CW16" i="26"/>
  <c r="CY16" i="26"/>
  <c r="CV20" i="26"/>
  <c r="CW20" i="26"/>
  <c r="CY20" i="26"/>
  <c r="CV24" i="26"/>
  <c r="CW24" i="26"/>
  <c r="CY24" i="26"/>
  <c r="CV28" i="26"/>
  <c r="CW28" i="26"/>
  <c r="CY28" i="26"/>
  <c r="CV32" i="26"/>
  <c r="CW32" i="26"/>
  <c r="CY32" i="26"/>
  <c r="CX35" i="26"/>
  <c r="CX39" i="26"/>
  <c r="CW60" i="26"/>
  <c r="CY48" i="26"/>
  <c r="CY49" i="26"/>
  <c r="CV135" i="26"/>
  <c r="CW135" i="26"/>
  <c r="CV139" i="26"/>
  <c r="CW139" i="26"/>
  <c r="CW37" i="26"/>
  <c r="CV46" i="26"/>
  <c r="CW49" i="26"/>
  <c r="CW69" i="26"/>
  <c r="CV72" i="26"/>
  <c r="CW72" i="26"/>
  <c r="CV80" i="26"/>
  <c r="CW80" i="26"/>
  <c r="CY39" i="26"/>
  <c r="CW41" i="26"/>
  <c r="CY44" i="26"/>
  <c r="CW45" i="26"/>
  <c r="CY45" i="26"/>
  <c r="CV68" i="26"/>
  <c r="CV137" i="26"/>
  <c r="CW137" i="26"/>
  <c r="CV141" i="26"/>
  <c r="CW141" i="26"/>
  <c r="CV143" i="26"/>
  <c r="CW143" i="26"/>
  <c r="CW144" i="26"/>
  <c r="CW145" i="26"/>
  <c r="CW146" i="26"/>
  <c r="CY147" i="26"/>
  <c r="CV148" i="26"/>
  <c r="CY148" i="26"/>
  <c r="CV149" i="26"/>
  <c r="CY149" i="26"/>
  <c r="CV150" i="26"/>
  <c r="CY150" i="26"/>
  <c r="CY151" i="26"/>
  <c r="CY152" i="26"/>
  <c r="CY153" i="26"/>
  <c r="CY154" i="26"/>
  <c r="CW155" i="26"/>
  <c r="CW38" i="26"/>
  <c r="CV34" i="26"/>
  <c r="CY34" i="26"/>
  <c r="CW35" i="26"/>
  <c r="CY35" i="26"/>
  <c r="CW36" i="26"/>
  <c r="CW18" i="26"/>
  <c r="CW39" i="26"/>
  <c r="CW40" i="26"/>
  <c r="CW42" i="26"/>
  <c r="CV50" i="26"/>
  <c r="CY50" i="26"/>
  <c r="CV51" i="26"/>
  <c r="CW51" i="26"/>
  <c r="CY51" i="26"/>
  <c r="CV52" i="26"/>
  <c r="CY52" i="26"/>
  <c r="CV53" i="26"/>
  <c r="CW53" i="26"/>
  <c r="CY53" i="26"/>
  <c r="CV54" i="26"/>
  <c r="CY54" i="26"/>
  <c r="CV55" i="26"/>
  <c r="CW55" i="26"/>
  <c r="CY55" i="26"/>
  <c r="CV56" i="26"/>
  <c r="CY56" i="26"/>
  <c r="CV57" i="26"/>
  <c r="CW57" i="26"/>
  <c r="CY57" i="26"/>
  <c r="CV58" i="26"/>
  <c r="CY58" i="26"/>
  <c r="CV59" i="26"/>
  <c r="CW59" i="26"/>
  <c r="CY59" i="26"/>
  <c r="CV60" i="26"/>
  <c r="CY60" i="26"/>
  <c r="CV61" i="26"/>
  <c r="CW61" i="26"/>
  <c r="CY61" i="26"/>
  <c r="CV62" i="26"/>
  <c r="CY62" i="26"/>
  <c r="CV63" i="26"/>
  <c r="CW63" i="26"/>
  <c r="CY63" i="26"/>
  <c r="CV64" i="26"/>
  <c r="CY64" i="26"/>
  <c r="CV65" i="26"/>
  <c r="CW65" i="26"/>
  <c r="CY65" i="26"/>
  <c r="CV66" i="26"/>
  <c r="CW66" i="26"/>
  <c r="CY66" i="26"/>
  <c r="CV67" i="26"/>
  <c r="CY67" i="26"/>
  <c r="CV69" i="26"/>
  <c r="CW67" i="26"/>
  <c r="CW68" i="26"/>
  <c r="CY68" i="26"/>
  <c r="CW34" i="26"/>
  <c r="CY36" i="26"/>
  <c r="CY37" i="26"/>
  <c r="CV38" i="26"/>
  <c r="CY38" i="26"/>
  <c r="CW43" i="26"/>
  <c r="CY43" i="26"/>
  <c r="CW44" i="26"/>
  <c r="CW46" i="26"/>
  <c r="CV75" i="26"/>
  <c r="CW75" i="26"/>
  <c r="CV79" i="26"/>
  <c r="CV81" i="26"/>
  <c r="CW81" i="26"/>
  <c r="CY81" i="26"/>
  <c r="CV82" i="26"/>
  <c r="CW82" i="26"/>
  <c r="CY82" i="26"/>
  <c r="CV85" i="26"/>
  <c r="CW85" i="26"/>
  <c r="CY85" i="26"/>
  <c r="CV86" i="26"/>
  <c r="CW86" i="26"/>
  <c r="CY86" i="26"/>
  <c r="CV89" i="26"/>
  <c r="CW89" i="26"/>
  <c r="CY89" i="26"/>
  <c r="CV90" i="26"/>
  <c r="CW90" i="26"/>
  <c r="CY90" i="26"/>
  <c r="CV93" i="26"/>
  <c r="CW93" i="26"/>
  <c r="CY93" i="26"/>
  <c r="CV94" i="26"/>
  <c r="CW94" i="26"/>
  <c r="CY94" i="26"/>
  <c r="CV97" i="26"/>
  <c r="CW97" i="26"/>
  <c r="CY97" i="26"/>
  <c r="CV98" i="26"/>
  <c r="CW98" i="26"/>
  <c r="CY98" i="26"/>
  <c r="CV102" i="26"/>
  <c r="CY102" i="26"/>
  <c r="CV106" i="26"/>
  <c r="CY106" i="26"/>
  <c r="CV110" i="26"/>
  <c r="CY110" i="26"/>
  <c r="CV114" i="26"/>
  <c r="CY114" i="26"/>
  <c r="CV118" i="26"/>
  <c r="CY118" i="26"/>
  <c r="CV122" i="26"/>
  <c r="CY122" i="26"/>
  <c r="CV126" i="26"/>
  <c r="CY126" i="26"/>
  <c r="CV130" i="26"/>
  <c r="CY130" i="26"/>
  <c r="CV134" i="26"/>
  <c r="CY134" i="26"/>
  <c r="CV136" i="26"/>
  <c r="CY136" i="26"/>
  <c r="CV138" i="26"/>
  <c r="CY138" i="26"/>
  <c r="CV140" i="26"/>
  <c r="CY140" i="26"/>
  <c r="CY142" i="26"/>
  <c r="CY143" i="26"/>
  <c r="CV144" i="26"/>
  <c r="CY144" i="26"/>
  <c r="CV145" i="26"/>
  <c r="CY145" i="26"/>
  <c r="CV146" i="26"/>
  <c r="CY146" i="26"/>
  <c r="CV147" i="26"/>
  <c r="CV76" i="26"/>
  <c r="CW76" i="26"/>
  <c r="CV83" i="26"/>
  <c r="CW83" i="26"/>
  <c r="CV87" i="26"/>
  <c r="CW87" i="26"/>
  <c r="CV91" i="26"/>
  <c r="CW91" i="26"/>
  <c r="CV95" i="26"/>
  <c r="CW95" i="26"/>
  <c r="CV99" i="26"/>
  <c r="CW99" i="26"/>
  <c r="CV101" i="26"/>
  <c r="CW101" i="26"/>
  <c r="CV103" i="26"/>
  <c r="CW103" i="26"/>
  <c r="CV105" i="26"/>
  <c r="CW105" i="26"/>
  <c r="CV107" i="26"/>
  <c r="CW107" i="26"/>
  <c r="CV109" i="26"/>
  <c r="CW109" i="26"/>
  <c r="CV111" i="26"/>
  <c r="CW111" i="26"/>
  <c r="CV113" i="26"/>
  <c r="CW113" i="26"/>
  <c r="CV115" i="26"/>
  <c r="CW115" i="26"/>
  <c r="CV117" i="26"/>
  <c r="CW117" i="26"/>
  <c r="CV119" i="26"/>
  <c r="CW119" i="26"/>
  <c r="CV121" i="26"/>
  <c r="CW121" i="26"/>
  <c r="CV123" i="26"/>
  <c r="CW123" i="26"/>
  <c r="CV125" i="26"/>
  <c r="CW125" i="26"/>
  <c r="CV127" i="26"/>
  <c r="CW127" i="26"/>
  <c r="CV129" i="26"/>
  <c r="CW129" i="26"/>
  <c r="CV131" i="26"/>
  <c r="CW131" i="26"/>
  <c r="CV133" i="26"/>
  <c r="CW133" i="26"/>
  <c r="CV153" i="26"/>
  <c r="CV154" i="26"/>
  <c r="CY155" i="26"/>
  <c r="CW147" i="26"/>
  <c r="CW148" i="26"/>
  <c r="CW149" i="26"/>
  <c r="CW150" i="26"/>
  <c r="CV151" i="26"/>
  <c r="CW151" i="26"/>
  <c r="CV152" i="26"/>
  <c r="CW152" i="26"/>
  <c r="CW153" i="26"/>
  <c r="CW154" i="26"/>
  <c r="CV155" i="26"/>
  <c r="CY69" i="26"/>
  <c r="CY40" i="26"/>
  <c r="CY41" i="26"/>
  <c r="CV42" i="26"/>
  <c r="CY42" i="26"/>
  <c r="CW47" i="26"/>
  <c r="CY47" i="26"/>
  <c r="CW48" i="26"/>
  <c r="CV70" i="26"/>
  <c r="CW70" i="26"/>
  <c r="CY70" i="26"/>
  <c r="CV71" i="26"/>
  <c r="CV73" i="26"/>
  <c r="CW73" i="26"/>
  <c r="CY73" i="26"/>
  <c r="CV74" i="26"/>
  <c r="CW74" i="26"/>
  <c r="CY74" i="26"/>
  <c r="CV77" i="26"/>
  <c r="CW77" i="26"/>
  <c r="CY77" i="26"/>
  <c r="CV78" i="26"/>
  <c r="CW78" i="26"/>
  <c r="CY78" i="26"/>
  <c r="CV11" i="26"/>
  <c r="CW11" i="26"/>
  <c r="CV36" i="26"/>
  <c r="CV40" i="26"/>
  <c r="CV44" i="26"/>
  <c r="CV48" i="26"/>
  <c r="CV35" i="26"/>
  <c r="CV39" i="26"/>
  <c r="CV43" i="26"/>
  <c r="CV47" i="26"/>
  <c r="CV37" i="26"/>
  <c r="CV41" i="26"/>
  <c r="CV45" i="26"/>
  <c r="CV49" i="26"/>
  <c r="CY101" i="26"/>
  <c r="CY105" i="26"/>
  <c r="CY109" i="26"/>
  <c r="CY113" i="26"/>
  <c r="CY117" i="26"/>
  <c r="CY121" i="26"/>
  <c r="CY125" i="26"/>
  <c r="CY129" i="26"/>
  <c r="CY133" i="26"/>
  <c r="CY72" i="26"/>
  <c r="CY76" i="26"/>
  <c r="CY80" i="26"/>
  <c r="CY84" i="26"/>
  <c r="CY88" i="26"/>
  <c r="CY92" i="26"/>
  <c r="CY96" i="26"/>
  <c r="CY100" i="26"/>
  <c r="CY104" i="26"/>
  <c r="CY108" i="26"/>
  <c r="CY112" i="26"/>
  <c r="CY116" i="26"/>
  <c r="CY120" i="26"/>
  <c r="CY124" i="26"/>
  <c r="CY128" i="26"/>
  <c r="CY132" i="26"/>
  <c r="CW134" i="26"/>
  <c r="CY135" i="26"/>
  <c r="CW136" i="26"/>
  <c r="CY137" i="26"/>
  <c r="CW138" i="26"/>
  <c r="CY139" i="26"/>
  <c r="CW140" i="26"/>
  <c r="CY141" i="26"/>
  <c r="CV142" i="26"/>
  <c r="CW142" i="26"/>
  <c r="CY71" i="26"/>
  <c r="CY75" i="26"/>
  <c r="CY79" i="26"/>
  <c r="CY83" i="26"/>
  <c r="CY87" i="26"/>
  <c r="CY91" i="26"/>
  <c r="CY95" i="26"/>
  <c r="CY99" i="26"/>
  <c r="CY103" i="26"/>
  <c r="CY107" i="26"/>
  <c r="CY111" i="26"/>
  <c r="CY115" i="26"/>
  <c r="CY119" i="26"/>
  <c r="CY123" i="26"/>
  <c r="CY127" i="26"/>
  <c r="CY131" i="26"/>
  <c r="CX130" i="36"/>
  <c r="CU152" i="36"/>
  <c r="CX152" i="36"/>
  <c r="CU153" i="36"/>
  <c r="CW152" i="36"/>
  <c r="CV152" i="36"/>
  <c r="CU146" i="36"/>
  <c r="CX153" i="36"/>
  <c r="CV153" i="36"/>
  <c r="CW153" i="36"/>
  <c r="CU138" i="36"/>
  <c r="CX150" i="36"/>
  <c r="CU150" i="36"/>
  <c r="CX155" i="36"/>
  <c r="CU155" i="36"/>
  <c r="CW155" i="36"/>
  <c r="CV155" i="36"/>
  <c r="CV150" i="36"/>
  <c r="CW150" i="36"/>
  <c r="CW146" i="36"/>
  <c r="CV146" i="36"/>
  <c r="CX154" i="36"/>
  <c r="CU154" i="36"/>
  <c r="CV154" i="36"/>
  <c r="CW154" i="36"/>
  <c r="CW138" i="36"/>
  <c r="CV138" i="36"/>
  <c r="CX136" i="36"/>
  <c r="CU136" i="36"/>
  <c r="CV136" i="36"/>
  <c r="CW136" i="36"/>
  <c r="CX134" i="36"/>
  <c r="CU134" i="36"/>
  <c r="CV134" i="36"/>
  <c r="CW134" i="36"/>
  <c r="CU130" i="36"/>
  <c r="CX131" i="36"/>
  <c r="CV130" i="36"/>
  <c r="CW130" i="36"/>
  <c r="CU131" i="36"/>
  <c r="CX42" i="36"/>
  <c r="CW131" i="36"/>
  <c r="CV131" i="36"/>
  <c r="CU123" i="36"/>
  <c r="CX124" i="36"/>
  <c r="CX125" i="36"/>
  <c r="CX126" i="36"/>
  <c r="CW123" i="36"/>
  <c r="CV123" i="36"/>
  <c r="CU124" i="36"/>
  <c r="CW124" i="36"/>
  <c r="CV124" i="36"/>
  <c r="CU125" i="36"/>
  <c r="CW125" i="36"/>
  <c r="CV125" i="36"/>
  <c r="CU126" i="36"/>
  <c r="CW126" i="36"/>
  <c r="CV126" i="36"/>
  <c r="CX116" i="36"/>
  <c r="CU121" i="36"/>
  <c r="CU113" i="36"/>
  <c r="CX121" i="36"/>
  <c r="CV121" i="36"/>
  <c r="CW121" i="36"/>
  <c r="CV116" i="36"/>
  <c r="CU117" i="36"/>
  <c r="CX117" i="36"/>
  <c r="CW116" i="36"/>
  <c r="CU116" i="36"/>
  <c r="CW117" i="36"/>
  <c r="CV117" i="36"/>
  <c r="CX113" i="36"/>
  <c r="CW113" i="36"/>
  <c r="CV113" i="36"/>
  <c r="CU106" i="36"/>
  <c r="CX106" i="36"/>
  <c r="CV106" i="36"/>
  <c r="CW106" i="36"/>
  <c r="CU102" i="36"/>
  <c r="CX103" i="36"/>
  <c r="CX104" i="36"/>
  <c r="CW102" i="36"/>
  <c r="CV102" i="36"/>
  <c r="CU103" i="36"/>
  <c r="CW103" i="36"/>
  <c r="CV103" i="36"/>
  <c r="CU104" i="36"/>
  <c r="CW104" i="36"/>
  <c r="CV104" i="36"/>
  <c r="CU84" i="36"/>
  <c r="CU91" i="36"/>
  <c r="CX92" i="36"/>
  <c r="CX91" i="36"/>
  <c r="CW91" i="36"/>
  <c r="CV91" i="36"/>
  <c r="CU92" i="36"/>
  <c r="CW92" i="36"/>
  <c r="CV92" i="36"/>
  <c r="CX89" i="36"/>
  <c r="CU89" i="36"/>
  <c r="CW89" i="36"/>
  <c r="CV89" i="36"/>
  <c r="CU71" i="36"/>
  <c r="CW84" i="36"/>
  <c r="CV84" i="36"/>
  <c r="CX82" i="36"/>
  <c r="CU82" i="36"/>
  <c r="CW82" i="36"/>
  <c r="CV82" i="36"/>
  <c r="CX73" i="36"/>
  <c r="CU73" i="36"/>
  <c r="CV73" i="36"/>
  <c r="CW73" i="36"/>
  <c r="CX71" i="36"/>
  <c r="CW71" i="36"/>
  <c r="CV71" i="36"/>
  <c r="CU65" i="36"/>
  <c r="CW65" i="36"/>
  <c r="CV65" i="36"/>
  <c r="CX62" i="36"/>
  <c r="CU62" i="36"/>
  <c r="CV62" i="36"/>
  <c r="CW62" i="36"/>
  <c r="CU55" i="36"/>
  <c r="CW55" i="36"/>
  <c r="CV55" i="36"/>
  <c r="CU47" i="36"/>
  <c r="CX48" i="36"/>
  <c r="CX49" i="36"/>
  <c r="CV47" i="36"/>
  <c r="CW47" i="36"/>
  <c r="CU48" i="36"/>
  <c r="CW48" i="36"/>
  <c r="CV48" i="36"/>
  <c r="CU49" i="36"/>
  <c r="CX50" i="36"/>
  <c r="CW49" i="36"/>
  <c r="CV49" i="36"/>
  <c r="CX51" i="36"/>
  <c r="CX53" i="36"/>
  <c r="CX52" i="36"/>
  <c r="CU51" i="36"/>
  <c r="CU50" i="36"/>
  <c r="CW50" i="36"/>
  <c r="CV50" i="36"/>
  <c r="CW51" i="36"/>
  <c r="CV51" i="36"/>
  <c r="CU52" i="36"/>
  <c r="CW52" i="36"/>
  <c r="CV52" i="36"/>
  <c r="CU53" i="36"/>
  <c r="CW53" i="36"/>
  <c r="CV53" i="36"/>
  <c r="CU42" i="36"/>
  <c r="CX43" i="36"/>
  <c r="CX44" i="36"/>
  <c r="CX45" i="36"/>
  <c r="CW42" i="36"/>
  <c r="CV42" i="36"/>
  <c r="CU43" i="36"/>
  <c r="CW43" i="36"/>
  <c r="CV43" i="36"/>
  <c r="CU44" i="36"/>
  <c r="CW44" i="36"/>
  <c r="CV44" i="36"/>
  <c r="CU45" i="36"/>
  <c r="CW45" i="36"/>
  <c r="CV45" i="36"/>
  <c r="CU36" i="36"/>
  <c r="CX37" i="36"/>
  <c r="CX36" i="36"/>
  <c r="CW36" i="36"/>
  <c r="CU37" i="36"/>
  <c r="CV36" i="36"/>
  <c r="CX38" i="36"/>
  <c r="CW37" i="36"/>
  <c r="CV37" i="36"/>
  <c r="CX39" i="36"/>
  <c r="CU39" i="36"/>
  <c r="CV38" i="36"/>
  <c r="CW38" i="36"/>
  <c r="CW39" i="36"/>
  <c r="CV39" i="36"/>
  <c r="CU38" i="36"/>
  <c r="CU28" i="36"/>
  <c r="CX28" i="36"/>
  <c r="CW28" i="36"/>
  <c r="CV28" i="36"/>
  <c r="CU20" i="36"/>
  <c r="CX12" i="36"/>
  <c r="CX21" i="36"/>
  <c r="CV20" i="36"/>
  <c r="CU21" i="36"/>
  <c r="CW20" i="36"/>
  <c r="CW21" i="36"/>
  <c r="CV21" i="36"/>
  <c r="CX18" i="36"/>
  <c r="CV18" i="36"/>
  <c r="CU18" i="36"/>
  <c r="CW18" i="36"/>
  <c r="CU12" i="36"/>
  <c r="CW12" i="36"/>
  <c r="CX14" i="36"/>
  <c r="CU13" i="36"/>
  <c r="CV12" i="36"/>
  <c r="CX13" i="36"/>
  <c r="CV13" i="36"/>
  <c r="CW13" i="36"/>
  <c r="CU14" i="36"/>
  <c r="CW14" i="36"/>
  <c r="CV14" i="36"/>
  <c r="CW95" i="30"/>
  <c r="CX94" i="30"/>
  <c r="CW94" i="30"/>
  <c r="CV94" i="30"/>
  <c r="CX95" i="30"/>
  <c r="CV95" i="30"/>
  <c r="CX96" i="30"/>
  <c r="CW96" i="30"/>
  <c r="CV96" i="30"/>
  <c r="CX97" i="30"/>
  <c r="CW97" i="30"/>
  <c r="CV97" i="30"/>
  <c r="CX91" i="30"/>
  <c r="CW91" i="30"/>
  <c r="CV91" i="30"/>
  <c r="CX92" i="30"/>
  <c r="CV92" i="30"/>
  <c r="CW92" i="30"/>
  <c r="AH137" i="30"/>
  <c r="AI137" i="30"/>
  <c r="AJ137" i="30"/>
  <c r="AK137" i="30"/>
  <c r="AL137" i="30"/>
  <c r="AM137" i="30"/>
  <c r="AN137" i="30"/>
  <c r="AO137" i="30"/>
  <c r="AP137" i="30"/>
  <c r="AQ137" i="30"/>
  <c r="AR137" i="30"/>
  <c r="AS137" i="30"/>
  <c r="AT137" i="30"/>
  <c r="AU137" i="30"/>
  <c r="AV137" i="30"/>
  <c r="AW137" i="30"/>
  <c r="AX137" i="30"/>
  <c r="AY137" i="30"/>
  <c r="AZ137" i="30"/>
  <c r="BA137" i="30"/>
  <c r="BB137" i="30"/>
  <c r="BC137" i="30"/>
  <c r="BD137" i="30"/>
  <c r="BE137" i="30"/>
  <c r="BF137" i="30"/>
  <c r="BG137" i="30"/>
  <c r="BH137" i="30"/>
  <c r="BI137" i="30"/>
  <c r="BJ137" i="30"/>
  <c r="BK137" i="30"/>
  <c r="BL137" i="30"/>
  <c r="AH133" i="30"/>
  <c r="AI133" i="30"/>
  <c r="AJ133" i="30"/>
  <c r="AK133" i="30"/>
  <c r="AL133" i="30"/>
  <c r="AM133" i="30"/>
  <c r="AN133" i="30"/>
  <c r="AO133" i="30"/>
  <c r="AP133" i="30"/>
  <c r="AQ133" i="30"/>
  <c r="AR133" i="30"/>
  <c r="AS133" i="30"/>
  <c r="AT133" i="30"/>
  <c r="AU133" i="30"/>
  <c r="AV133" i="30"/>
  <c r="AW133" i="30"/>
  <c r="AX133" i="30"/>
  <c r="AY133" i="30"/>
  <c r="AZ133" i="30"/>
  <c r="BA133" i="30"/>
  <c r="BB133" i="30"/>
  <c r="BC133" i="30"/>
  <c r="BD133" i="30"/>
  <c r="BE133" i="30"/>
  <c r="BF133" i="30"/>
  <c r="BG133" i="30"/>
  <c r="BH133" i="30"/>
  <c r="BI133" i="30"/>
  <c r="BJ133" i="30"/>
  <c r="BK133" i="30"/>
  <c r="BL133" i="30"/>
  <c r="AH134" i="30"/>
  <c r="AI134" i="30"/>
  <c r="AJ134" i="30"/>
  <c r="AK134" i="30"/>
  <c r="AL134" i="30"/>
  <c r="AM134" i="30"/>
  <c r="AN134" i="30"/>
  <c r="AO134" i="30"/>
  <c r="AP134" i="30"/>
  <c r="AQ134" i="30"/>
  <c r="AR134" i="30"/>
  <c r="AS134" i="30"/>
  <c r="AT134" i="30"/>
  <c r="AU134" i="30"/>
  <c r="AV134" i="30"/>
  <c r="AW134" i="30"/>
  <c r="AX134" i="30"/>
  <c r="AY134" i="30"/>
  <c r="AZ134" i="30"/>
  <c r="BA134" i="30"/>
  <c r="BB134" i="30"/>
  <c r="BC134" i="30"/>
  <c r="BD134" i="30"/>
  <c r="BE134" i="30"/>
  <c r="BF134" i="30"/>
  <c r="BG134" i="30"/>
  <c r="BH134" i="30"/>
  <c r="BI134" i="30"/>
  <c r="BJ134" i="30"/>
  <c r="BK134" i="30"/>
  <c r="BL134" i="30"/>
  <c r="AH135" i="30"/>
  <c r="AI135" i="30"/>
  <c r="AJ135" i="30"/>
  <c r="AK135" i="30"/>
  <c r="AL135" i="30"/>
  <c r="AM135" i="30"/>
  <c r="AN135" i="30"/>
  <c r="AO135" i="30"/>
  <c r="AP135" i="30"/>
  <c r="AQ135" i="30"/>
  <c r="AR135" i="30"/>
  <c r="AS135" i="30"/>
  <c r="AT135" i="30"/>
  <c r="AU135" i="30"/>
  <c r="AV135" i="30"/>
  <c r="AW135" i="30"/>
  <c r="AX135" i="30"/>
  <c r="AY135" i="30"/>
  <c r="AZ135" i="30"/>
  <c r="BA135" i="30"/>
  <c r="BB135" i="30"/>
  <c r="BC135" i="30"/>
  <c r="BD135" i="30"/>
  <c r="BE135" i="30"/>
  <c r="BF135" i="30"/>
  <c r="BG135" i="30"/>
  <c r="BH135" i="30"/>
  <c r="BI135" i="30"/>
  <c r="BJ135" i="30"/>
  <c r="BK135" i="30"/>
  <c r="BL135" i="30"/>
  <c r="AH129" i="30"/>
  <c r="AI129" i="30"/>
  <c r="AJ129" i="30"/>
  <c r="AK129" i="30"/>
  <c r="AL129" i="30"/>
  <c r="AM129" i="30"/>
  <c r="AN129" i="30"/>
  <c r="AO129" i="30"/>
  <c r="AP129" i="30"/>
  <c r="AQ129" i="30"/>
  <c r="AR129" i="30"/>
  <c r="AS129" i="30"/>
  <c r="AT129" i="30"/>
  <c r="AU129" i="30"/>
  <c r="AV129" i="30"/>
  <c r="AW129" i="30"/>
  <c r="AX129" i="30"/>
  <c r="AY129" i="30"/>
  <c r="AZ129" i="30"/>
  <c r="BA129" i="30"/>
  <c r="BB129" i="30"/>
  <c r="BC129" i="30"/>
  <c r="BD129" i="30"/>
  <c r="BE129" i="30"/>
  <c r="BF129" i="30"/>
  <c r="BG129" i="30"/>
  <c r="BH129" i="30"/>
  <c r="BI129" i="30"/>
  <c r="BJ129" i="30"/>
  <c r="BK129" i="30"/>
  <c r="BL129" i="30"/>
  <c r="AH130" i="30"/>
  <c r="AI130" i="30"/>
  <c r="AJ130" i="30"/>
  <c r="AK130" i="30"/>
  <c r="AL130" i="30"/>
  <c r="AM130" i="30"/>
  <c r="AN130" i="30"/>
  <c r="AO130" i="30"/>
  <c r="AP130" i="30"/>
  <c r="AQ130" i="30"/>
  <c r="AR130" i="30"/>
  <c r="AS130" i="30"/>
  <c r="AT130" i="30"/>
  <c r="AU130" i="30"/>
  <c r="AV130" i="30"/>
  <c r="AW130" i="30"/>
  <c r="AX130" i="30"/>
  <c r="AY130" i="30"/>
  <c r="AZ130" i="30"/>
  <c r="BA130" i="30"/>
  <c r="BB130" i="30"/>
  <c r="BC130" i="30"/>
  <c r="BD130" i="30"/>
  <c r="BE130" i="30"/>
  <c r="BF130" i="30"/>
  <c r="BG130" i="30"/>
  <c r="BH130" i="30"/>
  <c r="BI130" i="30"/>
  <c r="BJ130" i="30"/>
  <c r="BK130" i="30"/>
  <c r="BL130" i="30"/>
  <c r="CX130" i="30" s="1"/>
  <c r="AH126" i="30"/>
  <c r="AI126" i="30"/>
  <c r="AJ126" i="30"/>
  <c r="AK126" i="30"/>
  <c r="AL126" i="30"/>
  <c r="AM126" i="30"/>
  <c r="AN126" i="30"/>
  <c r="AO126" i="30"/>
  <c r="AP126" i="30"/>
  <c r="AQ126" i="30"/>
  <c r="AR126" i="30"/>
  <c r="AS126" i="30"/>
  <c r="AT126" i="30"/>
  <c r="AU126" i="30"/>
  <c r="AV126" i="30"/>
  <c r="AW126" i="30"/>
  <c r="AX126" i="30"/>
  <c r="AY126" i="30"/>
  <c r="AZ126" i="30"/>
  <c r="BA126" i="30"/>
  <c r="BB126" i="30"/>
  <c r="BC126" i="30"/>
  <c r="BD126" i="30"/>
  <c r="BE126" i="30"/>
  <c r="BF126" i="30"/>
  <c r="BG126" i="30"/>
  <c r="BH126" i="30"/>
  <c r="BI126" i="30"/>
  <c r="BJ126" i="30"/>
  <c r="BK126" i="30"/>
  <c r="BL126" i="30"/>
  <c r="AH127" i="30"/>
  <c r="AI127" i="30"/>
  <c r="AJ127" i="30"/>
  <c r="AK127" i="30"/>
  <c r="AL127" i="30"/>
  <c r="AM127" i="30"/>
  <c r="AN127" i="30"/>
  <c r="AO127" i="30"/>
  <c r="AP127" i="30"/>
  <c r="AQ127" i="30"/>
  <c r="AR127" i="30"/>
  <c r="AS127" i="30"/>
  <c r="AT127" i="30"/>
  <c r="AU127" i="30"/>
  <c r="AV127" i="30"/>
  <c r="AW127" i="30"/>
  <c r="AX127" i="30"/>
  <c r="AY127" i="30"/>
  <c r="AZ127" i="30"/>
  <c r="BA127" i="30"/>
  <c r="BB127" i="30"/>
  <c r="BC127" i="30"/>
  <c r="BD127" i="30"/>
  <c r="BE127" i="30"/>
  <c r="BF127" i="30"/>
  <c r="BG127" i="30"/>
  <c r="BH127" i="30"/>
  <c r="BI127" i="30"/>
  <c r="BJ127" i="30"/>
  <c r="BK127" i="30"/>
  <c r="BL127" i="30"/>
  <c r="AH123" i="30"/>
  <c r="AI123" i="30"/>
  <c r="AJ123" i="30"/>
  <c r="AK123" i="30"/>
  <c r="AL123" i="30"/>
  <c r="AM123" i="30"/>
  <c r="AN123" i="30"/>
  <c r="AO123" i="30"/>
  <c r="AP123" i="30"/>
  <c r="AQ123" i="30"/>
  <c r="AR123" i="30"/>
  <c r="AS123" i="30"/>
  <c r="AT123" i="30"/>
  <c r="AU123" i="30"/>
  <c r="AV123" i="30"/>
  <c r="AW123" i="30"/>
  <c r="AX123" i="30"/>
  <c r="AY123" i="30"/>
  <c r="AZ123" i="30"/>
  <c r="BA123" i="30"/>
  <c r="BB123" i="30"/>
  <c r="BC123" i="30"/>
  <c r="BD123" i="30"/>
  <c r="BE123" i="30"/>
  <c r="BF123" i="30"/>
  <c r="BG123" i="30"/>
  <c r="BH123" i="30"/>
  <c r="BI123" i="30"/>
  <c r="BJ123" i="30"/>
  <c r="BK123" i="30"/>
  <c r="BL123" i="30"/>
  <c r="AH124" i="30"/>
  <c r="AI124" i="30"/>
  <c r="AJ124" i="30"/>
  <c r="AK124" i="30"/>
  <c r="AL124" i="30"/>
  <c r="AM124" i="30"/>
  <c r="AN124" i="30"/>
  <c r="AO124" i="30"/>
  <c r="AP124" i="30"/>
  <c r="AQ124" i="30"/>
  <c r="AR124" i="30"/>
  <c r="AS124" i="30"/>
  <c r="AT124" i="30"/>
  <c r="AU124" i="30"/>
  <c r="AV124" i="30"/>
  <c r="AW124" i="30"/>
  <c r="AX124" i="30"/>
  <c r="AY124" i="30"/>
  <c r="AZ124" i="30"/>
  <c r="BA124" i="30"/>
  <c r="BB124" i="30"/>
  <c r="BC124" i="30"/>
  <c r="BD124" i="30"/>
  <c r="BE124" i="30"/>
  <c r="BF124" i="30"/>
  <c r="BG124" i="30"/>
  <c r="BH124" i="30"/>
  <c r="BI124" i="30"/>
  <c r="BJ124" i="30"/>
  <c r="BK124" i="30"/>
  <c r="BL124" i="30"/>
  <c r="AH120" i="30"/>
  <c r="AI120" i="30"/>
  <c r="AJ120" i="30"/>
  <c r="AK120" i="30"/>
  <c r="AL120" i="30"/>
  <c r="AM120" i="30"/>
  <c r="AN120" i="30"/>
  <c r="AO120" i="30"/>
  <c r="AP120" i="30"/>
  <c r="AQ120" i="30"/>
  <c r="AR120" i="30"/>
  <c r="AS120" i="30"/>
  <c r="AT120" i="30"/>
  <c r="AU120" i="30"/>
  <c r="AV120" i="30"/>
  <c r="AW120" i="30"/>
  <c r="AX120" i="30"/>
  <c r="AY120" i="30"/>
  <c r="AZ120" i="30"/>
  <c r="BA120" i="30"/>
  <c r="BB120" i="30"/>
  <c r="BC120" i="30"/>
  <c r="BD120" i="30"/>
  <c r="BE120" i="30"/>
  <c r="BF120" i="30"/>
  <c r="BG120" i="30"/>
  <c r="BH120" i="30"/>
  <c r="BI120" i="30"/>
  <c r="BJ120" i="30"/>
  <c r="BK120" i="30"/>
  <c r="BL120" i="30"/>
  <c r="AH121" i="30"/>
  <c r="AI121" i="30"/>
  <c r="AJ121" i="30"/>
  <c r="AK121" i="30"/>
  <c r="AL121" i="30"/>
  <c r="AM121" i="30"/>
  <c r="AN121" i="30"/>
  <c r="AO121" i="30"/>
  <c r="AP121" i="30"/>
  <c r="AQ121" i="30"/>
  <c r="AR121" i="30"/>
  <c r="AS121" i="30"/>
  <c r="AT121" i="30"/>
  <c r="AU121" i="30"/>
  <c r="AV121" i="30"/>
  <c r="AW121" i="30"/>
  <c r="AX121" i="30"/>
  <c r="AY121" i="30"/>
  <c r="AZ121" i="30"/>
  <c r="BA121" i="30"/>
  <c r="BB121" i="30"/>
  <c r="BC121" i="30"/>
  <c r="BD121" i="30"/>
  <c r="BE121" i="30"/>
  <c r="BF121" i="30"/>
  <c r="BG121" i="30"/>
  <c r="BH121" i="30"/>
  <c r="BI121" i="30"/>
  <c r="BJ121" i="30"/>
  <c r="BK121" i="30"/>
  <c r="BL121" i="30"/>
  <c r="AH117" i="30"/>
  <c r="AI117" i="30"/>
  <c r="AJ117" i="30"/>
  <c r="AK117" i="30"/>
  <c r="AL117" i="30"/>
  <c r="AM117" i="30"/>
  <c r="AN117" i="30"/>
  <c r="AO117" i="30"/>
  <c r="AP117" i="30"/>
  <c r="AQ117" i="30"/>
  <c r="AR117" i="30"/>
  <c r="AS117" i="30"/>
  <c r="AT117" i="30"/>
  <c r="AU117" i="30"/>
  <c r="AV117" i="30"/>
  <c r="AW117" i="30"/>
  <c r="AX117" i="30"/>
  <c r="AY117" i="30"/>
  <c r="AZ117" i="30"/>
  <c r="BA117" i="30"/>
  <c r="BB117" i="30"/>
  <c r="BC117" i="30"/>
  <c r="BD117" i="30"/>
  <c r="BE117" i="30"/>
  <c r="BF117" i="30"/>
  <c r="BG117" i="30"/>
  <c r="BH117" i="30"/>
  <c r="BI117" i="30"/>
  <c r="BJ117" i="30"/>
  <c r="BK117" i="30"/>
  <c r="BL117" i="30"/>
  <c r="AH113" i="30"/>
  <c r="AI113" i="30"/>
  <c r="AJ113" i="30"/>
  <c r="AK113" i="30"/>
  <c r="AL113" i="30"/>
  <c r="AM113" i="30"/>
  <c r="AN113" i="30"/>
  <c r="AO113" i="30"/>
  <c r="AP113" i="30"/>
  <c r="AQ113" i="30"/>
  <c r="AR113" i="30"/>
  <c r="AS113" i="30"/>
  <c r="AT113" i="30"/>
  <c r="AU113" i="30"/>
  <c r="AV113" i="30"/>
  <c r="AW113" i="30"/>
  <c r="AX113" i="30"/>
  <c r="AY113" i="30"/>
  <c r="AZ113" i="30"/>
  <c r="BA113" i="30"/>
  <c r="BB113" i="30"/>
  <c r="BC113" i="30"/>
  <c r="BD113" i="30"/>
  <c r="BE113" i="30"/>
  <c r="BF113" i="30"/>
  <c r="BG113" i="30"/>
  <c r="BH113" i="30"/>
  <c r="BI113" i="30"/>
  <c r="BJ113" i="30"/>
  <c r="BK113" i="30"/>
  <c r="BL113" i="30"/>
  <c r="AH103" i="30"/>
  <c r="AI103" i="30"/>
  <c r="AJ103" i="30"/>
  <c r="AK103" i="30"/>
  <c r="AL103" i="30"/>
  <c r="AM103" i="30"/>
  <c r="AN103" i="30"/>
  <c r="AO103" i="30"/>
  <c r="AP103" i="30"/>
  <c r="AQ103" i="30"/>
  <c r="AR103" i="30"/>
  <c r="AS103" i="30"/>
  <c r="AT103" i="30"/>
  <c r="AU103" i="30"/>
  <c r="AV103" i="30"/>
  <c r="AW103" i="30"/>
  <c r="AX103" i="30"/>
  <c r="AY103" i="30"/>
  <c r="AZ103" i="30"/>
  <c r="BA103" i="30"/>
  <c r="BB103" i="30"/>
  <c r="BC103" i="30"/>
  <c r="BD103" i="30"/>
  <c r="BE103" i="30"/>
  <c r="BF103" i="30"/>
  <c r="BG103" i="30"/>
  <c r="BH103" i="30"/>
  <c r="BI103" i="30"/>
  <c r="BJ103" i="30"/>
  <c r="BK103" i="30"/>
  <c r="BL103" i="30"/>
  <c r="AH104" i="30"/>
  <c r="AI104" i="30"/>
  <c r="AJ104" i="30"/>
  <c r="AK104" i="30"/>
  <c r="AL104" i="30"/>
  <c r="AM104" i="30"/>
  <c r="AN104" i="30"/>
  <c r="AO104" i="30"/>
  <c r="AP104" i="30"/>
  <c r="AQ104" i="30"/>
  <c r="AR104" i="30"/>
  <c r="AS104" i="30"/>
  <c r="AT104" i="30"/>
  <c r="AU104" i="30"/>
  <c r="AV104" i="30"/>
  <c r="AW104" i="30"/>
  <c r="AX104" i="30"/>
  <c r="AY104" i="30"/>
  <c r="AZ104" i="30"/>
  <c r="BA104" i="30"/>
  <c r="BB104" i="30"/>
  <c r="BC104" i="30"/>
  <c r="BD104" i="30"/>
  <c r="BE104" i="30"/>
  <c r="BF104" i="30"/>
  <c r="BG104" i="30"/>
  <c r="BH104" i="30"/>
  <c r="BI104" i="30"/>
  <c r="BJ104" i="30"/>
  <c r="BK104" i="30"/>
  <c r="BL104" i="30"/>
  <c r="AH105" i="30"/>
  <c r="AI105" i="30"/>
  <c r="AJ105" i="30"/>
  <c r="AK105" i="30"/>
  <c r="AL105" i="30"/>
  <c r="AM105" i="30"/>
  <c r="AN105" i="30"/>
  <c r="AO105" i="30"/>
  <c r="AP105" i="30"/>
  <c r="AQ105" i="30"/>
  <c r="AR105" i="30"/>
  <c r="AS105" i="30"/>
  <c r="AT105" i="30"/>
  <c r="AU105" i="30"/>
  <c r="AV105" i="30"/>
  <c r="AW105" i="30"/>
  <c r="AX105" i="30"/>
  <c r="AY105" i="30"/>
  <c r="AZ105" i="30"/>
  <c r="BA105" i="30"/>
  <c r="BB105" i="30"/>
  <c r="BC105" i="30"/>
  <c r="BD105" i="30"/>
  <c r="BE105" i="30"/>
  <c r="BF105" i="30"/>
  <c r="BG105" i="30"/>
  <c r="BH105" i="30"/>
  <c r="BI105" i="30"/>
  <c r="BJ105" i="30"/>
  <c r="BK105" i="30"/>
  <c r="BL105" i="30"/>
  <c r="AH106" i="30"/>
  <c r="AI106" i="30"/>
  <c r="AJ106" i="30"/>
  <c r="AK106" i="30"/>
  <c r="AL106" i="30"/>
  <c r="AM106" i="30"/>
  <c r="AN106" i="30"/>
  <c r="AO106" i="30"/>
  <c r="AP106" i="30"/>
  <c r="AQ106" i="30"/>
  <c r="AR106" i="30"/>
  <c r="AS106" i="30"/>
  <c r="AT106" i="30"/>
  <c r="AU106" i="30"/>
  <c r="AV106" i="30"/>
  <c r="AW106" i="30"/>
  <c r="AX106" i="30"/>
  <c r="AY106" i="30"/>
  <c r="AZ106" i="30"/>
  <c r="BA106" i="30"/>
  <c r="BB106" i="30"/>
  <c r="BC106" i="30"/>
  <c r="BD106" i="30"/>
  <c r="BE106" i="30"/>
  <c r="BF106" i="30"/>
  <c r="BG106" i="30"/>
  <c r="BH106" i="30"/>
  <c r="BI106" i="30"/>
  <c r="BJ106" i="30"/>
  <c r="BK106" i="30"/>
  <c r="BL106" i="30"/>
  <c r="AH107" i="30"/>
  <c r="AI107" i="30"/>
  <c r="AJ107" i="30"/>
  <c r="AK107" i="30"/>
  <c r="AL107" i="30"/>
  <c r="AM107" i="30"/>
  <c r="AN107" i="30"/>
  <c r="AO107" i="30"/>
  <c r="AP107" i="30"/>
  <c r="AQ107" i="30"/>
  <c r="AR107" i="30"/>
  <c r="AS107" i="30"/>
  <c r="AT107" i="30"/>
  <c r="AU107" i="30"/>
  <c r="AV107" i="30"/>
  <c r="AW107" i="30"/>
  <c r="AX107" i="30"/>
  <c r="AY107" i="30"/>
  <c r="AZ107" i="30"/>
  <c r="BA107" i="30"/>
  <c r="BB107" i="30"/>
  <c r="BC107" i="30"/>
  <c r="BD107" i="30"/>
  <c r="BE107" i="30"/>
  <c r="BF107" i="30"/>
  <c r="BG107" i="30"/>
  <c r="BH107" i="30"/>
  <c r="BI107" i="30"/>
  <c r="BJ107" i="30"/>
  <c r="BK107" i="30"/>
  <c r="BL107" i="30"/>
  <c r="AH101" i="30"/>
  <c r="AI101" i="30"/>
  <c r="AJ101" i="30"/>
  <c r="AK101" i="30"/>
  <c r="AL101" i="30"/>
  <c r="AM101" i="30"/>
  <c r="AN101" i="30"/>
  <c r="AO101" i="30"/>
  <c r="AP101" i="30"/>
  <c r="AQ101" i="30"/>
  <c r="AR101" i="30"/>
  <c r="AS101" i="30"/>
  <c r="AT101" i="30"/>
  <c r="AU101" i="30"/>
  <c r="AV101" i="30"/>
  <c r="AW101" i="30"/>
  <c r="AX101" i="30"/>
  <c r="AY101" i="30"/>
  <c r="AZ101" i="30"/>
  <c r="BA101" i="30"/>
  <c r="BB101" i="30"/>
  <c r="BC101" i="30"/>
  <c r="BD101" i="30"/>
  <c r="BE101" i="30"/>
  <c r="BF101" i="30"/>
  <c r="BG101" i="30"/>
  <c r="BH101" i="30"/>
  <c r="BI101" i="30"/>
  <c r="BJ101" i="30"/>
  <c r="BK101" i="30"/>
  <c r="BL101" i="30"/>
  <c r="AH89" i="30"/>
  <c r="AI89" i="30"/>
  <c r="AJ89" i="30"/>
  <c r="AK89" i="30"/>
  <c r="AL89" i="30"/>
  <c r="AM89" i="30"/>
  <c r="AN89" i="30"/>
  <c r="AO89" i="30"/>
  <c r="AP89" i="30"/>
  <c r="AQ89" i="30"/>
  <c r="AR89" i="30"/>
  <c r="AS89" i="30"/>
  <c r="AT89" i="30"/>
  <c r="AU89" i="30"/>
  <c r="AV89" i="30"/>
  <c r="AW89" i="30"/>
  <c r="AX89" i="30"/>
  <c r="AY89" i="30"/>
  <c r="AZ89" i="30"/>
  <c r="BA89" i="30"/>
  <c r="BB89" i="30"/>
  <c r="BC89" i="30"/>
  <c r="BD89" i="30"/>
  <c r="BE89" i="30"/>
  <c r="BF89" i="30"/>
  <c r="BG89" i="30"/>
  <c r="BH89" i="30"/>
  <c r="BI89" i="30"/>
  <c r="BJ89" i="30"/>
  <c r="BK89" i="30"/>
  <c r="BL89" i="30"/>
  <c r="AH87" i="30"/>
  <c r="AI87" i="30"/>
  <c r="AJ87" i="30"/>
  <c r="AK87" i="30"/>
  <c r="AL87" i="30"/>
  <c r="AM87" i="30"/>
  <c r="AN87" i="30"/>
  <c r="AO87" i="30"/>
  <c r="AP87" i="30"/>
  <c r="AQ87" i="30"/>
  <c r="AR87" i="30"/>
  <c r="AS87" i="30"/>
  <c r="AT87" i="30"/>
  <c r="AU87" i="30"/>
  <c r="AV87" i="30"/>
  <c r="AW87" i="30"/>
  <c r="AX87" i="30"/>
  <c r="AY87" i="30"/>
  <c r="AZ87" i="30"/>
  <c r="BA87" i="30"/>
  <c r="BB87" i="30"/>
  <c r="BC87" i="30"/>
  <c r="BD87" i="30"/>
  <c r="BE87" i="30"/>
  <c r="BF87" i="30"/>
  <c r="BG87" i="30"/>
  <c r="BH87" i="30"/>
  <c r="BI87" i="30"/>
  <c r="BJ87" i="30"/>
  <c r="BK87" i="30"/>
  <c r="BL87" i="30"/>
  <c r="AH82" i="30"/>
  <c r="AI82" i="30"/>
  <c r="AJ82" i="30"/>
  <c r="AK82" i="30"/>
  <c r="AL82" i="30"/>
  <c r="AM82" i="30"/>
  <c r="AN82" i="30"/>
  <c r="AO82" i="30"/>
  <c r="AP82" i="30"/>
  <c r="AQ82" i="30"/>
  <c r="AR82" i="30"/>
  <c r="AS82" i="30"/>
  <c r="AT82" i="30"/>
  <c r="AU82" i="30"/>
  <c r="AV82" i="30"/>
  <c r="AW82" i="30"/>
  <c r="AX82" i="30"/>
  <c r="AY82" i="30"/>
  <c r="AZ82" i="30"/>
  <c r="BA82" i="30"/>
  <c r="BB82" i="30"/>
  <c r="BC82" i="30"/>
  <c r="BD82" i="30"/>
  <c r="BE82" i="30"/>
  <c r="BF82" i="30"/>
  <c r="BG82" i="30"/>
  <c r="BH82" i="30"/>
  <c r="BI82" i="30"/>
  <c r="BJ82" i="30"/>
  <c r="BK82" i="30"/>
  <c r="BL82" i="30"/>
  <c r="AH80" i="30"/>
  <c r="AI80" i="30"/>
  <c r="AJ80" i="30"/>
  <c r="AK80" i="30"/>
  <c r="AL80" i="30"/>
  <c r="AM80" i="30"/>
  <c r="AN80" i="30"/>
  <c r="AO80" i="30"/>
  <c r="AP80" i="30"/>
  <c r="AQ80" i="30"/>
  <c r="AR80" i="30"/>
  <c r="AS80" i="30"/>
  <c r="AT80" i="30"/>
  <c r="AU80" i="30"/>
  <c r="AV80" i="30"/>
  <c r="AW80" i="30"/>
  <c r="AX80" i="30"/>
  <c r="AY80" i="30"/>
  <c r="AZ80" i="30"/>
  <c r="BA80" i="30"/>
  <c r="BB80" i="30"/>
  <c r="BC80" i="30"/>
  <c r="BD80" i="30"/>
  <c r="BE80" i="30"/>
  <c r="BF80" i="30"/>
  <c r="BG80" i="30"/>
  <c r="BH80" i="30"/>
  <c r="BI80" i="30"/>
  <c r="BJ80" i="30"/>
  <c r="BK80" i="30"/>
  <c r="BL80" i="30"/>
  <c r="AH71" i="30"/>
  <c r="AI71" i="30"/>
  <c r="AJ71" i="30"/>
  <c r="AK71" i="30"/>
  <c r="AL71" i="30"/>
  <c r="AM71" i="30"/>
  <c r="AN71" i="30"/>
  <c r="AO71" i="30"/>
  <c r="AP71" i="30"/>
  <c r="AQ71" i="30"/>
  <c r="AR71" i="30"/>
  <c r="AS71" i="30"/>
  <c r="AT71" i="30"/>
  <c r="AU71" i="30"/>
  <c r="AV71" i="30"/>
  <c r="AW71" i="30"/>
  <c r="AX71" i="30"/>
  <c r="AY71" i="30"/>
  <c r="AZ71" i="30"/>
  <c r="BA71" i="30"/>
  <c r="BB71" i="30"/>
  <c r="BC71" i="30"/>
  <c r="BD71" i="30"/>
  <c r="BE71" i="30"/>
  <c r="BF71" i="30"/>
  <c r="BG71" i="30"/>
  <c r="BH71" i="30"/>
  <c r="BI71" i="30"/>
  <c r="BJ71" i="30"/>
  <c r="BK71" i="30"/>
  <c r="BL71" i="30"/>
  <c r="AH72" i="30"/>
  <c r="AI72" i="30"/>
  <c r="AJ72" i="30"/>
  <c r="AK72" i="30"/>
  <c r="AL72" i="30"/>
  <c r="AM72" i="30"/>
  <c r="AN72" i="30"/>
  <c r="AO72" i="30"/>
  <c r="AP72" i="30"/>
  <c r="AQ72" i="30"/>
  <c r="AR72" i="30"/>
  <c r="AS72" i="30"/>
  <c r="AT72" i="30"/>
  <c r="AU72" i="30"/>
  <c r="AV72" i="30"/>
  <c r="AW72" i="30"/>
  <c r="AX72" i="30"/>
  <c r="AY72" i="30"/>
  <c r="AZ72" i="30"/>
  <c r="BA72" i="30"/>
  <c r="BB72" i="30"/>
  <c r="BC72" i="30"/>
  <c r="BD72" i="30"/>
  <c r="BE72" i="30"/>
  <c r="BF72" i="30"/>
  <c r="BG72" i="30"/>
  <c r="BH72" i="30"/>
  <c r="BI72" i="30"/>
  <c r="BJ72" i="30"/>
  <c r="BK72" i="30"/>
  <c r="BL72" i="30"/>
  <c r="AH73" i="30"/>
  <c r="AI73" i="30"/>
  <c r="AJ73" i="30"/>
  <c r="AK73" i="30"/>
  <c r="AL73" i="30"/>
  <c r="AM73" i="30"/>
  <c r="AN73" i="30"/>
  <c r="AO73" i="30"/>
  <c r="AP73" i="30"/>
  <c r="AQ73" i="30"/>
  <c r="AR73" i="30"/>
  <c r="AS73" i="30"/>
  <c r="AT73" i="30"/>
  <c r="AU73" i="30"/>
  <c r="AV73" i="30"/>
  <c r="AW73" i="30"/>
  <c r="AX73" i="30"/>
  <c r="AY73" i="30"/>
  <c r="AZ73" i="30"/>
  <c r="BA73" i="30"/>
  <c r="BB73" i="30"/>
  <c r="BC73" i="30"/>
  <c r="BD73" i="30"/>
  <c r="BE73" i="30"/>
  <c r="BF73" i="30"/>
  <c r="BG73" i="30"/>
  <c r="BH73" i="30"/>
  <c r="BI73" i="30"/>
  <c r="BJ73" i="30"/>
  <c r="BK73" i="30"/>
  <c r="BL73" i="30"/>
  <c r="AH65" i="30"/>
  <c r="AI65" i="30"/>
  <c r="AJ65" i="30"/>
  <c r="AK65" i="30"/>
  <c r="AL65" i="30"/>
  <c r="AM65" i="30"/>
  <c r="AN65" i="30"/>
  <c r="AO65" i="30"/>
  <c r="AP65" i="30"/>
  <c r="AQ65" i="30"/>
  <c r="AR65" i="30"/>
  <c r="AS65" i="30"/>
  <c r="AT65" i="30"/>
  <c r="AU65" i="30"/>
  <c r="AV65" i="30"/>
  <c r="AW65" i="30"/>
  <c r="AX65" i="30"/>
  <c r="AY65" i="30"/>
  <c r="AZ65" i="30"/>
  <c r="BA65" i="30"/>
  <c r="BB65" i="30"/>
  <c r="BC65" i="30"/>
  <c r="BD65" i="30"/>
  <c r="BE65" i="30"/>
  <c r="BF65" i="30"/>
  <c r="BG65" i="30"/>
  <c r="BH65" i="30"/>
  <c r="BI65" i="30"/>
  <c r="BJ65" i="30"/>
  <c r="BK65" i="30"/>
  <c r="BL65" i="30"/>
  <c r="AH62" i="30"/>
  <c r="AI62" i="30"/>
  <c r="AJ62" i="30"/>
  <c r="AK62" i="30"/>
  <c r="AL62" i="30"/>
  <c r="AM62" i="30"/>
  <c r="AN62" i="30"/>
  <c r="AO62" i="30"/>
  <c r="AP62" i="30"/>
  <c r="AQ62" i="30"/>
  <c r="AR62" i="30"/>
  <c r="AS62" i="30"/>
  <c r="AT62" i="30"/>
  <c r="AU62" i="30"/>
  <c r="AV62" i="30"/>
  <c r="AW62" i="30"/>
  <c r="AX62" i="30"/>
  <c r="AY62" i="30"/>
  <c r="AZ62" i="30"/>
  <c r="BA62" i="30"/>
  <c r="BB62" i="30"/>
  <c r="BC62" i="30"/>
  <c r="BD62" i="30"/>
  <c r="BE62" i="30"/>
  <c r="BF62" i="30"/>
  <c r="BG62" i="30"/>
  <c r="BH62" i="30"/>
  <c r="BI62" i="30"/>
  <c r="BJ62" i="30"/>
  <c r="BK62" i="30"/>
  <c r="BL62"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AH50" i="30"/>
  <c r="AI50" i="30"/>
  <c r="AJ50" i="30"/>
  <c r="AK50" i="30"/>
  <c r="AL50" i="30"/>
  <c r="AM50" i="30"/>
  <c r="AN50" i="30"/>
  <c r="AO50" i="30"/>
  <c r="AP50" i="30"/>
  <c r="AQ50" i="30"/>
  <c r="AR50" i="30"/>
  <c r="AS50" i="30"/>
  <c r="AT50" i="30"/>
  <c r="AU50" i="30"/>
  <c r="AV50" i="30"/>
  <c r="AW50" i="30"/>
  <c r="AX50" i="30"/>
  <c r="AY50" i="30"/>
  <c r="AZ50" i="30"/>
  <c r="BA50" i="30"/>
  <c r="BB50" i="30"/>
  <c r="BC50" i="30"/>
  <c r="BD50" i="30"/>
  <c r="BE50" i="30"/>
  <c r="BF50" i="30"/>
  <c r="BG50" i="30"/>
  <c r="BH50" i="30"/>
  <c r="BI50" i="30"/>
  <c r="BJ50" i="30"/>
  <c r="BK50" i="30"/>
  <c r="BL50"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AH38" i="30"/>
  <c r="AI38" i="30"/>
  <c r="AJ38" i="30"/>
  <c r="AK38" i="30"/>
  <c r="AL38" i="30"/>
  <c r="AM38" i="30"/>
  <c r="AN38" i="30"/>
  <c r="AO38" i="30"/>
  <c r="AP38" i="30"/>
  <c r="AQ38" i="30"/>
  <c r="AR38" i="30"/>
  <c r="AS38" i="30"/>
  <c r="AT38" i="30"/>
  <c r="AU38" i="30"/>
  <c r="AV38" i="30"/>
  <c r="AW38" i="30"/>
  <c r="AX38" i="30"/>
  <c r="AY38" i="30"/>
  <c r="AZ38" i="30"/>
  <c r="BA38" i="30"/>
  <c r="BB38" i="30"/>
  <c r="BC38" i="30"/>
  <c r="BD38" i="30"/>
  <c r="BE38" i="30"/>
  <c r="BF38" i="30"/>
  <c r="BG38" i="30"/>
  <c r="BH38" i="30"/>
  <c r="BI38" i="30"/>
  <c r="BJ38" i="30"/>
  <c r="BK38" i="30"/>
  <c r="BL38" i="30"/>
  <c r="AH39" i="30"/>
  <c r="AI39" i="30"/>
  <c r="AJ39" i="30"/>
  <c r="AK39" i="30"/>
  <c r="AL39" i="30"/>
  <c r="AM39" i="30"/>
  <c r="AN39" i="30"/>
  <c r="AO39" i="30"/>
  <c r="AP39" i="30"/>
  <c r="AQ39" i="30"/>
  <c r="AR39" i="30"/>
  <c r="AS39" i="30"/>
  <c r="AT39" i="30"/>
  <c r="AU39" i="30"/>
  <c r="AV39" i="30"/>
  <c r="AW39" i="30"/>
  <c r="AX39" i="30"/>
  <c r="AY39" i="30"/>
  <c r="AZ39" i="30"/>
  <c r="BA39" i="30"/>
  <c r="BB39" i="30"/>
  <c r="BC39" i="30"/>
  <c r="BD39" i="30"/>
  <c r="BE39" i="30"/>
  <c r="BF39" i="30"/>
  <c r="BG39" i="30"/>
  <c r="BH39" i="30"/>
  <c r="BI39" i="30"/>
  <c r="BJ39" i="30"/>
  <c r="BK39" i="30"/>
  <c r="BL39" i="30"/>
  <c r="AH36" i="30"/>
  <c r="AI36" i="30"/>
  <c r="AJ36" i="30"/>
  <c r="AK36" i="30"/>
  <c r="AL36" i="30"/>
  <c r="AM36" i="30"/>
  <c r="AN36" i="30"/>
  <c r="AO36" i="30"/>
  <c r="AP36" i="30"/>
  <c r="AQ36" i="30"/>
  <c r="AR36" i="30"/>
  <c r="AS36" i="30"/>
  <c r="AT36" i="30"/>
  <c r="AU36" i="30"/>
  <c r="AV36" i="30"/>
  <c r="AW36" i="30"/>
  <c r="AX36" i="30"/>
  <c r="AY36" i="30"/>
  <c r="AZ36" i="30"/>
  <c r="BA36" i="30"/>
  <c r="BB36" i="30"/>
  <c r="BC36" i="30"/>
  <c r="BD36" i="30"/>
  <c r="BE36" i="30"/>
  <c r="BF36" i="30"/>
  <c r="BG36" i="30"/>
  <c r="BH36" i="30"/>
  <c r="BI36" i="30"/>
  <c r="BJ36" i="30"/>
  <c r="BK36" i="30"/>
  <c r="BL36"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AH28" i="30"/>
  <c r="AI28" i="30"/>
  <c r="AJ28" i="30"/>
  <c r="AK28" i="30"/>
  <c r="AL28" i="30"/>
  <c r="AM28" i="30"/>
  <c r="AN28" i="30"/>
  <c r="AO28" i="30"/>
  <c r="AP28" i="30"/>
  <c r="AQ28" i="30"/>
  <c r="AR28" i="30"/>
  <c r="AS28" i="30"/>
  <c r="AT28" i="30"/>
  <c r="AU28" i="30"/>
  <c r="AV28" i="30"/>
  <c r="AW28" i="30"/>
  <c r="AX28" i="30"/>
  <c r="AY28" i="30"/>
  <c r="AZ28" i="30"/>
  <c r="BA28" i="30"/>
  <c r="BB28" i="30"/>
  <c r="BC28" i="30"/>
  <c r="BD28" i="30"/>
  <c r="BE28" i="30"/>
  <c r="BF28" i="30"/>
  <c r="BG28" i="30"/>
  <c r="BH28" i="30"/>
  <c r="BI28" i="30"/>
  <c r="BJ28" i="30"/>
  <c r="BK28" i="30"/>
  <c r="BL28" i="30"/>
  <c r="B153" i="29"/>
  <c r="AH22" i="30"/>
  <c r="AI22" i="30"/>
  <c r="AJ22" i="30"/>
  <c r="AK22" i="30"/>
  <c r="AL22" i="30"/>
  <c r="AM22" i="30"/>
  <c r="AN22" i="30"/>
  <c r="AO22" i="30"/>
  <c r="AP22" i="30"/>
  <c r="AQ22" i="30"/>
  <c r="AR22" i="30"/>
  <c r="AS22" i="30"/>
  <c r="AT22" i="30"/>
  <c r="AU22" i="30"/>
  <c r="AV22" i="30"/>
  <c r="AW22" i="30"/>
  <c r="AX22" i="30"/>
  <c r="AY22" i="30"/>
  <c r="AZ22" i="30"/>
  <c r="BA22" i="30"/>
  <c r="BB22" i="30"/>
  <c r="BC22" i="30"/>
  <c r="BD22" i="30"/>
  <c r="BE22" i="30"/>
  <c r="BF22" i="30"/>
  <c r="BG22" i="30"/>
  <c r="BH22" i="30"/>
  <c r="BI22" i="30"/>
  <c r="BJ22" i="30"/>
  <c r="BK22" i="30"/>
  <c r="BL22" i="30"/>
  <c r="AH20" i="30"/>
  <c r="AI20" i="30"/>
  <c r="AJ20" i="30"/>
  <c r="AK20" i="30"/>
  <c r="AL20" i="30"/>
  <c r="AM20" i="30"/>
  <c r="AN20" i="30"/>
  <c r="AO20" i="30"/>
  <c r="AP20" i="30"/>
  <c r="AQ20" i="30"/>
  <c r="AR20" i="30"/>
  <c r="AS20" i="30"/>
  <c r="AT20" i="30"/>
  <c r="AU20" i="30"/>
  <c r="AV20" i="30"/>
  <c r="AW20" i="30"/>
  <c r="AX20" i="30"/>
  <c r="AY20" i="30"/>
  <c r="AZ20" i="30"/>
  <c r="BA20" i="30"/>
  <c r="BB20" i="30"/>
  <c r="BC20" i="30"/>
  <c r="BD20" i="30"/>
  <c r="BE20" i="30"/>
  <c r="BF20" i="30"/>
  <c r="BG20" i="30"/>
  <c r="BH20" i="30"/>
  <c r="BI20" i="30"/>
  <c r="BJ20" i="30"/>
  <c r="BK20" i="30"/>
  <c r="BL20" i="30"/>
  <c r="AH13" i="30"/>
  <c r="AI13" i="30"/>
  <c r="AJ13" i="30"/>
  <c r="AK13" i="30"/>
  <c r="AL13" i="30"/>
  <c r="AM13" i="30"/>
  <c r="AN13" i="30"/>
  <c r="AO13" i="30"/>
  <c r="AP13" i="30"/>
  <c r="AQ13" i="30"/>
  <c r="AR13" i="30"/>
  <c r="AS13" i="30"/>
  <c r="AT13" i="30"/>
  <c r="AU13" i="30"/>
  <c r="AV13" i="30"/>
  <c r="AW13" i="30"/>
  <c r="AX13" i="30"/>
  <c r="AY13" i="30"/>
  <c r="AZ13" i="30"/>
  <c r="BA13" i="30"/>
  <c r="BB13" i="30"/>
  <c r="BC13" i="30"/>
  <c r="BD13" i="30"/>
  <c r="BE13" i="30"/>
  <c r="BF13" i="30"/>
  <c r="BG13" i="30"/>
  <c r="BH13" i="30"/>
  <c r="BI13" i="30"/>
  <c r="BJ13" i="30"/>
  <c r="BK13" i="30"/>
  <c r="BL13" i="30"/>
  <c r="AH14" i="30"/>
  <c r="AI14" i="30"/>
  <c r="AJ14" i="30"/>
  <c r="AK14" i="30"/>
  <c r="AL14" i="30"/>
  <c r="AM14" i="30"/>
  <c r="AN14" i="30"/>
  <c r="AO14" i="30"/>
  <c r="AP14" i="30"/>
  <c r="AQ14" i="30"/>
  <c r="AR14" i="30"/>
  <c r="AS14" i="30"/>
  <c r="AT14" i="30"/>
  <c r="AU14" i="30"/>
  <c r="AV14" i="30"/>
  <c r="AW14" i="30"/>
  <c r="AX14" i="30"/>
  <c r="AY14" i="30"/>
  <c r="AZ14" i="30"/>
  <c r="BA14" i="30"/>
  <c r="BB14" i="30"/>
  <c r="BC14" i="30"/>
  <c r="BD14" i="30"/>
  <c r="BE14" i="30"/>
  <c r="BF14" i="30"/>
  <c r="BG14" i="30"/>
  <c r="BH14" i="30"/>
  <c r="BI14" i="30"/>
  <c r="BJ14" i="30"/>
  <c r="BK14" i="30"/>
  <c r="BL14" i="30"/>
  <c r="AH35" i="37"/>
  <c r="AH36" i="37"/>
  <c r="AH37" i="37"/>
  <c r="AH38" i="37"/>
  <c r="AH39" i="37"/>
  <c r="AH40" i="37"/>
  <c r="AH41" i="37"/>
  <c r="AH42" i="37"/>
  <c r="AH43" i="37"/>
  <c r="AH44" i="37"/>
  <c r="AH45" i="37"/>
  <c r="AH46" i="37"/>
  <c r="AH47" i="37"/>
  <c r="AH48" i="37"/>
  <c r="AH49" i="37"/>
  <c r="AH50" i="37"/>
  <c r="AH51" i="37"/>
  <c r="AH52" i="37"/>
  <c r="AH53" i="37"/>
  <c r="AH54" i="37"/>
  <c r="AH55" i="37"/>
  <c r="AH56" i="37"/>
  <c r="AH57" i="37"/>
  <c r="AH58" i="37"/>
  <c r="AH59" i="37"/>
  <c r="AH60" i="37"/>
  <c r="AH61" i="37"/>
  <c r="AH62" i="37"/>
  <c r="AH63" i="37"/>
  <c r="AH64" i="37"/>
  <c r="AH65" i="37"/>
  <c r="AH66" i="37"/>
  <c r="AH67" i="37"/>
  <c r="AH68" i="37"/>
  <c r="AH69" i="37"/>
  <c r="AH70" i="37"/>
  <c r="AH71" i="37"/>
  <c r="AH72" i="37"/>
  <c r="AH73" i="37"/>
  <c r="AH74" i="37"/>
  <c r="AH75" i="37"/>
  <c r="AH76" i="37"/>
  <c r="AH77" i="37"/>
  <c r="AH78" i="37"/>
  <c r="AH79" i="37"/>
  <c r="AH80" i="37"/>
  <c r="AH81" i="37"/>
  <c r="AH82" i="37"/>
  <c r="AH83" i="37"/>
  <c r="AH84" i="37"/>
  <c r="AH85" i="37"/>
  <c r="AH86" i="37"/>
  <c r="AH87" i="37"/>
  <c r="AH88" i="37"/>
  <c r="AH89" i="37"/>
  <c r="AH90" i="37"/>
  <c r="AH91" i="37"/>
  <c r="AH92" i="37"/>
  <c r="AH93" i="37"/>
  <c r="AH94" i="37"/>
  <c r="AH95" i="37"/>
  <c r="AH96" i="37"/>
  <c r="AH97" i="37"/>
  <c r="AH98" i="37"/>
  <c r="AH99" i="37"/>
  <c r="AH100" i="37"/>
  <c r="AH101" i="37"/>
  <c r="AH102" i="37"/>
  <c r="AH103" i="37"/>
  <c r="AH104" i="37"/>
  <c r="AH105" i="37"/>
  <c r="AH106" i="37"/>
  <c r="AH107" i="37"/>
  <c r="AH108" i="37"/>
  <c r="AH109" i="37"/>
  <c r="AH110" i="37"/>
  <c r="AH111" i="37"/>
  <c r="AH112" i="37"/>
  <c r="AH113" i="37"/>
  <c r="AH114" i="37"/>
  <c r="AH115" i="37"/>
  <c r="AH116" i="37"/>
  <c r="AH117" i="37"/>
  <c r="AH118" i="37"/>
  <c r="AH119" i="37"/>
  <c r="AH120" i="37"/>
  <c r="AH121" i="37"/>
  <c r="AH122" i="37"/>
  <c r="AH123" i="37"/>
  <c r="AH124" i="37"/>
  <c r="AH125" i="37"/>
  <c r="AH126" i="37"/>
  <c r="AH127" i="37"/>
  <c r="AH128" i="37"/>
  <c r="AH129" i="37"/>
  <c r="AH130" i="37"/>
  <c r="AH131" i="37"/>
  <c r="AH132" i="37"/>
  <c r="AH133" i="37"/>
  <c r="AH134" i="37"/>
  <c r="AH135" i="37"/>
  <c r="AH136" i="37"/>
  <c r="AH137" i="37"/>
  <c r="AH138" i="37"/>
  <c r="AH139" i="37"/>
  <c r="AH140" i="37"/>
  <c r="AH141" i="37"/>
  <c r="AH142" i="37"/>
  <c r="AH143" i="37"/>
  <c r="AH144" i="37"/>
  <c r="AH145" i="37"/>
  <c r="AH146" i="37"/>
  <c r="AH147" i="37"/>
  <c r="AH148" i="37"/>
  <c r="AH149" i="37"/>
  <c r="AH150" i="37"/>
  <c r="AH151" i="37"/>
  <c r="AH152" i="37"/>
  <c r="AH153" i="37"/>
  <c r="AH154" i="37"/>
  <c r="AH155" i="37"/>
  <c r="AI35" i="37"/>
  <c r="AI36" i="37"/>
  <c r="AI37" i="37"/>
  <c r="AI38" i="37"/>
  <c r="AI39" i="37"/>
  <c r="AI40" i="37"/>
  <c r="AI41" i="37"/>
  <c r="AI42" i="37"/>
  <c r="AI43" i="37"/>
  <c r="AI44" i="37"/>
  <c r="AI45" i="37"/>
  <c r="AI46" i="37"/>
  <c r="AI47" i="37"/>
  <c r="AI48" i="37"/>
  <c r="AI49" i="37"/>
  <c r="AI50" i="37"/>
  <c r="AI51" i="37"/>
  <c r="AI52" i="37"/>
  <c r="AI53" i="37"/>
  <c r="AI54" i="37"/>
  <c r="AI55" i="37"/>
  <c r="AI56" i="37"/>
  <c r="AI57" i="37"/>
  <c r="AI58" i="37"/>
  <c r="AI59" i="37"/>
  <c r="AI60" i="37"/>
  <c r="AI61" i="37"/>
  <c r="AI62" i="37"/>
  <c r="AI63" i="37"/>
  <c r="AI64" i="37"/>
  <c r="AI65" i="37"/>
  <c r="AI66" i="37"/>
  <c r="AI67" i="37"/>
  <c r="AI68" i="37"/>
  <c r="AI69" i="37"/>
  <c r="AI70" i="37"/>
  <c r="AI71" i="37"/>
  <c r="AI72" i="37"/>
  <c r="AI73" i="37"/>
  <c r="AI74" i="37"/>
  <c r="AI75" i="37"/>
  <c r="AI76" i="37"/>
  <c r="AI77" i="37"/>
  <c r="AI78" i="37"/>
  <c r="AI79" i="37"/>
  <c r="AI80" i="37"/>
  <c r="AI81" i="37"/>
  <c r="AI82" i="37"/>
  <c r="AI83" i="37"/>
  <c r="AI84" i="37"/>
  <c r="AI85" i="37"/>
  <c r="AI86" i="37"/>
  <c r="AI87" i="37"/>
  <c r="AI88" i="37"/>
  <c r="AI89" i="37"/>
  <c r="AI90" i="37"/>
  <c r="AI91" i="37"/>
  <c r="AI92" i="37"/>
  <c r="AI93" i="37"/>
  <c r="AI94" i="37"/>
  <c r="AI95" i="37"/>
  <c r="AI96" i="37"/>
  <c r="AI97" i="37"/>
  <c r="AI98" i="37"/>
  <c r="AI99" i="37"/>
  <c r="AI100" i="37"/>
  <c r="AI101" i="37"/>
  <c r="AI102" i="37"/>
  <c r="AI103" i="37"/>
  <c r="AI104" i="37"/>
  <c r="AI105" i="37"/>
  <c r="AI106" i="37"/>
  <c r="AI107" i="37"/>
  <c r="AI108" i="37"/>
  <c r="AI109" i="37"/>
  <c r="AI110" i="37"/>
  <c r="AI111" i="37"/>
  <c r="AI112" i="37"/>
  <c r="AI113" i="37"/>
  <c r="AI114" i="37"/>
  <c r="AI115" i="37"/>
  <c r="AI116" i="37"/>
  <c r="AI117" i="37"/>
  <c r="AI118" i="37"/>
  <c r="AI119" i="37"/>
  <c r="AI120" i="37"/>
  <c r="AI121" i="37"/>
  <c r="AI122" i="37"/>
  <c r="AI123" i="37"/>
  <c r="AI124" i="37"/>
  <c r="AI125" i="37"/>
  <c r="AI126" i="37"/>
  <c r="AI127" i="37"/>
  <c r="AI128" i="37"/>
  <c r="AI129" i="37"/>
  <c r="AI130" i="37"/>
  <c r="AI131" i="37"/>
  <c r="AI132" i="37"/>
  <c r="AI133" i="37"/>
  <c r="AI134" i="37"/>
  <c r="AI135" i="37"/>
  <c r="AI136" i="37"/>
  <c r="AI137" i="37"/>
  <c r="AI138" i="37"/>
  <c r="AI139" i="37"/>
  <c r="AI140" i="37"/>
  <c r="AI141" i="37"/>
  <c r="AI142" i="37"/>
  <c r="AI143" i="37"/>
  <c r="AI144" i="37"/>
  <c r="AI145" i="37"/>
  <c r="AI146" i="37"/>
  <c r="AI147" i="37"/>
  <c r="AI148" i="37"/>
  <c r="AI149" i="37"/>
  <c r="AI150" i="37"/>
  <c r="AI151" i="37"/>
  <c r="AI152" i="37"/>
  <c r="AI153" i="37"/>
  <c r="AI154" i="37"/>
  <c r="AI155" i="37"/>
  <c r="AJ35" i="37"/>
  <c r="AJ36" i="37"/>
  <c r="AJ37" i="37"/>
  <c r="AJ38" i="37"/>
  <c r="AJ39" i="37"/>
  <c r="AJ40" i="37"/>
  <c r="AJ41" i="37"/>
  <c r="AJ42" i="37"/>
  <c r="AJ43" i="37"/>
  <c r="AJ44" i="37"/>
  <c r="AJ45" i="37"/>
  <c r="AJ46" i="37"/>
  <c r="AJ47" i="37"/>
  <c r="AJ48" i="37"/>
  <c r="AJ49" i="37"/>
  <c r="AJ50" i="37"/>
  <c r="AJ51" i="37"/>
  <c r="AJ52" i="37"/>
  <c r="AJ53" i="37"/>
  <c r="AJ54" i="37"/>
  <c r="AJ55" i="37"/>
  <c r="AJ56" i="37"/>
  <c r="AJ57" i="37"/>
  <c r="AJ58" i="37"/>
  <c r="AJ59" i="37"/>
  <c r="AJ60" i="37"/>
  <c r="AJ61" i="37"/>
  <c r="AJ62" i="37"/>
  <c r="AJ63" i="37"/>
  <c r="AJ64" i="37"/>
  <c r="AJ65" i="37"/>
  <c r="AJ66" i="37"/>
  <c r="AJ67" i="37"/>
  <c r="AJ68" i="37"/>
  <c r="AJ69" i="37"/>
  <c r="AJ70" i="37"/>
  <c r="AJ71" i="37"/>
  <c r="AJ72" i="37"/>
  <c r="AJ73" i="37"/>
  <c r="AJ74" i="37"/>
  <c r="AJ75" i="37"/>
  <c r="AJ76" i="37"/>
  <c r="AJ77" i="37"/>
  <c r="AJ78" i="37"/>
  <c r="AJ79" i="37"/>
  <c r="AJ80" i="37"/>
  <c r="AJ81" i="37"/>
  <c r="AJ82" i="37"/>
  <c r="AJ83" i="37"/>
  <c r="AJ84" i="37"/>
  <c r="AJ85" i="37"/>
  <c r="AJ86" i="37"/>
  <c r="AJ87" i="37"/>
  <c r="AJ88" i="37"/>
  <c r="AJ89" i="37"/>
  <c r="AJ90" i="37"/>
  <c r="AJ91" i="37"/>
  <c r="AJ92" i="37"/>
  <c r="AJ93" i="37"/>
  <c r="AJ94" i="37"/>
  <c r="AJ95" i="37"/>
  <c r="AJ96" i="37"/>
  <c r="AJ97" i="37"/>
  <c r="AJ98" i="37"/>
  <c r="AJ99" i="37"/>
  <c r="AJ100" i="37"/>
  <c r="AJ101" i="37"/>
  <c r="AJ102" i="37"/>
  <c r="AJ103" i="37"/>
  <c r="AJ104" i="37"/>
  <c r="AJ105" i="37"/>
  <c r="AJ106" i="37"/>
  <c r="AJ107" i="37"/>
  <c r="AJ108" i="37"/>
  <c r="AJ109" i="37"/>
  <c r="AJ110" i="37"/>
  <c r="AJ111" i="37"/>
  <c r="AJ112" i="37"/>
  <c r="AJ113" i="37"/>
  <c r="AJ114" i="37"/>
  <c r="AJ115" i="37"/>
  <c r="AJ116" i="37"/>
  <c r="AJ117" i="37"/>
  <c r="AJ118" i="37"/>
  <c r="AJ119" i="37"/>
  <c r="AJ120" i="37"/>
  <c r="AJ121" i="37"/>
  <c r="AJ122" i="37"/>
  <c r="AJ123" i="37"/>
  <c r="AJ124" i="37"/>
  <c r="AJ125" i="37"/>
  <c r="AJ126" i="37"/>
  <c r="AJ127" i="37"/>
  <c r="AJ128" i="37"/>
  <c r="AJ129" i="37"/>
  <c r="AJ130" i="37"/>
  <c r="AJ131" i="37"/>
  <c r="AJ132" i="37"/>
  <c r="AJ133" i="37"/>
  <c r="AJ134" i="37"/>
  <c r="AJ135" i="37"/>
  <c r="AJ136" i="37"/>
  <c r="AJ137" i="37"/>
  <c r="AJ138" i="37"/>
  <c r="AJ139" i="37"/>
  <c r="AJ140" i="37"/>
  <c r="AJ141" i="37"/>
  <c r="AJ142" i="37"/>
  <c r="AJ143" i="37"/>
  <c r="AJ144" i="37"/>
  <c r="AJ145" i="37"/>
  <c r="AJ146" i="37"/>
  <c r="AJ147" i="37"/>
  <c r="AJ148" i="37"/>
  <c r="AJ149" i="37"/>
  <c r="AJ150" i="37"/>
  <c r="AJ151" i="37"/>
  <c r="AJ152" i="37"/>
  <c r="AJ153" i="37"/>
  <c r="AJ154" i="37"/>
  <c r="AJ155" i="37"/>
  <c r="AK35" i="37"/>
  <c r="AK36" i="37"/>
  <c r="AK37" i="37"/>
  <c r="AK38" i="37"/>
  <c r="AK39" i="37"/>
  <c r="AK40" i="37"/>
  <c r="AK41" i="37"/>
  <c r="AK42" i="37"/>
  <c r="AK43" i="37"/>
  <c r="AK44" i="37"/>
  <c r="AK45" i="37"/>
  <c r="AK46" i="37"/>
  <c r="AK47" i="37"/>
  <c r="AK48" i="37"/>
  <c r="AK49" i="37"/>
  <c r="AK50" i="37"/>
  <c r="AK51" i="37"/>
  <c r="AK52" i="37"/>
  <c r="AK53" i="37"/>
  <c r="AK54" i="37"/>
  <c r="AK55" i="37"/>
  <c r="AK56" i="37"/>
  <c r="AK57" i="37"/>
  <c r="AK58" i="37"/>
  <c r="AK59" i="37"/>
  <c r="AK60" i="37"/>
  <c r="AK61" i="37"/>
  <c r="AK62" i="37"/>
  <c r="AK63" i="37"/>
  <c r="AK64" i="37"/>
  <c r="AK65" i="37"/>
  <c r="AK66" i="37"/>
  <c r="AK67" i="37"/>
  <c r="AK68" i="37"/>
  <c r="AK69" i="37"/>
  <c r="AK70" i="37"/>
  <c r="AK71" i="37"/>
  <c r="AK72" i="37"/>
  <c r="AK73" i="37"/>
  <c r="AK74" i="37"/>
  <c r="AK75" i="37"/>
  <c r="AK76" i="37"/>
  <c r="AK77" i="37"/>
  <c r="AK78" i="37"/>
  <c r="AK79" i="37"/>
  <c r="AK80" i="37"/>
  <c r="AK81" i="37"/>
  <c r="AK82" i="37"/>
  <c r="AK83" i="37"/>
  <c r="AK84" i="37"/>
  <c r="AK85" i="37"/>
  <c r="AK86" i="37"/>
  <c r="AK87" i="37"/>
  <c r="AK88" i="37"/>
  <c r="AK89" i="37"/>
  <c r="AK90" i="37"/>
  <c r="AK91" i="37"/>
  <c r="AK92" i="37"/>
  <c r="AK93" i="37"/>
  <c r="AK94" i="37"/>
  <c r="AK95" i="37"/>
  <c r="AK96" i="37"/>
  <c r="AK97" i="37"/>
  <c r="AK98" i="37"/>
  <c r="AK99" i="37"/>
  <c r="AK100" i="37"/>
  <c r="AK101" i="37"/>
  <c r="AK102" i="37"/>
  <c r="AK103" i="37"/>
  <c r="AK104" i="37"/>
  <c r="AK105" i="37"/>
  <c r="AK106" i="37"/>
  <c r="AK107" i="37"/>
  <c r="AK108" i="37"/>
  <c r="AK109" i="37"/>
  <c r="AK110" i="37"/>
  <c r="AK111" i="37"/>
  <c r="AK112" i="37"/>
  <c r="AK113" i="37"/>
  <c r="AK114" i="37"/>
  <c r="AK115" i="37"/>
  <c r="AK116" i="37"/>
  <c r="AK117" i="37"/>
  <c r="AK118" i="37"/>
  <c r="AK119" i="37"/>
  <c r="AK120" i="37"/>
  <c r="AK121" i="37"/>
  <c r="AK122" i="37"/>
  <c r="AK123" i="37"/>
  <c r="AK124" i="37"/>
  <c r="AK125" i="37"/>
  <c r="AK126" i="37"/>
  <c r="AK127" i="37"/>
  <c r="AK128" i="37"/>
  <c r="AK129" i="37"/>
  <c r="AK130" i="37"/>
  <c r="AK131" i="37"/>
  <c r="AK132" i="37"/>
  <c r="AK133" i="37"/>
  <c r="AK134" i="37"/>
  <c r="AK135" i="37"/>
  <c r="AK136" i="37"/>
  <c r="AK137" i="37"/>
  <c r="AK138" i="37"/>
  <c r="AK139" i="37"/>
  <c r="AK140" i="37"/>
  <c r="AK141" i="37"/>
  <c r="AK142" i="37"/>
  <c r="AK143" i="37"/>
  <c r="AK144" i="37"/>
  <c r="AK145" i="37"/>
  <c r="AK146" i="37"/>
  <c r="AK147" i="37"/>
  <c r="AK148" i="37"/>
  <c r="AK149" i="37"/>
  <c r="AK150" i="37"/>
  <c r="AK151" i="37"/>
  <c r="AK152" i="37"/>
  <c r="AK153" i="37"/>
  <c r="AK154" i="37"/>
  <c r="AK155" i="37"/>
  <c r="AL35" i="37"/>
  <c r="AL36" i="37"/>
  <c r="AL37" i="37"/>
  <c r="AL38" i="37"/>
  <c r="AL39" i="37"/>
  <c r="AL40" i="37"/>
  <c r="AL41" i="37"/>
  <c r="AL42" i="37"/>
  <c r="AL43" i="37"/>
  <c r="AL44" i="37"/>
  <c r="AL45" i="37"/>
  <c r="AL46" i="37"/>
  <c r="AL47" i="37"/>
  <c r="AL48" i="37"/>
  <c r="AL49" i="37"/>
  <c r="AL50" i="37"/>
  <c r="AL51" i="37"/>
  <c r="AL52" i="37"/>
  <c r="AL53" i="37"/>
  <c r="AL54" i="37"/>
  <c r="AL55" i="37"/>
  <c r="AL56" i="37"/>
  <c r="AL57" i="37"/>
  <c r="AL58" i="37"/>
  <c r="AL59" i="37"/>
  <c r="AL60" i="37"/>
  <c r="AL61" i="37"/>
  <c r="AL62" i="37"/>
  <c r="AL63" i="37"/>
  <c r="AL64" i="37"/>
  <c r="AL65" i="37"/>
  <c r="AL66" i="37"/>
  <c r="AL67" i="37"/>
  <c r="AL68" i="37"/>
  <c r="AL69" i="37"/>
  <c r="AL70" i="37"/>
  <c r="AL71" i="37"/>
  <c r="AL72" i="37"/>
  <c r="AL73" i="37"/>
  <c r="AL74" i="37"/>
  <c r="AL75" i="37"/>
  <c r="AL76" i="37"/>
  <c r="AL77" i="37"/>
  <c r="AL78" i="37"/>
  <c r="AL79" i="37"/>
  <c r="AL80" i="37"/>
  <c r="AL81" i="37"/>
  <c r="AL82" i="37"/>
  <c r="AL83" i="37"/>
  <c r="AL84" i="37"/>
  <c r="AL85" i="37"/>
  <c r="AL86" i="37"/>
  <c r="AL87" i="37"/>
  <c r="AL88" i="37"/>
  <c r="AL89" i="37"/>
  <c r="AL90" i="37"/>
  <c r="AL91" i="37"/>
  <c r="AL92" i="37"/>
  <c r="AL93" i="37"/>
  <c r="AL94" i="37"/>
  <c r="AL95" i="37"/>
  <c r="AL96" i="37"/>
  <c r="AL97" i="37"/>
  <c r="AL98" i="37"/>
  <c r="AL99" i="37"/>
  <c r="AL100" i="37"/>
  <c r="AL101" i="37"/>
  <c r="AL102" i="37"/>
  <c r="AL103" i="37"/>
  <c r="AL104" i="37"/>
  <c r="AL105" i="37"/>
  <c r="AL106" i="37"/>
  <c r="AL107" i="37"/>
  <c r="AL108" i="37"/>
  <c r="AL109" i="37"/>
  <c r="AL110" i="37"/>
  <c r="AL111" i="37"/>
  <c r="AL112" i="37"/>
  <c r="AL113" i="37"/>
  <c r="AL114" i="37"/>
  <c r="AL115" i="37"/>
  <c r="AL116" i="37"/>
  <c r="AL117" i="37"/>
  <c r="AL118" i="37"/>
  <c r="AL119" i="37"/>
  <c r="AL120" i="37"/>
  <c r="AL121" i="37"/>
  <c r="AL122" i="37"/>
  <c r="AL123" i="37"/>
  <c r="AL124" i="37"/>
  <c r="AL125" i="37"/>
  <c r="AL126" i="37"/>
  <c r="AL127" i="37"/>
  <c r="AL128" i="37"/>
  <c r="AL129" i="37"/>
  <c r="AL130" i="37"/>
  <c r="AL131" i="37"/>
  <c r="AL132" i="37"/>
  <c r="AL133" i="37"/>
  <c r="AL134" i="37"/>
  <c r="AL135" i="37"/>
  <c r="AL136" i="37"/>
  <c r="AL137" i="37"/>
  <c r="AL138" i="37"/>
  <c r="AL139" i="37"/>
  <c r="AL140" i="37"/>
  <c r="AL141" i="37"/>
  <c r="AL142" i="37"/>
  <c r="AL143" i="37"/>
  <c r="AL144" i="37"/>
  <c r="AL145" i="37"/>
  <c r="AL146" i="37"/>
  <c r="AL147" i="37"/>
  <c r="AL148" i="37"/>
  <c r="AL149" i="37"/>
  <c r="AL150" i="37"/>
  <c r="AL151" i="37"/>
  <c r="AL152" i="37"/>
  <c r="AL153" i="37"/>
  <c r="AL154" i="37"/>
  <c r="AL155" i="37"/>
  <c r="AM35" i="37"/>
  <c r="AM36" i="37"/>
  <c r="AM37" i="37"/>
  <c r="AM38" i="37"/>
  <c r="AM39" i="37"/>
  <c r="AM40" i="37"/>
  <c r="AM41" i="37"/>
  <c r="AM42" i="37"/>
  <c r="AM43" i="37"/>
  <c r="AM44" i="37"/>
  <c r="AM45" i="37"/>
  <c r="AM46" i="37"/>
  <c r="AM47" i="37"/>
  <c r="AM48" i="37"/>
  <c r="AM49" i="37"/>
  <c r="AM50" i="37"/>
  <c r="AM51" i="37"/>
  <c r="AM52" i="37"/>
  <c r="AM53" i="37"/>
  <c r="AM54" i="37"/>
  <c r="AM55" i="37"/>
  <c r="AM56" i="37"/>
  <c r="AM57" i="37"/>
  <c r="AM58" i="37"/>
  <c r="AM59" i="37"/>
  <c r="AM60" i="37"/>
  <c r="AM61" i="37"/>
  <c r="AM62" i="37"/>
  <c r="AM63" i="37"/>
  <c r="AM64" i="37"/>
  <c r="AM65" i="37"/>
  <c r="AM66" i="37"/>
  <c r="AM67" i="37"/>
  <c r="AM68" i="37"/>
  <c r="AM69" i="37"/>
  <c r="AM70" i="37"/>
  <c r="AM71" i="37"/>
  <c r="AM72" i="37"/>
  <c r="AM73" i="37"/>
  <c r="AM74" i="37"/>
  <c r="AM75" i="37"/>
  <c r="AM76" i="37"/>
  <c r="AM77" i="37"/>
  <c r="AM78" i="37"/>
  <c r="AM79" i="37"/>
  <c r="AM80" i="37"/>
  <c r="AM81" i="37"/>
  <c r="AM82" i="37"/>
  <c r="AM83" i="37"/>
  <c r="AM84" i="37"/>
  <c r="AM85" i="37"/>
  <c r="AM86" i="37"/>
  <c r="AM87" i="37"/>
  <c r="AM88" i="37"/>
  <c r="AM89" i="37"/>
  <c r="AM90" i="37"/>
  <c r="AM91" i="37"/>
  <c r="AM92" i="37"/>
  <c r="AM93" i="37"/>
  <c r="AM94" i="37"/>
  <c r="AM95" i="37"/>
  <c r="AM96" i="37"/>
  <c r="AM97" i="37"/>
  <c r="AM98" i="37"/>
  <c r="AM99" i="37"/>
  <c r="AM100" i="37"/>
  <c r="AM101" i="37"/>
  <c r="AM102" i="37"/>
  <c r="AM103" i="37"/>
  <c r="AM104" i="37"/>
  <c r="AM105" i="37"/>
  <c r="AM106" i="37"/>
  <c r="AM107" i="37"/>
  <c r="AM108" i="37"/>
  <c r="AM109" i="37"/>
  <c r="AM110" i="37"/>
  <c r="AM111" i="37"/>
  <c r="AM112" i="37"/>
  <c r="AM113" i="37"/>
  <c r="AM114" i="37"/>
  <c r="AM115" i="37"/>
  <c r="AM116" i="37"/>
  <c r="AM117" i="37"/>
  <c r="AM118" i="37"/>
  <c r="AM119" i="37"/>
  <c r="AM120" i="37"/>
  <c r="AM121" i="37"/>
  <c r="AM122" i="37"/>
  <c r="AM123" i="37"/>
  <c r="AM124" i="37"/>
  <c r="AM125" i="37"/>
  <c r="AM126" i="37"/>
  <c r="AM127" i="37"/>
  <c r="AM128" i="37"/>
  <c r="AM129" i="37"/>
  <c r="AM130" i="37"/>
  <c r="AM131" i="37"/>
  <c r="AM132" i="37"/>
  <c r="AM133" i="37"/>
  <c r="AM134" i="37"/>
  <c r="AM135" i="37"/>
  <c r="AM136" i="37"/>
  <c r="AM137" i="37"/>
  <c r="AM138" i="37"/>
  <c r="AM139" i="37"/>
  <c r="AM140" i="37"/>
  <c r="AM141" i="37"/>
  <c r="AM142" i="37"/>
  <c r="AM143" i="37"/>
  <c r="AM144" i="37"/>
  <c r="AM145" i="37"/>
  <c r="AM146" i="37"/>
  <c r="AM147" i="37"/>
  <c r="AM148" i="37"/>
  <c r="AM149" i="37"/>
  <c r="AM150" i="37"/>
  <c r="AM151" i="37"/>
  <c r="AM152" i="37"/>
  <c r="AM153" i="37"/>
  <c r="AM154" i="37"/>
  <c r="AM155" i="37"/>
  <c r="AO35" i="37"/>
  <c r="AO36" i="37"/>
  <c r="AO37" i="37"/>
  <c r="AO38" i="37"/>
  <c r="AO39" i="37"/>
  <c r="AO40" i="37"/>
  <c r="AO41" i="37"/>
  <c r="AO42" i="37"/>
  <c r="AO43" i="37"/>
  <c r="AO44" i="37"/>
  <c r="AO45" i="37"/>
  <c r="AO46" i="37"/>
  <c r="AO47" i="37"/>
  <c r="AO48" i="37"/>
  <c r="AO49" i="37"/>
  <c r="AO50" i="37"/>
  <c r="AO51" i="37"/>
  <c r="AO52" i="37"/>
  <c r="AO53" i="37"/>
  <c r="AO54" i="37"/>
  <c r="AO55" i="37"/>
  <c r="AO56" i="37"/>
  <c r="AO57" i="37"/>
  <c r="AO58" i="37"/>
  <c r="AO59" i="37"/>
  <c r="AO60" i="37"/>
  <c r="AO61" i="37"/>
  <c r="AO62" i="37"/>
  <c r="AO63" i="37"/>
  <c r="AO64" i="37"/>
  <c r="AO65" i="37"/>
  <c r="AO66" i="37"/>
  <c r="AO67" i="37"/>
  <c r="AO68" i="37"/>
  <c r="AO69" i="37"/>
  <c r="AO70" i="37"/>
  <c r="AO71" i="37"/>
  <c r="AO72" i="37"/>
  <c r="AO73" i="37"/>
  <c r="AO74" i="37"/>
  <c r="AO75" i="37"/>
  <c r="AO76" i="37"/>
  <c r="AO77" i="37"/>
  <c r="AO78" i="37"/>
  <c r="AO79" i="37"/>
  <c r="AO80" i="37"/>
  <c r="AO81" i="37"/>
  <c r="AO82" i="37"/>
  <c r="AO83" i="37"/>
  <c r="AO84" i="37"/>
  <c r="AO85" i="37"/>
  <c r="AO86" i="37"/>
  <c r="AO87" i="37"/>
  <c r="AO88" i="37"/>
  <c r="AO89" i="37"/>
  <c r="AO90" i="37"/>
  <c r="AO91" i="37"/>
  <c r="AO92" i="37"/>
  <c r="AO93" i="37"/>
  <c r="AO94" i="37"/>
  <c r="AO95" i="37"/>
  <c r="AO96" i="37"/>
  <c r="AO97" i="37"/>
  <c r="AO98" i="37"/>
  <c r="AO99" i="37"/>
  <c r="AO100" i="37"/>
  <c r="AO101" i="37"/>
  <c r="AO102" i="37"/>
  <c r="AO103" i="37"/>
  <c r="AO104" i="37"/>
  <c r="AO105" i="37"/>
  <c r="AO106" i="37"/>
  <c r="AO107" i="37"/>
  <c r="AO108" i="37"/>
  <c r="AO109" i="37"/>
  <c r="AO110" i="37"/>
  <c r="AO111" i="37"/>
  <c r="AO112" i="37"/>
  <c r="AO113" i="37"/>
  <c r="AO114" i="37"/>
  <c r="AO115" i="37"/>
  <c r="AO116" i="37"/>
  <c r="AO117" i="37"/>
  <c r="AO118" i="37"/>
  <c r="AO119" i="37"/>
  <c r="AO120" i="37"/>
  <c r="AO121" i="37"/>
  <c r="AO122" i="37"/>
  <c r="AO123" i="37"/>
  <c r="AO124" i="37"/>
  <c r="AO125" i="37"/>
  <c r="AO126" i="37"/>
  <c r="AO127" i="37"/>
  <c r="AO128" i="37"/>
  <c r="AO129" i="37"/>
  <c r="AO130" i="37"/>
  <c r="AO131" i="37"/>
  <c r="AO132" i="37"/>
  <c r="AO133" i="37"/>
  <c r="AO134" i="37"/>
  <c r="AO135" i="37"/>
  <c r="AO136" i="37"/>
  <c r="AO137" i="37"/>
  <c r="AO138" i="37"/>
  <c r="AO139" i="37"/>
  <c r="AO140" i="37"/>
  <c r="AO141" i="37"/>
  <c r="AO142" i="37"/>
  <c r="AO143" i="37"/>
  <c r="AO144" i="37"/>
  <c r="AO145" i="37"/>
  <c r="AO146" i="37"/>
  <c r="AO147" i="37"/>
  <c r="AO148" i="37"/>
  <c r="AO149" i="37"/>
  <c r="AO150" i="37"/>
  <c r="AO151" i="37"/>
  <c r="AO152" i="37"/>
  <c r="AO153" i="37"/>
  <c r="AO154" i="37"/>
  <c r="AO155" i="37"/>
  <c r="AP35" i="37"/>
  <c r="AP36" i="37"/>
  <c r="AP37" i="37"/>
  <c r="AP38" i="37"/>
  <c r="AP39" i="37"/>
  <c r="AP40" i="37"/>
  <c r="AP41" i="37"/>
  <c r="AP42" i="37"/>
  <c r="AP43" i="37"/>
  <c r="AP44" i="37"/>
  <c r="AP45" i="37"/>
  <c r="AP46" i="37"/>
  <c r="AP47" i="37"/>
  <c r="AP48" i="37"/>
  <c r="AP49" i="37"/>
  <c r="AP50" i="37"/>
  <c r="AP51" i="37"/>
  <c r="AP52" i="37"/>
  <c r="AP53" i="37"/>
  <c r="AP54" i="37"/>
  <c r="AP55" i="37"/>
  <c r="AP56" i="37"/>
  <c r="AP57" i="37"/>
  <c r="AP58" i="37"/>
  <c r="AP59" i="37"/>
  <c r="AP60" i="37"/>
  <c r="AP61" i="37"/>
  <c r="AP62" i="37"/>
  <c r="AP63" i="37"/>
  <c r="AP64" i="37"/>
  <c r="AP65" i="37"/>
  <c r="AP66" i="37"/>
  <c r="AP67" i="37"/>
  <c r="AP68" i="37"/>
  <c r="AP69" i="37"/>
  <c r="AP70" i="37"/>
  <c r="AP71" i="37"/>
  <c r="AP72" i="37"/>
  <c r="AP73" i="37"/>
  <c r="AP74" i="37"/>
  <c r="AP75" i="37"/>
  <c r="AP76" i="37"/>
  <c r="AP77" i="37"/>
  <c r="AP78" i="37"/>
  <c r="AP79" i="37"/>
  <c r="AP80" i="37"/>
  <c r="AP81" i="37"/>
  <c r="AP82" i="37"/>
  <c r="AP83" i="37"/>
  <c r="AP84" i="37"/>
  <c r="AP85" i="37"/>
  <c r="AP86" i="37"/>
  <c r="AP87" i="37"/>
  <c r="AP88" i="37"/>
  <c r="AP89" i="37"/>
  <c r="AP90" i="37"/>
  <c r="AP91" i="37"/>
  <c r="AP92" i="37"/>
  <c r="AP93" i="37"/>
  <c r="AP94" i="37"/>
  <c r="AP95" i="37"/>
  <c r="AP96" i="37"/>
  <c r="AP97" i="37"/>
  <c r="AP98" i="37"/>
  <c r="AP99" i="37"/>
  <c r="AP100" i="37"/>
  <c r="AP101" i="37"/>
  <c r="AP102" i="37"/>
  <c r="AP103" i="37"/>
  <c r="AP104" i="37"/>
  <c r="AP105" i="37"/>
  <c r="AP106" i="37"/>
  <c r="AP107" i="37"/>
  <c r="AP108" i="37"/>
  <c r="AP109" i="37"/>
  <c r="AP110" i="37"/>
  <c r="AP111" i="37"/>
  <c r="AP112" i="37"/>
  <c r="AP113" i="37"/>
  <c r="AP114" i="37"/>
  <c r="AP115" i="37"/>
  <c r="AP116" i="37"/>
  <c r="AP117" i="37"/>
  <c r="AP118" i="37"/>
  <c r="AP119" i="37"/>
  <c r="AP120" i="37"/>
  <c r="AP121" i="37"/>
  <c r="AP122" i="37"/>
  <c r="AP123" i="37"/>
  <c r="AP124" i="37"/>
  <c r="AP125" i="37"/>
  <c r="AP126" i="37"/>
  <c r="AP127" i="37"/>
  <c r="AP128" i="37"/>
  <c r="AP129" i="37"/>
  <c r="AP130" i="37"/>
  <c r="AP131" i="37"/>
  <c r="AP132" i="37"/>
  <c r="AP133" i="37"/>
  <c r="AP134" i="37"/>
  <c r="AP135" i="37"/>
  <c r="AP136" i="37"/>
  <c r="AP137" i="37"/>
  <c r="AP138" i="37"/>
  <c r="AP139" i="37"/>
  <c r="AP140" i="37"/>
  <c r="AP141" i="37"/>
  <c r="AP142" i="37"/>
  <c r="AP143" i="37"/>
  <c r="AP144" i="37"/>
  <c r="AP145" i="37"/>
  <c r="AP146" i="37"/>
  <c r="AP147" i="37"/>
  <c r="AP148" i="37"/>
  <c r="AP149" i="37"/>
  <c r="AP150" i="37"/>
  <c r="AP151" i="37"/>
  <c r="AP152" i="37"/>
  <c r="AP153" i="37"/>
  <c r="AP154" i="37"/>
  <c r="AP155" i="37"/>
  <c r="AQ35" i="37"/>
  <c r="AQ36" i="37"/>
  <c r="AQ37" i="37"/>
  <c r="AQ38" i="37"/>
  <c r="AQ39" i="37"/>
  <c r="AQ40" i="37"/>
  <c r="AQ41" i="37"/>
  <c r="AQ42" i="37"/>
  <c r="AQ43" i="37"/>
  <c r="AQ44" i="37"/>
  <c r="AQ45" i="37"/>
  <c r="AQ46" i="37"/>
  <c r="AQ47" i="37"/>
  <c r="AQ48" i="37"/>
  <c r="AQ49" i="37"/>
  <c r="AQ50" i="37"/>
  <c r="AQ51" i="37"/>
  <c r="AQ52" i="37"/>
  <c r="AQ53" i="37"/>
  <c r="AQ54" i="37"/>
  <c r="AQ55" i="37"/>
  <c r="AQ56" i="37"/>
  <c r="AQ57" i="37"/>
  <c r="AQ58" i="37"/>
  <c r="AQ59" i="37"/>
  <c r="AQ60" i="37"/>
  <c r="AQ61" i="37"/>
  <c r="AQ62" i="37"/>
  <c r="AQ63" i="37"/>
  <c r="AQ64" i="37"/>
  <c r="AQ65" i="37"/>
  <c r="AQ66" i="37"/>
  <c r="AQ67" i="37"/>
  <c r="AQ68" i="37"/>
  <c r="AQ69" i="37"/>
  <c r="AQ70" i="37"/>
  <c r="AQ71" i="37"/>
  <c r="AQ72" i="37"/>
  <c r="AQ73" i="37"/>
  <c r="AQ74" i="37"/>
  <c r="AQ75" i="37"/>
  <c r="AQ76" i="37"/>
  <c r="AQ77" i="37"/>
  <c r="AQ78" i="37"/>
  <c r="AQ79" i="37"/>
  <c r="AQ80" i="37"/>
  <c r="AQ81" i="37"/>
  <c r="AQ82" i="37"/>
  <c r="AQ83" i="37"/>
  <c r="AQ84" i="37"/>
  <c r="AQ85" i="37"/>
  <c r="AQ86" i="37"/>
  <c r="AQ87" i="37"/>
  <c r="AQ88" i="37"/>
  <c r="AQ89" i="37"/>
  <c r="AQ90" i="37"/>
  <c r="AQ91" i="37"/>
  <c r="AQ92" i="37"/>
  <c r="AQ93" i="37"/>
  <c r="AQ94" i="37"/>
  <c r="AQ95" i="37"/>
  <c r="AQ96" i="37"/>
  <c r="AQ97" i="37"/>
  <c r="AQ98" i="37"/>
  <c r="AQ99" i="37"/>
  <c r="AQ100" i="37"/>
  <c r="AQ101" i="37"/>
  <c r="AQ102" i="37"/>
  <c r="AQ103" i="37"/>
  <c r="AQ104" i="37"/>
  <c r="AQ105" i="37"/>
  <c r="AQ106" i="37"/>
  <c r="AQ107" i="37"/>
  <c r="AQ108" i="37"/>
  <c r="AQ109" i="37"/>
  <c r="AQ110" i="37"/>
  <c r="AQ111" i="37"/>
  <c r="AQ112" i="37"/>
  <c r="AQ113" i="37"/>
  <c r="AQ114" i="37"/>
  <c r="AQ115" i="37"/>
  <c r="AQ116" i="37"/>
  <c r="AQ117" i="37"/>
  <c r="AQ118" i="37"/>
  <c r="AQ119" i="37"/>
  <c r="AQ120" i="37"/>
  <c r="AQ121" i="37"/>
  <c r="AQ122" i="37"/>
  <c r="AQ123" i="37"/>
  <c r="AQ124" i="37"/>
  <c r="AQ125" i="37"/>
  <c r="AQ126" i="37"/>
  <c r="AQ127" i="37"/>
  <c r="AQ128" i="37"/>
  <c r="AQ129" i="37"/>
  <c r="AQ130" i="37"/>
  <c r="AQ131" i="37"/>
  <c r="AQ132" i="37"/>
  <c r="AQ133" i="37"/>
  <c r="AQ134" i="37"/>
  <c r="AQ135" i="37"/>
  <c r="AQ136" i="37"/>
  <c r="AQ137" i="37"/>
  <c r="AQ138" i="37"/>
  <c r="AQ139" i="37"/>
  <c r="AQ140" i="37"/>
  <c r="AQ141" i="37"/>
  <c r="AQ142" i="37"/>
  <c r="AQ143" i="37"/>
  <c r="AQ144" i="37"/>
  <c r="AQ145" i="37"/>
  <c r="AQ146" i="37"/>
  <c r="AQ147" i="37"/>
  <c r="AQ148" i="37"/>
  <c r="AQ149" i="37"/>
  <c r="AQ150" i="37"/>
  <c r="AQ151" i="37"/>
  <c r="AQ152" i="37"/>
  <c r="AQ153" i="37"/>
  <c r="AQ154" i="37"/>
  <c r="AQ155" i="37"/>
  <c r="AR35" i="37"/>
  <c r="AR36" i="37"/>
  <c r="AR37" i="37"/>
  <c r="AR38" i="37"/>
  <c r="AR39" i="37"/>
  <c r="AR40" i="37"/>
  <c r="AR41" i="37"/>
  <c r="AR42" i="37"/>
  <c r="AR43" i="37"/>
  <c r="AR44" i="37"/>
  <c r="AR45" i="37"/>
  <c r="AR46" i="37"/>
  <c r="AR47" i="37"/>
  <c r="AR48" i="37"/>
  <c r="AR49" i="37"/>
  <c r="AR50" i="37"/>
  <c r="AR51" i="37"/>
  <c r="AR52" i="37"/>
  <c r="AR53" i="37"/>
  <c r="AR54" i="37"/>
  <c r="AR55" i="37"/>
  <c r="AR56" i="37"/>
  <c r="AR57" i="37"/>
  <c r="AR58" i="37"/>
  <c r="AR59" i="37"/>
  <c r="AR60" i="37"/>
  <c r="AR61" i="37"/>
  <c r="AR62" i="37"/>
  <c r="AR63" i="37"/>
  <c r="AR64" i="37"/>
  <c r="AR65" i="37"/>
  <c r="AR66" i="37"/>
  <c r="AR67" i="37"/>
  <c r="AR68" i="37"/>
  <c r="AR69" i="37"/>
  <c r="AR70" i="37"/>
  <c r="AR71" i="37"/>
  <c r="AR72" i="37"/>
  <c r="AR73" i="37"/>
  <c r="AR74" i="37"/>
  <c r="AR75" i="37"/>
  <c r="AR76" i="37"/>
  <c r="AR77" i="37"/>
  <c r="AR78" i="37"/>
  <c r="AR79" i="37"/>
  <c r="AR80" i="37"/>
  <c r="AR81" i="37"/>
  <c r="AR82" i="37"/>
  <c r="AR83" i="37"/>
  <c r="AR84" i="37"/>
  <c r="AR85" i="37"/>
  <c r="AR86" i="37"/>
  <c r="AR87" i="37"/>
  <c r="AR88" i="37"/>
  <c r="AR89" i="37"/>
  <c r="AR90" i="37"/>
  <c r="AR91" i="37"/>
  <c r="AR92" i="37"/>
  <c r="AR93" i="37"/>
  <c r="AR94" i="37"/>
  <c r="AR95" i="37"/>
  <c r="AR96" i="37"/>
  <c r="AR97" i="37"/>
  <c r="AR98" i="37"/>
  <c r="AR99" i="37"/>
  <c r="AR100" i="37"/>
  <c r="AR101" i="37"/>
  <c r="AR102" i="37"/>
  <c r="AR103" i="37"/>
  <c r="AR104" i="37"/>
  <c r="AR105" i="37"/>
  <c r="AR106" i="37"/>
  <c r="AR107" i="37"/>
  <c r="AR108" i="37"/>
  <c r="AR109" i="37"/>
  <c r="AR110" i="37"/>
  <c r="AR111" i="37"/>
  <c r="AR112" i="37"/>
  <c r="AR113" i="37"/>
  <c r="AR114" i="37"/>
  <c r="AR115" i="37"/>
  <c r="AR116" i="37"/>
  <c r="AR117" i="37"/>
  <c r="AR118" i="37"/>
  <c r="AR119" i="37"/>
  <c r="AR120" i="37"/>
  <c r="AR121" i="37"/>
  <c r="AR122" i="37"/>
  <c r="AR123" i="37"/>
  <c r="AR124" i="37"/>
  <c r="AR125" i="37"/>
  <c r="AR126" i="37"/>
  <c r="AR127" i="37"/>
  <c r="AR128" i="37"/>
  <c r="AR129" i="37"/>
  <c r="AR130" i="37"/>
  <c r="AR131" i="37"/>
  <c r="AR132" i="37"/>
  <c r="AR133" i="37"/>
  <c r="AR134" i="37"/>
  <c r="AR135" i="37"/>
  <c r="AR136" i="37"/>
  <c r="AR137" i="37"/>
  <c r="AR138" i="37"/>
  <c r="AR139" i="37"/>
  <c r="AR140" i="37"/>
  <c r="AR141" i="37"/>
  <c r="AR142" i="37"/>
  <c r="AR143" i="37"/>
  <c r="AR144" i="37"/>
  <c r="AR145" i="37"/>
  <c r="AR146" i="37"/>
  <c r="AR147" i="37"/>
  <c r="AR148" i="37"/>
  <c r="AR149" i="37"/>
  <c r="AR150" i="37"/>
  <c r="AR151" i="37"/>
  <c r="AR152" i="37"/>
  <c r="AR153" i="37"/>
  <c r="AR154" i="37"/>
  <c r="AR155" i="37"/>
  <c r="AS35" i="37"/>
  <c r="AS36" i="37"/>
  <c r="AS37" i="37"/>
  <c r="AS38" i="37"/>
  <c r="AS39" i="37"/>
  <c r="AS40" i="37"/>
  <c r="AS41" i="37"/>
  <c r="AS42" i="37"/>
  <c r="AS43" i="37"/>
  <c r="AS44" i="37"/>
  <c r="AS45" i="37"/>
  <c r="AS46" i="37"/>
  <c r="AS47" i="37"/>
  <c r="AS48" i="37"/>
  <c r="AS49" i="37"/>
  <c r="AS50" i="37"/>
  <c r="AS51" i="37"/>
  <c r="AS52" i="37"/>
  <c r="AS53" i="37"/>
  <c r="AS54" i="37"/>
  <c r="AS55" i="37"/>
  <c r="AS56" i="37"/>
  <c r="AS57" i="37"/>
  <c r="AS58" i="37"/>
  <c r="AS59" i="37"/>
  <c r="AS60" i="37"/>
  <c r="AS61" i="37"/>
  <c r="AS62" i="37"/>
  <c r="AS63" i="37"/>
  <c r="AS64" i="37"/>
  <c r="AS65" i="37"/>
  <c r="AS66" i="37"/>
  <c r="AS67" i="37"/>
  <c r="AS68" i="37"/>
  <c r="AS69" i="37"/>
  <c r="AS70" i="37"/>
  <c r="AS71" i="37"/>
  <c r="AS72" i="37"/>
  <c r="AS73" i="37"/>
  <c r="AS74" i="37"/>
  <c r="AS75" i="37"/>
  <c r="AS76" i="37"/>
  <c r="AS77" i="37"/>
  <c r="AS78" i="37"/>
  <c r="AS79" i="37"/>
  <c r="AS80" i="37"/>
  <c r="AS81" i="37"/>
  <c r="AS82" i="37"/>
  <c r="AS83" i="37"/>
  <c r="AS84" i="37"/>
  <c r="AS85" i="37"/>
  <c r="AS86" i="37"/>
  <c r="AS87" i="37"/>
  <c r="AS88" i="37"/>
  <c r="AS89" i="37"/>
  <c r="AS90" i="37"/>
  <c r="AS91" i="37"/>
  <c r="AS92" i="37"/>
  <c r="AS93" i="37"/>
  <c r="AS94" i="37"/>
  <c r="AS95" i="37"/>
  <c r="AS96" i="37"/>
  <c r="AS97" i="37"/>
  <c r="AS98" i="37"/>
  <c r="AS99" i="37"/>
  <c r="AS100" i="37"/>
  <c r="AS101" i="37"/>
  <c r="AS102" i="37"/>
  <c r="AS103" i="37"/>
  <c r="AS104" i="37"/>
  <c r="AS105" i="37"/>
  <c r="AS106" i="37"/>
  <c r="AS107" i="37"/>
  <c r="AS108" i="37"/>
  <c r="AS109" i="37"/>
  <c r="AS110" i="37"/>
  <c r="AS111" i="37"/>
  <c r="AS112" i="37"/>
  <c r="AS113" i="37"/>
  <c r="AS114" i="37"/>
  <c r="AS115" i="37"/>
  <c r="AS116" i="37"/>
  <c r="AS117" i="37"/>
  <c r="AS118" i="37"/>
  <c r="AS119" i="37"/>
  <c r="AS120" i="37"/>
  <c r="AS121" i="37"/>
  <c r="AS122" i="37"/>
  <c r="AS123" i="37"/>
  <c r="AS124" i="37"/>
  <c r="AS125" i="37"/>
  <c r="AS126" i="37"/>
  <c r="AS127" i="37"/>
  <c r="AS128" i="37"/>
  <c r="AS129" i="37"/>
  <c r="AS130" i="37"/>
  <c r="AS131" i="37"/>
  <c r="AS132" i="37"/>
  <c r="AS133" i="37"/>
  <c r="AS134" i="37"/>
  <c r="AS135" i="37"/>
  <c r="AS136" i="37"/>
  <c r="AS137" i="37"/>
  <c r="AS138" i="37"/>
  <c r="AS139" i="37"/>
  <c r="AS140" i="37"/>
  <c r="AS141" i="37"/>
  <c r="AS142" i="37"/>
  <c r="AS143" i="37"/>
  <c r="AS144" i="37"/>
  <c r="AS145" i="37"/>
  <c r="AS146" i="37"/>
  <c r="AS147" i="37"/>
  <c r="AS148" i="37"/>
  <c r="AS149" i="37"/>
  <c r="AS150" i="37"/>
  <c r="AS151" i="37"/>
  <c r="AS152" i="37"/>
  <c r="AS153" i="37"/>
  <c r="AS154" i="37"/>
  <c r="AS155" i="37"/>
  <c r="AT35" i="37"/>
  <c r="AT36" i="37"/>
  <c r="AT37" i="37"/>
  <c r="AT38" i="37"/>
  <c r="AT39" i="37"/>
  <c r="AT40" i="37"/>
  <c r="AT41" i="37"/>
  <c r="AT42" i="37"/>
  <c r="AT43" i="37"/>
  <c r="AT44" i="37"/>
  <c r="AT45" i="37"/>
  <c r="AT46" i="37"/>
  <c r="AT47" i="37"/>
  <c r="AT48" i="37"/>
  <c r="AT49" i="37"/>
  <c r="AT50" i="37"/>
  <c r="AT51" i="37"/>
  <c r="AT52" i="37"/>
  <c r="AT53" i="37"/>
  <c r="AT54" i="37"/>
  <c r="AT55" i="37"/>
  <c r="AT56" i="37"/>
  <c r="AT57" i="37"/>
  <c r="AT58" i="37"/>
  <c r="AT59" i="37"/>
  <c r="AT60" i="37"/>
  <c r="AT61" i="37"/>
  <c r="AT62" i="37"/>
  <c r="AT63" i="37"/>
  <c r="AT64" i="37"/>
  <c r="AT65" i="37"/>
  <c r="AT66" i="37"/>
  <c r="AT67" i="37"/>
  <c r="AT68" i="37"/>
  <c r="AT69" i="37"/>
  <c r="AT70" i="37"/>
  <c r="AT71" i="37"/>
  <c r="AT72" i="37"/>
  <c r="AT73" i="37"/>
  <c r="AT74" i="37"/>
  <c r="AT75" i="37"/>
  <c r="AT76" i="37"/>
  <c r="AT77" i="37"/>
  <c r="AT78" i="37"/>
  <c r="AT79" i="37"/>
  <c r="AT80" i="37"/>
  <c r="AT81" i="37"/>
  <c r="AT82" i="37"/>
  <c r="AT83" i="37"/>
  <c r="AT84" i="37"/>
  <c r="AT85" i="37"/>
  <c r="AT86" i="37"/>
  <c r="AT87" i="37"/>
  <c r="AT88" i="37"/>
  <c r="AT89" i="37"/>
  <c r="AT90" i="37"/>
  <c r="AT91" i="37"/>
  <c r="AT92" i="37"/>
  <c r="AT93" i="37"/>
  <c r="AT94" i="37"/>
  <c r="AT95" i="37"/>
  <c r="AT96" i="37"/>
  <c r="AT97" i="37"/>
  <c r="AT98" i="37"/>
  <c r="AT99" i="37"/>
  <c r="AT100" i="37"/>
  <c r="AT101" i="37"/>
  <c r="AT102" i="37"/>
  <c r="AT103" i="37"/>
  <c r="AT104" i="37"/>
  <c r="AT105" i="37"/>
  <c r="AT106" i="37"/>
  <c r="AT107" i="37"/>
  <c r="AT108" i="37"/>
  <c r="AT109" i="37"/>
  <c r="AT110" i="37"/>
  <c r="AT111" i="37"/>
  <c r="AT112" i="37"/>
  <c r="AT113" i="37"/>
  <c r="AT114" i="37"/>
  <c r="AT115" i="37"/>
  <c r="AT116" i="37"/>
  <c r="AT117" i="37"/>
  <c r="AT118" i="37"/>
  <c r="AT119" i="37"/>
  <c r="AT120" i="37"/>
  <c r="AT121" i="37"/>
  <c r="AT122" i="37"/>
  <c r="AT123" i="37"/>
  <c r="AT124" i="37"/>
  <c r="AT125" i="37"/>
  <c r="AT126" i="37"/>
  <c r="AT127" i="37"/>
  <c r="AT128" i="37"/>
  <c r="AT129" i="37"/>
  <c r="AT130" i="37"/>
  <c r="AT131" i="37"/>
  <c r="AT132" i="37"/>
  <c r="AT133" i="37"/>
  <c r="AT134" i="37"/>
  <c r="AT135" i="37"/>
  <c r="AT136" i="37"/>
  <c r="AT137" i="37"/>
  <c r="AT138" i="37"/>
  <c r="AT139" i="37"/>
  <c r="AT140" i="37"/>
  <c r="AT141" i="37"/>
  <c r="AT142" i="37"/>
  <c r="AT143" i="37"/>
  <c r="AT144" i="37"/>
  <c r="AT145" i="37"/>
  <c r="AT146" i="37"/>
  <c r="AT147" i="37"/>
  <c r="AT148" i="37"/>
  <c r="AT149" i="37"/>
  <c r="AT150" i="37"/>
  <c r="AT151" i="37"/>
  <c r="AT152" i="37"/>
  <c r="AT153" i="37"/>
  <c r="AT154" i="37"/>
  <c r="AT155" i="37"/>
  <c r="AU35" i="37"/>
  <c r="AU36" i="37"/>
  <c r="AU37" i="37"/>
  <c r="AU38" i="37"/>
  <c r="AU39" i="37"/>
  <c r="AU40" i="37"/>
  <c r="AU41" i="37"/>
  <c r="AU42" i="37"/>
  <c r="AU43" i="37"/>
  <c r="AU44" i="37"/>
  <c r="AU45" i="37"/>
  <c r="AU46" i="37"/>
  <c r="AU47" i="37"/>
  <c r="AU48" i="37"/>
  <c r="AU49" i="37"/>
  <c r="AU50" i="37"/>
  <c r="AU51" i="37"/>
  <c r="AU52" i="37"/>
  <c r="AU53" i="37"/>
  <c r="AU54" i="37"/>
  <c r="AU55" i="37"/>
  <c r="AU56" i="37"/>
  <c r="AU57" i="37"/>
  <c r="AU58" i="37"/>
  <c r="AU59" i="37"/>
  <c r="AU60" i="37"/>
  <c r="AU61" i="37"/>
  <c r="AU62" i="37"/>
  <c r="AU63" i="37"/>
  <c r="AU64" i="37"/>
  <c r="AU65" i="37"/>
  <c r="AU66" i="37"/>
  <c r="AU67" i="37"/>
  <c r="AU68" i="37"/>
  <c r="AU69" i="37"/>
  <c r="AU70" i="37"/>
  <c r="AU71" i="37"/>
  <c r="AU72" i="37"/>
  <c r="AU73" i="37"/>
  <c r="AU74" i="37"/>
  <c r="AU75" i="37"/>
  <c r="AU76" i="37"/>
  <c r="AU77" i="37"/>
  <c r="AU78" i="37"/>
  <c r="AU79" i="37"/>
  <c r="AU80" i="37"/>
  <c r="AU81" i="37"/>
  <c r="AU82" i="37"/>
  <c r="AU83" i="37"/>
  <c r="AU84" i="37"/>
  <c r="AU85" i="37"/>
  <c r="AU86" i="37"/>
  <c r="AU87" i="37"/>
  <c r="AU88" i="37"/>
  <c r="AU89" i="37"/>
  <c r="AU90" i="37"/>
  <c r="AU91" i="37"/>
  <c r="AU92" i="37"/>
  <c r="AU93" i="37"/>
  <c r="AU94" i="37"/>
  <c r="AU95" i="37"/>
  <c r="AU96" i="37"/>
  <c r="AU97" i="37"/>
  <c r="AU98" i="37"/>
  <c r="AU99" i="37"/>
  <c r="AU100" i="37"/>
  <c r="AU101" i="37"/>
  <c r="AU102" i="37"/>
  <c r="AU103" i="37"/>
  <c r="AU104" i="37"/>
  <c r="AU105" i="37"/>
  <c r="AU106" i="37"/>
  <c r="AU107" i="37"/>
  <c r="AU108" i="37"/>
  <c r="AU109" i="37"/>
  <c r="AU110" i="37"/>
  <c r="AU111" i="37"/>
  <c r="AU112" i="37"/>
  <c r="AU113" i="37"/>
  <c r="AU114" i="37"/>
  <c r="AU115" i="37"/>
  <c r="AU116" i="37"/>
  <c r="AU117" i="37"/>
  <c r="AU118" i="37"/>
  <c r="AU119" i="37"/>
  <c r="AU120" i="37"/>
  <c r="AU121" i="37"/>
  <c r="AU122" i="37"/>
  <c r="AU123" i="37"/>
  <c r="AU124" i="37"/>
  <c r="AU125" i="37"/>
  <c r="AU126" i="37"/>
  <c r="AU127" i="37"/>
  <c r="AU128" i="37"/>
  <c r="AU129" i="37"/>
  <c r="AU130" i="37"/>
  <c r="AU131" i="37"/>
  <c r="AU132" i="37"/>
  <c r="AU133" i="37"/>
  <c r="AU134" i="37"/>
  <c r="AU135" i="37"/>
  <c r="AU136" i="37"/>
  <c r="AU137" i="37"/>
  <c r="AU138" i="37"/>
  <c r="AU139" i="37"/>
  <c r="AU140" i="37"/>
  <c r="AU141" i="37"/>
  <c r="AU142" i="37"/>
  <c r="AU143" i="37"/>
  <c r="AU144" i="37"/>
  <c r="AU145" i="37"/>
  <c r="AU146" i="37"/>
  <c r="AU147" i="37"/>
  <c r="AU148" i="37"/>
  <c r="AU149" i="37"/>
  <c r="AU150" i="37"/>
  <c r="AU151" i="37"/>
  <c r="AU152" i="37"/>
  <c r="AU153" i="37"/>
  <c r="AU154" i="37"/>
  <c r="AU155" i="37"/>
  <c r="AV35" i="37"/>
  <c r="AV36" i="37"/>
  <c r="AV37" i="37"/>
  <c r="AV38" i="37"/>
  <c r="AV39" i="37"/>
  <c r="AV40" i="37"/>
  <c r="AV41" i="37"/>
  <c r="AV42" i="37"/>
  <c r="AV43" i="37"/>
  <c r="AV44" i="37"/>
  <c r="AV45" i="37"/>
  <c r="AV46" i="37"/>
  <c r="AV47" i="37"/>
  <c r="AV48" i="37"/>
  <c r="AV49" i="37"/>
  <c r="AV50" i="37"/>
  <c r="AV51" i="37"/>
  <c r="AV52" i="37"/>
  <c r="AV53" i="37"/>
  <c r="AV54" i="37"/>
  <c r="AV55" i="37"/>
  <c r="AV56" i="37"/>
  <c r="AV57" i="37"/>
  <c r="AV58" i="37"/>
  <c r="AV59" i="37"/>
  <c r="AV60" i="37"/>
  <c r="AV61" i="37"/>
  <c r="AV62" i="37"/>
  <c r="AV63" i="37"/>
  <c r="AV64" i="37"/>
  <c r="AV65" i="37"/>
  <c r="AV66" i="37"/>
  <c r="AV67" i="37"/>
  <c r="AV68" i="37"/>
  <c r="AV69" i="37"/>
  <c r="AV70" i="37"/>
  <c r="AV71" i="37"/>
  <c r="AV72" i="37"/>
  <c r="AV73" i="37"/>
  <c r="AV74" i="37"/>
  <c r="AV75" i="37"/>
  <c r="AV76" i="37"/>
  <c r="AV77" i="37"/>
  <c r="AV78" i="37"/>
  <c r="AV79" i="37"/>
  <c r="AV80" i="37"/>
  <c r="AV81" i="37"/>
  <c r="AV82" i="37"/>
  <c r="AV83" i="37"/>
  <c r="AV84" i="37"/>
  <c r="AV85" i="37"/>
  <c r="AV86" i="37"/>
  <c r="AV87" i="37"/>
  <c r="AV88" i="37"/>
  <c r="AV89" i="37"/>
  <c r="AV90" i="37"/>
  <c r="AV91" i="37"/>
  <c r="AV92" i="37"/>
  <c r="AV93" i="37"/>
  <c r="AV94" i="37"/>
  <c r="AV95" i="37"/>
  <c r="AV96" i="37"/>
  <c r="AV97" i="37"/>
  <c r="AV98" i="37"/>
  <c r="AV99" i="37"/>
  <c r="AV100" i="37"/>
  <c r="AV101" i="37"/>
  <c r="AV102" i="37"/>
  <c r="AV103" i="37"/>
  <c r="AV104" i="37"/>
  <c r="AV105" i="37"/>
  <c r="AV106" i="37"/>
  <c r="AV107" i="37"/>
  <c r="AV108" i="37"/>
  <c r="AV109" i="37"/>
  <c r="AV110" i="37"/>
  <c r="AV111" i="37"/>
  <c r="AV112" i="37"/>
  <c r="AV113" i="37"/>
  <c r="AV114" i="37"/>
  <c r="AV115" i="37"/>
  <c r="AV116" i="37"/>
  <c r="AV117" i="37"/>
  <c r="AV118" i="37"/>
  <c r="AV119" i="37"/>
  <c r="AV120" i="37"/>
  <c r="AV121" i="37"/>
  <c r="AV122" i="37"/>
  <c r="AV123" i="37"/>
  <c r="AV124" i="37"/>
  <c r="AV125" i="37"/>
  <c r="AV126" i="37"/>
  <c r="AV127" i="37"/>
  <c r="AV128" i="37"/>
  <c r="AV129" i="37"/>
  <c r="AV130" i="37"/>
  <c r="AV131" i="37"/>
  <c r="AV132" i="37"/>
  <c r="AV133" i="37"/>
  <c r="AV134" i="37"/>
  <c r="AV135" i="37"/>
  <c r="AV136" i="37"/>
  <c r="AV137" i="37"/>
  <c r="AV138" i="37"/>
  <c r="AV139" i="37"/>
  <c r="AV140" i="37"/>
  <c r="AV141" i="37"/>
  <c r="AV142" i="37"/>
  <c r="AV143" i="37"/>
  <c r="AV144" i="37"/>
  <c r="AV145" i="37"/>
  <c r="AV146" i="37"/>
  <c r="AV147" i="37"/>
  <c r="AV148" i="37"/>
  <c r="AV149" i="37"/>
  <c r="AV150" i="37"/>
  <c r="AV151" i="37"/>
  <c r="AV152" i="37"/>
  <c r="AV153" i="37"/>
  <c r="AV154" i="37"/>
  <c r="AV155" i="37"/>
  <c r="AW35" i="37"/>
  <c r="AW36" i="37"/>
  <c r="AW37" i="37"/>
  <c r="AW38" i="37"/>
  <c r="AW39" i="37"/>
  <c r="AW40" i="37"/>
  <c r="AW41" i="37"/>
  <c r="AW42" i="37"/>
  <c r="AW43" i="37"/>
  <c r="AW44" i="37"/>
  <c r="AW45" i="37"/>
  <c r="AW46" i="37"/>
  <c r="AW47" i="37"/>
  <c r="AW48" i="37"/>
  <c r="AW49" i="37"/>
  <c r="AW50" i="37"/>
  <c r="AW51" i="37"/>
  <c r="AW52" i="37"/>
  <c r="AW53" i="37"/>
  <c r="AW54" i="37"/>
  <c r="AW55" i="37"/>
  <c r="AW56" i="37"/>
  <c r="AW57" i="37"/>
  <c r="AW58" i="37"/>
  <c r="AW59" i="37"/>
  <c r="AW60" i="37"/>
  <c r="AW61" i="37"/>
  <c r="AW62" i="37"/>
  <c r="AW63" i="37"/>
  <c r="AW64" i="37"/>
  <c r="AW65" i="37"/>
  <c r="AW66" i="37"/>
  <c r="AW67" i="37"/>
  <c r="AW68" i="37"/>
  <c r="AW69" i="37"/>
  <c r="AW70" i="37"/>
  <c r="AW71" i="37"/>
  <c r="AW72" i="37"/>
  <c r="AW73" i="37"/>
  <c r="AW74" i="37"/>
  <c r="AW75" i="37"/>
  <c r="AW76" i="37"/>
  <c r="AW77" i="37"/>
  <c r="AW78" i="37"/>
  <c r="AW79" i="37"/>
  <c r="AW80" i="37"/>
  <c r="AW81" i="37"/>
  <c r="AW82" i="37"/>
  <c r="AW83" i="37"/>
  <c r="AW84" i="37"/>
  <c r="AW85" i="37"/>
  <c r="AW86" i="37"/>
  <c r="AW87" i="37"/>
  <c r="AW88" i="37"/>
  <c r="AW89" i="37"/>
  <c r="AW90" i="37"/>
  <c r="AW91" i="37"/>
  <c r="AW92" i="37"/>
  <c r="AW93" i="37"/>
  <c r="AW94" i="37"/>
  <c r="AW95" i="37"/>
  <c r="AW96" i="37"/>
  <c r="AW97" i="37"/>
  <c r="AW98" i="37"/>
  <c r="AW99" i="37"/>
  <c r="AW100" i="37"/>
  <c r="AW101" i="37"/>
  <c r="AW102" i="37"/>
  <c r="AW103" i="37"/>
  <c r="AW104" i="37"/>
  <c r="AW105" i="37"/>
  <c r="AW106" i="37"/>
  <c r="AW107" i="37"/>
  <c r="AW108" i="37"/>
  <c r="AW109" i="37"/>
  <c r="AW110" i="37"/>
  <c r="AW111" i="37"/>
  <c r="AW112" i="37"/>
  <c r="AW113" i="37"/>
  <c r="AW114" i="37"/>
  <c r="AW115" i="37"/>
  <c r="AW116" i="37"/>
  <c r="AW117" i="37"/>
  <c r="AW118" i="37"/>
  <c r="AW119" i="37"/>
  <c r="AW120" i="37"/>
  <c r="AW121" i="37"/>
  <c r="AW122" i="37"/>
  <c r="AW123" i="37"/>
  <c r="AW124" i="37"/>
  <c r="AW125" i="37"/>
  <c r="AW126" i="37"/>
  <c r="AW127" i="37"/>
  <c r="AW128" i="37"/>
  <c r="AW129" i="37"/>
  <c r="AW130" i="37"/>
  <c r="AW131" i="37"/>
  <c r="AW132" i="37"/>
  <c r="AW133" i="37"/>
  <c r="AW134" i="37"/>
  <c r="AW135" i="37"/>
  <c r="AW136" i="37"/>
  <c r="AW137" i="37"/>
  <c r="AW138" i="37"/>
  <c r="AW139" i="37"/>
  <c r="AW140" i="37"/>
  <c r="AW141" i="37"/>
  <c r="AW142" i="37"/>
  <c r="AW143" i="37"/>
  <c r="AW144" i="37"/>
  <c r="AW145" i="37"/>
  <c r="AW146" i="37"/>
  <c r="AW147" i="37"/>
  <c r="AW148" i="37"/>
  <c r="AW149" i="37"/>
  <c r="AW150" i="37"/>
  <c r="AW151" i="37"/>
  <c r="AW152" i="37"/>
  <c r="AW153" i="37"/>
  <c r="AW154" i="37"/>
  <c r="AW155" i="37"/>
  <c r="AX35" i="37"/>
  <c r="AX36" i="37"/>
  <c r="AX37" i="37"/>
  <c r="AX38" i="37"/>
  <c r="AX39" i="37"/>
  <c r="AX40" i="37"/>
  <c r="AX41" i="37"/>
  <c r="AX42" i="37"/>
  <c r="AX43" i="37"/>
  <c r="AX44" i="37"/>
  <c r="AX45" i="37"/>
  <c r="AX46" i="37"/>
  <c r="AX47" i="37"/>
  <c r="AX48" i="37"/>
  <c r="AX49" i="37"/>
  <c r="AX50" i="37"/>
  <c r="AX51" i="37"/>
  <c r="AX52" i="37"/>
  <c r="AX53" i="37"/>
  <c r="AX54" i="37"/>
  <c r="AX55" i="37"/>
  <c r="AX56" i="37"/>
  <c r="AX57" i="37"/>
  <c r="AX58" i="37"/>
  <c r="AX59" i="37"/>
  <c r="AX60" i="37"/>
  <c r="AX61" i="37"/>
  <c r="AX62" i="37"/>
  <c r="AX63" i="37"/>
  <c r="AX64" i="37"/>
  <c r="AX65" i="37"/>
  <c r="AX66" i="37"/>
  <c r="AX67" i="37"/>
  <c r="AX68" i="37"/>
  <c r="AX69" i="37"/>
  <c r="AX70" i="37"/>
  <c r="AX71" i="37"/>
  <c r="AX72" i="37"/>
  <c r="AX73" i="37"/>
  <c r="AX74" i="37"/>
  <c r="AX75" i="37"/>
  <c r="AX76" i="37"/>
  <c r="AX77" i="37"/>
  <c r="AX78" i="37"/>
  <c r="AX79" i="37"/>
  <c r="AX80" i="37"/>
  <c r="AX81" i="37"/>
  <c r="AX82" i="37"/>
  <c r="AX83" i="37"/>
  <c r="AX84" i="37"/>
  <c r="AX85" i="37"/>
  <c r="AX86" i="37"/>
  <c r="AX87" i="37"/>
  <c r="AX88" i="37"/>
  <c r="AX89" i="37"/>
  <c r="AX90" i="37"/>
  <c r="AX91" i="37"/>
  <c r="AX92" i="37"/>
  <c r="AX93" i="37"/>
  <c r="AX94" i="37"/>
  <c r="AX95" i="37"/>
  <c r="AX96" i="37"/>
  <c r="AX97" i="37"/>
  <c r="AX98" i="37"/>
  <c r="AX99" i="37"/>
  <c r="AX100" i="37"/>
  <c r="AX101" i="37"/>
  <c r="AX102" i="37"/>
  <c r="AX103" i="37"/>
  <c r="AX104" i="37"/>
  <c r="AX105" i="37"/>
  <c r="AX106" i="37"/>
  <c r="AX107" i="37"/>
  <c r="AX108" i="37"/>
  <c r="AX109" i="37"/>
  <c r="AX110" i="37"/>
  <c r="AX111" i="37"/>
  <c r="AX112" i="37"/>
  <c r="AX113" i="37"/>
  <c r="AX114" i="37"/>
  <c r="AX115" i="37"/>
  <c r="AX116" i="37"/>
  <c r="AX117" i="37"/>
  <c r="AX118" i="37"/>
  <c r="AX119" i="37"/>
  <c r="AX120" i="37"/>
  <c r="AX121" i="37"/>
  <c r="AX122" i="37"/>
  <c r="AX123" i="37"/>
  <c r="AX124" i="37"/>
  <c r="AX125" i="37"/>
  <c r="AX126" i="37"/>
  <c r="AX127" i="37"/>
  <c r="AX128" i="37"/>
  <c r="AX129" i="37"/>
  <c r="AX130" i="37"/>
  <c r="AX131" i="37"/>
  <c r="AX132" i="37"/>
  <c r="AX133" i="37"/>
  <c r="AX134" i="37"/>
  <c r="AX135" i="37"/>
  <c r="AX136" i="37"/>
  <c r="AX137" i="37"/>
  <c r="AX138" i="37"/>
  <c r="AX139" i="37"/>
  <c r="AX140" i="37"/>
  <c r="AX141" i="37"/>
  <c r="AX142" i="37"/>
  <c r="AX143" i="37"/>
  <c r="AX144" i="37"/>
  <c r="AX145" i="37"/>
  <c r="AX146" i="37"/>
  <c r="AX147" i="37"/>
  <c r="AX148" i="37"/>
  <c r="AX149" i="37"/>
  <c r="AX150" i="37"/>
  <c r="AX151" i="37"/>
  <c r="AX152" i="37"/>
  <c r="AX153" i="37"/>
  <c r="AX154" i="37"/>
  <c r="AX155" i="37"/>
  <c r="AY35" i="37"/>
  <c r="AY36" i="37"/>
  <c r="AY37" i="37"/>
  <c r="AY38" i="37"/>
  <c r="AY39" i="37"/>
  <c r="AY40" i="37"/>
  <c r="AY41" i="37"/>
  <c r="AY42" i="37"/>
  <c r="AY43" i="37"/>
  <c r="AY44" i="37"/>
  <c r="AY45" i="37"/>
  <c r="AY46" i="37"/>
  <c r="AY47" i="37"/>
  <c r="AY48" i="37"/>
  <c r="AY49" i="37"/>
  <c r="AY50" i="37"/>
  <c r="AY51" i="37"/>
  <c r="AY52" i="37"/>
  <c r="AY53" i="37"/>
  <c r="AY54" i="37"/>
  <c r="AY55" i="37"/>
  <c r="AY56" i="37"/>
  <c r="AY57" i="37"/>
  <c r="AY58" i="37"/>
  <c r="AY59" i="37"/>
  <c r="AY60" i="37"/>
  <c r="AY61" i="37"/>
  <c r="AY62" i="37"/>
  <c r="AY63" i="37"/>
  <c r="AY64" i="37"/>
  <c r="AY65" i="37"/>
  <c r="AY66" i="37"/>
  <c r="AY67" i="37"/>
  <c r="AY68" i="37"/>
  <c r="AY69" i="37"/>
  <c r="AY70" i="37"/>
  <c r="AY71" i="37"/>
  <c r="AY72" i="37"/>
  <c r="AY73" i="37"/>
  <c r="AY74" i="37"/>
  <c r="AY75" i="37"/>
  <c r="AY76" i="37"/>
  <c r="AY77" i="37"/>
  <c r="AY78" i="37"/>
  <c r="AY79" i="37"/>
  <c r="AY80" i="37"/>
  <c r="AY81" i="37"/>
  <c r="AY82" i="37"/>
  <c r="AY83" i="37"/>
  <c r="AY84" i="37"/>
  <c r="AY85" i="37"/>
  <c r="AY86" i="37"/>
  <c r="AY87" i="37"/>
  <c r="AY88" i="37"/>
  <c r="AY89" i="37"/>
  <c r="AY90" i="37"/>
  <c r="AY91" i="37"/>
  <c r="AY92" i="37"/>
  <c r="AY93" i="37"/>
  <c r="AY94" i="37"/>
  <c r="AY95" i="37"/>
  <c r="AY96" i="37"/>
  <c r="AY97" i="37"/>
  <c r="AY98" i="37"/>
  <c r="AY99" i="37"/>
  <c r="AY100" i="37"/>
  <c r="AY101" i="37"/>
  <c r="AY102" i="37"/>
  <c r="AY103" i="37"/>
  <c r="AY104" i="37"/>
  <c r="AY105" i="37"/>
  <c r="AY106" i="37"/>
  <c r="AY107" i="37"/>
  <c r="AY108" i="37"/>
  <c r="AY109" i="37"/>
  <c r="AY110" i="37"/>
  <c r="AY111" i="37"/>
  <c r="AY112" i="37"/>
  <c r="AY113" i="37"/>
  <c r="AY114" i="37"/>
  <c r="AY115" i="37"/>
  <c r="AY116" i="37"/>
  <c r="AY117" i="37"/>
  <c r="AY118" i="37"/>
  <c r="AY119" i="37"/>
  <c r="AY120" i="37"/>
  <c r="AY121" i="37"/>
  <c r="AY122" i="37"/>
  <c r="AY123" i="37"/>
  <c r="AY124" i="37"/>
  <c r="AY125" i="37"/>
  <c r="AY126" i="37"/>
  <c r="AY127" i="37"/>
  <c r="AY128" i="37"/>
  <c r="AY129" i="37"/>
  <c r="AY130" i="37"/>
  <c r="AY131" i="37"/>
  <c r="AY132" i="37"/>
  <c r="AY133" i="37"/>
  <c r="AY134" i="37"/>
  <c r="AY135" i="37"/>
  <c r="AY136" i="37"/>
  <c r="AY137" i="37"/>
  <c r="AY138" i="37"/>
  <c r="AY139" i="37"/>
  <c r="AY140" i="37"/>
  <c r="AY141" i="37"/>
  <c r="AY142" i="37"/>
  <c r="AY143" i="37"/>
  <c r="AY144" i="37"/>
  <c r="AY145" i="37"/>
  <c r="AY146" i="37"/>
  <c r="AY147" i="37"/>
  <c r="AY148" i="37"/>
  <c r="AY149" i="37"/>
  <c r="AY150" i="37"/>
  <c r="AY151" i="37"/>
  <c r="AY152" i="37"/>
  <c r="AY153" i="37"/>
  <c r="AY154" i="37"/>
  <c r="AY155" i="37"/>
  <c r="AZ35" i="37"/>
  <c r="AZ36" i="37"/>
  <c r="AZ37" i="37"/>
  <c r="AZ38" i="37"/>
  <c r="AZ39" i="37"/>
  <c r="AZ40" i="37"/>
  <c r="AZ41" i="37"/>
  <c r="AZ42" i="37"/>
  <c r="AZ43" i="37"/>
  <c r="AZ44" i="37"/>
  <c r="AZ45" i="37"/>
  <c r="AZ46" i="37"/>
  <c r="AZ47" i="37"/>
  <c r="AZ48" i="37"/>
  <c r="AZ49" i="37"/>
  <c r="AZ50" i="37"/>
  <c r="AZ51" i="37"/>
  <c r="AZ52" i="37"/>
  <c r="AZ53" i="37"/>
  <c r="AZ54" i="37"/>
  <c r="AZ55" i="37"/>
  <c r="AZ56" i="37"/>
  <c r="AZ57" i="37"/>
  <c r="AZ58" i="37"/>
  <c r="AZ59" i="37"/>
  <c r="AZ60" i="37"/>
  <c r="AZ61" i="37"/>
  <c r="AZ62" i="37"/>
  <c r="AZ63" i="37"/>
  <c r="AZ64" i="37"/>
  <c r="AZ65" i="37"/>
  <c r="AZ66" i="37"/>
  <c r="AZ67" i="37"/>
  <c r="AZ68" i="37"/>
  <c r="AZ69" i="37"/>
  <c r="AZ70" i="37"/>
  <c r="AZ71" i="37"/>
  <c r="AZ72" i="37"/>
  <c r="AZ73" i="37"/>
  <c r="AZ74" i="37"/>
  <c r="AZ75" i="37"/>
  <c r="AZ76" i="37"/>
  <c r="AZ77" i="37"/>
  <c r="AZ78" i="37"/>
  <c r="AZ79" i="37"/>
  <c r="AZ80" i="37"/>
  <c r="AZ81" i="37"/>
  <c r="AZ82" i="37"/>
  <c r="AZ83" i="37"/>
  <c r="AZ84" i="37"/>
  <c r="AZ85" i="37"/>
  <c r="AZ86" i="37"/>
  <c r="AZ87" i="37"/>
  <c r="AZ88" i="37"/>
  <c r="AZ89" i="37"/>
  <c r="AZ90" i="37"/>
  <c r="AZ91" i="37"/>
  <c r="AZ92" i="37"/>
  <c r="AZ93" i="37"/>
  <c r="AZ94" i="37"/>
  <c r="AZ95" i="37"/>
  <c r="AZ96" i="37"/>
  <c r="AZ97" i="37"/>
  <c r="AZ98" i="37"/>
  <c r="AZ99" i="37"/>
  <c r="AZ100" i="37"/>
  <c r="AZ101" i="37"/>
  <c r="AZ102" i="37"/>
  <c r="AZ103" i="37"/>
  <c r="AZ104" i="37"/>
  <c r="AZ105" i="37"/>
  <c r="AZ106" i="37"/>
  <c r="AZ107" i="37"/>
  <c r="AZ108" i="37"/>
  <c r="AZ109" i="37"/>
  <c r="AZ110" i="37"/>
  <c r="AZ111" i="37"/>
  <c r="AZ112" i="37"/>
  <c r="AZ113" i="37"/>
  <c r="AZ114" i="37"/>
  <c r="AZ115" i="37"/>
  <c r="AZ116" i="37"/>
  <c r="AZ117" i="37"/>
  <c r="AZ118" i="37"/>
  <c r="AZ119" i="37"/>
  <c r="AZ120" i="37"/>
  <c r="AZ121" i="37"/>
  <c r="AZ122" i="37"/>
  <c r="AZ123" i="37"/>
  <c r="AZ124" i="37"/>
  <c r="AZ125" i="37"/>
  <c r="AZ126" i="37"/>
  <c r="AZ127" i="37"/>
  <c r="AZ128" i="37"/>
  <c r="AZ129" i="37"/>
  <c r="AZ130" i="37"/>
  <c r="AZ131" i="37"/>
  <c r="AZ132" i="37"/>
  <c r="AZ133" i="37"/>
  <c r="AZ134" i="37"/>
  <c r="AZ135" i="37"/>
  <c r="AZ136" i="37"/>
  <c r="AZ137" i="37"/>
  <c r="AZ138" i="37"/>
  <c r="AZ139" i="37"/>
  <c r="AZ140" i="37"/>
  <c r="AZ141" i="37"/>
  <c r="AZ142" i="37"/>
  <c r="AZ143" i="37"/>
  <c r="AZ144" i="37"/>
  <c r="AZ145" i="37"/>
  <c r="AZ146" i="37"/>
  <c r="AZ147" i="37"/>
  <c r="AZ148" i="37"/>
  <c r="AZ149" i="37"/>
  <c r="AZ150" i="37"/>
  <c r="AZ151" i="37"/>
  <c r="AZ152" i="37"/>
  <c r="AZ153" i="37"/>
  <c r="AZ154" i="37"/>
  <c r="AZ155" i="37"/>
  <c r="BA35" i="37"/>
  <c r="BA36" i="37"/>
  <c r="BA37" i="37"/>
  <c r="BA38" i="37"/>
  <c r="BA39" i="37"/>
  <c r="BA40" i="37"/>
  <c r="BA41" i="37"/>
  <c r="BA42" i="37"/>
  <c r="BA43" i="37"/>
  <c r="BA44" i="37"/>
  <c r="BA45" i="37"/>
  <c r="BA46" i="37"/>
  <c r="BA47" i="37"/>
  <c r="BA48" i="37"/>
  <c r="BA49" i="37"/>
  <c r="BA50" i="37"/>
  <c r="BA51" i="37"/>
  <c r="BA52" i="37"/>
  <c r="BA53" i="37"/>
  <c r="BA54" i="37"/>
  <c r="BA55" i="37"/>
  <c r="BA56" i="37"/>
  <c r="BA57" i="37"/>
  <c r="BA58" i="37"/>
  <c r="BA59" i="37"/>
  <c r="BA60" i="37"/>
  <c r="BA61" i="37"/>
  <c r="BA62" i="37"/>
  <c r="BA63" i="37"/>
  <c r="BA64" i="37"/>
  <c r="BA65" i="37"/>
  <c r="BA66" i="37"/>
  <c r="BA67" i="37"/>
  <c r="BA68" i="37"/>
  <c r="BA69" i="37"/>
  <c r="BA70" i="37"/>
  <c r="BA71" i="37"/>
  <c r="BA72" i="37"/>
  <c r="BA73" i="37"/>
  <c r="BA74" i="37"/>
  <c r="BA75" i="37"/>
  <c r="BA76" i="37"/>
  <c r="BA77" i="37"/>
  <c r="BA78" i="37"/>
  <c r="BA79" i="37"/>
  <c r="BA80" i="37"/>
  <c r="BA81" i="37"/>
  <c r="BA82" i="37"/>
  <c r="BA83" i="37"/>
  <c r="BA84" i="37"/>
  <c r="BA85" i="37"/>
  <c r="BA86" i="37"/>
  <c r="BA87" i="37"/>
  <c r="BA88" i="37"/>
  <c r="BA89" i="37"/>
  <c r="BA90" i="37"/>
  <c r="BA91" i="37"/>
  <c r="BA92" i="37"/>
  <c r="BA93" i="37"/>
  <c r="BA94" i="37"/>
  <c r="BA95" i="37"/>
  <c r="BA96" i="37"/>
  <c r="BA97" i="37"/>
  <c r="BA98" i="37"/>
  <c r="BA99" i="37"/>
  <c r="BA100" i="37"/>
  <c r="BA101" i="37"/>
  <c r="BA102" i="37"/>
  <c r="BA103" i="37"/>
  <c r="BA104" i="37"/>
  <c r="BA105" i="37"/>
  <c r="BA106" i="37"/>
  <c r="BA107" i="37"/>
  <c r="BA108" i="37"/>
  <c r="BA109" i="37"/>
  <c r="BA110" i="37"/>
  <c r="BA111" i="37"/>
  <c r="BA112" i="37"/>
  <c r="BA113" i="37"/>
  <c r="BA114" i="37"/>
  <c r="BA115" i="37"/>
  <c r="BA116" i="37"/>
  <c r="BA117" i="37"/>
  <c r="BA118" i="37"/>
  <c r="BA119" i="37"/>
  <c r="BA120" i="37"/>
  <c r="BA121" i="37"/>
  <c r="BA122" i="37"/>
  <c r="BA123" i="37"/>
  <c r="BA124" i="37"/>
  <c r="BA125" i="37"/>
  <c r="BA126" i="37"/>
  <c r="BA127" i="37"/>
  <c r="BA128" i="37"/>
  <c r="BA129" i="37"/>
  <c r="BA130" i="37"/>
  <c r="BA131" i="37"/>
  <c r="BA132" i="37"/>
  <c r="BA133" i="37"/>
  <c r="BA134" i="37"/>
  <c r="BA135" i="37"/>
  <c r="BA136" i="37"/>
  <c r="BA137" i="37"/>
  <c r="BA138" i="37"/>
  <c r="BA139" i="37"/>
  <c r="BA140" i="37"/>
  <c r="BA141" i="37"/>
  <c r="BA142" i="37"/>
  <c r="BA143" i="37"/>
  <c r="BA144" i="37"/>
  <c r="BA145" i="37"/>
  <c r="BA146" i="37"/>
  <c r="BA147" i="37"/>
  <c r="BA148" i="37"/>
  <c r="BA149" i="37"/>
  <c r="BA150" i="37"/>
  <c r="BA151" i="37"/>
  <c r="BA152" i="37"/>
  <c r="BA153" i="37"/>
  <c r="BA154" i="37"/>
  <c r="BA155" i="37"/>
  <c r="BB35" i="37"/>
  <c r="BB36" i="37"/>
  <c r="BB37" i="37"/>
  <c r="BB38" i="37"/>
  <c r="BB39" i="37"/>
  <c r="BB40" i="37"/>
  <c r="BB41" i="37"/>
  <c r="BB42" i="37"/>
  <c r="BB43" i="37"/>
  <c r="BB44" i="37"/>
  <c r="BB45" i="37"/>
  <c r="BB46" i="37"/>
  <c r="BB47" i="37"/>
  <c r="BB48" i="37"/>
  <c r="BB49" i="37"/>
  <c r="BB50" i="37"/>
  <c r="BB51" i="37"/>
  <c r="BB52" i="37"/>
  <c r="BB53" i="37"/>
  <c r="BB54" i="37"/>
  <c r="BB55" i="37"/>
  <c r="BB56" i="37"/>
  <c r="BB57" i="37"/>
  <c r="BB58" i="37"/>
  <c r="BB59" i="37"/>
  <c r="BB60" i="37"/>
  <c r="BB61" i="37"/>
  <c r="BB62" i="37"/>
  <c r="BB63" i="37"/>
  <c r="BB64" i="37"/>
  <c r="BB65" i="37"/>
  <c r="BB66" i="37"/>
  <c r="BB67" i="37"/>
  <c r="BB68" i="37"/>
  <c r="BB69" i="37"/>
  <c r="BB70" i="37"/>
  <c r="BB71" i="37"/>
  <c r="BB72" i="37"/>
  <c r="BB73" i="37"/>
  <c r="BB74" i="37"/>
  <c r="BB75" i="37"/>
  <c r="BB76" i="37"/>
  <c r="BB77" i="37"/>
  <c r="BB78" i="37"/>
  <c r="BB79" i="37"/>
  <c r="BB80" i="37"/>
  <c r="BB81" i="37"/>
  <c r="BB82" i="37"/>
  <c r="BB83" i="37"/>
  <c r="BB84" i="37"/>
  <c r="BB85" i="37"/>
  <c r="BB86" i="37"/>
  <c r="BB87" i="37"/>
  <c r="BB88" i="37"/>
  <c r="BB89" i="37"/>
  <c r="BB90" i="37"/>
  <c r="BB91" i="37"/>
  <c r="BB92" i="37"/>
  <c r="BB93" i="37"/>
  <c r="BB94" i="37"/>
  <c r="BB95" i="37"/>
  <c r="BB96" i="37"/>
  <c r="BB97" i="37"/>
  <c r="BB98" i="37"/>
  <c r="BB99" i="37"/>
  <c r="BB100" i="37"/>
  <c r="BB101" i="37"/>
  <c r="BB102" i="37"/>
  <c r="BB103" i="37"/>
  <c r="BB104" i="37"/>
  <c r="BB105" i="37"/>
  <c r="BB106" i="37"/>
  <c r="BB107" i="37"/>
  <c r="BB108" i="37"/>
  <c r="BB109" i="37"/>
  <c r="BB110" i="37"/>
  <c r="BB111" i="37"/>
  <c r="BB112" i="37"/>
  <c r="BB113" i="37"/>
  <c r="BB114" i="37"/>
  <c r="BB115" i="37"/>
  <c r="BB116" i="37"/>
  <c r="BB117" i="37"/>
  <c r="BB118" i="37"/>
  <c r="BB119" i="37"/>
  <c r="BB120" i="37"/>
  <c r="BB121" i="37"/>
  <c r="BB122" i="37"/>
  <c r="BB123" i="37"/>
  <c r="BB124" i="37"/>
  <c r="BB125" i="37"/>
  <c r="BB126" i="37"/>
  <c r="BB127" i="37"/>
  <c r="BB128" i="37"/>
  <c r="BB129" i="37"/>
  <c r="BB130" i="37"/>
  <c r="BB131" i="37"/>
  <c r="BB132" i="37"/>
  <c r="BB133" i="37"/>
  <c r="BB134" i="37"/>
  <c r="BB135" i="37"/>
  <c r="BB136" i="37"/>
  <c r="BB137" i="37"/>
  <c r="BB138" i="37"/>
  <c r="BB139" i="37"/>
  <c r="BB140" i="37"/>
  <c r="BB141" i="37"/>
  <c r="BB142" i="37"/>
  <c r="BB143" i="37"/>
  <c r="BB144" i="37"/>
  <c r="BB145" i="37"/>
  <c r="BB146" i="37"/>
  <c r="BB147" i="37"/>
  <c r="BB148" i="37"/>
  <c r="BB149" i="37"/>
  <c r="BB150" i="37"/>
  <c r="BB151" i="37"/>
  <c r="BB152" i="37"/>
  <c r="BB153" i="37"/>
  <c r="BB154" i="37"/>
  <c r="BB155" i="37"/>
  <c r="BC35" i="37"/>
  <c r="BC36" i="37"/>
  <c r="BC37" i="37"/>
  <c r="BC38" i="37"/>
  <c r="BC39" i="37"/>
  <c r="BC40" i="37"/>
  <c r="BC41" i="37"/>
  <c r="BC42" i="37"/>
  <c r="BC43" i="37"/>
  <c r="BC44" i="37"/>
  <c r="BC45" i="37"/>
  <c r="BC46" i="37"/>
  <c r="BC47" i="37"/>
  <c r="BC48" i="37"/>
  <c r="BC49" i="37"/>
  <c r="BC50" i="37"/>
  <c r="BC51" i="37"/>
  <c r="BC52" i="37"/>
  <c r="BC53" i="37"/>
  <c r="BC54" i="37"/>
  <c r="BC55" i="37"/>
  <c r="BC56" i="37"/>
  <c r="BC57" i="37"/>
  <c r="BC58" i="37"/>
  <c r="BC59" i="37"/>
  <c r="BC60" i="37"/>
  <c r="BC61" i="37"/>
  <c r="BC62" i="37"/>
  <c r="BC63" i="37"/>
  <c r="BC64" i="37"/>
  <c r="BC65" i="37"/>
  <c r="BC66" i="37"/>
  <c r="BC67" i="37"/>
  <c r="BC68" i="37"/>
  <c r="BC69" i="37"/>
  <c r="BC70" i="37"/>
  <c r="BC71" i="37"/>
  <c r="BC72" i="37"/>
  <c r="BC73" i="37"/>
  <c r="BC74" i="37"/>
  <c r="BC75" i="37"/>
  <c r="BC76" i="37"/>
  <c r="BC77" i="37"/>
  <c r="BC78" i="37"/>
  <c r="BC79" i="37"/>
  <c r="BC80" i="37"/>
  <c r="BC81" i="37"/>
  <c r="BC82" i="37"/>
  <c r="BC83" i="37"/>
  <c r="BC84" i="37"/>
  <c r="BC85" i="37"/>
  <c r="BC86" i="37"/>
  <c r="BC87" i="37"/>
  <c r="BC88" i="37"/>
  <c r="BC89" i="37"/>
  <c r="BC90" i="37"/>
  <c r="BC91" i="37"/>
  <c r="BC92" i="37"/>
  <c r="BC93" i="37"/>
  <c r="BC94" i="37"/>
  <c r="BC95" i="37"/>
  <c r="BC96" i="37"/>
  <c r="BC97" i="37"/>
  <c r="BC98" i="37"/>
  <c r="BC99" i="37"/>
  <c r="BC100" i="37"/>
  <c r="BC101" i="37"/>
  <c r="BC102" i="37"/>
  <c r="BC103" i="37"/>
  <c r="BC104" i="37"/>
  <c r="BC105" i="37"/>
  <c r="BC106" i="37"/>
  <c r="BC107" i="37"/>
  <c r="BC108" i="37"/>
  <c r="BC109" i="37"/>
  <c r="BC110" i="37"/>
  <c r="BC111" i="37"/>
  <c r="BC112" i="37"/>
  <c r="BC113" i="37"/>
  <c r="BC114" i="37"/>
  <c r="BC115" i="37"/>
  <c r="BC116" i="37"/>
  <c r="BC117" i="37"/>
  <c r="BC118" i="37"/>
  <c r="BC119" i="37"/>
  <c r="BC120" i="37"/>
  <c r="BC121" i="37"/>
  <c r="BC122" i="37"/>
  <c r="BC123" i="37"/>
  <c r="BC124" i="37"/>
  <c r="BC125" i="37"/>
  <c r="BC126" i="37"/>
  <c r="BC127" i="37"/>
  <c r="BC128" i="37"/>
  <c r="BC129" i="37"/>
  <c r="BC130" i="37"/>
  <c r="BC131" i="37"/>
  <c r="BC132" i="37"/>
  <c r="BC133" i="37"/>
  <c r="BC134" i="37"/>
  <c r="BC135" i="37"/>
  <c r="BC136" i="37"/>
  <c r="BC137" i="37"/>
  <c r="BC138" i="37"/>
  <c r="BC139" i="37"/>
  <c r="BC140" i="37"/>
  <c r="BC141" i="37"/>
  <c r="BC142" i="37"/>
  <c r="BC143" i="37"/>
  <c r="BC144" i="37"/>
  <c r="BC145" i="37"/>
  <c r="BC146" i="37"/>
  <c r="BC147" i="37"/>
  <c r="BC148" i="37"/>
  <c r="BC149" i="37"/>
  <c r="BC150" i="37"/>
  <c r="BC151" i="37"/>
  <c r="BC152" i="37"/>
  <c r="BC153" i="37"/>
  <c r="BC154" i="37"/>
  <c r="BC155" i="37"/>
  <c r="BD35" i="37"/>
  <c r="BD36" i="37"/>
  <c r="BD37" i="37"/>
  <c r="BD38" i="37"/>
  <c r="BD39" i="37"/>
  <c r="BD40" i="37"/>
  <c r="BD41" i="37"/>
  <c r="BD42" i="37"/>
  <c r="BD43" i="37"/>
  <c r="BD44" i="37"/>
  <c r="BD45" i="37"/>
  <c r="BD46" i="37"/>
  <c r="BD47" i="37"/>
  <c r="BD48" i="37"/>
  <c r="BD49" i="37"/>
  <c r="BD50" i="37"/>
  <c r="BD51" i="37"/>
  <c r="BD52" i="37"/>
  <c r="BD53" i="37"/>
  <c r="BD54" i="37"/>
  <c r="BD55" i="37"/>
  <c r="BD56" i="37"/>
  <c r="BD57" i="37"/>
  <c r="BD58" i="37"/>
  <c r="BD59" i="37"/>
  <c r="BD60" i="37"/>
  <c r="BD61" i="37"/>
  <c r="BD62" i="37"/>
  <c r="BD63" i="37"/>
  <c r="BD64" i="37"/>
  <c r="BD65" i="37"/>
  <c r="BD66" i="37"/>
  <c r="BD67" i="37"/>
  <c r="BD68" i="37"/>
  <c r="BD69" i="37"/>
  <c r="BD70" i="37"/>
  <c r="BD71" i="37"/>
  <c r="BD72" i="37"/>
  <c r="BD73" i="37"/>
  <c r="BD74" i="37"/>
  <c r="BD75" i="37"/>
  <c r="BD76" i="37"/>
  <c r="BD77" i="37"/>
  <c r="BD78" i="37"/>
  <c r="BD79" i="37"/>
  <c r="BD80" i="37"/>
  <c r="BD81" i="37"/>
  <c r="BD82" i="37"/>
  <c r="BD83" i="37"/>
  <c r="BD84" i="37"/>
  <c r="BD85" i="37"/>
  <c r="BD86" i="37"/>
  <c r="BD87" i="37"/>
  <c r="BD88" i="37"/>
  <c r="BD89" i="37"/>
  <c r="BD90" i="37"/>
  <c r="BD91" i="37"/>
  <c r="BD92" i="37"/>
  <c r="BD93" i="37"/>
  <c r="BD94" i="37"/>
  <c r="BD95" i="37"/>
  <c r="BD96" i="37"/>
  <c r="BD97" i="37"/>
  <c r="BD98" i="37"/>
  <c r="BD99" i="37"/>
  <c r="BD100" i="37"/>
  <c r="BD101" i="37"/>
  <c r="BD102" i="37"/>
  <c r="BD103" i="37"/>
  <c r="BD104" i="37"/>
  <c r="BD105" i="37"/>
  <c r="BD106" i="37"/>
  <c r="BD107" i="37"/>
  <c r="BD108" i="37"/>
  <c r="BD109" i="37"/>
  <c r="BD110" i="37"/>
  <c r="BD111" i="37"/>
  <c r="BD112" i="37"/>
  <c r="BD113" i="37"/>
  <c r="BD114" i="37"/>
  <c r="BD115" i="37"/>
  <c r="BD116" i="37"/>
  <c r="BD117" i="37"/>
  <c r="BD118" i="37"/>
  <c r="BD119" i="37"/>
  <c r="BD120" i="37"/>
  <c r="BD121" i="37"/>
  <c r="BD122" i="37"/>
  <c r="BD123" i="37"/>
  <c r="BD124" i="37"/>
  <c r="BD125" i="37"/>
  <c r="BD126" i="37"/>
  <c r="BD127" i="37"/>
  <c r="BD128" i="37"/>
  <c r="BD129" i="37"/>
  <c r="BD130" i="37"/>
  <c r="BD131" i="37"/>
  <c r="BD132" i="37"/>
  <c r="BD133" i="37"/>
  <c r="BD134" i="37"/>
  <c r="BD135" i="37"/>
  <c r="BD136" i="37"/>
  <c r="BD137" i="37"/>
  <c r="BD138" i="37"/>
  <c r="BD139" i="37"/>
  <c r="BD140" i="37"/>
  <c r="BD141" i="37"/>
  <c r="BD142" i="37"/>
  <c r="BD143" i="37"/>
  <c r="BD144" i="37"/>
  <c r="BD145" i="37"/>
  <c r="BD146" i="37"/>
  <c r="BD147" i="37"/>
  <c r="BD148" i="37"/>
  <c r="BD149" i="37"/>
  <c r="BD150" i="37"/>
  <c r="BD151" i="37"/>
  <c r="BD152" i="37"/>
  <c r="BD153" i="37"/>
  <c r="BD154" i="37"/>
  <c r="BD155" i="37"/>
  <c r="BE35" i="37"/>
  <c r="BE36" i="37"/>
  <c r="BE37" i="37"/>
  <c r="BE38" i="37"/>
  <c r="BE39" i="37"/>
  <c r="BE40" i="37"/>
  <c r="BE41" i="37"/>
  <c r="BE42" i="37"/>
  <c r="BE43" i="37"/>
  <c r="BE44" i="37"/>
  <c r="BE45" i="37"/>
  <c r="BE46" i="37"/>
  <c r="BE47" i="37"/>
  <c r="BE48" i="37"/>
  <c r="BE49" i="37"/>
  <c r="BE50" i="37"/>
  <c r="BE51" i="37"/>
  <c r="BE52" i="37"/>
  <c r="BE53" i="37"/>
  <c r="BE54" i="37"/>
  <c r="BE55" i="37"/>
  <c r="BE56" i="37"/>
  <c r="BE57" i="37"/>
  <c r="BE58" i="37"/>
  <c r="BE59" i="37"/>
  <c r="BE60" i="37"/>
  <c r="BE61" i="37"/>
  <c r="BE62" i="37"/>
  <c r="BE63" i="37"/>
  <c r="BE64" i="37"/>
  <c r="BE65" i="37"/>
  <c r="BE66" i="37"/>
  <c r="BE67" i="37"/>
  <c r="BE68" i="37"/>
  <c r="BE69" i="37"/>
  <c r="BE70" i="37"/>
  <c r="BE71" i="37"/>
  <c r="BE72" i="37"/>
  <c r="BE73" i="37"/>
  <c r="BE74" i="37"/>
  <c r="BE75" i="37"/>
  <c r="BE76" i="37"/>
  <c r="BE77" i="37"/>
  <c r="BE78" i="37"/>
  <c r="BE79" i="37"/>
  <c r="BE80" i="37"/>
  <c r="BE81" i="37"/>
  <c r="BE82" i="37"/>
  <c r="BE83" i="37"/>
  <c r="BE84" i="37"/>
  <c r="BE85" i="37"/>
  <c r="BE86" i="37"/>
  <c r="BE87" i="37"/>
  <c r="BE88" i="37"/>
  <c r="BE89" i="37"/>
  <c r="BE90" i="37"/>
  <c r="BE91" i="37"/>
  <c r="BE92" i="37"/>
  <c r="BE93" i="37"/>
  <c r="BE94" i="37"/>
  <c r="BE95" i="37"/>
  <c r="BE96" i="37"/>
  <c r="BE97" i="37"/>
  <c r="BE98" i="37"/>
  <c r="BE99" i="37"/>
  <c r="BE100" i="37"/>
  <c r="BE101" i="37"/>
  <c r="BE102" i="37"/>
  <c r="BE103" i="37"/>
  <c r="BE104" i="37"/>
  <c r="BE105" i="37"/>
  <c r="BE106" i="37"/>
  <c r="BE107" i="37"/>
  <c r="BE108" i="37"/>
  <c r="BE109" i="37"/>
  <c r="BE110" i="37"/>
  <c r="BE111" i="37"/>
  <c r="BE112" i="37"/>
  <c r="BE113" i="37"/>
  <c r="BE114" i="37"/>
  <c r="BE115" i="37"/>
  <c r="BE116" i="37"/>
  <c r="BE117" i="37"/>
  <c r="BE118" i="37"/>
  <c r="BE119" i="37"/>
  <c r="BE120" i="37"/>
  <c r="BE121" i="37"/>
  <c r="BE122" i="37"/>
  <c r="BE123" i="37"/>
  <c r="BE124" i="37"/>
  <c r="BE125" i="37"/>
  <c r="BE126" i="37"/>
  <c r="BE127" i="37"/>
  <c r="BE128" i="37"/>
  <c r="BE129" i="37"/>
  <c r="BE130" i="37"/>
  <c r="BE131" i="37"/>
  <c r="BE132" i="37"/>
  <c r="BE133" i="37"/>
  <c r="BE134" i="37"/>
  <c r="BE135" i="37"/>
  <c r="BE136" i="37"/>
  <c r="BE137" i="37"/>
  <c r="BE138" i="37"/>
  <c r="BE139" i="37"/>
  <c r="BE140" i="37"/>
  <c r="BE141" i="37"/>
  <c r="BE142" i="37"/>
  <c r="BE143" i="37"/>
  <c r="BE144" i="37"/>
  <c r="BE145" i="37"/>
  <c r="BE146" i="37"/>
  <c r="BE147" i="37"/>
  <c r="BE148" i="37"/>
  <c r="BE149" i="37"/>
  <c r="BE150" i="37"/>
  <c r="BE151" i="37"/>
  <c r="BE152" i="37"/>
  <c r="BE153" i="37"/>
  <c r="BE154" i="37"/>
  <c r="BE155" i="37"/>
  <c r="BF35" i="37"/>
  <c r="BF36" i="37"/>
  <c r="BF37" i="37"/>
  <c r="BF38" i="37"/>
  <c r="BF39" i="37"/>
  <c r="BF40" i="37"/>
  <c r="BF41" i="37"/>
  <c r="BF42" i="37"/>
  <c r="BF43" i="37"/>
  <c r="BF44" i="37"/>
  <c r="BF45" i="37"/>
  <c r="BF46" i="37"/>
  <c r="BF47" i="37"/>
  <c r="BF48" i="37"/>
  <c r="BF49" i="37"/>
  <c r="BF50" i="37"/>
  <c r="BF51" i="37"/>
  <c r="BF52" i="37"/>
  <c r="BF53" i="37"/>
  <c r="BF54" i="37"/>
  <c r="BF55" i="37"/>
  <c r="BF56" i="37"/>
  <c r="BF57" i="37"/>
  <c r="BF58" i="37"/>
  <c r="BF59" i="37"/>
  <c r="BF60" i="37"/>
  <c r="BF61" i="37"/>
  <c r="BF62" i="37"/>
  <c r="BF63" i="37"/>
  <c r="BF64" i="37"/>
  <c r="BF65" i="37"/>
  <c r="BF66" i="37"/>
  <c r="BF67" i="37"/>
  <c r="BF68" i="37"/>
  <c r="BF69" i="37"/>
  <c r="BF70" i="37"/>
  <c r="BF71" i="37"/>
  <c r="BF72" i="37"/>
  <c r="BF73" i="37"/>
  <c r="BF74" i="37"/>
  <c r="BF75" i="37"/>
  <c r="BF76" i="37"/>
  <c r="BF77" i="37"/>
  <c r="BF78" i="37"/>
  <c r="BF79" i="37"/>
  <c r="BF80" i="37"/>
  <c r="BF81" i="37"/>
  <c r="BF82" i="37"/>
  <c r="BF83" i="37"/>
  <c r="BF84" i="37"/>
  <c r="BF85" i="37"/>
  <c r="BF86" i="37"/>
  <c r="BF87" i="37"/>
  <c r="BF88" i="37"/>
  <c r="BF89" i="37"/>
  <c r="BF90" i="37"/>
  <c r="BF91" i="37"/>
  <c r="BF92" i="37"/>
  <c r="BF93" i="37"/>
  <c r="BF94" i="37"/>
  <c r="BF95" i="37"/>
  <c r="BF96" i="37"/>
  <c r="BF97" i="37"/>
  <c r="BF98" i="37"/>
  <c r="BF99" i="37"/>
  <c r="BF100" i="37"/>
  <c r="BF101" i="37"/>
  <c r="BF102" i="37"/>
  <c r="BF103" i="37"/>
  <c r="BF104" i="37"/>
  <c r="BF105" i="37"/>
  <c r="BF106" i="37"/>
  <c r="BF107" i="37"/>
  <c r="BF108" i="37"/>
  <c r="BF109" i="37"/>
  <c r="BF110" i="37"/>
  <c r="BF111" i="37"/>
  <c r="BF112" i="37"/>
  <c r="BF113" i="37"/>
  <c r="BF114" i="37"/>
  <c r="BF115" i="37"/>
  <c r="BF116" i="37"/>
  <c r="BF117" i="37"/>
  <c r="BF118" i="37"/>
  <c r="BF119" i="37"/>
  <c r="BF120" i="37"/>
  <c r="BF121" i="37"/>
  <c r="BF122" i="37"/>
  <c r="BF123" i="37"/>
  <c r="BF124" i="37"/>
  <c r="BF125" i="37"/>
  <c r="BF126" i="37"/>
  <c r="BF127" i="37"/>
  <c r="BF128" i="37"/>
  <c r="BF129" i="37"/>
  <c r="BF130" i="37"/>
  <c r="BF131" i="37"/>
  <c r="BF132" i="37"/>
  <c r="BF133" i="37"/>
  <c r="BF134" i="37"/>
  <c r="BF135" i="37"/>
  <c r="BF136" i="37"/>
  <c r="BF137" i="37"/>
  <c r="BF138" i="37"/>
  <c r="BF139" i="37"/>
  <c r="BF140" i="37"/>
  <c r="BF141" i="37"/>
  <c r="BF142" i="37"/>
  <c r="BF143" i="37"/>
  <c r="BF144" i="37"/>
  <c r="BF145" i="37"/>
  <c r="BF146" i="37"/>
  <c r="BF147" i="37"/>
  <c r="BF148" i="37"/>
  <c r="BF149" i="37"/>
  <c r="BF150" i="37"/>
  <c r="BF151" i="37"/>
  <c r="BF152" i="37"/>
  <c r="BF153" i="37"/>
  <c r="BF154" i="37"/>
  <c r="BF155" i="37"/>
  <c r="BG35" i="37"/>
  <c r="BG36" i="37"/>
  <c r="BG37" i="37"/>
  <c r="BG38" i="37"/>
  <c r="BG39" i="37"/>
  <c r="BG40" i="37"/>
  <c r="BG41" i="37"/>
  <c r="BG42" i="37"/>
  <c r="BG43" i="37"/>
  <c r="BG44" i="37"/>
  <c r="BG45" i="37"/>
  <c r="BG46" i="37"/>
  <c r="BG47" i="37"/>
  <c r="BG48" i="37"/>
  <c r="BG49" i="37"/>
  <c r="BG50" i="37"/>
  <c r="BG51" i="37"/>
  <c r="BG52" i="37"/>
  <c r="BG53" i="37"/>
  <c r="BG54" i="37"/>
  <c r="BG55" i="37"/>
  <c r="BG56" i="37"/>
  <c r="BG57" i="37"/>
  <c r="BG58" i="37"/>
  <c r="BG59" i="37"/>
  <c r="BG60" i="37"/>
  <c r="BG61" i="37"/>
  <c r="BG62" i="37"/>
  <c r="BG63" i="37"/>
  <c r="BG64" i="37"/>
  <c r="BG65" i="37"/>
  <c r="BG66" i="37"/>
  <c r="BG67" i="37"/>
  <c r="BG68" i="37"/>
  <c r="BG69" i="37"/>
  <c r="BG70" i="37"/>
  <c r="BG71" i="37"/>
  <c r="BG72" i="37"/>
  <c r="BG73" i="37"/>
  <c r="BG74" i="37"/>
  <c r="BG75" i="37"/>
  <c r="BG76" i="37"/>
  <c r="BG77" i="37"/>
  <c r="BG78" i="37"/>
  <c r="BG79" i="37"/>
  <c r="BG80" i="37"/>
  <c r="BG81" i="37"/>
  <c r="BG82" i="37"/>
  <c r="BG83" i="37"/>
  <c r="BG84" i="37"/>
  <c r="BG85" i="37"/>
  <c r="BG86" i="37"/>
  <c r="BG87" i="37"/>
  <c r="BG88" i="37"/>
  <c r="BG89" i="37"/>
  <c r="BG90" i="37"/>
  <c r="BG91" i="37"/>
  <c r="BG92" i="37"/>
  <c r="BG93" i="37"/>
  <c r="BG94" i="37"/>
  <c r="BG95" i="37"/>
  <c r="BG96" i="37"/>
  <c r="BG97" i="37"/>
  <c r="BG98" i="37"/>
  <c r="BG99" i="37"/>
  <c r="BG100" i="37"/>
  <c r="BG101" i="37"/>
  <c r="BG102" i="37"/>
  <c r="BG103" i="37"/>
  <c r="BG104" i="37"/>
  <c r="BG105" i="37"/>
  <c r="BG106" i="37"/>
  <c r="BG107" i="37"/>
  <c r="BG108" i="37"/>
  <c r="BG109" i="37"/>
  <c r="BG110" i="37"/>
  <c r="BG111" i="37"/>
  <c r="BG112" i="37"/>
  <c r="BG113" i="37"/>
  <c r="BG114" i="37"/>
  <c r="BG115" i="37"/>
  <c r="BG116" i="37"/>
  <c r="BG117" i="37"/>
  <c r="BG118" i="37"/>
  <c r="BG119" i="37"/>
  <c r="BG120" i="37"/>
  <c r="BG121" i="37"/>
  <c r="BG122" i="37"/>
  <c r="BG123" i="37"/>
  <c r="BG124" i="37"/>
  <c r="BG125" i="37"/>
  <c r="BG126" i="37"/>
  <c r="BG127" i="37"/>
  <c r="BG128" i="37"/>
  <c r="BG129" i="37"/>
  <c r="BG130" i="37"/>
  <c r="BG131" i="37"/>
  <c r="BG132" i="37"/>
  <c r="BG133" i="37"/>
  <c r="BG134" i="37"/>
  <c r="BG135" i="37"/>
  <c r="BG136" i="37"/>
  <c r="BG137" i="37"/>
  <c r="BG138" i="37"/>
  <c r="BG139" i="37"/>
  <c r="BG140" i="37"/>
  <c r="BG141" i="37"/>
  <c r="BG142" i="37"/>
  <c r="BG143" i="37"/>
  <c r="BG144" i="37"/>
  <c r="BG145" i="37"/>
  <c r="BG146" i="37"/>
  <c r="BG147" i="37"/>
  <c r="BG148" i="37"/>
  <c r="BG149" i="37"/>
  <c r="BG150" i="37"/>
  <c r="BG151" i="37"/>
  <c r="BG152" i="37"/>
  <c r="BG153" i="37"/>
  <c r="BG154" i="37"/>
  <c r="BG155" i="37"/>
  <c r="BH35" i="37"/>
  <c r="CX35" i="37" s="1"/>
  <c r="BH36" i="37"/>
  <c r="CX36" i="37" s="1"/>
  <c r="BH37" i="37"/>
  <c r="CX37" i="37" s="1"/>
  <c r="BH38" i="37"/>
  <c r="CX38" i="37" s="1"/>
  <c r="BH39" i="37"/>
  <c r="CX39" i="37" s="1"/>
  <c r="BH40" i="37"/>
  <c r="CX40" i="37" s="1"/>
  <c r="BH41" i="37"/>
  <c r="CX41" i="37" s="1"/>
  <c r="BH42" i="37"/>
  <c r="CX42" i="37" s="1"/>
  <c r="BH43" i="37"/>
  <c r="CX43" i="37" s="1"/>
  <c r="BH44" i="37"/>
  <c r="CX44" i="37" s="1"/>
  <c r="BH45" i="37"/>
  <c r="CX45" i="37" s="1"/>
  <c r="BH46" i="37"/>
  <c r="CX46" i="37" s="1"/>
  <c r="BH47" i="37"/>
  <c r="CX47" i="37" s="1"/>
  <c r="BH48" i="37"/>
  <c r="CX48" i="37" s="1"/>
  <c r="BH49" i="37"/>
  <c r="CX49" i="37" s="1"/>
  <c r="BH50" i="37"/>
  <c r="CX50" i="37" s="1"/>
  <c r="BH51" i="37"/>
  <c r="CX51" i="37" s="1"/>
  <c r="BH52" i="37"/>
  <c r="CX52" i="37" s="1"/>
  <c r="BH53" i="37"/>
  <c r="CX53" i="37" s="1"/>
  <c r="BH54" i="37"/>
  <c r="CX54" i="37" s="1"/>
  <c r="BH55" i="37"/>
  <c r="CX55" i="37" s="1"/>
  <c r="BH56" i="37"/>
  <c r="CX56" i="37" s="1"/>
  <c r="BH57" i="37"/>
  <c r="CX57" i="37" s="1"/>
  <c r="BH58" i="37"/>
  <c r="CX58" i="37" s="1"/>
  <c r="BH59" i="37"/>
  <c r="CX59" i="37" s="1"/>
  <c r="BH60" i="37"/>
  <c r="CX60" i="37" s="1"/>
  <c r="BH61" i="37"/>
  <c r="CX61" i="37" s="1"/>
  <c r="BH62" i="37"/>
  <c r="CX62" i="37" s="1"/>
  <c r="BH63" i="37"/>
  <c r="CX63" i="37" s="1"/>
  <c r="BH64" i="37"/>
  <c r="CX64" i="37" s="1"/>
  <c r="BH65" i="37"/>
  <c r="CX65" i="37" s="1"/>
  <c r="BH66" i="37"/>
  <c r="CX66" i="37" s="1"/>
  <c r="BH67" i="37"/>
  <c r="CX67" i="37" s="1"/>
  <c r="BH68" i="37"/>
  <c r="CX68" i="37" s="1"/>
  <c r="BH69" i="37"/>
  <c r="CX69" i="37" s="1"/>
  <c r="BH70" i="37"/>
  <c r="CX70" i="37" s="1"/>
  <c r="BH71" i="37"/>
  <c r="CX71" i="37" s="1"/>
  <c r="BH72" i="37"/>
  <c r="CX72" i="37" s="1"/>
  <c r="BH73" i="37"/>
  <c r="CX73" i="37" s="1"/>
  <c r="BH74" i="37"/>
  <c r="CX74" i="37" s="1"/>
  <c r="BH75" i="37"/>
  <c r="CX75" i="37" s="1"/>
  <c r="BH76" i="37"/>
  <c r="CX76" i="37" s="1"/>
  <c r="BH77" i="37"/>
  <c r="CX77" i="37" s="1"/>
  <c r="BH78" i="37"/>
  <c r="CX78" i="37" s="1"/>
  <c r="BH79" i="37"/>
  <c r="CX79" i="37" s="1"/>
  <c r="BH80" i="37"/>
  <c r="CX80" i="37" s="1"/>
  <c r="BH81" i="37"/>
  <c r="CX81" i="37" s="1"/>
  <c r="BH82" i="37"/>
  <c r="CX82" i="37" s="1"/>
  <c r="BH83" i="37"/>
  <c r="CX83" i="37" s="1"/>
  <c r="BH84" i="37"/>
  <c r="CX84" i="37" s="1"/>
  <c r="BH85" i="37"/>
  <c r="CX85" i="37" s="1"/>
  <c r="BH86" i="37"/>
  <c r="CX86" i="37" s="1"/>
  <c r="BH87" i="37"/>
  <c r="CX87" i="37" s="1"/>
  <c r="BH88" i="37"/>
  <c r="CX88" i="37" s="1"/>
  <c r="BH89" i="37"/>
  <c r="CX89" i="37" s="1"/>
  <c r="BH90" i="37"/>
  <c r="CX90" i="37" s="1"/>
  <c r="BH91" i="37"/>
  <c r="CX91" i="37" s="1"/>
  <c r="BH92" i="37"/>
  <c r="CX92" i="37" s="1"/>
  <c r="BH93" i="37"/>
  <c r="CX93" i="37" s="1"/>
  <c r="BH94" i="37"/>
  <c r="CX94" i="37" s="1"/>
  <c r="BH95" i="37"/>
  <c r="CX95" i="37" s="1"/>
  <c r="BH96" i="37"/>
  <c r="CX96" i="37" s="1"/>
  <c r="BH97" i="37"/>
  <c r="CX97" i="37" s="1"/>
  <c r="BH98" i="37"/>
  <c r="CX98" i="37" s="1"/>
  <c r="BH99" i="37"/>
  <c r="CX99" i="37" s="1"/>
  <c r="BH100" i="37"/>
  <c r="CX100" i="37" s="1"/>
  <c r="BH101" i="37"/>
  <c r="CX101" i="37" s="1"/>
  <c r="BH102" i="37"/>
  <c r="CX102" i="37" s="1"/>
  <c r="BH103" i="37"/>
  <c r="CX103" i="37" s="1"/>
  <c r="BH104" i="37"/>
  <c r="CX104" i="37" s="1"/>
  <c r="BH105" i="37"/>
  <c r="CX105" i="37" s="1"/>
  <c r="BH106" i="37"/>
  <c r="CX106" i="37" s="1"/>
  <c r="BH107" i="37"/>
  <c r="CX107" i="37" s="1"/>
  <c r="BH108" i="37"/>
  <c r="CX108" i="37" s="1"/>
  <c r="BH109" i="37"/>
  <c r="CX109" i="37" s="1"/>
  <c r="BH110" i="37"/>
  <c r="CX110" i="37" s="1"/>
  <c r="BH111" i="37"/>
  <c r="CX111" i="37" s="1"/>
  <c r="BH112" i="37"/>
  <c r="CX112" i="37" s="1"/>
  <c r="BH113" i="37"/>
  <c r="CX113" i="37" s="1"/>
  <c r="BH114" i="37"/>
  <c r="CX114" i="37" s="1"/>
  <c r="BH115" i="37"/>
  <c r="CX115" i="37" s="1"/>
  <c r="BH116" i="37"/>
  <c r="CX116" i="37" s="1"/>
  <c r="BH117" i="37"/>
  <c r="CX117" i="37" s="1"/>
  <c r="BH118" i="37"/>
  <c r="CX118" i="37" s="1"/>
  <c r="BH119" i="37"/>
  <c r="CX119" i="37" s="1"/>
  <c r="BH120" i="37"/>
  <c r="CX120" i="37" s="1"/>
  <c r="BH121" i="37"/>
  <c r="CX121" i="37" s="1"/>
  <c r="BH122" i="37"/>
  <c r="CX122" i="37" s="1"/>
  <c r="BH123" i="37"/>
  <c r="CX123" i="37" s="1"/>
  <c r="BH124" i="37"/>
  <c r="CX124" i="37" s="1"/>
  <c r="BH125" i="37"/>
  <c r="CX125" i="37" s="1"/>
  <c r="BH126" i="37"/>
  <c r="CX126" i="37" s="1"/>
  <c r="BH127" i="37"/>
  <c r="CX127" i="37" s="1"/>
  <c r="BH128" i="37"/>
  <c r="CX128" i="37" s="1"/>
  <c r="BH129" i="37"/>
  <c r="CX129" i="37" s="1"/>
  <c r="BH130" i="37"/>
  <c r="CX130" i="37" s="1"/>
  <c r="BH131" i="37"/>
  <c r="CX131" i="37" s="1"/>
  <c r="BH132" i="37"/>
  <c r="CX132" i="37" s="1"/>
  <c r="BH133" i="37"/>
  <c r="CX133" i="37" s="1"/>
  <c r="BH134" i="37"/>
  <c r="CX134" i="37" s="1"/>
  <c r="BH135" i="37"/>
  <c r="CX135" i="37" s="1"/>
  <c r="BH136" i="37"/>
  <c r="CX136" i="37" s="1"/>
  <c r="BH137" i="37"/>
  <c r="CX137" i="37" s="1"/>
  <c r="BH138" i="37"/>
  <c r="CX138" i="37" s="1"/>
  <c r="BH139" i="37"/>
  <c r="CX139" i="37" s="1"/>
  <c r="BH140" i="37"/>
  <c r="CX140" i="37" s="1"/>
  <c r="BH141" i="37"/>
  <c r="CX141" i="37" s="1"/>
  <c r="BH142" i="37"/>
  <c r="CX142" i="37" s="1"/>
  <c r="BH143" i="37"/>
  <c r="CX143" i="37" s="1"/>
  <c r="BH144" i="37"/>
  <c r="CX144" i="37" s="1"/>
  <c r="BH145" i="37"/>
  <c r="CX145" i="37" s="1"/>
  <c r="BH146" i="37"/>
  <c r="CX146" i="37" s="1"/>
  <c r="BH147" i="37"/>
  <c r="CX147" i="37" s="1"/>
  <c r="BH148" i="37"/>
  <c r="CX148" i="37" s="1"/>
  <c r="BH149" i="37"/>
  <c r="CX149" i="37" s="1"/>
  <c r="BH150" i="37"/>
  <c r="CX150" i="37" s="1"/>
  <c r="BH151" i="37"/>
  <c r="CX151" i="37" s="1"/>
  <c r="BH152" i="37"/>
  <c r="CX152" i="37" s="1"/>
  <c r="BH153" i="37"/>
  <c r="CX153" i="37" s="1"/>
  <c r="BH154" i="37"/>
  <c r="CX154" i="37" s="1"/>
  <c r="BH155" i="37"/>
  <c r="CX155" i="37" s="1"/>
  <c r="BI35" i="37"/>
  <c r="BI36" i="37"/>
  <c r="BI37" i="37"/>
  <c r="BI38" i="37"/>
  <c r="BI39" i="37"/>
  <c r="BI40" i="37"/>
  <c r="BI41" i="37"/>
  <c r="BI42" i="37"/>
  <c r="BI43" i="37"/>
  <c r="BI44" i="37"/>
  <c r="BI45" i="37"/>
  <c r="BI46" i="37"/>
  <c r="BI47" i="37"/>
  <c r="BI48" i="37"/>
  <c r="BI49" i="37"/>
  <c r="BI50" i="37"/>
  <c r="BI51" i="37"/>
  <c r="BI52" i="37"/>
  <c r="BI53" i="37"/>
  <c r="BI54" i="37"/>
  <c r="BI55" i="37"/>
  <c r="BI56" i="37"/>
  <c r="BI57" i="37"/>
  <c r="BI58" i="37"/>
  <c r="BI59" i="37"/>
  <c r="BI60" i="37"/>
  <c r="BI61" i="37"/>
  <c r="BI62" i="37"/>
  <c r="BI63" i="37"/>
  <c r="BI64" i="37"/>
  <c r="BI65" i="37"/>
  <c r="BI66" i="37"/>
  <c r="BI67" i="37"/>
  <c r="BI68" i="37"/>
  <c r="BI69" i="37"/>
  <c r="BI70" i="37"/>
  <c r="BI71" i="37"/>
  <c r="BI72" i="37"/>
  <c r="BI73" i="37"/>
  <c r="BI74" i="37"/>
  <c r="BI75" i="37"/>
  <c r="BI76" i="37"/>
  <c r="BI77" i="37"/>
  <c r="BI78" i="37"/>
  <c r="BI79" i="37"/>
  <c r="BI80" i="37"/>
  <c r="BI81" i="37"/>
  <c r="BI82" i="37"/>
  <c r="BI83" i="37"/>
  <c r="BI84" i="37"/>
  <c r="BI85" i="37"/>
  <c r="BI86" i="37"/>
  <c r="BI87" i="37"/>
  <c r="BI88" i="37"/>
  <c r="BI89" i="37"/>
  <c r="BI90" i="37"/>
  <c r="BI91" i="37"/>
  <c r="BI92" i="37"/>
  <c r="BI93" i="37"/>
  <c r="BI94" i="37"/>
  <c r="BI95" i="37"/>
  <c r="BI96" i="37"/>
  <c r="BI97" i="37"/>
  <c r="BI98" i="37"/>
  <c r="BI99" i="37"/>
  <c r="BI100" i="37"/>
  <c r="BI101" i="37"/>
  <c r="BI102" i="37"/>
  <c r="BI103" i="37"/>
  <c r="BI104" i="37"/>
  <c r="BI105" i="37"/>
  <c r="BI106" i="37"/>
  <c r="BI107" i="37"/>
  <c r="BI108" i="37"/>
  <c r="BI109" i="37"/>
  <c r="BI110" i="37"/>
  <c r="BI111" i="37"/>
  <c r="BI112" i="37"/>
  <c r="BI113" i="37"/>
  <c r="BI114" i="37"/>
  <c r="BI115" i="37"/>
  <c r="BI116" i="37"/>
  <c r="BI117" i="37"/>
  <c r="BI118" i="37"/>
  <c r="BI119" i="37"/>
  <c r="BI120" i="37"/>
  <c r="BI121" i="37"/>
  <c r="BI122" i="37"/>
  <c r="BI123" i="37"/>
  <c r="BI124" i="37"/>
  <c r="BI125" i="37"/>
  <c r="BI126" i="37"/>
  <c r="BI127" i="37"/>
  <c r="BI128" i="37"/>
  <c r="BI129" i="37"/>
  <c r="BI130" i="37"/>
  <c r="BI131" i="37"/>
  <c r="BI132" i="37"/>
  <c r="BI133" i="37"/>
  <c r="BI134" i="37"/>
  <c r="BI135" i="37"/>
  <c r="BI136" i="37"/>
  <c r="BI137" i="37"/>
  <c r="BI138" i="37"/>
  <c r="BI139" i="37"/>
  <c r="BI140" i="37"/>
  <c r="BI141" i="37"/>
  <c r="BI142" i="37"/>
  <c r="BI143" i="37"/>
  <c r="BI144" i="37"/>
  <c r="BI145" i="37"/>
  <c r="BI146" i="37"/>
  <c r="BI147" i="37"/>
  <c r="BI148" i="37"/>
  <c r="BI149" i="37"/>
  <c r="BI150" i="37"/>
  <c r="BI151" i="37"/>
  <c r="BI152" i="37"/>
  <c r="BI153" i="37"/>
  <c r="BI154" i="37"/>
  <c r="BI155" i="37"/>
  <c r="BJ35" i="37"/>
  <c r="BJ36" i="37"/>
  <c r="BJ37" i="37"/>
  <c r="BJ38" i="37"/>
  <c r="BJ39" i="37"/>
  <c r="BJ40" i="37"/>
  <c r="BJ41" i="37"/>
  <c r="BJ42" i="37"/>
  <c r="BJ43" i="37"/>
  <c r="BJ44" i="37"/>
  <c r="BJ45" i="37"/>
  <c r="BJ46" i="37"/>
  <c r="BJ47" i="37"/>
  <c r="BJ48" i="37"/>
  <c r="BJ49" i="37"/>
  <c r="BJ50" i="37"/>
  <c r="BJ51" i="37"/>
  <c r="BJ52" i="37"/>
  <c r="BJ53" i="37"/>
  <c r="BJ54" i="37"/>
  <c r="BJ55" i="37"/>
  <c r="BJ56" i="37"/>
  <c r="BJ57" i="37"/>
  <c r="BJ58" i="37"/>
  <c r="BJ59" i="37"/>
  <c r="BJ60" i="37"/>
  <c r="BJ61" i="37"/>
  <c r="BJ62" i="37"/>
  <c r="BJ63" i="37"/>
  <c r="BJ64" i="37"/>
  <c r="BJ65" i="37"/>
  <c r="BJ66" i="37"/>
  <c r="BJ67" i="37"/>
  <c r="BJ68" i="37"/>
  <c r="BJ69" i="37"/>
  <c r="BJ70" i="37"/>
  <c r="BJ71" i="37"/>
  <c r="BJ72" i="37"/>
  <c r="BJ73" i="37"/>
  <c r="BJ74" i="37"/>
  <c r="BJ75" i="37"/>
  <c r="BJ76" i="37"/>
  <c r="BJ77" i="37"/>
  <c r="BJ78" i="37"/>
  <c r="BJ79" i="37"/>
  <c r="BJ80" i="37"/>
  <c r="BJ81" i="37"/>
  <c r="BJ82" i="37"/>
  <c r="BJ83" i="37"/>
  <c r="BJ84" i="37"/>
  <c r="BJ85" i="37"/>
  <c r="BJ86" i="37"/>
  <c r="BJ87" i="37"/>
  <c r="BJ88" i="37"/>
  <c r="BJ89" i="37"/>
  <c r="BJ90" i="37"/>
  <c r="BJ91" i="37"/>
  <c r="BJ92" i="37"/>
  <c r="BJ93" i="37"/>
  <c r="BJ94" i="37"/>
  <c r="BJ95" i="37"/>
  <c r="BJ96" i="37"/>
  <c r="BJ97" i="37"/>
  <c r="BJ98" i="37"/>
  <c r="BJ99" i="37"/>
  <c r="BJ100" i="37"/>
  <c r="BJ101" i="37"/>
  <c r="BJ102" i="37"/>
  <c r="BJ103" i="37"/>
  <c r="BJ104" i="37"/>
  <c r="BJ105" i="37"/>
  <c r="BJ106" i="37"/>
  <c r="BJ107" i="37"/>
  <c r="BJ108" i="37"/>
  <c r="BJ109" i="37"/>
  <c r="BJ110" i="37"/>
  <c r="BJ111" i="37"/>
  <c r="BJ112" i="37"/>
  <c r="BJ113" i="37"/>
  <c r="BJ114" i="37"/>
  <c r="BJ115" i="37"/>
  <c r="BJ116" i="37"/>
  <c r="BJ117" i="37"/>
  <c r="BJ118" i="37"/>
  <c r="BJ119" i="37"/>
  <c r="BJ120" i="37"/>
  <c r="BJ121" i="37"/>
  <c r="BJ122" i="37"/>
  <c r="BJ123" i="37"/>
  <c r="BJ124" i="37"/>
  <c r="BJ125" i="37"/>
  <c r="BJ126" i="37"/>
  <c r="BJ127" i="37"/>
  <c r="BJ128" i="37"/>
  <c r="BJ129" i="37"/>
  <c r="BJ130" i="37"/>
  <c r="BJ131" i="37"/>
  <c r="BJ132" i="37"/>
  <c r="BJ133" i="37"/>
  <c r="BJ134" i="37"/>
  <c r="BJ135" i="37"/>
  <c r="BJ136" i="37"/>
  <c r="BJ137" i="37"/>
  <c r="BJ138" i="37"/>
  <c r="BJ139" i="37"/>
  <c r="BJ140" i="37"/>
  <c r="BJ141" i="37"/>
  <c r="BJ142" i="37"/>
  <c r="BJ143" i="37"/>
  <c r="BJ144" i="37"/>
  <c r="BJ145" i="37"/>
  <c r="BJ146" i="37"/>
  <c r="BJ147" i="37"/>
  <c r="BJ148" i="37"/>
  <c r="BJ149" i="37"/>
  <c r="BJ150" i="37"/>
  <c r="BJ151" i="37"/>
  <c r="BJ152" i="37"/>
  <c r="BJ153" i="37"/>
  <c r="BJ154" i="37"/>
  <c r="BJ155" i="37"/>
  <c r="BK35" i="37"/>
  <c r="BK36" i="37"/>
  <c r="BK37" i="37"/>
  <c r="BK38" i="37"/>
  <c r="BK39" i="37"/>
  <c r="BK40" i="37"/>
  <c r="BK41" i="37"/>
  <c r="BK42" i="37"/>
  <c r="BK43" i="37"/>
  <c r="BK44" i="37"/>
  <c r="BK45" i="37"/>
  <c r="BK46" i="37"/>
  <c r="BK47" i="37"/>
  <c r="BK48" i="37"/>
  <c r="BK49" i="37"/>
  <c r="BK50" i="37"/>
  <c r="BK51" i="37"/>
  <c r="BK52" i="37"/>
  <c r="BK53" i="37"/>
  <c r="BK54" i="37"/>
  <c r="BK55" i="37"/>
  <c r="BK56" i="37"/>
  <c r="BK57" i="37"/>
  <c r="BK58" i="37"/>
  <c r="BK59" i="37"/>
  <c r="BK60" i="37"/>
  <c r="BK61" i="37"/>
  <c r="BK62" i="37"/>
  <c r="BK63" i="37"/>
  <c r="BK64" i="37"/>
  <c r="BK65" i="37"/>
  <c r="BK66" i="37"/>
  <c r="BK67" i="37"/>
  <c r="BK68" i="37"/>
  <c r="BK69" i="37"/>
  <c r="BK70" i="37"/>
  <c r="BK71" i="37"/>
  <c r="BK72" i="37"/>
  <c r="BK73" i="37"/>
  <c r="BK74" i="37"/>
  <c r="BK75" i="37"/>
  <c r="BK76" i="37"/>
  <c r="BK77" i="37"/>
  <c r="BK78" i="37"/>
  <c r="BK79" i="37"/>
  <c r="BK80" i="37"/>
  <c r="BK81" i="37"/>
  <c r="BK82" i="37"/>
  <c r="BK83" i="37"/>
  <c r="BK84" i="37"/>
  <c r="BK85" i="37"/>
  <c r="BK86" i="37"/>
  <c r="BK87" i="37"/>
  <c r="BK88" i="37"/>
  <c r="BK89" i="37"/>
  <c r="BK90" i="37"/>
  <c r="BK91" i="37"/>
  <c r="BK92" i="37"/>
  <c r="BK93" i="37"/>
  <c r="BK94" i="37"/>
  <c r="BK95" i="37"/>
  <c r="BK96" i="37"/>
  <c r="BK97" i="37"/>
  <c r="BK98" i="37"/>
  <c r="BK99" i="37"/>
  <c r="BK100" i="37"/>
  <c r="BK101" i="37"/>
  <c r="BK102" i="37"/>
  <c r="BK103" i="37"/>
  <c r="BK104" i="37"/>
  <c r="BK105" i="37"/>
  <c r="BK106" i="37"/>
  <c r="BK107" i="37"/>
  <c r="BK108" i="37"/>
  <c r="BK109" i="37"/>
  <c r="BK110" i="37"/>
  <c r="BK111" i="37"/>
  <c r="BK112" i="37"/>
  <c r="BK113" i="37"/>
  <c r="BK114" i="37"/>
  <c r="BK115" i="37"/>
  <c r="BK116" i="37"/>
  <c r="BK117" i="37"/>
  <c r="BK118" i="37"/>
  <c r="BK119" i="37"/>
  <c r="BK120" i="37"/>
  <c r="BK121" i="37"/>
  <c r="BK122" i="37"/>
  <c r="BK123" i="37"/>
  <c r="BK124" i="37"/>
  <c r="BK125" i="37"/>
  <c r="BK126" i="37"/>
  <c r="BK127" i="37"/>
  <c r="BK128" i="37"/>
  <c r="BK129" i="37"/>
  <c r="BK130" i="37"/>
  <c r="BK131" i="37"/>
  <c r="BK132" i="37"/>
  <c r="BK133" i="37"/>
  <c r="BK134" i="37"/>
  <c r="BK135" i="37"/>
  <c r="BK136" i="37"/>
  <c r="BK137" i="37"/>
  <c r="BK138" i="37"/>
  <c r="BK139" i="37"/>
  <c r="BK140" i="37"/>
  <c r="BK141" i="37"/>
  <c r="BK142" i="37"/>
  <c r="BK143" i="37"/>
  <c r="BK144" i="37"/>
  <c r="BK145" i="37"/>
  <c r="BK146" i="37"/>
  <c r="BK147" i="37"/>
  <c r="BK148" i="37"/>
  <c r="BK149" i="37"/>
  <c r="BK150" i="37"/>
  <c r="BK151" i="37"/>
  <c r="BK152" i="37"/>
  <c r="BK153" i="37"/>
  <c r="BK154" i="37"/>
  <c r="BK155" i="37"/>
  <c r="BL35" i="37"/>
  <c r="BL36" i="37"/>
  <c r="BL37" i="37"/>
  <c r="BL38" i="37"/>
  <c r="BL39" i="37"/>
  <c r="BL40" i="37"/>
  <c r="BL41" i="37"/>
  <c r="BL42" i="37"/>
  <c r="BL43" i="37"/>
  <c r="BL44" i="37"/>
  <c r="BL45" i="37"/>
  <c r="BL46" i="37"/>
  <c r="BL47" i="37"/>
  <c r="BL48" i="37"/>
  <c r="BL49" i="37"/>
  <c r="BL50" i="37"/>
  <c r="BL51" i="37"/>
  <c r="BL52" i="37"/>
  <c r="BL53" i="37"/>
  <c r="BL54" i="37"/>
  <c r="BL55" i="37"/>
  <c r="BL56" i="37"/>
  <c r="BL57" i="37"/>
  <c r="BL58" i="37"/>
  <c r="BL59" i="37"/>
  <c r="BL60" i="37"/>
  <c r="BL61" i="37"/>
  <c r="BL62" i="37"/>
  <c r="BL63" i="37"/>
  <c r="BL64" i="37"/>
  <c r="BL65" i="37"/>
  <c r="BL66" i="37"/>
  <c r="BL67" i="37"/>
  <c r="BL68" i="37"/>
  <c r="BL69" i="37"/>
  <c r="BL70" i="37"/>
  <c r="BL71" i="37"/>
  <c r="BL72" i="37"/>
  <c r="BL73" i="37"/>
  <c r="BL74" i="37"/>
  <c r="BL75" i="37"/>
  <c r="BL76" i="37"/>
  <c r="BL77" i="37"/>
  <c r="BL78" i="37"/>
  <c r="BL79" i="37"/>
  <c r="BL80" i="37"/>
  <c r="BL81" i="37"/>
  <c r="BL82" i="37"/>
  <c r="BL83" i="37"/>
  <c r="BL84" i="37"/>
  <c r="BL85" i="37"/>
  <c r="BL86" i="37"/>
  <c r="BL87" i="37"/>
  <c r="BL88" i="37"/>
  <c r="BL89" i="37"/>
  <c r="BL90" i="37"/>
  <c r="BL91" i="37"/>
  <c r="BL92" i="37"/>
  <c r="BL93" i="37"/>
  <c r="BL94" i="37"/>
  <c r="BL95" i="37"/>
  <c r="BL96" i="37"/>
  <c r="BL97" i="37"/>
  <c r="BL98" i="37"/>
  <c r="BL99" i="37"/>
  <c r="BL100" i="37"/>
  <c r="BL101" i="37"/>
  <c r="BL102" i="37"/>
  <c r="BL103" i="37"/>
  <c r="BL104" i="37"/>
  <c r="BL105" i="37"/>
  <c r="BL106" i="37"/>
  <c r="BL107" i="37"/>
  <c r="BL108" i="37"/>
  <c r="BL109" i="37"/>
  <c r="BL110" i="37"/>
  <c r="BL111" i="37"/>
  <c r="BL112" i="37"/>
  <c r="BL113" i="37"/>
  <c r="BL114" i="37"/>
  <c r="BL115" i="37"/>
  <c r="BL116" i="37"/>
  <c r="BL117" i="37"/>
  <c r="BL118" i="37"/>
  <c r="BL119" i="37"/>
  <c r="BL120" i="37"/>
  <c r="BL121" i="37"/>
  <c r="BL122" i="37"/>
  <c r="BL123" i="37"/>
  <c r="BL124" i="37"/>
  <c r="BL125" i="37"/>
  <c r="BL126" i="37"/>
  <c r="BL127" i="37"/>
  <c r="BL128" i="37"/>
  <c r="BL129" i="37"/>
  <c r="BL130" i="37"/>
  <c r="BL131" i="37"/>
  <c r="BL132" i="37"/>
  <c r="BL133" i="37"/>
  <c r="BL134" i="37"/>
  <c r="BL135" i="37"/>
  <c r="BL136" i="37"/>
  <c r="BL137" i="37"/>
  <c r="BL138" i="37"/>
  <c r="BL139" i="37"/>
  <c r="BL140" i="37"/>
  <c r="BL141" i="37"/>
  <c r="BL142" i="37"/>
  <c r="BL143" i="37"/>
  <c r="BL144" i="37"/>
  <c r="BL145" i="37"/>
  <c r="BL146" i="37"/>
  <c r="BL147" i="37"/>
  <c r="BL148" i="37"/>
  <c r="BL149" i="37"/>
  <c r="BL150" i="37"/>
  <c r="BL151" i="37"/>
  <c r="BL152" i="37"/>
  <c r="BL153" i="37"/>
  <c r="BL154" i="37"/>
  <c r="BL155" i="37"/>
  <c r="B153" i="37"/>
  <c r="B156" i="29"/>
  <c r="B157" i="29"/>
  <c r="AH133" i="29"/>
  <c r="AH134" i="29"/>
  <c r="AH135" i="29"/>
  <c r="AH136" i="29"/>
  <c r="AH137" i="29"/>
  <c r="AH138" i="29"/>
  <c r="AH139" i="29"/>
  <c r="AH140" i="29"/>
  <c r="AH141" i="29"/>
  <c r="AH142" i="29"/>
  <c r="AH143" i="29"/>
  <c r="AH144" i="29"/>
  <c r="AH145" i="29"/>
  <c r="AH146" i="29"/>
  <c r="AH147" i="29"/>
  <c r="AH148" i="29"/>
  <c r="AH149" i="29"/>
  <c r="AH150" i="29"/>
  <c r="AH151" i="29"/>
  <c r="AH152" i="29"/>
  <c r="AH153" i="29"/>
  <c r="AH154" i="29"/>
  <c r="AH155" i="29"/>
  <c r="AH156" i="29"/>
  <c r="AH157" i="29"/>
  <c r="AI133" i="29"/>
  <c r="AI134" i="29"/>
  <c r="AI135" i="29"/>
  <c r="AI136" i="29"/>
  <c r="AI137" i="29"/>
  <c r="AI138" i="29"/>
  <c r="AI139" i="29"/>
  <c r="AI140" i="29"/>
  <c r="AI141" i="29"/>
  <c r="AI142" i="29"/>
  <c r="AI143" i="29"/>
  <c r="AI144" i="29"/>
  <c r="AI145" i="29"/>
  <c r="AI146" i="29"/>
  <c r="AI147" i="29"/>
  <c r="AI148" i="29"/>
  <c r="AI149" i="29"/>
  <c r="AI150" i="29"/>
  <c r="AI151" i="29"/>
  <c r="AI152" i="29"/>
  <c r="AI153" i="29"/>
  <c r="AI154" i="29"/>
  <c r="AI155" i="29"/>
  <c r="AI156" i="29"/>
  <c r="AI157" i="29"/>
  <c r="AJ133" i="29"/>
  <c r="AJ134" i="29"/>
  <c r="AJ135" i="29"/>
  <c r="AJ136" i="29"/>
  <c r="AJ137" i="29"/>
  <c r="AJ138" i="29"/>
  <c r="AJ139" i="29"/>
  <c r="AJ140" i="29"/>
  <c r="AJ141" i="29"/>
  <c r="AJ142" i="29"/>
  <c r="AJ143" i="29"/>
  <c r="AJ144" i="29"/>
  <c r="AJ145" i="29"/>
  <c r="AJ146" i="29"/>
  <c r="AJ147" i="29"/>
  <c r="AJ148" i="29"/>
  <c r="AJ149" i="29"/>
  <c r="AJ150" i="29"/>
  <c r="AJ151" i="29"/>
  <c r="AJ152" i="29"/>
  <c r="AJ153" i="29"/>
  <c r="AJ154" i="29"/>
  <c r="AJ155" i="29"/>
  <c r="AJ156" i="29"/>
  <c r="AJ157" i="29"/>
  <c r="AK133" i="29"/>
  <c r="AK134" i="29"/>
  <c r="AK135" i="29"/>
  <c r="AK136" i="29"/>
  <c r="AK137" i="29"/>
  <c r="AK138" i="29"/>
  <c r="AK139" i="29"/>
  <c r="AK140" i="29"/>
  <c r="AK141" i="29"/>
  <c r="AK142" i="29"/>
  <c r="AK143" i="29"/>
  <c r="AK144" i="29"/>
  <c r="AK145" i="29"/>
  <c r="AK146" i="29"/>
  <c r="AK147" i="29"/>
  <c r="AK148" i="29"/>
  <c r="AK149" i="29"/>
  <c r="AK150" i="29"/>
  <c r="AK151" i="29"/>
  <c r="AK152" i="29"/>
  <c r="AK153" i="29"/>
  <c r="AK154" i="29"/>
  <c r="AK155" i="29"/>
  <c r="AK156" i="29"/>
  <c r="AK157" i="29"/>
  <c r="AL133" i="29"/>
  <c r="AL134" i="29"/>
  <c r="AL135" i="29"/>
  <c r="AL136" i="29"/>
  <c r="AL137" i="29"/>
  <c r="AL138" i="29"/>
  <c r="AL139" i="29"/>
  <c r="AL140" i="29"/>
  <c r="AL141" i="29"/>
  <c r="AL142" i="29"/>
  <c r="AL143" i="29"/>
  <c r="AL144" i="29"/>
  <c r="AL145" i="29"/>
  <c r="AL146" i="29"/>
  <c r="AL147" i="29"/>
  <c r="AL148" i="29"/>
  <c r="AL149" i="29"/>
  <c r="AL150" i="29"/>
  <c r="AL151" i="29"/>
  <c r="AL152" i="29"/>
  <c r="AL153" i="29"/>
  <c r="AL154" i="29"/>
  <c r="AL155" i="29"/>
  <c r="AL156" i="29"/>
  <c r="AL157" i="29"/>
  <c r="AM133" i="29"/>
  <c r="AM134" i="29"/>
  <c r="AM135" i="29"/>
  <c r="AM136" i="29"/>
  <c r="AM137" i="29"/>
  <c r="AM138" i="29"/>
  <c r="AM139" i="29"/>
  <c r="AM140" i="29"/>
  <c r="AM141" i="29"/>
  <c r="AM142" i="29"/>
  <c r="AM143" i="29"/>
  <c r="AM144" i="29"/>
  <c r="AM145" i="29"/>
  <c r="AM146" i="29"/>
  <c r="AM147" i="29"/>
  <c r="AM148" i="29"/>
  <c r="AM149" i="29"/>
  <c r="AM150" i="29"/>
  <c r="AM151" i="29"/>
  <c r="AM152" i="29"/>
  <c r="AM153" i="29"/>
  <c r="AM154" i="29"/>
  <c r="AM155" i="29"/>
  <c r="AM156" i="29"/>
  <c r="AM157" i="29"/>
  <c r="CW157" i="29" s="1"/>
  <c r="AN133" i="29"/>
  <c r="AN134" i="29"/>
  <c r="AN135" i="29"/>
  <c r="AN136" i="29"/>
  <c r="AN137" i="29"/>
  <c r="AN138" i="29"/>
  <c r="AN139" i="29"/>
  <c r="AN140" i="29"/>
  <c r="AN141" i="29"/>
  <c r="AN142" i="29"/>
  <c r="AN143" i="29"/>
  <c r="AN144" i="29"/>
  <c r="AN145" i="29"/>
  <c r="AN146" i="29"/>
  <c r="AN147" i="29"/>
  <c r="AN148" i="29"/>
  <c r="AN149" i="29"/>
  <c r="AN150" i="29"/>
  <c r="AN151" i="29"/>
  <c r="AN152" i="29"/>
  <c r="AN153" i="29"/>
  <c r="AN154" i="29"/>
  <c r="AN155" i="29"/>
  <c r="AN156" i="29"/>
  <c r="AN157" i="29"/>
  <c r="AO133" i="29"/>
  <c r="AO134" i="29"/>
  <c r="AO135" i="29"/>
  <c r="AO136" i="29"/>
  <c r="AO137" i="29"/>
  <c r="AO138" i="29"/>
  <c r="AO139" i="29"/>
  <c r="AO140" i="29"/>
  <c r="AO141" i="29"/>
  <c r="AO142" i="29"/>
  <c r="AO143" i="29"/>
  <c r="AO144" i="29"/>
  <c r="AO145" i="29"/>
  <c r="AO146" i="29"/>
  <c r="AO147" i="29"/>
  <c r="AO148" i="29"/>
  <c r="AO149" i="29"/>
  <c r="AO150" i="29"/>
  <c r="AO151" i="29"/>
  <c r="AO152" i="29"/>
  <c r="AO153" i="29"/>
  <c r="AO154" i="29"/>
  <c r="AO155" i="29"/>
  <c r="AO156" i="29"/>
  <c r="AO157" i="29"/>
  <c r="AP133" i="29"/>
  <c r="AP134" i="29"/>
  <c r="AP135" i="29"/>
  <c r="AP136" i="29"/>
  <c r="AP137" i="29"/>
  <c r="AP138" i="29"/>
  <c r="AP139" i="29"/>
  <c r="AP140" i="29"/>
  <c r="AP141" i="29"/>
  <c r="AP142" i="29"/>
  <c r="AP143" i="29"/>
  <c r="AP144" i="29"/>
  <c r="AP145" i="29"/>
  <c r="AP146" i="29"/>
  <c r="AP147" i="29"/>
  <c r="AP148" i="29"/>
  <c r="AP149" i="29"/>
  <c r="AP150" i="29"/>
  <c r="AP151" i="29"/>
  <c r="AP152" i="29"/>
  <c r="AP153" i="29"/>
  <c r="AP154" i="29"/>
  <c r="AP155" i="29"/>
  <c r="AP156" i="29"/>
  <c r="AP157" i="29"/>
  <c r="AQ133" i="29"/>
  <c r="AQ134" i="29"/>
  <c r="AQ135" i="29"/>
  <c r="AQ136" i="29"/>
  <c r="AQ137" i="29"/>
  <c r="AQ138" i="29"/>
  <c r="AQ139" i="29"/>
  <c r="AQ140" i="29"/>
  <c r="AQ141" i="29"/>
  <c r="AQ142" i="29"/>
  <c r="AQ143" i="29"/>
  <c r="AQ144" i="29"/>
  <c r="AQ145" i="29"/>
  <c r="AQ146" i="29"/>
  <c r="AQ147" i="29"/>
  <c r="AQ148" i="29"/>
  <c r="AQ149" i="29"/>
  <c r="AQ150" i="29"/>
  <c r="AQ151" i="29"/>
  <c r="AQ152" i="29"/>
  <c r="AQ153" i="29"/>
  <c r="AQ154" i="29"/>
  <c r="AQ155" i="29"/>
  <c r="AQ156" i="29"/>
  <c r="AQ157" i="29"/>
  <c r="AR133" i="29"/>
  <c r="AR134" i="29"/>
  <c r="AR135" i="29"/>
  <c r="AR136" i="29"/>
  <c r="AR137" i="29"/>
  <c r="AR138" i="29"/>
  <c r="AR139" i="29"/>
  <c r="AR140" i="29"/>
  <c r="AR141" i="29"/>
  <c r="AR142" i="29"/>
  <c r="AR143" i="29"/>
  <c r="AR144" i="29"/>
  <c r="AR145" i="29"/>
  <c r="AR146" i="29"/>
  <c r="AR147" i="29"/>
  <c r="AR148" i="29"/>
  <c r="AR149" i="29"/>
  <c r="AR150" i="29"/>
  <c r="AR151" i="29"/>
  <c r="AR152" i="29"/>
  <c r="AR153" i="29"/>
  <c r="AR154" i="29"/>
  <c r="AR155" i="29"/>
  <c r="AR156" i="29"/>
  <c r="AR157" i="29"/>
  <c r="AS133" i="29"/>
  <c r="AS134" i="29"/>
  <c r="AS135" i="29"/>
  <c r="AS136" i="29"/>
  <c r="AS137" i="29"/>
  <c r="AS138" i="29"/>
  <c r="AS139" i="29"/>
  <c r="AS140" i="29"/>
  <c r="AS141" i="29"/>
  <c r="AS142" i="29"/>
  <c r="AS143" i="29"/>
  <c r="AS144" i="29"/>
  <c r="AS145" i="29"/>
  <c r="AS146" i="29"/>
  <c r="AS147" i="29"/>
  <c r="AS148" i="29"/>
  <c r="AS149" i="29"/>
  <c r="AS150" i="29"/>
  <c r="AS151" i="29"/>
  <c r="AS152" i="29"/>
  <c r="AS153" i="29"/>
  <c r="AS154" i="29"/>
  <c r="AS155" i="29"/>
  <c r="AS156" i="29"/>
  <c r="AS157" i="29"/>
  <c r="AT133" i="29"/>
  <c r="AT134" i="29"/>
  <c r="AT135" i="29"/>
  <c r="AT136" i="29"/>
  <c r="AT137" i="29"/>
  <c r="AT138" i="29"/>
  <c r="AT139" i="29"/>
  <c r="AT140" i="29"/>
  <c r="AT141" i="29"/>
  <c r="AT142" i="29"/>
  <c r="AT143" i="29"/>
  <c r="AT144" i="29"/>
  <c r="AT145" i="29"/>
  <c r="AT146" i="29"/>
  <c r="AT147" i="29"/>
  <c r="AT148" i="29"/>
  <c r="AT149" i="29"/>
  <c r="AT150" i="29"/>
  <c r="AT151" i="29"/>
  <c r="AT152" i="29"/>
  <c r="AT153" i="29"/>
  <c r="AT154" i="29"/>
  <c r="AT155" i="29"/>
  <c r="AT156" i="29"/>
  <c r="AT157" i="29"/>
  <c r="AU133" i="29"/>
  <c r="AU134" i="29"/>
  <c r="AU135" i="29"/>
  <c r="AU136" i="29"/>
  <c r="AU137" i="29"/>
  <c r="AU138" i="29"/>
  <c r="AU139" i="29"/>
  <c r="AU140" i="29"/>
  <c r="AU141" i="29"/>
  <c r="AU142" i="29"/>
  <c r="AU143" i="29"/>
  <c r="AU144" i="29"/>
  <c r="AU145" i="29"/>
  <c r="AU146" i="29"/>
  <c r="AU147" i="29"/>
  <c r="AU148" i="29"/>
  <c r="AU149" i="29"/>
  <c r="AU150" i="29"/>
  <c r="AU151" i="29"/>
  <c r="AU152" i="29"/>
  <c r="AU153" i="29"/>
  <c r="AU154" i="29"/>
  <c r="AU155" i="29"/>
  <c r="AU156" i="29"/>
  <c r="AU157" i="29"/>
  <c r="AV133" i="29"/>
  <c r="AV134" i="29"/>
  <c r="AV135" i="29"/>
  <c r="AV136" i="29"/>
  <c r="AV137" i="29"/>
  <c r="AV138" i="29"/>
  <c r="AV139" i="29"/>
  <c r="AV140" i="29"/>
  <c r="AV141" i="29"/>
  <c r="AV142" i="29"/>
  <c r="AV143" i="29"/>
  <c r="AV144" i="29"/>
  <c r="AV145" i="29"/>
  <c r="AV146" i="29"/>
  <c r="AV147" i="29"/>
  <c r="AV148" i="29"/>
  <c r="AV149" i="29"/>
  <c r="AV150" i="29"/>
  <c r="AV151" i="29"/>
  <c r="AV152" i="29"/>
  <c r="AV153" i="29"/>
  <c r="AV154" i="29"/>
  <c r="AV155" i="29"/>
  <c r="AV156" i="29"/>
  <c r="AV157" i="29"/>
  <c r="AW133" i="29"/>
  <c r="AW134" i="29"/>
  <c r="AW135" i="29"/>
  <c r="AW136" i="29"/>
  <c r="AW137" i="29"/>
  <c r="AW138" i="29"/>
  <c r="AW139" i="29"/>
  <c r="AW140" i="29"/>
  <c r="AW141" i="29"/>
  <c r="AW142" i="29"/>
  <c r="AW143" i="29"/>
  <c r="AW144" i="29"/>
  <c r="AW145" i="29"/>
  <c r="AW146" i="29"/>
  <c r="AW147" i="29"/>
  <c r="AW148" i="29"/>
  <c r="AW149" i="29"/>
  <c r="AW150" i="29"/>
  <c r="AW151" i="29"/>
  <c r="AW152" i="29"/>
  <c r="AW153" i="29"/>
  <c r="AW154" i="29"/>
  <c r="AW155" i="29"/>
  <c r="AW156" i="29"/>
  <c r="AW157" i="29"/>
  <c r="AX133" i="29"/>
  <c r="AX134" i="29"/>
  <c r="AX135" i="29"/>
  <c r="AX136" i="29"/>
  <c r="AX137" i="29"/>
  <c r="AX138" i="29"/>
  <c r="AX139" i="29"/>
  <c r="AX140" i="29"/>
  <c r="AX141" i="29"/>
  <c r="AX142" i="29"/>
  <c r="AX143" i="29"/>
  <c r="AX144" i="29"/>
  <c r="AX145" i="29"/>
  <c r="AX146" i="29"/>
  <c r="AX147" i="29"/>
  <c r="AX148" i="29"/>
  <c r="AX149" i="29"/>
  <c r="AX150" i="29"/>
  <c r="AX151" i="29"/>
  <c r="AX152" i="29"/>
  <c r="AX153" i="29"/>
  <c r="AX154" i="29"/>
  <c r="AX155" i="29"/>
  <c r="AX156" i="29"/>
  <c r="AX157" i="29"/>
  <c r="AY133" i="29"/>
  <c r="AY134" i="29"/>
  <c r="AY135" i="29"/>
  <c r="AY136" i="29"/>
  <c r="AY137" i="29"/>
  <c r="AY138" i="29"/>
  <c r="AY139" i="29"/>
  <c r="AY140" i="29"/>
  <c r="AY141" i="29"/>
  <c r="AY142" i="29"/>
  <c r="AY143" i="29"/>
  <c r="AY144" i="29"/>
  <c r="AY145" i="29"/>
  <c r="AY146" i="29"/>
  <c r="AY147" i="29"/>
  <c r="AY148" i="29"/>
  <c r="AY149" i="29"/>
  <c r="AY150" i="29"/>
  <c r="AY151" i="29"/>
  <c r="AY152" i="29"/>
  <c r="AY153" i="29"/>
  <c r="AY154" i="29"/>
  <c r="AY155" i="29"/>
  <c r="AY156" i="29"/>
  <c r="AY157" i="29"/>
  <c r="AZ133" i="29"/>
  <c r="AZ134" i="29"/>
  <c r="AZ135" i="29"/>
  <c r="AZ136" i="29"/>
  <c r="AZ137" i="29"/>
  <c r="AZ138" i="29"/>
  <c r="AZ139" i="29"/>
  <c r="AZ140" i="29"/>
  <c r="AZ141" i="29"/>
  <c r="AZ142" i="29"/>
  <c r="AZ143" i="29"/>
  <c r="AZ144" i="29"/>
  <c r="AZ145" i="29"/>
  <c r="AZ146" i="29"/>
  <c r="AZ147" i="29"/>
  <c r="AZ148" i="29"/>
  <c r="AZ149" i="29"/>
  <c r="AZ150" i="29"/>
  <c r="AZ151" i="29"/>
  <c r="AZ152" i="29"/>
  <c r="AZ153" i="29"/>
  <c r="AZ154" i="29"/>
  <c r="AZ155" i="29"/>
  <c r="AZ156" i="29"/>
  <c r="AZ157" i="29"/>
  <c r="BA133" i="29"/>
  <c r="BA134" i="29"/>
  <c r="BA135" i="29"/>
  <c r="BA136" i="29"/>
  <c r="BA137" i="29"/>
  <c r="BA138" i="29"/>
  <c r="BA139" i="29"/>
  <c r="BA140" i="29"/>
  <c r="BA141" i="29"/>
  <c r="BA142" i="29"/>
  <c r="BA143" i="29"/>
  <c r="BA144" i="29"/>
  <c r="BA145" i="29"/>
  <c r="BA146" i="29"/>
  <c r="BA147" i="29"/>
  <c r="BA148" i="29"/>
  <c r="BA149" i="29"/>
  <c r="BA150" i="29"/>
  <c r="BA151" i="29"/>
  <c r="BA152" i="29"/>
  <c r="BA153" i="29"/>
  <c r="BA154" i="29"/>
  <c r="BA155" i="29"/>
  <c r="BA156" i="29"/>
  <c r="BA157" i="29"/>
  <c r="BB133" i="29"/>
  <c r="BB134" i="29"/>
  <c r="BB135" i="29"/>
  <c r="BB136" i="29"/>
  <c r="BB137" i="29"/>
  <c r="BB138" i="29"/>
  <c r="BB139" i="29"/>
  <c r="BB140" i="29"/>
  <c r="BB141" i="29"/>
  <c r="BB142" i="29"/>
  <c r="BB143" i="29"/>
  <c r="BB144" i="29"/>
  <c r="BB145" i="29"/>
  <c r="BB146" i="29"/>
  <c r="BB147" i="29"/>
  <c r="BB148" i="29"/>
  <c r="BB149" i="29"/>
  <c r="BB150" i="29"/>
  <c r="BB151" i="29"/>
  <c r="BB152" i="29"/>
  <c r="BB153" i="29"/>
  <c r="BB154" i="29"/>
  <c r="BB155" i="29"/>
  <c r="BB156" i="29"/>
  <c r="BB157" i="29"/>
  <c r="BC133" i="29"/>
  <c r="BC134" i="29"/>
  <c r="BC135" i="29"/>
  <c r="BC136" i="29"/>
  <c r="BC137" i="29"/>
  <c r="BC138" i="29"/>
  <c r="BC139" i="29"/>
  <c r="BC140" i="29"/>
  <c r="BC141" i="29"/>
  <c r="BC142" i="29"/>
  <c r="BC143" i="29"/>
  <c r="BC144" i="29"/>
  <c r="BC145" i="29"/>
  <c r="BC146" i="29"/>
  <c r="BC147" i="29"/>
  <c r="BC148" i="29"/>
  <c r="BC149" i="29"/>
  <c r="BC150" i="29"/>
  <c r="BC151" i="29"/>
  <c r="BC152" i="29"/>
  <c r="BC153" i="29"/>
  <c r="BC154" i="29"/>
  <c r="BC155" i="29"/>
  <c r="BC156" i="29"/>
  <c r="BC157" i="29"/>
  <c r="BD133" i="29"/>
  <c r="BD134" i="29"/>
  <c r="BD135" i="29"/>
  <c r="BD136" i="29"/>
  <c r="BD137" i="29"/>
  <c r="BD138" i="29"/>
  <c r="BD139" i="29"/>
  <c r="BD140" i="29"/>
  <c r="BD141" i="29"/>
  <c r="BD142" i="29"/>
  <c r="BD143" i="29"/>
  <c r="BD144" i="29"/>
  <c r="BD145" i="29"/>
  <c r="BD146" i="29"/>
  <c r="BD147" i="29"/>
  <c r="BD148" i="29"/>
  <c r="BD149" i="29"/>
  <c r="BD150" i="29"/>
  <c r="BD151" i="29"/>
  <c r="BD152" i="29"/>
  <c r="BD153" i="29"/>
  <c r="BD154" i="29"/>
  <c r="BD155" i="29"/>
  <c r="BD156" i="29"/>
  <c r="BD157" i="29"/>
  <c r="BE133" i="29"/>
  <c r="BE134" i="29"/>
  <c r="BE135" i="29"/>
  <c r="BE136" i="29"/>
  <c r="BE137" i="29"/>
  <c r="BE138" i="29"/>
  <c r="BE139" i="29"/>
  <c r="BE140" i="29"/>
  <c r="BE141" i="29"/>
  <c r="BE142" i="29"/>
  <c r="BE143" i="29"/>
  <c r="BE144" i="29"/>
  <c r="BE145" i="29"/>
  <c r="BE146" i="29"/>
  <c r="BE147" i="29"/>
  <c r="BE148" i="29"/>
  <c r="BE149" i="29"/>
  <c r="BE150" i="29"/>
  <c r="BE151" i="29"/>
  <c r="BE152" i="29"/>
  <c r="BE153" i="29"/>
  <c r="BE154" i="29"/>
  <c r="BE155" i="29"/>
  <c r="BE156" i="29"/>
  <c r="BE157" i="29"/>
  <c r="BF133" i="29"/>
  <c r="BF134" i="29"/>
  <c r="BF135" i="29"/>
  <c r="BF136" i="29"/>
  <c r="BF137" i="29"/>
  <c r="BF138" i="29"/>
  <c r="BF139" i="29"/>
  <c r="BF140" i="29"/>
  <c r="BF141" i="29"/>
  <c r="BF142" i="29"/>
  <c r="BF143" i="29"/>
  <c r="BF144" i="29"/>
  <c r="BF145" i="29"/>
  <c r="BF146" i="29"/>
  <c r="BF147" i="29"/>
  <c r="BF148" i="29"/>
  <c r="BF149" i="29"/>
  <c r="BF150" i="29"/>
  <c r="BF151" i="29"/>
  <c r="BF152" i="29"/>
  <c r="BF153" i="29"/>
  <c r="BF154" i="29"/>
  <c r="BF155" i="29"/>
  <c r="BF156" i="29"/>
  <c r="BF157" i="29"/>
  <c r="BG133" i="29"/>
  <c r="BG134" i="29"/>
  <c r="BG135" i="29"/>
  <c r="BG136" i="29"/>
  <c r="BG137" i="29"/>
  <c r="BG138" i="29"/>
  <c r="BG139" i="29"/>
  <c r="BG140" i="29"/>
  <c r="BG141" i="29"/>
  <c r="BG142" i="29"/>
  <c r="BG143" i="29"/>
  <c r="BG144" i="29"/>
  <c r="BG145" i="29"/>
  <c r="BG146" i="29"/>
  <c r="BG147" i="29"/>
  <c r="BG148" i="29"/>
  <c r="BG149" i="29"/>
  <c r="BG150" i="29"/>
  <c r="BG151" i="29"/>
  <c r="BG152" i="29"/>
  <c r="BG153" i="29"/>
  <c r="BG154" i="29"/>
  <c r="BG155" i="29"/>
  <c r="BG156" i="29"/>
  <c r="BG157" i="29"/>
  <c r="BH133" i="29"/>
  <c r="CX133" i="29" s="1"/>
  <c r="BH134" i="29"/>
  <c r="CX134" i="29" s="1"/>
  <c r="BH135" i="29"/>
  <c r="CX135" i="29" s="1"/>
  <c r="BH136" i="29"/>
  <c r="CX136" i="29" s="1"/>
  <c r="BH137" i="29"/>
  <c r="CX137" i="29" s="1"/>
  <c r="BH138" i="29"/>
  <c r="CX138" i="29" s="1"/>
  <c r="BH139" i="29"/>
  <c r="CX139" i="29" s="1"/>
  <c r="BH140" i="29"/>
  <c r="CX140" i="29" s="1"/>
  <c r="BH141" i="29"/>
  <c r="CX141" i="29" s="1"/>
  <c r="BH142" i="29"/>
  <c r="CX142" i="29" s="1"/>
  <c r="BH143" i="29"/>
  <c r="CX143" i="29" s="1"/>
  <c r="BH144" i="29"/>
  <c r="CX144" i="29" s="1"/>
  <c r="BH145" i="29"/>
  <c r="CX145" i="29" s="1"/>
  <c r="BH146" i="29"/>
  <c r="CX146" i="29" s="1"/>
  <c r="BH147" i="29"/>
  <c r="CX147" i="29" s="1"/>
  <c r="BH148" i="29"/>
  <c r="CX148" i="29" s="1"/>
  <c r="BH149" i="29"/>
  <c r="CX149" i="29" s="1"/>
  <c r="BH150" i="29"/>
  <c r="CX150" i="29" s="1"/>
  <c r="BH151" i="29"/>
  <c r="CX151" i="29" s="1"/>
  <c r="BH152" i="29"/>
  <c r="CX152" i="29" s="1"/>
  <c r="BH153" i="29"/>
  <c r="CX153" i="29" s="1"/>
  <c r="BH154" i="29"/>
  <c r="BH155" i="29"/>
  <c r="BH156" i="29"/>
  <c r="CX156" i="29" s="1"/>
  <c r="BH157" i="29"/>
  <c r="CX157" i="29" s="1"/>
  <c r="BI133" i="29"/>
  <c r="BI134" i="29"/>
  <c r="BI135" i="29"/>
  <c r="BI136" i="29"/>
  <c r="BI137" i="29"/>
  <c r="BI138" i="29"/>
  <c r="BI139" i="29"/>
  <c r="BI140" i="29"/>
  <c r="BI141" i="29"/>
  <c r="BI142" i="29"/>
  <c r="BI143" i="29"/>
  <c r="BI144" i="29"/>
  <c r="BI145" i="29"/>
  <c r="BI146" i="29"/>
  <c r="BI147" i="29"/>
  <c r="BI148" i="29"/>
  <c r="BI149" i="29"/>
  <c r="BI150" i="29"/>
  <c r="BI151" i="29"/>
  <c r="BI152" i="29"/>
  <c r="BI153" i="29"/>
  <c r="BI154" i="29"/>
  <c r="BI155" i="29"/>
  <c r="BI156" i="29"/>
  <c r="BI157" i="29"/>
  <c r="BJ133" i="29"/>
  <c r="BJ134" i="29"/>
  <c r="BJ135" i="29"/>
  <c r="BJ136" i="29"/>
  <c r="BJ137" i="29"/>
  <c r="BJ138" i="29"/>
  <c r="BJ139" i="29"/>
  <c r="BJ140" i="29"/>
  <c r="BJ141" i="29"/>
  <c r="BJ142" i="29"/>
  <c r="BJ143" i="29"/>
  <c r="BJ144" i="29"/>
  <c r="BJ145" i="29"/>
  <c r="BJ146" i="29"/>
  <c r="BJ147" i="29"/>
  <c r="BJ148" i="29"/>
  <c r="BJ149" i="29"/>
  <c r="BJ150" i="29"/>
  <c r="BJ151" i="29"/>
  <c r="BJ152" i="29"/>
  <c r="BJ153" i="29"/>
  <c r="BJ154" i="29"/>
  <c r="BJ155" i="29"/>
  <c r="BJ156" i="29"/>
  <c r="BJ157" i="29"/>
  <c r="BK133" i="29"/>
  <c r="BK134" i="29"/>
  <c r="BK135" i="29"/>
  <c r="BK136" i="29"/>
  <c r="BK137" i="29"/>
  <c r="BK138" i="29"/>
  <c r="BK139" i="29"/>
  <c r="BK140" i="29"/>
  <c r="BK141" i="29"/>
  <c r="BK142" i="29"/>
  <c r="BK143" i="29"/>
  <c r="BK144" i="29"/>
  <c r="BK145" i="29"/>
  <c r="BK146" i="29"/>
  <c r="BK147" i="29"/>
  <c r="BK148" i="29"/>
  <c r="BK149" i="29"/>
  <c r="BK150" i="29"/>
  <c r="BK151" i="29"/>
  <c r="BK152" i="29"/>
  <c r="BK153" i="29"/>
  <c r="BK154" i="29"/>
  <c r="BK155" i="29"/>
  <c r="BK156" i="29"/>
  <c r="BK157" i="29"/>
  <c r="BL133" i="29"/>
  <c r="BL134" i="29"/>
  <c r="BL135" i="29"/>
  <c r="BL136" i="29"/>
  <c r="BL137" i="29"/>
  <c r="BL138" i="29"/>
  <c r="BL139" i="29"/>
  <c r="BL140" i="29"/>
  <c r="BL141" i="29"/>
  <c r="BL142" i="29"/>
  <c r="BL143" i="29"/>
  <c r="BL144" i="29"/>
  <c r="BL145" i="29"/>
  <c r="BL146" i="29"/>
  <c r="BL147" i="29"/>
  <c r="BL148" i="29"/>
  <c r="BL149" i="29"/>
  <c r="BL150" i="29"/>
  <c r="BL151" i="29"/>
  <c r="BL152" i="29"/>
  <c r="BL153" i="29"/>
  <c r="BL154" i="29"/>
  <c r="BL155" i="29"/>
  <c r="BL156" i="29"/>
  <c r="BL157" i="29"/>
  <c r="CX154" i="29"/>
  <c r="CX155" i="29"/>
  <c r="AH128" i="29"/>
  <c r="AI128" i="29"/>
  <c r="AJ128" i="29"/>
  <c r="AK128" i="29"/>
  <c r="AL128" i="29"/>
  <c r="AM128" i="29"/>
  <c r="AN128" i="29"/>
  <c r="AO128" i="29"/>
  <c r="AP128" i="29"/>
  <c r="AQ128" i="29"/>
  <c r="AR128" i="29"/>
  <c r="AS128" i="29"/>
  <c r="AT128" i="29"/>
  <c r="AU128" i="29"/>
  <c r="AV128" i="29"/>
  <c r="AW128" i="29"/>
  <c r="AX128" i="29"/>
  <c r="AY128" i="29"/>
  <c r="AZ128" i="29"/>
  <c r="BA128" i="29"/>
  <c r="BB128" i="29"/>
  <c r="BC128" i="29"/>
  <c r="BD128" i="29"/>
  <c r="BE128" i="29"/>
  <c r="BF128" i="29"/>
  <c r="BG128" i="29"/>
  <c r="BH128" i="29"/>
  <c r="CX128" i="29" s="1"/>
  <c r="BI128" i="29"/>
  <c r="BJ128" i="29"/>
  <c r="BK128" i="29"/>
  <c r="BL128" i="29"/>
  <c r="AH129" i="29"/>
  <c r="AI129" i="29"/>
  <c r="AJ129" i="29"/>
  <c r="AK129" i="29"/>
  <c r="AL129" i="29"/>
  <c r="AM129" i="29"/>
  <c r="AN129" i="29"/>
  <c r="AO129" i="29"/>
  <c r="AP129" i="29"/>
  <c r="AQ129" i="29"/>
  <c r="AR129" i="29"/>
  <c r="AS129" i="29"/>
  <c r="AT129" i="29"/>
  <c r="AU129" i="29"/>
  <c r="AV129" i="29"/>
  <c r="AW129" i="29"/>
  <c r="AX129" i="29"/>
  <c r="AY129" i="29"/>
  <c r="AZ129" i="29"/>
  <c r="BA129" i="29"/>
  <c r="BB129" i="29"/>
  <c r="BC129" i="29"/>
  <c r="BD129" i="29"/>
  <c r="BE129" i="29"/>
  <c r="BF129" i="29"/>
  <c r="BG129" i="29"/>
  <c r="BH129" i="29"/>
  <c r="CX129" i="29" s="1"/>
  <c r="BI129" i="29"/>
  <c r="BJ129" i="29"/>
  <c r="BK129" i="29"/>
  <c r="BL129" i="29"/>
  <c r="AH122" i="29"/>
  <c r="AI122" i="29"/>
  <c r="AJ122" i="29"/>
  <c r="AK122" i="29"/>
  <c r="AL122" i="29"/>
  <c r="AM122" i="29"/>
  <c r="AN122" i="29"/>
  <c r="AO122" i="29"/>
  <c r="AP122" i="29"/>
  <c r="AQ122" i="29"/>
  <c r="AR122" i="29"/>
  <c r="AS122" i="29"/>
  <c r="AT122" i="29"/>
  <c r="AU122" i="29"/>
  <c r="AV122" i="29"/>
  <c r="AW122" i="29"/>
  <c r="AX122" i="29"/>
  <c r="AY122" i="29"/>
  <c r="AZ122" i="29"/>
  <c r="BA122" i="29"/>
  <c r="BB122" i="29"/>
  <c r="BC122" i="29"/>
  <c r="BD122" i="29"/>
  <c r="BE122" i="29"/>
  <c r="BF122" i="29"/>
  <c r="BG122" i="29"/>
  <c r="BH122" i="29"/>
  <c r="CX122" i="29" s="1"/>
  <c r="BI122" i="29"/>
  <c r="BJ122" i="29"/>
  <c r="BK122" i="29"/>
  <c r="BL122" i="29"/>
  <c r="AH123" i="29"/>
  <c r="AI123" i="29"/>
  <c r="AJ123" i="29"/>
  <c r="AK123" i="29"/>
  <c r="AL123" i="29"/>
  <c r="AM123" i="29"/>
  <c r="AN123" i="29"/>
  <c r="AO123" i="29"/>
  <c r="AP123" i="29"/>
  <c r="AQ123" i="29"/>
  <c r="AR123" i="29"/>
  <c r="AS123" i="29"/>
  <c r="AT123" i="29"/>
  <c r="AU123" i="29"/>
  <c r="AV123" i="29"/>
  <c r="AW123" i="29"/>
  <c r="AX123" i="29"/>
  <c r="AY123" i="29"/>
  <c r="AZ123" i="29"/>
  <c r="BA123" i="29"/>
  <c r="BB123" i="29"/>
  <c r="BC123" i="29"/>
  <c r="BD123" i="29"/>
  <c r="BE123" i="29"/>
  <c r="BF123" i="29"/>
  <c r="BG123" i="29"/>
  <c r="BH123" i="29"/>
  <c r="CX123" i="29" s="1"/>
  <c r="BI123" i="29"/>
  <c r="BJ123" i="29"/>
  <c r="BK123" i="29"/>
  <c r="BL123" i="29"/>
  <c r="AH124" i="29"/>
  <c r="AI124" i="29"/>
  <c r="AJ124" i="29"/>
  <c r="AK124" i="29"/>
  <c r="AL124" i="29"/>
  <c r="AM124" i="29"/>
  <c r="AN124" i="29"/>
  <c r="AO124" i="29"/>
  <c r="AP124" i="29"/>
  <c r="AQ124" i="29"/>
  <c r="AR124" i="29"/>
  <c r="AS124" i="29"/>
  <c r="AT124" i="29"/>
  <c r="AU124" i="29"/>
  <c r="AV124" i="29"/>
  <c r="AW124" i="29"/>
  <c r="AX124" i="29"/>
  <c r="AY124" i="29"/>
  <c r="AZ124" i="29"/>
  <c r="BA124" i="29"/>
  <c r="BB124" i="29"/>
  <c r="BC124" i="29"/>
  <c r="BD124" i="29"/>
  <c r="BE124" i="29"/>
  <c r="BF124" i="29"/>
  <c r="BG124" i="29"/>
  <c r="BH124" i="29"/>
  <c r="CX124" i="29" s="1"/>
  <c r="BI124" i="29"/>
  <c r="BJ124" i="29"/>
  <c r="BK124" i="29"/>
  <c r="BL124" i="29"/>
  <c r="AH125" i="29"/>
  <c r="AI125" i="29"/>
  <c r="AJ125" i="29"/>
  <c r="AK125" i="29"/>
  <c r="AL125" i="29"/>
  <c r="AM125" i="29"/>
  <c r="AN125" i="29"/>
  <c r="AO125" i="29"/>
  <c r="AP125" i="29"/>
  <c r="AQ125" i="29"/>
  <c r="AR125" i="29"/>
  <c r="AS125" i="29"/>
  <c r="AT125" i="29"/>
  <c r="AU125" i="29"/>
  <c r="AV125" i="29"/>
  <c r="AW125" i="29"/>
  <c r="AX125" i="29"/>
  <c r="AY125" i="29"/>
  <c r="AZ125" i="29"/>
  <c r="BA125" i="29"/>
  <c r="BB125" i="29"/>
  <c r="BC125" i="29"/>
  <c r="BD125" i="29"/>
  <c r="BE125" i="29"/>
  <c r="BF125" i="29"/>
  <c r="BG125" i="29"/>
  <c r="BH125" i="29"/>
  <c r="CX125" i="29" s="1"/>
  <c r="BI125" i="29"/>
  <c r="BJ125" i="29"/>
  <c r="BK125" i="29"/>
  <c r="BL125" i="29"/>
  <c r="AH126" i="29"/>
  <c r="AI126" i="29"/>
  <c r="AJ126" i="29"/>
  <c r="AK126" i="29"/>
  <c r="AL126" i="29"/>
  <c r="AM126" i="29"/>
  <c r="AN126" i="29"/>
  <c r="AO126" i="29"/>
  <c r="AP126" i="29"/>
  <c r="AQ126" i="29"/>
  <c r="AR126" i="29"/>
  <c r="AS126" i="29"/>
  <c r="AT126" i="29"/>
  <c r="AU126" i="29"/>
  <c r="AV126" i="29"/>
  <c r="AW126" i="29"/>
  <c r="AX126" i="29"/>
  <c r="AY126" i="29"/>
  <c r="AZ126" i="29"/>
  <c r="BA126" i="29"/>
  <c r="BB126" i="29"/>
  <c r="BC126" i="29"/>
  <c r="BD126" i="29"/>
  <c r="BE126" i="29"/>
  <c r="BF126" i="29"/>
  <c r="BG126" i="29"/>
  <c r="BH126" i="29"/>
  <c r="CX126" i="29" s="1"/>
  <c r="BI126" i="29"/>
  <c r="BJ126" i="29"/>
  <c r="BK126" i="29"/>
  <c r="BL126" i="29"/>
  <c r="AH117" i="29"/>
  <c r="AI117" i="29"/>
  <c r="AJ117" i="29"/>
  <c r="AK117" i="29"/>
  <c r="AL117" i="29"/>
  <c r="AM117" i="29"/>
  <c r="AN117" i="29"/>
  <c r="AO117" i="29"/>
  <c r="AP117" i="29"/>
  <c r="AQ117" i="29"/>
  <c r="AR117" i="29"/>
  <c r="AS117" i="29"/>
  <c r="AT117" i="29"/>
  <c r="AU117" i="29"/>
  <c r="AV117" i="29"/>
  <c r="AW117" i="29"/>
  <c r="AX117" i="29"/>
  <c r="AY117" i="29"/>
  <c r="AZ117" i="29"/>
  <c r="BA117" i="29"/>
  <c r="BB117" i="29"/>
  <c r="BC117" i="29"/>
  <c r="BD117" i="29"/>
  <c r="BE117" i="29"/>
  <c r="BF117" i="29"/>
  <c r="BG117" i="29"/>
  <c r="BH117" i="29"/>
  <c r="CX117" i="29" s="1"/>
  <c r="BI117" i="29"/>
  <c r="BJ117" i="29"/>
  <c r="BK117" i="29"/>
  <c r="BL117" i="29"/>
  <c r="AH113" i="29"/>
  <c r="AI113" i="29"/>
  <c r="AJ113" i="29"/>
  <c r="AK113" i="29"/>
  <c r="AL113" i="29"/>
  <c r="AM113" i="29"/>
  <c r="AN113" i="29"/>
  <c r="AO113" i="29"/>
  <c r="AP113" i="29"/>
  <c r="AQ113" i="29"/>
  <c r="AR113" i="29"/>
  <c r="AS113" i="29"/>
  <c r="AT113" i="29"/>
  <c r="AU113" i="29"/>
  <c r="AV113" i="29"/>
  <c r="AW113" i="29"/>
  <c r="AX113" i="29"/>
  <c r="AY113" i="29"/>
  <c r="AZ113" i="29"/>
  <c r="BA113" i="29"/>
  <c r="BB113" i="29"/>
  <c r="BC113" i="29"/>
  <c r="BD113" i="29"/>
  <c r="BE113" i="29"/>
  <c r="BF113" i="29"/>
  <c r="BG113" i="29"/>
  <c r="BH113" i="29"/>
  <c r="CX113" i="29" s="1"/>
  <c r="BI113" i="29"/>
  <c r="BJ113" i="29"/>
  <c r="BK113" i="29"/>
  <c r="BL113" i="29"/>
  <c r="AH114" i="29"/>
  <c r="AI114" i="29"/>
  <c r="AJ114" i="29"/>
  <c r="AK114" i="29"/>
  <c r="AL114" i="29"/>
  <c r="AM114" i="29"/>
  <c r="AN114" i="29"/>
  <c r="AO114" i="29"/>
  <c r="AP114" i="29"/>
  <c r="AQ114" i="29"/>
  <c r="AR114" i="29"/>
  <c r="AS114" i="29"/>
  <c r="AT114" i="29"/>
  <c r="AU114" i="29"/>
  <c r="AV114" i="29"/>
  <c r="AW114" i="29"/>
  <c r="AX114" i="29"/>
  <c r="AY114" i="29"/>
  <c r="AZ114" i="29"/>
  <c r="BA114" i="29"/>
  <c r="BB114" i="29"/>
  <c r="BC114" i="29"/>
  <c r="BD114" i="29"/>
  <c r="BE114" i="29"/>
  <c r="BF114" i="29"/>
  <c r="BG114" i="29"/>
  <c r="BH114" i="29"/>
  <c r="CX114" i="29" s="1"/>
  <c r="BI114" i="29"/>
  <c r="BJ114" i="29"/>
  <c r="BK114" i="29"/>
  <c r="BL114" i="29"/>
  <c r="AH110" i="29"/>
  <c r="AI110" i="29"/>
  <c r="AJ110" i="29"/>
  <c r="AK110" i="29"/>
  <c r="AL110" i="29"/>
  <c r="AM110" i="29"/>
  <c r="AN110" i="29"/>
  <c r="AO110" i="29"/>
  <c r="AP110" i="29"/>
  <c r="AQ110" i="29"/>
  <c r="AR110" i="29"/>
  <c r="AS110" i="29"/>
  <c r="AT110" i="29"/>
  <c r="AU110" i="29"/>
  <c r="AV110" i="29"/>
  <c r="AW110" i="29"/>
  <c r="AX110" i="29"/>
  <c r="AY110" i="29"/>
  <c r="AZ110" i="29"/>
  <c r="BA110" i="29"/>
  <c r="BB110" i="29"/>
  <c r="BC110" i="29"/>
  <c r="BD110" i="29"/>
  <c r="BE110" i="29"/>
  <c r="BF110" i="29"/>
  <c r="BG110" i="29"/>
  <c r="BH110" i="29"/>
  <c r="CX110" i="29" s="1"/>
  <c r="BI110" i="29"/>
  <c r="BJ110" i="29"/>
  <c r="BK110" i="29"/>
  <c r="BL110" i="29"/>
  <c r="AH104" i="29"/>
  <c r="AI104" i="29"/>
  <c r="AJ104" i="29"/>
  <c r="AK104" i="29"/>
  <c r="AL104" i="29"/>
  <c r="AM104" i="29"/>
  <c r="AN104" i="29"/>
  <c r="AO104" i="29"/>
  <c r="AP104" i="29"/>
  <c r="AQ104" i="29"/>
  <c r="AR104" i="29"/>
  <c r="AS104" i="29"/>
  <c r="AT104" i="29"/>
  <c r="AU104" i="29"/>
  <c r="AV104" i="29"/>
  <c r="AW104" i="29"/>
  <c r="AX104" i="29"/>
  <c r="AY104" i="29"/>
  <c r="AZ104" i="29"/>
  <c r="BA104" i="29"/>
  <c r="BB104" i="29"/>
  <c r="BC104" i="29"/>
  <c r="BD104" i="29"/>
  <c r="BE104" i="29"/>
  <c r="BF104" i="29"/>
  <c r="BG104" i="29"/>
  <c r="BH104" i="29"/>
  <c r="CX104" i="29" s="1"/>
  <c r="BI104" i="29"/>
  <c r="BJ104" i="29"/>
  <c r="BK104" i="29"/>
  <c r="BL104" i="29"/>
  <c r="AH102" i="29"/>
  <c r="AI102" i="29"/>
  <c r="AJ102" i="29"/>
  <c r="AK102" i="29"/>
  <c r="AL102" i="29"/>
  <c r="AM102" i="29"/>
  <c r="AN102" i="29"/>
  <c r="AO102" i="29"/>
  <c r="AP102" i="29"/>
  <c r="AQ102" i="29"/>
  <c r="AR102" i="29"/>
  <c r="AS102" i="29"/>
  <c r="AT102" i="29"/>
  <c r="AU102" i="29"/>
  <c r="AV102" i="29"/>
  <c r="AW102" i="29"/>
  <c r="AX102" i="29"/>
  <c r="AY102" i="29"/>
  <c r="AZ102" i="29"/>
  <c r="BA102" i="29"/>
  <c r="BB102" i="29"/>
  <c r="BC102" i="29"/>
  <c r="BD102" i="29"/>
  <c r="BE102" i="29"/>
  <c r="BF102" i="29"/>
  <c r="BG102" i="29"/>
  <c r="BH102" i="29"/>
  <c r="CX102" i="29" s="1"/>
  <c r="BI102" i="29"/>
  <c r="BJ102" i="29"/>
  <c r="BK102" i="29"/>
  <c r="BL102" i="29"/>
  <c r="AH100" i="29"/>
  <c r="AI100" i="29"/>
  <c r="AJ100" i="29"/>
  <c r="AK100" i="29"/>
  <c r="AL100" i="29"/>
  <c r="AM100" i="29"/>
  <c r="AN100" i="29"/>
  <c r="AO100" i="29"/>
  <c r="AP100" i="29"/>
  <c r="AQ100" i="29"/>
  <c r="AR100" i="29"/>
  <c r="AS100" i="29"/>
  <c r="AT100" i="29"/>
  <c r="AU100" i="29"/>
  <c r="AV100" i="29"/>
  <c r="AW100" i="29"/>
  <c r="AX100" i="29"/>
  <c r="AY100" i="29"/>
  <c r="AZ100" i="29"/>
  <c r="BA100" i="29"/>
  <c r="BB100" i="29"/>
  <c r="BC100" i="29"/>
  <c r="BD100" i="29"/>
  <c r="BE100" i="29"/>
  <c r="BF100" i="29"/>
  <c r="BG100" i="29"/>
  <c r="BH100" i="29"/>
  <c r="CX100" i="29" s="1"/>
  <c r="BI100" i="29"/>
  <c r="BJ100" i="29"/>
  <c r="BK100" i="29"/>
  <c r="BL100" i="29"/>
  <c r="AH98" i="29"/>
  <c r="AI98" i="29"/>
  <c r="AJ98" i="29"/>
  <c r="AK98" i="29"/>
  <c r="AL98" i="29"/>
  <c r="AM98" i="29"/>
  <c r="AN98" i="29"/>
  <c r="AO98" i="29"/>
  <c r="AP98" i="29"/>
  <c r="AQ98" i="29"/>
  <c r="AR98" i="29"/>
  <c r="AS98" i="29"/>
  <c r="AT98" i="29"/>
  <c r="AU98" i="29"/>
  <c r="AV98" i="29"/>
  <c r="AW98" i="29"/>
  <c r="AX98" i="29"/>
  <c r="AY98" i="29"/>
  <c r="AZ98" i="29"/>
  <c r="BA98" i="29"/>
  <c r="BB98" i="29"/>
  <c r="BC98" i="29"/>
  <c r="BD98" i="29"/>
  <c r="BE98" i="29"/>
  <c r="BF98" i="29"/>
  <c r="BG98" i="29"/>
  <c r="BH98" i="29"/>
  <c r="CX98" i="29" s="1"/>
  <c r="BI98" i="29"/>
  <c r="BJ98" i="29"/>
  <c r="BK98" i="29"/>
  <c r="BL98" i="29"/>
  <c r="AH94" i="29"/>
  <c r="AI94" i="29"/>
  <c r="AJ94" i="29"/>
  <c r="AK94" i="29"/>
  <c r="AL94" i="29"/>
  <c r="AM94" i="29"/>
  <c r="AN94" i="29"/>
  <c r="AO94" i="29"/>
  <c r="AP94" i="29"/>
  <c r="AQ94" i="29"/>
  <c r="AR94" i="29"/>
  <c r="AS94" i="29"/>
  <c r="AT94" i="29"/>
  <c r="AU94" i="29"/>
  <c r="AV94" i="29"/>
  <c r="AW94" i="29"/>
  <c r="AX94" i="29"/>
  <c r="AY94" i="29"/>
  <c r="AZ94" i="29"/>
  <c r="BA94" i="29"/>
  <c r="BB94" i="29"/>
  <c r="BC94" i="29"/>
  <c r="BD94" i="29"/>
  <c r="BE94" i="29"/>
  <c r="BF94" i="29"/>
  <c r="BG94" i="29"/>
  <c r="BH94" i="29"/>
  <c r="CX94" i="29" s="1"/>
  <c r="BI94" i="29"/>
  <c r="BJ94" i="29"/>
  <c r="BK94" i="29"/>
  <c r="BL94" i="29"/>
  <c r="AH95" i="29"/>
  <c r="AI95" i="29"/>
  <c r="AJ95" i="29"/>
  <c r="AK95" i="29"/>
  <c r="AL95" i="29"/>
  <c r="AM95" i="29"/>
  <c r="AN95" i="29"/>
  <c r="AO95" i="29"/>
  <c r="AP95" i="29"/>
  <c r="AQ95" i="29"/>
  <c r="AR95" i="29"/>
  <c r="AS95" i="29"/>
  <c r="AT95" i="29"/>
  <c r="AU95" i="29"/>
  <c r="AV95" i="29"/>
  <c r="AW95" i="29"/>
  <c r="AX95" i="29"/>
  <c r="AY95" i="29"/>
  <c r="AZ95" i="29"/>
  <c r="BA95" i="29"/>
  <c r="BB95" i="29"/>
  <c r="BC95" i="29"/>
  <c r="BD95" i="29"/>
  <c r="BE95" i="29"/>
  <c r="BF95" i="29"/>
  <c r="BG95" i="29"/>
  <c r="BH95" i="29"/>
  <c r="CX95" i="29" s="1"/>
  <c r="BI95" i="29"/>
  <c r="BJ95" i="29"/>
  <c r="BK95" i="29"/>
  <c r="BL95" i="29"/>
  <c r="AH91" i="29"/>
  <c r="AI91" i="29"/>
  <c r="AJ91" i="29"/>
  <c r="AK91" i="29"/>
  <c r="AL91" i="29"/>
  <c r="AM91" i="29"/>
  <c r="AN91" i="29"/>
  <c r="AO91" i="29"/>
  <c r="AP91" i="29"/>
  <c r="AQ91" i="29"/>
  <c r="AR91" i="29"/>
  <c r="AS91" i="29"/>
  <c r="AT91" i="29"/>
  <c r="AU91" i="29"/>
  <c r="AV91" i="29"/>
  <c r="AW91" i="29"/>
  <c r="AX91" i="29"/>
  <c r="AY91" i="29"/>
  <c r="AZ91" i="29"/>
  <c r="BA91" i="29"/>
  <c r="BB91" i="29"/>
  <c r="BC91" i="29"/>
  <c r="BD91" i="29"/>
  <c r="BE91" i="29"/>
  <c r="BF91" i="29"/>
  <c r="BG91" i="29"/>
  <c r="BH91" i="29"/>
  <c r="CX91" i="29" s="1"/>
  <c r="BI91" i="29"/>
  <c r="BJ91" i="29"/>
  <c r="BK91" i="29"/>
  <c r="BL91" i="29"/>
  <c r="AH92" i="29"/>
  <c r="AI92" i="29"/>
  <c r="AJ92" i="29"/>
  <c r="AK92" i="29"/>
  <c r="AL92" i="29"/>
  <c r="AM92" i="29"/>
  <c r="AN92" i="29"/>
  <c r="AO92" i="29"/>
  <c r="AP92" i="29"/>
  <c r="AQ92" i="29"/>
  <c r="AR92" i="29"/>
  <c r="AS92" i="29"/>
  <c r="AT92" i="29"/>
  <c r="AU92" i="29"/>
  <c r="AV92" i="29"/>
  <c r="AW92" i="29"/>
  <c r="AX92" i="29"/>
  <c r="AY92" i="29"/>
  <c r="AZ92" i="29"/>
  <c r="BA92" i="29"/>
  <c r="BB92" i="29"/>
  <c r="BC92" i="29"/>
  <c r="BD92" i="29"/>
  <c r="BE92" i="29"/>
  <c r="BF92" i="29"/>
  <c r="BG92" i="29"/>
  <c r="BH92" i="29"/>
  <c r="CX92" i="29" s="1"/>
  <c r="BI92" i="29"/>
  <c r="BJ92" i="29"/>
  <c r="BK92" i="29"/>
  <c r="BL92" i="29"/>
  <c r="AH88" i="29"/>
  <c r="AI88" i="29"/>
  <c r="AJ88" i="29"/>
  <c r="AK88" i="29"/>
  <c r="AL88" i="29"/>
  <c r="AM88" i="29"/>
  <c r="AN88" i="29"/>
  <c r="AO88" i="29"/>
  <c r="AP88" i="29"/>
  <c r="AQ88" i="29"/>
  <c r="AR88" i="29"/>
  <c r="AS88" i="29"/>
  <c r="AT88" i="29"/>
  <c r="AU88" i="29"/>
  <c r="AV88" i="29"/>
  <c r="AW88" i="29"/>
  <c r="AX88" i="29"/>
  <c r="AY88" i="29"/>
  <c r="AZ88" i="29"/>
  <c r="BA88" i="29"/>
  <c r="BB88" i="29"/>
  <c r="BC88" i="29"/>
  <c r="BD88" i="29"/>
  <c r="BE88" i="29"/>
  <c r="BF88" i="29"/>
  <c r="BG88" i="29"/>
  <c r="BH88" i="29"/>
  <c r="CX88" i="29" s="1"/>
  <c r="BI88" i="29"/>
  <c r="BJ88" i="29"/>
  <c r="BK88" i="29"/>
  <c r="BL88" i="29"/>
  <c r="AH83" i="29"/>
  <c r="AI83" i="29"/>
  <c r="AJ83" i="29"/>
  <c r="AK83" i="29"/>
  <c r="AL83" i="29"/>
  <c r="AM83" i="29"/>
  <c r="AN83" i="29"/>
  <c r="AO83" i="29"/>
  <c r="AP83" i="29"/>
  <c r="AQ83" i="29"/>
  <c r="AR83" i="29"/>
  <c r="AS83" i="29"/>
  <c r="AT83" i="29"/>
  <c r="AU83" i="29"/>
  <c r="AV83" i="29"/>
  <c r="AW83" i="29"/>
  <c r="AX83" i="29"/>
  <c r="AY83" i="29"/>
  <c r="AZ83" i="29"/>
  <c r="BA83" i="29"/>
  <c r="BB83" i="29"/>
  <c r="BC83" i="29"/>
  <c r="BD83" i="29"/>
  <c r="BE83" i="29"/>
  <c r="BF83" i="29"/>
  <c r="BG83" i="29"/>
  <c r="BH83" i="29"/>
  <c r="CX83" i="29" s="1"/>
  <c r="BI83" i="29"/>
  <c r="BJ83" i="29"/>
  <c r="BK83" i="29"/>
  <c r="BL83" i="29"/>
  <c r="AH84" i="29"/>
  <c r="AI84" i="29"/>
  <c r="AJ84" i="29"/>
  <c r="AK84" i="29"/>
  <c r="AL84" i="29"/>
  <c r="AM84" i="29"/>
  <c r="AN84" i="29"/>
  <c r="AO84" i="29"/>
  <c r="AP84" i="29"/>
  <c r="AQ84" i="29"/>
  <c r="AR84" i="29"/>
  <c r="AS84" i="29"/>
  <c r="AT84" i="29"/>
  <c r="AU84" i="29"/>
  <c r="AV84" i="29"/>
  <c r="AW84" i="29"/>
  <c r="AX84" i="29"/>
  <c r="AY84" i="29"/>
  <c r="AZ84" i="29"/>
  <c r="BA84" i="29"/>
  <c r="BB84" i="29"/>
  <c r="BC84" i="29"/>
  <c r="BD84" i="29"/>
  <c r="BE84" i="29"/>
  <c r="BF84" i="29"/>
  <c r="BG84" i="29"/>
  <c r="BH84" i="29"/>
  <c r="CX84" i="29" s="1"/>
  <c r="BI84" i="29"/>
  <c r="BJ84" i="29"/>
  <c r="BK84" i="29"/>
  <c r="BL84" i="29"/>
  <c r="AH85" i="29"/>
  <c r="AI85" i="29"/>
  <c r="AJ85" i="29"/>
  <c r="AK85" i="29"/>
  <c r="AL85" i="29"/>
  <c r="AM85" i="29"/>
  <c r="AN85" i="29"/>
  <c r="AO85" i="29"/>
  <c r="AP85" i="29"/>
  <c r="AQ85" i="29"/>
  <c r="AR85" i="29"/>
  <c r="AS85" i="29"/>
  <c r="AT85" i="29"/>
  <c r="AU85" i="29"/>
  <c r="AV85" i="29"/>
  <c r="AW85" i="29"/>
  <c r="AX85" i="29"/>
  <c r="AY85" i="29"/>
  <c r="AZ85" i="29"/>
  <c r="BA85" i="29"/>
  <c r="BB85" i="29"/>
  <c r="BC85" i="29"/>
  <c r="BD85" i="29"/>
  <c r="BE85" i="29"/>
  <c r="BF85" i="29"/>
  <c r="BG85" i="29"/>
  <c r="BH85" i="29"/>
  <c r="CX85" i="29" s="1"/>
  <c r="BI85" i="29"/>
  <c r="BJ85" i="29"/>
  <c r="BK85" i="29"/>
  <c r="BL85" i="29"/>
  <c r="AH81" i="29"/>
  <c r="AI81" i="29"/>
  <c r="AJ81" i="29"/>
  <c r="AK81" i="29"/>
  <c r="AL81" i="29"/>
  <c r="AM81" i="29"/>
  <c r="AN81" i="29"/>
  <c r="AO81" i="29"/>
  <c r="AP81" i="29"/>
  <c r="AQ81" i="29"/>
  <c r="AR81" i="29"/>
  <c r="AS81" i="29"/>
  <c r="AT81" i="29"/>
  <c r="AU81" i="29"/>
  <c r="AV81" i="29"/>
  <c r="AW81" i="29"/>
  <c r="AX81" i="29"/>
  <c r="AY81" i="29"/>
  <c r="AZ81" i="29"/>
  <c r="BA81" i="29"/>
  <c r="BB81" i="29"/>
  <c r="BC81" i="29"/>
  <c r="BD81" i="29"/>
  <c r="BE81" i="29"/>
  <c r="BF81" i="29"/>
  <c r="BG81" i="29"/>
  <c r="BH81" i="29"/>
  <c r="CX81" i="29" s="1"/>
  <c r="BI81" i="29"/>
  <c r="BJ81" i="29"/>
  <c r="BK81" i="29"/>
  <c r="BL81" i="29"/>
  <c r="AH79" i="29"/>
  <c r="AI79" i="29"/>
  <c r="AJ79" i="29"/>
  <c r="AK79" i="29"/>
  <c r="AL79" i="29"/>
  <c r="AM79" i="29"/>
  <c r="AN79" i="29"/>
  <c r="AO79" i="29"/>
  <c r="AP79" i="29"/>
  <c r="AQ79" i="29"/>
  <c r="AR79" i="29"/>
  <c r="AS79" i="29"/>
  <c r="AT79" i="29"/>
  <c r="AU79" i="29"/>
  <c r="AV79" i="29"/>
  <c r="AW79" i="29"/>
  <c r="AX79" i="29"/>
  <c r="AY79" i="29"/>
  <c r="AZ79" i="29"/>
  <c r="BA79" i="29"/>
  <c r="BB79" i="29"/>
  <c r="BC79" i="29"/>
  <c r="BD79" i="29"/>
  <c r="BE79" i="29"/>
  <c r="BF79" i="29"/>
  <c r="BG79" i="29"/>
  <c r="BH79" i="29"/>
  <c r="CX79" i="29" s="1"/>
  <c r="BI79" i="29"/>
  <c r="BJ79" i="29"/>
  <c r="BK79" i="29"/>
  <c r="BL79" i="29"/>
  <c r="AH75" i="29"/>
  <c r="AI75" i="29"/>
  <c r="AJ75" i="29"/>
  <c r="AK75" i="29"/>
  <c r="AL75" i="29"/>
  <c r="AM75" i="29"/>
  <c r="AN75" i="29"/>
  <c r="AO75" i="29"/>
  <c r="AP75" i="29"/>
  <c r="AQ75" i="29"/>
  <c r="AR75" i="29"/>
  <c r="AS75" i="29"/>
  <c r="AT75" i="29"/>
  <c r="AU75" i="29"/>
  <c r="AV75" i="29"/>
  <c r="AW75" i="29"/>
  <c r="AX75" i="29"/>
  <c r="AY75" i="29"/>
  <c r="AZ75" i="29"/>
  <c r="BA75" i="29"/>
  <c r="BB75" i="29"/>
  <c r="BC75" i="29"/>
  <c r="BD75" i="29"/>
  <c r="BE75" i="29"/>
  <c r="BF75" i="29"/>
  <c r="BG75" i="29"/>
  <c r="BH75" i="29"/>
  <c r="CX75" i="29" s="1"/>
  <c r="BI75" i="29"/>
  <c r="BJ75" i="29"/>
  <c r="BK75" i="29"/>
  <c r="BL75" i="29"/>
  <c r="AH76" i="29"/>
  <c r="AI76" i="29"/>
  <c r="AJ76" i="29"/>
  <c r="AK76" i="29"/>
  <c r="AL76" i="29"/>
  <c r="AM76" i="29"/>
  <c r="AN76" i="29"/>
  <c r="AO76" i="29"/>
  <c r="AP76" i="29"/>
  <c r="AQ76" i="29"/>
  <c r="AR76" i="29"/>
  <c r="AS76" i="29"/>
  <c r="AT76" i="29"/>
  <c r="AU76" i="29"/>
  <c r="AV76" i="29"/>
  <c r="AW76" i="29"/>
  <c r="AX76" i="29"/>
  <c r="AY76" i="29"/>
  <c r="AZ76" i="29"/>
  <c r="BA76" i="29"/>
  <c r="BB76" i="29"/>
  <c r="BC76" i="29"/>
  <c r="BD76" i="29"/>
  <c r="BE76" i="29"/>
  <c r="BF76" i="29"/>
  <c r="BG76" i="29"/>
  <c r="BH76" i="29"/>
  <c r="CX76" i="29" s="1"/>
  <c r="BI76" i="29"/>
  <c r="BJ76" i="29"/>
  <c r="BK76" i="29"/>
  <c r="BL76" i="29"/>
  <c r="AH72" i="29"/>
  <c r="AI72" i="29"/>
  <c r="AJ72" i="29"/>
  <c r="AK72" i="29"/>
  <c r="AL72" i="29"/>
  <c r="AM72" i="29"/>
  <c r="AN72" i="29"/>
  <c r="AO72" i="29"/>
  <c r="AP72" i="29"/>
  <c r="AQ72" i="29"/>
  <c r="AR72" i="29"/>
  <c r="AS72" i="29"/>
  <c r="AT72" i="29"/>
  <c r="AU72" i="29"/>
  <c r="AV72" i="29"/>
  <c r="AW72" i="29"/>
  <c r="AX72" i="29"/>
  <c r="AY72" i="29"/>
  <c r="AZ72" i="29"/>
  <c r="BA72" i="29"/>
  <c r="BB72" i="29"/>
  <c r="BC72" i="29"/>
  <c r="BD72" i="29"/>
  <c r="BE72" i="29"/>
  <c r="BF72" i="29"/>
  <c r="BG72" i="29"/>
  <c r="BH72" i="29"/>
  <c r="CX72" i="29" s="1"/>
  <c r="BI72" i="29"/>
  <c r="BJ72" i="29"/>
  <c r="BK72" i="29"/>
  <c r="BL72" i="29"/>
  <c r="AH68" i="29"/>
  <c r="AI68" i="29"/>
  <c r="AJ68" i="29"/>
  <c r="AK68" i="29"/>
  <c r="AL68" i="29"/>
  <c r="AM68" i="29"/>
  <c r="AN68" i="29"/>
  <c r="AO68" i="29"/>
  <c r="AP68" i="29"/>
  <c r="AQ68" i="29"/>
  <c r="AR68" i="29"/>
  <c r="AS68" i="29"/>
  <c r="AT68" i="29"/>
  <c r="AU68" i="29"/>
  <c r="AV68" i="29"/>
  <c r="AW68" i="29"/>
  <c r="AX68" i="29"/>
  <c r="AY68" i="29"/>
  <c r="AZ68" i="29"/>
  <c r="BA68" i="29"/>
  <c r="BB68" i="29"/>
  <c r="BC68" i="29"/>
  <c r="BD68" i="29"/>
  <c r="BE68" i="29"/>
  <c r="BF68" i="29"/>
  <c r="BG68" i="29"/>
  <c r="BH68" i="29"/>
  <c r="CX68" i="29" s="1"/>
  <c r="BI68" i="29"/>
  <c r="BJ68" i="29"/>
  <c r="BK68" i="29"/>
  <c r="BL68" i="29"/>
  <c r="AH69" i="29"/>
  <c r="AI69" i="29"/>
  <c r="AJ69" i="29"/>
  <c r="AK69" i="29"/>
  <c r="AL69" i="29"/>
  <c r="AM69" i="29"/>
  <c r="AN69" i="29"/>
  <c r="AO69" i="29"/>
  <c r="AP69" i="29"/>
  <c r="AQ69" i="29"/>
  <c r="AR69" i="29"/>
  <c r="AS69" i="29"/>
  <c r="AT69" i="29"/>
  <c r="AU69" i="29"/>
  <c r="AV69" i="29"/>
  <c r="AW69" i="29"/>
  <c r="AX69" i="29"/>
  <c r="AY69" i="29"/>
  <c r="AZ69" i="29"/>
  <c r="BA69" i="29"/>
  <c r="BB69" i="29"/>
  <c r="BC69" i="29"/>
  <c r="BD69" i="29"/>
  <c r="BE69" i="29"/>
  <c r="BF69" i="29"/>
  <c r="BG69" i="29"/>
  <c r="BH69" i="29"/>
  <c r="CX69" i="29" s="1"/>
  <c r="BI69" i="29"/>
  <c r="BJ69" i="29"/>
  <c r="BK69" i="29"/>
  <c r="BL69" i="29"/>
  <c r="AH61" i="29"/>
  <c r="AI61" i="29"/>
  <c r="AJ61" i="29"/>
  <c r="AK61" i="29"/>
  <c r="AL61" i="29"/>
  <c r="AM61" i="29"/>
  <c r="AN61" i="29"/>
  <c r="AO61" i="29"/>
  <c r="AP61" i="29"/>
  <c r="AQ61" i="29"/>
  <c r="AR61" i="29"/>
  <c r="AS61" i="29"/>
  <c r="AT61" i="29"/>
  <c r="AU61" i="29"/>
  <c r="AV61" i="29"/>
  <c r="AW61" i="29"/>
  <c r="AX61" i="29"/>
  <c r="AY61" i="29"/>
  <c r="AZ61" i="29"/>
  <c r="BA61" i="29"/>
  <c r="BB61" i="29"/>
  <c r="BC61" i="29"/>
  <c r="BD61" i="29"/>
  <c r="BE61" i="29"/>
  <c r="BF61" i="29"/>
  <c r="BG61" i="29"/>
  <c r="BH61" i="29"/>
  <c r="CX61" i="29" s="1"/>
  <c r="BI61" i="29"/>
  <c r="BJ61" i="29"/>
  <c r="BK61" i="29"/>
  <c r="BL61" i="29"/>
  <c r="AH62" i="29"/>
  <c r="AI62" i="29"/>
  <c r="AJ62" i="29"/>
  <c r="AK62" i="29"/>
  <c r="AL62" i="29"/>
  <c r="AM62" i="29"/>
  <c r="AN62" i="29"/>
  <c r="AO62" i="29"/>
  <c r="AP62" i="29"/>
  <c r="AQ62" i="29"/>
  <c r="AR62" i="29"/>
  <c r="AS62" i="29"/>
  <c r="AT62" i="29"/>
  <c r="AU62" i="29"/>
  <c r="AV62" i="29"/>
  <c r="AW62" i="29"/>
  <c r="AX62" i="29"/>
  <c r="AY62" i="29"/>
  <c r="AZ62" i="29"/>
  <c r="BA62" i="29"/>
  <c r="BB62" i="29"/>
  <c r="BC62" i="29"/>
  <c r="BD62" i="29"/>
  <c r="BE62" i="29"/>
  <c r="BF62" i="29"/>
  <c r="BG62" i="29"/>
  <c r="BH62" i="29"/>
  <c r="CX62" i="29" s="1"/>
  <c r="BI62" i="29"/>
  <c r="BJ62" i="29"/>
  <c r="BK62" i="29"/>
  <c r="BL62" i="29"/>
  <c r="AH63" i="29"/>
  <c r="AI63" i="29"/>
  <c r="AJ63" i="29"/>
  <c r="AK63" i="29"/>
  <c r="AL63" i="29"/>
  <c r="AM63" i="29"/>
  <c r="AN63" i="29"/>
  <c r="AO63" i="29"/>
  <c r="AP63" i="29"/>
  <c r="AQ63" i="29"/>
  <c r="AR63" i="29"/>
  <c r="AS63" i="29"/>
  <c r="AT63" i="29"/>
  <c r="AU63" i="29"/>
  <c r="AV63" i="29"/>
  <c r="AW63" i="29"/>
  <c r="AX63" i="29"/>
  <c r="AY63" i="29"/>
  <c r="AZ63" i="29"/>
  <c r="BA63" i="29"/>
  <c r="BB63" i="29"/>
  <c r="BC63" i="29"/>
  <c r="BD63" i="29"/>
  <c r="BE63" i="29"/>
  <c r="BF63" i="29"/>
  <c r="BG63" i="29"/>
  <c r="BH63" i="29"/>
  <c r="CX63" i="29" s="1"/>
  <c r="BI63" i="29"/>
  <c r="BJ63" i="29"/>
  <c r="BK63" i="29"/>
  <c r="BL63"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CX57" i="29" s="1"/>
  <c r="BI57" i="29"/>
  <c r="BJ57" i="29"/>
  <c r="BK57" i="29"/>
  <c r="BL57"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CX58" i="29" s="1"/>
  <c r="BI58" i="29"/>
  <c r="BJ58" i="29"/>
  <c r="BK58" i="29"/>
  <c r="BL58"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CX55" i="29" s="1"/>
  <c r="BI55" i="29"/>
  <c r="BJ55" i="29"/>
  <c r="BK55" i="29"/>
  <c r="BL55" i="29"/>
  <c r="AH51" i="29"/>
  <c r="AI51" i="29"/>
  <c r="AJ51" i="29"/>
  <c r="AK51" i="29"/>
  <c r="AL51" i="29"/>
  <c r="AM51" i="29"/>
  <c r="AN51" i="29"/>
  <c r="AO51" i="29"/>
  <c r="AP51" i="29"/>
  <c r="AQ51" i="29"/>
  <c r="AR51" i="29"/>
  <c r="AS51" i="29"/>
  <c r="AT51" i="29"/>
  <c r="AU51" i="29"/>
  <c r="AV51" i="29"/>
  <c r="AW51" i="29"/>
  <c r="AX51" i="29"/>
  <c r="AY51" i="29"/>
  <c r="AZ51" i="29"/>
  <c r="BA51" i="29"/>
  <c r="BB51" i="29"/>
  <c r="BC51" i="29"/>
  <c r="BD51" i="29"/>
  <c r="BE51" i="29"/>
  <c r="BF51" i="29"/>
  <c r="BG51" i="29"/>
  <c r="BH51" i="29"/>
  <c r="CX51" i="29" s="1"/>
  <c r="BI51" i="29"/>
  <c r="BJ51" i="29"/>
  <c r="BK51" i="29"/>
  <c r="BL51"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CX48" i="29" s="1"/>
  <c r="BI48" i="29"/>
  <c r="BJ48" i="29"/>
  <c r="BK48" i="29"/>
  <c r="BL48"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CX49" i="29" s="1"/>
  <c r="BI49" i="29"/>
  <c r="BJ49" i="29"/>
  <c r="BK49" i="29"/>
  <c r="BL49"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CX46" i="29" s="1"/>
  <c r="BI46" i="29"/>
  <c r="BJ46" i="29"/>
  <c r="BK46" i="29"/>
  <c r="BL46"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CX42" i="29" s="1"/>
  <c r="BI42" i="29"/>
  <c r="BJ42" i="29"/>
  <c r="BK42" i="29"/>
  <c r="BL42"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CX37" i="29" s="1"/>
  <c r="BI37" i="29"/>
  <c r="BJ37" i="29"/>
  <c r="BK37" i="29"/>
  <c r="BL37"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CX33" i="29" s="1"/>
  <c r="BI33" i="29"/>
  <c r="BJ33" i="29"/>
  <c r="BK33" i="29"/>
  <c r="BL33"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CX30" i="29" s="1"/>
  <c r="BI30" i="29"/>
  <c r="BJ30" i="29"/>
  <c r="BK30" i="29"/>
  <c r="BL30" i="29"/>
  <c r="AH27" i="29"/>
  <c r="AI27" i="29"/>
  <c r="AJ27" i="29"/>
  <c r="AK27" i="29"/>
  <c r="AL27" i="29"/>
  <c r="AM27" i="29"/>
  <c r="AN27" i="29"/>
  <c r="AO27" i="29"/>
  <c r="AP27" i="29"/>
  <c r="AQ27" i="29"/>
  <c r="AR27" i="29"/>
  <c r="AS27" i="29"/>
  <c r="AT27" i="29"/>
  <c r="AU27" i="29"/>
  <c r="AV27" i="29"/>
  <c r="AW27" i="29"/>
  <c r="AX27" i="29"/>
  <c r="AY27" i="29"/>
  <c r="AZ27" i="29"/>
  <c r="BA27" i="29"/>
  <c r="BB27" i="29"/>
  <c r="BC27" i="29"/>
  <c r="BD27" i="29"/>
  <c r="BE27" i="29"/>
  <c r="BF27" i="29"/>
  <c r="BG27" i="29"/>
  <c r="BH27" i="29"/>
  <c r="CX27" i="29" s="1"/>
  <c r="BI27" i="29"/>
  <c r="BJ27" i="29"/>
  <c r="BK27" i="29"/>
  <c r="BL27" i="29"/>
  <c r="AH28" i="29"/>
  <c r="AI28" i="29"/>
  <c r="AJ28" i="29"/>
  <c r="AK28" i="29"/>
  <c r="AL28" i="29"/>
  <c r="AM28" i="29"/>
  <c r="AN28" i="29"/>
  <c r="AO28" i="29"/>
  <c r="AP28" i="29"/>
  <c r="AQ28" i="29"/>
  <c r="AR28" i="29"/>
  <c r="AS28" i="29"/>
  <c r="AT28" i="29"/>
  <c r="AU28" i="29"/>
  <c r="AV28" i="29"/>
  <c r="AW28" i="29"/>
  <c r="AX28" i="29"/>
  <c r="AY28" i="29"/>
  <c r="AZ28" i="29"/>
  <c r="BA28" i="29"/>
  <c r="BB28" i="29"/>
  <c r="BC28" i="29"/>
  <c r="BD28" i="29"/>
  <c r="BE28" i="29"/>
  <c r="BF28" i="29"/>
  <c r="BG28" i="29"/>
  <c r="BH28" i="29"/>
  <c r="CX28" i="29" s="1"/>
  <c r="BI28" i="29"/>
  <c r="BJ28" i="29"/>
  <c r="BK28" i="29"/>
  <c r="BL28" i="29"/>
  <c r="AH23" i="29"/>
  <c r="AI23" i="29"/>
  <c r="AJ23" i="29"/>
  <c r="AK23" i="29"/>
  <c r="AL23" i="29"/>
  <c r="AM23" i="29"/>
  <c r="AN23" i="29"/>
  <c r="AO23" i="29"/>
  <c r="AP23" i="29"/>
  <c r="AQ23" i="29"/>
  <c r="AR23" i="29"/>
  <c r="AS23" i="29"/>
  <c r="AT23" i="29"/>
  <c r="AU23" i="29"/>
  <c r="AV23" i="29"/>
  <c r="AW23" i="29"/>
  <c r="AX23" i="29"/>
  <c r="AY23" i="29"/>
  <c r="AZ23" i="29"/>
  <c r="BA23" i="29"/>
  <c r="BB23" i="29"/>
  <c r="BC23" i="29"/>
  <c r="BD23" i="29"/>
  <c r="BE23" i="29"/>
  <c r="BF23" i="29"/>
  <c r="BG23" i="29"/>
  <c r="BH23" i="29"/>
  <c r="CX23" i="29" s="1"/>
  <c r="BI23" i="29"/>
  <c r="BJ23" i="29"/>
  <c r="BK23" i="29"/>
  <c r="BL23" i="29"/>
  <c r="AH24" i="29"/>
  <c r="AI24" i="29"/>
  <c r="AJ24" i="29"/>
  <c r="AK24" i="29"/>
  <c r="AL24" i="29"/>
  <c r="AM24" i="29"/>
  <c r="AN24" i="29"/>
  <c r="AO24" i="29"/>
  <c r="AP24" i="29"/>
  <c r="AQ24" i="29"/>
  <c r="AR24" i="29"/>
  <c r="AS24" i="29"/>
  <c r="AT24" i="29"/>
  <c r="AU24" i="29"/>
  <c r="AV24" i="29"/>
  <c r="AW24" i="29"/>
  <c r="AX24" i="29"/>
  <c r="AY24" i="29"/>
  <c r="AZ24" i="29"/>
  <c r="BA24" i="29"/>
  <c r="BB24" i="29"/>
  <c r="BC24" i="29"/>
  <c r="BD24" i="29"/>
  <c r="BE24" i="29"/>
  <c r="BF24" i="29"/>
  <c r="BG24" i="29"/>
  <c r="BH24" i="29"/>
  <c r="CX24" i="29" s="1"/>
  <c r="BI24" i="29"/>
  <c r="BJ24" i="29"/>
  <c r="BK24" i="29"/>
  <c r="BL24" i="29"/>
  <c r="AH20" i="29"/>
  <c r="AI20" i="29"/>
  <c r="AJ20" i="29"/>
  <c r="AK20" i="29"/>
  <c r="AL20" i="29"/>
  <c r="AM20" i="29"/>
  <c r="AN20" i="29"/>
  <c r="AO20" i="29"/>
  <c r="AP20" i="29"/>
  <c r="AQ20" i="29"/>
  <c r="AR20" i="29"/>
  <c r="AS20" i="29"/>
  <c r="AT20" i="29"/>
  <c r="AU20" i="29"/>
  <c r="AV20" i="29"/>
  <c r="AW20" i="29"/>
  <c r="AX20" i="29"/>
  <c r="AY20" i="29"/>
  <c r="AZ20" i="29"/>
  <c r="BA20" i="29"/>
  <c r="BB20" i="29"/>
  <c r="BC20" i="29"/>
  <c r="BD20" i="29"/>
  <c r="BE20" i="29"/>
  <c r="BF20" i="29"/>
  <c r="BG20" i="29"/>
  <c r="BH20" i="29"/>
  <c r="CX20" i="29" s="1"/>
  <c r="BI20" i="29"/>
  <c r="BJ20" i="29"/>
  <c r="BK20" i="29"/>
  <c r="BL20" i="29"/>
  <c r="AH21" i="29"/>
  <c r="AI21" i="29"/>
  <c r="AJ21" i="29"/>
  <c r="AK21" i="29"/>
  <c r="AL21" i="29"/>
  <c r="AM21" i="29"/>
  <c r="AN21" i="29"/>
  <c r="AO21" i="29"/>
  <c r="AP21" i="29"/>
  <c r="AQ21" i="29"/>
  <c r="AR21" i="29"/>
  <c r="AS21" i="29"/>
  <c r="AT21" i="29"/>
  <c r="AU21" i="29"/>
  <c r="AV21" i="29"/>
  <c r="AW21" i="29"/>
  <c r="AX21" i="29"/>
  <c r="AY21" i="29"/>
  <c r="AZ21" i="29"/>
  <c r="BA21" i="29"/>
  <c r="BB21" i="29"/>
  <c r="BC21" i="29"/>
  <c r="BD21" i="29"/>
  <c r="BE21" i="29"/>
  <c r="BF21" i="29"/>
  <c r="BG21" i="29"/>
  <c r="BH21" i="29"/>
  <c r="CX21" i="29" s="1"/>
  <c r="BI21" i="29"/>
  <c r="BJ21" i="29"/>
  <c r="BK21" i="29"/>
  <c r="BL21" i="29"/>
  <c r="AH18" i="29"/>
  <c r="AI18" i="29"/>
  <c r="AJ18" i="29"/>
  <c r="AK18" i="29"/>
  <c r="AL18" i="29"/>
  <c r="AM18" i="29"/>
  <c r="AN18" i="29"/>
  <c r="AO18" i="29"/>
  <c r="AP18" i="29"/>
  <c r="AQ18" i="29"/>
  <c r="AR18" i="29"/>
  <c r="AS18" i="29"/>
  <c r="AT18" i="29"/>
  <c r="AU18" i="29"/>
  <c r="AV18" i="29"/>
  <c r="AW18" i="29"/>
  <c r="AX18" i="29"/>
  <c r="AY18" i="29"/>
  <c r="AZ18" i="29"/>
  <c r="BA18" i="29"/>
  <c r="BB18" i="29"/>
  <c r="BC18" i="29"/>
  <c r="BD18" i="29"/>
  <c r="BE18" i="29"/>
  <c r="BF18" i="29"/>
  <c r="BG18" i="29"/>
  <c r="BH18" i="29"/>
  <c r="CX18" i="29" s="1"/>
  <c r="BI18" i="29"/>
  <c r="BJ18" i="29"/>
  <c r="BK18" i="29"/>
  <c r="BL18" i="29"/>
  <c r="AH12" i="29"/>
  <c r="AI12" i="29"/>
  <c r="AJ12" i="29"/>
  <c r="AK12" i="29"/>
  <c r="AL12" i="29"/>
  <c r="AM12" i="29"/>
  <c r="AN12" i="29"/>
  <c r="AO12" i="29"/>
  <c r="AP12" i="29"/>
  <c r="AQ12" i="29"/>
  <c r="AR12" i="29"/>
  <c r="AS12" i="29"/>
  <c r="AT12" i="29"/>
  <c r="AU12" i="29"/>
  <c r="AV12" i="29"/>
  <c r="AW12" i="29"/>
  <c r="AX12" i="29"/>
  <c r="AY12" i="29"/>
  <c r="AZ12" i="29"/>
  <c r="BA12" i="29"/>
  <c r="BB12" i="29"/>
  <c r="BC12" i="29"/>
  <c r="BD12" i="29"/>
  <c r="BE12" i="29"/>
  <c r="BF12" i="29"/>
  <c r="BG12" i="29"/>
  <c r="BH12" i="29"/>
  <c r="CX12" i="29" s="1"/>
  <c r="BI12" i="29"/>
  <c r="BJ12" i="29"/>
  <c r="BK12" i="29"/>
  <c r="BL12" i="29"/>
  <c r="AH13" i="29"/>
  <c r="AI13" i="29"/>
  <c r="AJ13" i="29"/>
  <c r="AK13" i="29"/>
  <c r="AL13" i="29"/>
  <c r="AM13" i="29"/>
  <c r="AN13" i="29"/>
  <c r="AO13" i="29"/>
  <c r="AP13" i="29"/>
  <c r="AQ13" i="29"/>
  <c r="AR13" i="29"/>
  <c r="AS13" i="29"/>
  <c r="AT13" i="29"/>
  <c r="AU13" i="29"/>
  <c r="AV13" i="29"/>
  <c r="AW13" i="29"/>
  <c r="AX13" i="29"/>
  <c r="AY13" i="29"/>
  <c r="AZ13" i="29"/>
  <c r="BA13" i="29"/>
  <c r="BB13" i="29"/>
  <c r="BC13" i="29"/>
  <c r="BD13" i="29"/>
  <c r="BE13" i="29"/>
  <c r="BF13" i="29"/>
  <c r="BG13" i="29"/>
  <c r="BH13" i="29"/>
  <c r="CX13" i="29" s="1"/>
  <c r="BI13" i="29"/>
  <c r="BJ13" i="29"/>
  <c r="BK13" i="29"/>
  <c r="BL13" i="29"/>
  <c r="AH14" i="29"/>
  <c r="AI14" i="29"/>
  <c r="AJ14" i="29"/>
  <c r="AK14" i="29"/>
  <c r="AL14" i="29"/>
  <c r="AM14" i="29"/>
  <c r="AN14" i="29"/>
  <c r="AO14" i="29"/>
  <c r="AP14" i="29"/>
  <c r="AQ14" i="29"/>
  <c r="AR14" i="29"/>
  <c r="AS14" i="29"/>
  <c r="AT14" i="29"/>
  <c r="AU14" i="29"/>
  <c r="AV14" i="29"/>
  <c r="AW14" i="29"/>
  <c r="AX14" i="29"/>
  <c r="AY14" i="29"/>
  <c r="AZ14" i="29"/>
  <c r="BA14" i="29"/>
  <c r="BB14" i="29"/>
  <c r="BC14" i="29"/>
  <c r="BD14" i="29"/>
  <c r="BE14" i="29"/>
  <c r="BF14" i="29"/>
  <c r="BG14" i="29"/>
  <c r="BH14" i="29"/>
  <c r="CX14" i="29" s="1"/>
  <c r="BI14" i="29"/>
  <c r="BJ14" i="29"/>
  <c r="BK14" i="29"/>
  <c r="BL14" i="29"/>
  <c r="B153" i="31"/>
  <c r="AH148" i="31"/>
  <c r="AH149" i="31"/>
  <c r="AH150" i="31"/>
  <c r="AH151" i="31"/>
  <c r="AH152" i="31"/>
  <c r="AH153" i="31"/>
  <c r="AH154" i="31"/>
  <c r="AH155" i="31"/>
  <c r="AI148" i="31"/>
  <c r="AI149" i="31"/>
  <c r="AI150" i="31"/>
  <c r="AI151" i="31"/>
  <c r="AI152" i="31"/>
  <c r="AI153" i="31"/>
  <c r="AI154" i="31"/>
  <c r="AI155" i="31"/>
  <c r="AJ148" i="31"/>
  <c r="AJ149" i="31"/>
  <c r="AJ150" i="31"/>
  <c r="AJ151" i="31"/>
  <c r="AJ152" i="31"/>
  <c r="AJ153" i="31"/>
  <c r="AJ154" i="31"/>
  <c r="AJ155" i="31"/>
  <c r="AK148" i="31"/>
  <c r="AK149" i="31"/>
  <c r="AK150" i="31"/>
  <c r="AK151" i="31"/>
  <c r="AK152" i="31"/>
  <c r="AK153" i="31"/>
  <c r="AK154" i="31"/>
  <c r="AK155" i="31"/>
  <c r="AL148" i="31"/>
  <c r="AL149" i="31"/>
  <c r="AL150" i="31"/>
  <c r="AL151" i="31"/>
  <c r="AL152" i="31"/>
  <c r="AL153" i="31"/>
  <c r="AL154" i="31"/>
  <c r="AL155" i="31"/>
  <c r="AM148" i="31"/>
  <c r="AM149" i="31"/>
  <c r="AM150" i="31"/>
  <c r="AM151" i="31"/>
  <c r="AM152" i="31"/>
  <c r="AM153" i="31"/>
  <c r="AM154" i="31"/>
  <c r="AM155" i="31"/>
  <c r="AN148" i="31"/>
  <c r="AN149" i="31"/>
  <c r="AN150" i="31"/>
  <c r="AN151" i="31"/>
  <c r="AN152" i="31"/>
  <c r="AN153" i="31"/>
  <c r="AN154" i="31"/>
  <c r="AN155" i="31"/>
  <c r="AO148" i="31"/>
  <c r="AO149" i="31"/>
  <c r="AO150" i="31"/>
  <c r="AO151" i="31"/>
  <c r="AO152" i="31"/>
  <c r="AO153" i="31"/>
  <c r="AO154" i="31"/>
  <c r="AO155" i="31"/>
  <c r="AP148" i="31"/>
  <c r="AP149" i="31"/>
  <c r="AP150" i="31"/>
  <c r="AP151" i="31"/>
  <c r="AP152" i="31"/>
  <c r="AP153" i="31"/>
  <c r="AP154" i="31"/>
  <c r="AP155" i="31"/>
  <c r="AQ148" i="31"/>
  <c r="AQ149" i="31"/>
  <c r="AQ150" i="31"/>
  <c r="AQ151" i="31"/>
  <c r="AQ152" i="31"/>
  <c r="AQ153" i="31"/>
  <c r="AQ154" i="31"/>
  <c r="AQ155" i="31"/>
  <c r="AR148" i="31"/>
  <c r="AR149" i="31"/>
  <c r="AR150" i="31"/>
  <c r="AR151" i="31"/>
  <c r="AR152" i="31"/>
  <c r="AR153" i="31"/>
  <c r="AR154" i="31"/>
  <c r="AR155" i="31"/>
  <c r="AS148" i="31"/>
  <c r="AS149" i="31"/>
  <c r="AS150" i="31"/>
  <c r="AS151" i="31"/>
  <c r="AS152" i="31"/>
  <c r="AS153" i="31"/>
  <c r="AS154" i="31"/>
  <c r="AS155" i="31"/>
  <c r="AT148" i="31"/>
  <c r="AT149" i="31"/>
  <c r="AT150" i="31"/>
  <c r="AT151" i="31"/>
  <c r="AT152" i="31"/>
  <c r="AT153" i="31"/>
  <c r="AT154" i="31"/>
  <c r="AT155" i="31"/>
  <c r="AU148" i="31"/>
  <c r="AU149" i="31"/>
  <c r="AU150" i="31"/>
  <c r="AU151" i="31"/>
  <c r="AU152" i="31"/>
  <c r="AU153" i="31"/>
  <c r="AU154" i="31"/>
  <c r="AU155" i="31"/>
  <c r="AV148" i="31"/>
  <c r="AV149" i="31"/>
  <c r="AV150" i="31"/>
  <c r="AV151" i="31"/>
  <c r="AV152" i="31"/>
  <c r="AV153" i="31"/>
  <c r="AV154" i="31"/>
  <c r="AV155" i="31"/>
  <c r="AW148" i="31"/>
  <c r="AW149" i="31"/>
  <c r="AW150" i="31"/>
  <c r="AW151" i="31"/>
  <c r="AW152" i="31"/>
  <c r="AW153" i="31"/>
  <c r="AW154" i="31"/>
  <c r="AW155" i="31"/>
  <c r="AX148" i="31"/>
  <c r="AX149" i="31"/>
  <c r="AX150" i="31"/>
  <c r="AX151" i="31"/>
  <c r="AX152" i="31"/>
  <c r="AX153" i="31"/>
  <c r="AX154" i="31"/>
  <c r="AX155" i="31"/>
  <c r="AY148" i="31"/>
  <c r="AY149" i="31"/>
  <c r="AY150" i="31"/>
  <c r="AY151" i="31"/>
  <c r="AY152" i="31"/>
  <c r="AY153" i="31"/>
  <c r="AY154" i="31"/>
  <c r="AY155" i="31"/>
  <c r="AZ148" i="31"/>
  <c r="AZ149" i="31"/>
  <c r="AZ150" i="31"/>
  <c r="AZ151" i="31"/>
  <c r="AZ152" i="31"/>
  <c r="AZ153" i="31"/>
  <c r="AZ154" i="31"/>
  <c r="AZ155" i="31"/>
  <c r="BC148" i="31"/>
  <c r="BC149" i="31"/>
  <c r="BC150" i="31"/>
  <c r="BC151" i="31"/>
  <c r="BC152" i="31"/>
  <c r="BC153" i="31"/>
  <c r="BC154" i="31"/>
  <c r="BC155" i="31"/>
  <c r="BD148" i="31"/>
  <c r="BD149" i="31"/>
  <c r="BD150" i="31"/>
  <c r="BD151" i="31"/>
  <c r="BD152" i="31"/>
  <c r="BD153" i="31"/>
  <c r="BD154" i="31"/>
  <c r="BD155" i="31"/>
  <c r="BE148" i="31"/>
  <c r="BE149" i="31"/>
  <c r="BE150" i="31"/>
  <c r="BE151" i="31"/>
  <c r="BE152" i="31"/>
  <c r="BE153" i="31"/>
  <c r="BE154" i="31"/>
  <c r="BE155" i="31"/>
  <c r="BF148" i="31"/>
  <c r="BF149" i="31"/>
  <c r="BF150" i="31"/>
  <c r="BF151" i="31"/>
  <c r="BF152" i="31"/>
  <c r="BF153" i="31"/>
  <c r="BF154" i="31"/>
  <c r="BF155" i="31"/>
  <c r="BG148" i="31"/>
  <c r="BG149" i="31"/>
  <c r="BG150" i="31"/>
  <c r="BG151" i="31"/>
  <c r="BG152" i="31"/>
  <c r="BG153" i="31"/>
  <c r="BG154" i="31"/>
  <c r="BG155" i="31"/>
  <c r="BH148" i="31"/>
  <c r="BH149" i="31"/>
  <c r="BH150" i="31"/>
  <c r="BH151" i="31"/>
  <c r="BH152" i="31"/>
  <c r="BH153" i="31"/>
  <c r="BH154" i="31"/>
  <c r="BH155" i="31"/>
  <c r="BI148" i="31"/>
  <c r="BI149" i="31"/>
  <c r="BI150" i="31"/>
  <c r="BI151" i="31"/>
  <c r="BI152" i="31"/>
  <c r="BI153" i="31"/>
  <c r="BI154" i="31"/>
  <c r="BI155" i="31"/>
  <c r="BJ148" i="31"/>
  <c r="BJ149" i="31"/>
  <c r="BJ150" i="31"/>
  <c r="BJ151" i="31"/>
  <c r="BJ152" i="31"/>
  <c r="BJ153" i="31"/>
  <c r="BJ154" i="31"/>
  <c r="BJ155" i="31"/>
  <c r="BK148" i="31"/>
  <c r="BK149" i="31"/>
  <c r="BK150" i="31"/>
  <c r="BK151" i="31"/>
  <c r="BK152" i="31"/>
  <c r="BK153" i="31"/>
  <c r="BK154" i="31"/>
  <c r="BK155" i="31"/>
  <c r="BL148" i="31"/>
  <c r="BL149" i="31"/>
  <c r="BL150" i="31"/>
  <c r="BL151" i="31"/>
  <c r="BL152" i="31"/>
  <c r="BL153" i="31"/>
  <c r="BL154" i="31"/>
  <c r="BL155" i="31"/>
  <c r="AH34" i="31"/>
  <c r="AH35" i="31"/>
  <c r="AH36" i="31"/>
  <c r="AH37" i="31"/>
  <c r="AH38" i="31"/>
  <c r="AH39" i="31"/>
  <c r="AH40" i="31"/>
  <c r="AH41" i="31"/>
  <c r="AH42" i="31"/>
  <c r="AH43" i="31"/>
  <c r="AH44" i="31"/>
  <c r="AH45" i="31"/>
  <c r="AH46" i="31"/>
  <c r="AH47" i="31"/>
  <c r="AH48" i="31"/>
  <c r="AH49" i="31"/>
  <c r="AH50" i="31"/>
  <c r="AH51" i="31"/>
  <c r="AH52" i="31"/>
  <c r="AH53" i="31"/>
  <c r="AH54" i="31"/>
  <c r="AH55" i="31"/>
  <c r="AH56" i="31"/>
  <c r="AH57" i="31"/>
  <c r="AH58" i="31"/>
  <c r="AH59" i="31"/>
  <c r="AH60" i="31"/>
  <c r="AH61" i="31"/>
  <c r="AH62" i="31"/>
  <c r="AH63" i="31"/>
  <c r="AH64" i="31"/>
  <c r="AH65" i="31"/>
  <c r="AH66" i="31"/>
  <c r="AH67" i="31"/>
  <c r="AH68" i="31"/>
  <c r="AH69" i="31"/>
  <c r="AH70" i="31"/>
  <c r="AH71" i="31"/>
  <c r="AH72" i="31"/>
  <c r="AH73" i="31"/>
  <c r="AH74" i="31"/>
  <c r="AH75" i="31"/>
  <c r="AH76" i="31"/>
  <c r="AH77" i="31"/>
  <c r="AH78" i="31"/>
  <c r="AH79" i="31"/>
  <c r="AH80" i="31"/>
  <c r="AH81" i="31"/>
  <c r="AH82" i="31"/>
  <c r="AH83" i="31"/>
  <c r="AH84" i="31"/>
  <c r="AH85" i="31"/>
  <c r="AH86" i="31"/>
  <c r="AH87" i="31"/>
  <c r="AH88" i="31"/>
  <c r="AH89" i="31"/>
  <c r="AH90" i="31"/>
  <c r="AH91" i="31"/>
  <c r="AH92" i="31"/>
  <c r="AH93" i="31"/>
  <c r="AH94" i="31"/>
  <c r="AH95" i="31"/>
  <c r="AH96" i="31"/>
  <c r="AH97" i="31"/>
  <c r="AH98" i="31"/>
  <c r="AH99" i="31"/>
  <c r="AH100" i="31"/>
  <c r="AH101" i="31"/>
  <c r="AH102" i="31"/>
  <c r="AH103" i="31"/>
  <c r="AH104" i="31"/>
  <c r="AH105" i="31"/>
  <c r="AH106" i="31"/>
  <c r="AH107" i="31"/>
  <c r="AH108" i="31"/>
  <c r="AH109" i="31"/>
  <c r="AH110" i="31"/>
  <c r="AH111" i="31"/>
  <c r="AH112" i="31"/>
  <c r="AH113" i="31"/>
  <c r="AH114" i="31"/>
  <c r="AH115" i="31"/>
  <c r="AH116" i="31"/>
  <c r="AH117" i="31"/>
  <c r="AH118" i="31"/>
  <c r="AH119" i="31"/>
  <c r="AH120" i="31"/>
  <c r="AH121" i="31"/>
  <c r="AH122" i="31"/>
  <c r="AH123" i="31"/>
  <c r="AH124" i="31"/>
  <c r="AH125" i="31"/>
  <c r="AH126" i="31"/>
  <c r="AH127" i="31"/>
  <c r="AH128" i="31"/>
  <c r="AH129" i="31"/>
  <c r="AH130" i="31"/>
  <c r="AH131" i="31"/>
  <c r="AH132" i="31"/>
  <c r="AH133" i="31"/>
  <c r="AH134" i="31"/>
  <c r="AH135" i="31"/>
  <c r="AH136" i="31"/>
  <c r="AH137" i="31"/>
  <c r="AH138" i="31"/>
  <c r="AH139" i="31"/>
  <c r="AH140" i="31"/>
  <c r="AH141" i="31"/>
  <c r="AH142" i="31"/>
  <c r="AH143" i="31"/>
  <c r="AH144" i="31"/>
  <c r="AH145" i="31"/>
  <c r="AH146" i="31"/>
  <c r="AH147" i="31"/>
  <c r="AI34" i="31"/>
  <c r="AI35" i="31"/>
  <c r="AI36" i="31"/>
  <c r="AI37" i="31"/>
  <c r="AI38" i="31"/>
  <c r="AI39" i="31"/>
  <c r="AI40" i="31"/>
  <c r="AI41" i="31"/>
  <c r="AI42" i="31"/>
  <c r="AI43" i="31"/>
  <c r="AI44" i="31"/>
  <c r="AI45" i="31"/>
  <c r="AI46" i="31"/>
  <c r="AI47" i="31"/>
  <c r="AI48" i="31"/>
  <c r="AI49" i="31"/>
  <c r="AI50" i="31"/>
  <c r="AI51" i="31"/>
  <c r="AI52" i="31"/>
  <c r="AI53" i="31"/>
  <c r="AI54" i="31"/>
  <c r="AI55" i="31"/>
  <c r="AI56" i="31"/>
  <c r="AI57" i="31"/>
  <c r="AI58" i="31"/>
  <c r="AI59" i="31"/>
  <c r="AI60" i="31"/>
  <c r="AI61" i="31"/>
  <c r="AI62" i="31"/>
  <c r="AI63" i="31"/>
  <c r="AI64" i="31"/>
  <c r="AI65" i="31"/>
  <c r="AI66" i="31"/>
  <c r="AI67" i="31"/>
  <c r="AI68" i="31"/>
  <c r="AI69" i="31"/>
  <c r="AI70" i="31"/>
  <c r="AI71" i="31"/>
  <c r="AI72" i="31"/>
  <c r="AI73" i="31"/>
  <c r="AI74" i="31"/>
  <c r="AI75" i="31"/>
  <c r="AI76" i="31"/>
  <c r="AI77" i="31"/>
  <c r="AI78" i="31"/>
  <c r="AI79" i="31"/>
  <c r="AI80" i="31"/>
  <c r="AI81" i="31"/>
  <c r="AI82" i="31"/>
  <c r="AI83" i="31"/>
  <c r="AI84" i="31"/>
  <c r="AI85" i="31"/>
  <c r="AI86" i="31"/>
  <c r="AI87" i="31"/>
  <c r="AI88" i="31"/>
  <c r="AI89" i="31"/>
  <c r="AI90" i="31"/>
  <c r="AI91" i="31"/>
  <c r="AI92" i="31"/>
  <c r="AI93" i="31"/>
  <c r="AI94" i="31"/>
  <c r="AI95" i="31"/>
  <c r="AI96" i="31"/>
  <c r="AI97" i="31"/>
  <c r="AI98" i="31"/>
  <c r="AI99" i="31"/>
  <c r="AI100" i="31"/>
  <c r="AI101" i="31"/>
  <c r="AI102" i="31"/>
  <c r="AI103" i="31"/>
  <c r="AI104" i="31"/>
  <c r="AI105" i="31"/>
  <c r="AI106" i="31"/>
  <c r="AI107" i="31"/>
  <c r="AI108" i="31"/>
  <c r="AI109" i="31"/>
  <c r="AI110" i="31"/>
  <c r="AI111" i="31"/>
  <c r="AI112" i="31"/>
  <c r="AI113" i="31"/>
  <c r="AI114" i="31"/>
  <c r="AI115" i="31"/>
  <c r="AI116" i="31"/>
  <c r="AI117" i="31"/>
  <c r="AI118" i="31"/>
  <c r="AI119" i="31"/>
  <c r="AI120" i="31"/>
  <c r="AI121" i="31"/>
  <c r="AI122" i="31"/>
  <c r="AI123" i="31"/>
  <c r="AI124" i="31"/>
  <c r="AI125" i="31"/>
  <c r="AI126" i="31"/>
  <c r="AI127" i="31"/>
  <c r="AI128" i="31"/>
  <c r="AI129" i="31"/>
  <c r="AI130" i="31"/>
  <c r="AI131" i="31"/>
  <c r="AI132" i="31"/>
  <c r="AI133" i="31"/>
  <c r="AI134" i="31"/>
  <c r="AI135" i="31"/>
  <c r="AI136" i="31"/>
  <c r="AI137" i="31"/>
  <c r="AI138" i="31"/>
  <c r="AI139" i="31"/>
  <c r="AI140" i="31"/>
  <c r="AI141" i="31"/>
  <c r="AI142" i="31"/>
  <c r="AI143" i="31"/>
  <c r="AI144" i="31"/>
  <c r="AI145" i="31"/>
  <c r="AI146" i="31"/>
  <c r="AI147" i="31"/>
  <c r="AJ34" i="31"/>
  <c r="AJ35" i="31"/>
  <c r="AJ36" i="31"/>
  <c r="AJ37" i="31"/>
  <c r="AJ38" i="31"/>
  <c r="AJ39" i="31"/>
  <c r="AJ40" i="31"/>
  <c r="AJ41" i="31"/>
  <c r="AJ42" i="31"/>
  <c r="AJ43" i="31"/>
  <c r="AJ44" i="31"/>
  <c r="AJ45" i="31"/>
  <c r="AJ46" i="31"/>
  <c r="AJ47" i="31"/>
  <c r="AJ48" i="31"/>
  <c r="AJ49" i="31"/>
  <c r="AJ50" i="31"/>
  <c r="AJ51" i="31"/>
  <c r="AJ52" i="31"/>
  <c r="AJ53" i="31"/>
  <c r="AJ54" i="31"/>
  <c r="AJ55" i="31"/>
  <c r="AJ56" i="31"/>
  <c r="AJ57" i="31"/>
  <c r="AJ58" i="31"/>
  <c r="AJ59" i="31"/>
  <c r="AJ60" i="31"/>
  <c r="AJ61" i="31"/>
  <c r="AJ62" i="31"/>
  <c r="AJ63" i="31"/>
  <c r="AJ64" i="31"/>
  <c r="AJ65" i="31"/>
  <c r="AJ66" i="31"/>
  <c r="AJ67" i="31"/>
  <c r="AJ68" i="31"/>
  <c r="AJ69" i="31"/>
  <c r="AJ70" i="31"/>
  <c r="AJ71" i="31"/>
  <c r="AJ72" i="31"/>
  <c r="AJ73" i="31"/>
  <c r="AJ74" i="31"/>
  <c r="AJ75" i="31"/>
  <c r="AJ76" i="31"/>
  <c r="AJ77" i="31"/>
  <c r="AJ78" i="31"/>
  <c r="AJ79" i="31"/>
  <c r="AJ80" i="31"/>
  <c r="AJ81" i="31"/>
  <c r="AJ82" i="31"/>
  <c r="AJ83" i="31"/>
  <c r="AJ84" i="31"/>
  <c r="AJ85" i="31"/>
  <c r="AJ86" i="31"/>
  <c r="AJ87" i="31"/>
  <c r="AJ88" i="31"/>
  <c r="AJ89" i="31"/>
  <c r="AJ90" i="31"/>
  <c r="AJ91" i="31"/>
  <c r="AJ92" i="31"/>
  <c r="AJ93" i="31"/>
  <c r="AJ94" i="31"/>
  <c r="AJ95" i="31"/>
  <c r="AJ96" i="31"/>
  <c r="AJ97" i="31"/>
  <c r="AJ98" i="31"/>
  <c r="AJ99" i="31"/>
  <c r="AJ100" i="31"/>
  <c r="AJ101" i="31"/>
  <c r="AJ102" i="31"/>
  <c r="AJ103" i="31"/>
  <c r="AJ104" i="31"/>
  <c r="AJ105" i="31"/>
  <c r="AJ106" i="31"/>
  <c r="AJ107" i="31"/>
  <c r="AJ108" i="31"/>
  <c r="AJ109" i="31"/>
  <c r="AJ110" i="31"/>
  <c r="AJ111" i="31"/>
  <c r="AJ112" i="31"/>
  <c r="AJ113" i="31"/>
  <c r="AJ114" i="31"/>
  <c r="AJ115" i="31"/>
  <c r="AJ116" i="31"/>
  <c r="AJ117" i="31"/>
  <c r="AJ118" i="31"/>
  <c r="AJ119" i="31"/>
  <c r="AJ120" i="31"/>
  <c r="AJ121" i="31"/>
  <c r="AJ122" i="31"/>
  <c r="AJ123" i="31"/>
  <c r="AJ124" i="31"/>
  <c r="AJ125" i="31"/>
  <c r="AJ126" i="31"/>
  <c r="AJ127" i="31"/>
  <c r="AJ128" i="31"/>
  <c r="AJ129" i="31"/>
  <c r="AJ130" i="31"/>
  <c r="AJ131" i="31"/>
  <c r="AJ132" i="31"/>
  <c r="AJ133" i="31"/>
  <c r="AJ134" i="31"/>
  <c r="AJ135" i="31"/>
  <c r="AJ136" i="31"/>
  <c r="AJ137" i="31"/>
  <c r="AJ138" i="31"/>
  <c r="AJ139" i="31"/>
  <c r="AJ140" i="31"/>
  <c r="AJ141" i="31"/>
  <c r="AJ142" i="31"/>
  <c r="AJ143" i="31"/>
  <c r="AJ144" i="31"/>
  <c r="AJ145" i="31"/>
  <c r="AJ146" i="31"/>
  <c r="AJ147" i="31"/>
  <c r="AK34" i="31"/>
  <c r="AK35" i="31"/>
  <c r="AK36" i="31"/>
  <c r="AK37" i="31"/>
  <c r="AK38" i="31"/>
  <c r="AK39" i="31"/>
  <c r="AK40" i="31"/>
  <c r="AK41" i="31"/>
  <c r="AK42" i="31"/>
  <c r="AK43" i="31"/>
  <c r="AK44" i="31"/>
  <c r="AK45" i="31"/>
  <c r="AK46" i="31"/>
  <c r="AK47" i="31"/>
  <c r="AK48" i="31"/>
  <c r="AK49" i="31"/>
  <c r="AK50" i="31"/>
  <c r="AK51" i="31"/>
  <c r="AK52" i="31"/>
  <c r="AK53" i="31"/>
  <c r="AK54" i="31"/>
  <c r="AK55" i="31"/>
  <c r="AK56" i="31"/>
  <c r="AK57" i="31"/>
  <c r="AK58" i="31"/>
  <c r="AK59" i="31"/>
  <c r="AK60" i="31"/>
  <c r="AK61" i="31"/>
  <c r="AK62" i="31"/>
  <c r="AK63" i="31"/>
  <c r="AK64" i="31"/>
  <c r="AK65" i="31"/>
  <c r="AK66" i="31"/>
  <c r="AK67" i="31"/>
  <c r="AK68" i="31"/>
  <c r="AK69" i="31"/>
  <c r="AK70" i="31"/>
  <c r="AK71" i="31"/>
  <c r="AK72" i="31"/>
  <c r="AK73" i="31"/>
  <c r="AK74" i="31"/>
  <c r="AK75" i="31"/>
  <c r="AK76" i="31"/>
  <c r="AK77" i="31"/>
  <c r="AK78" i="31"/>
  <c r="AK79" i="31"/>
  <c r="AK80" i="31"/>
  <c r="AK81" i="31"/>
  <c r="AK82" i="31"/>
  <c r="AK83" i="31"/>
  <c r="AK84" i="31"/>
  <c r="AK85" i="31"/>
  <c r="AK86" i="31"/>
  <c r="AK87" i="31"/>
  <c r="AK88" i="31"/>
  <c r="AK89" i="31"/>
  <c r="AK90" i="31"/>
  <c r="AK91" i="31"/>
  <c r="AK92" i="31"/>
  <c r="AK93" i="31"/>
  <c r="AK94" i="31"/>
  <c r="AK95" i="31"/>
  <c r="AK96" i="31"/>
  <c r="AK97" i="31"/>
  <c r="AK98" i="31"/>
  <c r="AK99" i="31"/>
  <c r="AK100" i="31"/>
  <c r="AK101" i="31"/>
  <c r="AK102" i="31"/>
  <c r="AK103" i="31"/>
  <c r="AK104" i="31"/>
  <c r="AK105" i="31"/>
  <c r="AK106" i="31"/>
  <c r="AK107" i="31"/>
  <c r="AK108" i="31"/>
  <c r="AK109" i="31"/>
  <c r="AK110" i="31"/>
  <c r="AK111" i="31"/>
  <c r="AK112" i="31"/>
  <c r="AK113" i="31"/>
  <c r="AK114" i="31"/>
  <c r="AK115" i="31"/>
  <c r="AK116" i="31"/>
  <c r="AK117" i="31"/>
  <c r="AK118" i="31"/>
  <c r="AK119" i="31"/>
  <c r="AK120" i="31"/>
  <c r="AK121" i="31"/>
  <c r="AK122" i="31"/>
  <c r="AK123" i="31"/>
  <c r="AK124" i="31"/>
  <c r="AK125" i="31"/>
  <c r="AK126" i="31"/>
  <c r="AK127" i="31"/>
  <c r="AK128" i="31"/>
  <c r="AK129" i="31"/>
  <c r="AK130" i="31"/>
  <c r="AK131" i="31"/>
  <c r="AK132" i="31"/>
  <c r="AK133" i="31"/>
  <c r="AK134" i="31"/>
  <c r="AK135" i="31"/>
  <c r="AK136" i="31"/>
  <c r="AK137" i="31"/>
  <c r="AK138" i="31"/>
  <c r="AK139" i="31"/>
  <c r="AK140" i="31"/>
  <c r="AK141" i="31"/>
  <c r="AK142" i="31"/>
  <c r="AK143" i="31"/>
  <c r="AK144" i="31"/>
  <c r="AK145" i="31"/>
  <c r="AK146" i="31"/>
  <c r="AK147" i="31"/>
  <c r="AL34" i="31"/>
  <c r="AL35" i="31"/>
  <c r="AL36" i="31"/>
  <c r="AL37" i="31"/>
  <c r="AL38" i="31"/>
  <c r="AL39" i="31"/>
  <c r="AL40" i="31"/>
  <c r="AL41" i="31"/>
  <c r="AL42" i="31"/>
  <c r="AL43" i="31"/>
  <c r="AL44" i="31"/>
  <c r="AL45" i="31"/>
  <c r="AL46" i="31"/>
  <c r="AL47" i="31"/>
  <c r="AL48" i="31"/>
  <c r="AL49" i="31"/>
  <c r="AL50" i="31"/>
  <c r="AL51" i="31"/>
  <c r="AL52" i="31"/>
  <c r="AL53" i="31"/>
  <c r="AL54" i="31"/>
  <c r="AL55" i="31"/>
  <c r="AL56" i="31"/>
  <c r="AL57" i="31"/>
  <c r="AL58" i="31"/>
  <c r="AL59" i="31"/>
  <c r="AL60" i="31"/>
  <c r="AL61" i="31"/>
  <c r="AL62" i="31"/>
  <c r="AL63" i="31"/>
  <c r="AL64" i="31"/>
  <c r="AL65" i="31"/>
  <c r="AL66" i="31"/>
  <c r="AL67" i="31"/>
  <c r="AL68" i="31"/>
  <c r="AL69" i="31"/>
  <c r="AL70" i="31"/>
  <c r="AL71" i="31"/>
  <c r="AL72" i="31"/>
  <c r="AL73" i="31"/>
  <c r="AL74" i="31"/>
  <c r="AL75" i="31"/>
  <c r="AL76" i="31"/>
  <c r="AL77" i="31"/>
  <c r="AL78" i="31"/>
  <c r="AL79" i="31"/>
  <c r="AL80" i="31"/>
  <c r="AL81" i="31"/>
  <c r="AL82" i="31"/>
  <c r="AL83" i="31"/>
  <c r="AL84" i="31"/>
  <c r="AL85" i="31"/>
  <c r="AL86" i="31"/>
  <c r="AL87" i="31"/>
  <c r="AL88" i="31"/>
  <c r="AL89" i="31"/>
  <c r="AL90" i="31"/>
  <c r="AL91" i="31"/>
  <c r="AL92" i="31"/>
  <c r="AL93" i="31"/>
  <c r="AL94" i="31"/>
  <c r="AL95" i="31"/>
  <c r="AL96" i="31"/>
  <c r="AL97" i="31"/>
  <c r="AL98" i="31"/>
  <c r="AL99" i="31"/>
  <c r="AL100" i="31"/>
  <c r="AL101" i="31"/>
  <c r="AL102" i="31"/>
  <c r="AL103" i="31"/>
  <c r="AL104" i="31"/>
  <c r="AL105" i="31"/>
  <c r="AL106" i="31"/>
  <c r="AL107" i="31"/>
  <c r="AL108" i="31"/>
  <c r="AL109" i="31"/>
  <c r="AL110" i="31"/>
  <c r="AL111" i="31"/>
  <c r="AL112" i="31"/>
  <c r="AL113" i="31"/>
  <c r="AL114" i="31"/>
  <c r="AL115" i="31"/>
  <c r="AL116" i="31"/>
  <c r="AL117" i="31"/>
  <c r="AL118" i="31"/>
  <c r="AL119" i="31"/>
  <c r="AL120" i="31"/>
  <c r="AL121" i="31"/>
  <c r="AL122" i="31"/>
  <c r="AL123" i="31"/>
  <c r="AL124" i="31"/>
  <c r="AL125" i="31"/>
  <c r="AL126" i="31"/>
  <c r="AL127" i="31"/>
  <c r="AL128" i="31"/>
  <c r="AL129" i="31"/>
  <c r="AL130" i="31"/>
  <c r="AL131" i="31"/>
  <c r="AL132" i="31"/>
  <c r="AL133" i="31"/>
  <c r="AL134" i="31"/>
  <c r="AL135" i="31"/>
  <c r="AL136" i="31"/>
  <c r="AL137" i="31"/>
  <c r="AL138" i="31"/>
  <c r="AL139" i="31"/>
  <c r="AL140" i="31"/>
  <c r="AL141" i="31"/>
  <c r="AL142" i="31"/>
  <c r="AL143" i="31"/>
  <c r="AL144" i="31"/>
  <c r="AL145" i="31"/>
  <c r="AL146" i="31"/>
  <c r="AL147" i="31"/>
  <c r="AM34" i="31"/>
  <c r="AM35" i="31"/>
  <c r="AM36" i="31"/>
  <c r="AM37" i="31"/>
  <c r="AM38" i="31"/>
  <c r="AM39" i="31"/>
  <c r="AM40" i="31"/>
  <c r="AM41" i="31"/>
  <c r="AM42" i="31"/>
  <c r="AM43" i="31"/>
  <c r="AM44" i="31"/>
  <c r="AM45" i="31"/>
  <c r="AM46" i="31"/>
  <c r="AM47" i="31"/>
  <c r="AM48" i="31"/>
  <c r="AM49" i="31"/>
  <c r="AM50" i="31"/>
  <c r="AM51" i="31"/>
  <c r="AM52" i="31"/>
  <c r="AM53" i="31"/>
  <c r="AM54" i="31"/>
  <c r="AM55" i="31"/>
  <c r="AM56" i="31"/>
  <c r="AM57" i="31"/>
  <c r="AM58" i="31"/>
  <c r="AM59" i="31"/>
  <c r="AM60" i="31"/>
  <c r="AM61" i="31"/>
  <c r="AM62" i="31"/>
  <c r="AM63" i="31"/>
  <c r="AM64" i="31"/>
  <c r="AM65" i="31"/>
  <c r="AM66" i="31"/>
  <c r="AM67" i="31"/>
  <c r="AM68" i="31"/>
  <c r="AM69" i="31"/>
  <c r="AM70" i="31"/>
  <c r="AM71" i="31"/>
  <c r="AM72" i="31"/>
  <c r="AM73" i="31"/>
  <c r="AM74" i="31"/>
  <c r="AM75" i="31"/>
  <c r="AM76" i="31"/>
  <c r="AM77" i="31"/>
  <c r="AM78" i="31"/>
  <c r="AM79" i="31"/>
  <c r="AM80" i="31"/>
  <c r="AM81" i="31"/>
  <c r="AM82" i="31"/>
  <c r="AM83" i="31"/>
  <c r="AM84" i="31"/>
  <c r="AM85" i="31"/>
  <c r="AM86" i="31"/>
  <c r="AM87" i="31"/>
  <c r="AM88" i="31"/>
  <c r="AM89" i="31"/>
  <c r="AM90" i="31"/>
  <c r="AM91" i="31"/>
  <c r="AM92" i="31"/>
  <c r="AM93" i="31"/>
  <c r="AM94" i="31"/>
  <c r="AM95" i="31"/>
  <c r="AM96" i="31"/>
  <c r="AM97" i="31"/>
  <c r="AM98" i="31"/>
  <c r="AM99" i="31"/>
  <c r="AM100" i="31"/>
  <c r="AM101" i="31"/>
  <c r="AM102" i="31"/>
  <c r="AM103" i="31"/>
  <c r="AM104" i="31"/>
  <c r="AM105" i="31"/>
  <c r="AM106" i="31"/>
  <c r="AM107" i="31"/>
  <c r="AM108" i="31"/>
  <c r="AM109" i="31"/>
  <c r="AM110" i="31"/>
  <c r="AM111" i="31"/>
  <c r="AM112" i="31"/>
  <c r="AM113" i="31"/>
  <c r="AM114" i="31"/>
  <c r="AM115" i="31"/>
  <c r="AM116" i="31"/>
  <c r="AM117" i="31"/>
  <c r="AM118" i="31"/>
  <c r="AM119" i="31"/>
  <c r="AM120" i="31"/>
  <c r="AM121" i="31"/>
  <c r="AM122" i="31"/>
  <c r="AM123" i="31"/>
  <c r="AM124" i="31"/>
  <c r="AM125" i="31"/>
  <c r="AM126" i="31"/>
  <c r="AM127" i="31"/>
  <c r="AM128" i="31"/>
  <c r="AM129" i="31"/>
  <c r="AM130" i="31"/>
  <c r="AM131" i="31"/>
  <c r="AM132" i="31"/>
  <c r="AM133" i="31"/>
  <c r="AM134" i="31"/>
  <c r="AM135" i="31"/>
  <c r="AM136" i="31"/>
  <c r="AM137" i="31"/>
  <c r="AM138" i="31"/>
  <c r="AM139" i="31"/>
  <c r="AM140" i="31"/>
  <c r="AM141" i="31"/>
  <c r="AM142" i="31"/>
  <c r="AM143" i="31"/>
  <c r="AM144" i="31"/>
  <c r="AM145" i="31"/>
  <c r="AM146" i="31"/>
  <c r="AM147" i="31"/>
  <c r="AN34" i="31"/>
  <c r="AN35" i="31"/>
  <c r="AN36" i="31"/>
  <c r="AN37" i="31"/>
  <c r="AN38" i="31"/>
  <c r="AN39" i="31"/>
  <c r="AN40" i="31"/>
  <c r="AN41" i="31"/>
  <c r="AN42" i="31"/>
  <c r="AN43" i="31"/>
  <c r="AN44" i="31"/>
  <c r="AN45" i="31"/>
  <c r="AN46" i="31"/>
  <c r="AN47" i="31"/>
  <c r="AN48" i="31"/>
  <c r="AN49" i="31"/>
  <c r="AN50" i="31"/>
  <c r="AN51" i="31"/>
  <c r="AN52" i="31"/>
  <c r="AN53" i="31"/>
  <c r="AN54" i="31"/>
  <c r="AN55" i="31"/>
  <c r="AN56" i="31"/>
  <c r="AN57" i="31"/>
  <c r="AN58" i="31"/>
  <c r="AN59" i="31"/>
  <c r="AN60" i="31"/>
  <c r="AN61" i="31"/>
  <c r="AN62" i="31"/>
  <c r="AN63" i="31"/>
  <c r="AN64" i="31"/>
  <c r="AN65" i="31"/>
  <c r="AN66" i="31"/>
  <c r="AN67" i="31"/>
  <c r="AN68" i="31"/>
  <c r="AN69" i="31"/>
  <c r="AN70" i="31"/>
  <c r="AN71" i="31"/>
  <c r="AN72" i="31"/>
  <c r="AN73" i="31"/>
  <c r="AN74" i="31"/>
  <c r="AN75" i="31"/>
  <c r="AN76" i="31"/>
  <c r="AN77" i="31"/>
  <c r="AN78" i="31"/>
  <c r="AN79" i="31"/>
  <c r="AN80" i="31"/>
  <c r="AN81" i="31"/>
  <c r="AN82" i="31"/>
  <c r="AN83" i="31"/>
  <c r="AN84" i="31"/>
  <c r="AN85" i="31"/>
  <c r="AN86" i="31"/>
  <c r="AN87" i="31"/>
  <c r="AN88" i="31"/>
  <c r="AN89" i="31"/>
  <c r="AN90" i="31"/>
  <c r="AN91" i="31"/>
  <c r="AN92" i="31"/>
  <c r="AN93" i="31"/>
  <c r="AN94" i="31"/>
  <c r="AN95" i="31"/>
  <c r="AN96" i="31"/>
  <c r="AN97" i="31"/>
  <c r="AN98" i="31"/>
  <c r="AN99" i="31"/>
  <c r="AN100" i="31"/>
  <c r="AN101" i="31"/>
  <c r="AN102" i="31"/>
  <c r="AN103" i="31"/>
  <c r="AN104" i="31"/>
  <c r="AN105" i="31"/>
  <c r="AN106" i="31"/>
  <c r="AN107" i="31"/>
  <c r="AN108" i="31"/>
  <c r="AN109" i="31"/>
  <c r="AN110" i="31"/>
  <c r="AN111" i="31"/>
  <c r="AN112" i="31"/>
  <c r="AN113" i="31"/>
  <c r="AN114" i="31"/>
  <c r="AN115" i="31"/>
  <c r="AN116" i="31"/>
  <c r="AN117" i="31"/>
  <c r="AN118" i="31"/>
  <c r="AN119" i="31"/>
  <c r="AN120" i="31"/>
  <c r="AN121" i="31"/>
  <c r="AN122" i="31"/>
  <c r="AN123" i="31"/>
  <c r="AN124" i="31"/>
  <c r="AN125" i="31"/>
  <c r="AN126" i="31"/>
  <c r="AN127" i="31"/>
  <c r="AN128" i="31"/>
  <c r="AN129" i="31"/>
  <c r="AN130" i="31"/>
  <c r="AN131" i="31"/>
  <c r="AN132" i="31"/>
  <c r="AN133" i="31"/>
  <c r="AN134" i="31"/>
  <c r="AN135" i="31"/>
  <c r="AN136" i="31"/>
  <c r="AN137" i="31"/>
  <c r="AN138" i="31"/>
  <c r="AN139" i="31"/>
  <c r="AN140" i="31"/>
  <c r="AN141" i="31"/>
  <c r="AN142" i="31"/>
  <c r="AN143" i="31"/>
  <c r="AN144" i="31"/>
  <c r="AN145" i="31"/>
  <c r="AN146" i="31"/>
  <c r="AN147" i="31"/>
  <c r="AO34" i="31"/>
  <c r="AO35" i="31"/>
  <c r="AO36" i="31"/>
  <c r="AO37" i="31"/>
  <c r="AO38" i="31"/>
  <c r="AO39" i="31"/>
  <c r="AO40" i="31"/>
  <c r="AO41" i="31"/>
  <c r="AO42" i="31"/>
  <c r="AO43" i="31"/>
  <c r="AO44" i="31"/>
  <c r="AO45" i="31"/>
  <c r="AO46" i="31"/>
  <c r="AO47" i="31"/>
  <c r="AO48" i="31"/>
  <c r="AO49" i="31"/>
  <c r="AO50" i="31"/>
  <c r="AO51" i="31"/>
  <c r="AO52" i="31"/>
  <c r="AO53" i="31"/>
  <c r="AO54" i="31"/>
  <c r="AO55" i="31"/>
  <c r="AO56" i="31"/>
  <c r="AO57" i="31"/>
  <c r="AO58" i="31"/>
  <c r="AO59" i="31"/>
  <c r="AO60" i="31"/>
  <c r="AO61" i="31"/>
  <c r="AO62" i="31"/>
  <c r="AO63" i="31"/>
  <c r="AO64" i="31"/>
  <c r="AO65" i="31"/>
  <c r="AO66" i="31"/>
  <c r="AO67" i="31"/>
  <c r="AO68" i="31"/>
  <c r="AO69" i="31"/>
  <c r="AO70" i="31"/>
  <c r="AO71" i="31"/>
  <c r="AO72" i="31"/>
  <c r="AO73" i="31"/>
  <c r="AO74" i="31"/>
  <c r="AO75" i="31"/>
  <c r="AO76" i="31"/>
  <c r="AO77" i="31"/>
  <c r="AO78" i="31"/>
  <c r="AO79" i="31"/>
  <c r="AO80" i="31"/>
  <c r="AO81" i="31"/>
  <c r="AO82" i="31"/>
  <c r="AO83" i="31"/>
  <c r="AO84" i="31"/>
  <c r="AO85" i="31"/>
  <c r="AO86" i="31"/>
  <c r="AO87" i="31"/>
  <c r="AO88" i="31"/>
  <c r="AO89" i="31"/>
  <c r="AO90" i="31"/>
  <c r="AO91" i="31"/>
  <c r="AO92" i="31"/>
  <c r="AO93" i="31"/>
  <c r="AO94" i="31"/>
  <c r="AO95" i="31"/>
  <c r="AO96" i="31"/>
  <c r="AO97" i="31"/>
  <c r="AO98" i="31"/>
  <c r="AO99" i="31"/>
  <c r="AO100" i="31"/>
  <c r="AO101" i="31"/>
  <c r="AO102" i="31"/>
  <c r="AO103" i="31"/>
  <c r="AO104" i="31"/>
  <c r="AO105" i="31"/>
  <c r="AO106" i="31"/>
  <c r="AO107" i="31"/>
  <c r="AO108" i="31"/>
  <c r="AO109" i="31"/>
  <c r="AO110" i="31"/>
  <c r="AO111" i="31"/>
  <c r="AO112" i="31"/>
  <c r="AO113" i="31"/>
  <c r="AO114" i="31"/>
  <c r="AO115" i="31"/>
  <c r="AO116" i="31"/>
  <c r="AO117" i="31"/>
  <c r="AO118" i="31"/>
  <c r="AO119" i="31"/>
  <c r="AO120" i="31"/>
  <c r="AO121" i="31"/>
  <c r="AO122" i="31"/>
  <c r="AO123" i="31"/>
  <c r="AO124" i="31"/>
  <c r="AO125" i="31"/>
  <c r="AO126" i="31"/>
  <c r="AO127" i="31"/>
  <c r="AO128" i="31"/>
  <c r="AO129" i="31"/>
  <c r="AO130" i="31"/>
  <c r="AO131" i="31"/>
  <c r="AO132" i="31"/>
  <c r="AO133" i="31"/>
  <c r="AO134" i="31"/>
  <c r="AO135" i="31"/>
  <c r="AO136" i="31"/>
  <c r="AO137" i="31"/>
  <c r="AO138" i="31"/>
  <c r="AO139" i="31"/>
  <c r="AO140" i="31"/>
  <c r="AO141" i="31"/>
  <c r="AO142" i="31"/>
  <c r="AO143" i="31"/>
  <c r="AO144" i="31"/>
  <c r="AO145" i="31"/>
  <c r="AO146" i="31"/>
  <c r="AO147" i="31"/>
  <c r="AP34" i="31"/>
  <c r="AP35" i="31"/>
  <c r="AP36" i="31"/>
  <c r="AP37" i="31"/>
  <c r="AP38" i="31"/>
  <c r="AP39" i="31"/>
  <c r="AP40" i="31"/>
  <c r="AP41" i="31"/>
  <c r="AP42" i="31"/>
  <c r="AP43" i="31"/>
  <c r="AP44" i="31"/>
  <c r="AP45" i="31"/>
  <c r="AP46" i="31"/>
  <c r="AP47" i="31"/>
  <c r="AP48" i="31"/>
  <c r="AP49" i="31"/>
  <c r="AP50" i="31"/>
  <c r="AP51" i="31"/>
  <c r="AP52" i="31"/>
  <c r="AP53" i="31"/>
  <c r="AP54" i="31"/>
  <c r="AP55" i="31"/>
  <c r="AP56" i="31"/>
  <c r="AP57" i="31"/>
  <c r="AP58" i="31"/>
  <c r="AP59" i="31"/>
  <c r="AP60" i="31"/>
  <c r="AP61" i="31"/>
  <c r="AP62" i="31"/>
  <c r="AP63" i="31"/>
  <c r="AP64" i="31"/>
  <c r="AP65" i="31"/>
  <c r="AP66" i="31"/>
  <c r="AP67" i="31"/>
  <c r="AP68" i="31"/>
  <c r="AP69" i="31"/>
  <c r="AP70" i="31"/>
  <c r="AP71" i="31"/>
  <c r="AP72" i="31"/>
  <c r="AP73" i="31"/>
  <c r="AP74" i="31"/>
  <c r="AP75" i="31"/>
  <c r="AP76" i="31"/>
  <c r="AP77" i="31"/>
  <c r="AP78" i="31"/>
  <c r="AP79" i="31"/>
  <c r="AP80" i="31"/>
  <c r="AP81" i="31"/>
  <c r="AP82" i="31"/>
  <c r="AP83" i="31"/>
  <c r="AP84" i="31"/>
  <c r="AP85" i="31"/>
  <c r="AP86" i="31"/>
  <c r="AP87" i="31"/>
  <c r="AP88" i="31"/>
  <c r="AP89" i="31"/>
  <c r="AP90" i="31"/>
  <c r="AP91" i="31"/>
  <c r="AP92" i="31"/>
  <c r="AP93" i="31"/>
  <c r="AP94" i="31"/>
  <c r="AP95" i="31"/>
  <c r="AP96" i="31"/>
  <c r="AP97" i="31"/>
  <c r="AP98" i="31"/>
  <c r="AP99" i="31"/>
  <c r="AP100" i="31"/>
  <c r="AP101" i="31"/>
  <c r="AP102" i="31"/>
  <c r="AP103" i="31"/>
  <c r="AP104" i="31"/>
  <c r="AP105" i="31"/>
  <c r="AP106" i="31"/>
  <c r="AP107" i="31"/>
  <c r="AP108" i="31"/>
  <c r="AP109" i="31"/>
  <c r="AP110" i="31"/>
  <c r="AP111" i="31"/>
  <c r="AP112" i="31"/>
  <c r="AP113" i="31"/>
  <c r="AP114" i="31"/>
  <c r="AP115" i="31"/>
  <c r="AP116" i="31"/>
  <c r="AP117" i="31"/>
  <c r="AP118" i="31"/>
  <c r="AP119" i="31"/>
  <c r="AP120" i="31"/>
  <c r="AP121" i="31"/>
  <c r="AP122" i="31"/>
  <c r="AP123" i="31"/>
  <c r="AP124" i="31"/>
  <c r="AP125" i="31"/>
  <c r="AP126" i="31"/>
  <c r="AP127" i="31"/>
  <c r="AP128" i="31"/>
  <c r="AP129" i="31"/>
  <c r="AP130" i="31"/>
  <c r="AP131" i="31"/>
  <c r="AP132" i="31"/>
  <c r="AP133" i="31"/>
  <c r="AP134" i="31"/>
  <c r="AP135" i="31"/>
  <c r="AP136" i="31"/>
  <c r="AP137" i="31"/>
  <c r="AP138" i="31"/>
  <c r="AP139" i="31"/>
  <c r="AP140" i="31"/>
  <c r="AP141" i="31"/>
  <c r="AP142" i="31"/>
  <c r="AP143" i="31"/>
  <c r="AP144" i="31"/>
  <c r="AP145" i="31"/>
  <c r="AP146" i="31"/>
  <c r="AP147" i="31"/>
  <c r="AQ34" i="31"/>
  <c r="AQ35" i="31"/>
  <c r="AQ36" i="31"/>
  <c r="AQ37" i="31"/>
  <c r="AQ38" i="31"/>
  <c r="AQ39" i="31"/>
  <c r="AQ40" i="31"/>
  <c r="AQ41" i="31"/>
  <c r="AQ42" i="31"/>
  <c r="AQ43" i="31"/>
  <c r="AQ44" i="31"/>
  <c r="AQ45" i="31"/>
  <c r="AQ46" i="31"/>
  <c r="AQ47" i="31"/>
  <c r="AQ48" i="31"/>
  <c r="AQ49" i="31"/>
  <c r="AQ50" i="31"/>
  <c r="AQ51" i="31"/>
  <c r="AQ52" i="31"/>
  <c r="AQ53" i="31"/>
  <c r="AQ54" i="31"/>
  <c r="AQ55" i="31"/>
  <c r="AQ56" i="31"/>
  <c r="AQ57" i="31"/>
  <c r="AQ58" i="31"/>
  <c r="AQ59" i="31"/>
  <c r="AQ60" i="31"/>
  <c r="AQ61" i="31"/>
  <c r="AQ62" i="31"/>
  <c r="AQ63" i="31"/>
  <c r="AQ64" i="31"/>
  <c r="AQ65" i="31"/>
  <c r="AQ66" i="31"/>
  <c r="AQ67" i="31"/>
  <c r="AQ68" i="31"/>
  <c r="AQ69" i="31"/>
  <c r="AQ70" i="31"/>
  <c r="AQ71" i="31"/>
  <c r="AQ72" i="31"/>
  <c r="AQ73" i="31"/>
  <c r="AQ74" i="31"/>
  <c r="AQ75" i="31"/>
  <c r="AQ76" i="31"/>
  <c r="AQ77" i="31"/>
  <c r="AQ78" i="31"/>
  <c r="AQ79" i="31"/>
  <c r="AQ80" i="31"/>
  <c r="AQ81" i="31"/>
  <c r="AQ82" i="31"/>
  <c r="AQ83" i="31"/>
  <c r="AQ84" i="31"/>
  <c r="AQ85" i="31"/>
  <c r="AQ86" i="31"/>
  <c r="AQ87" i="31"/>
  <c r="AQ88" i="31"/>
  <c r="AQ89" i="31"/>
  <c r="AQ90" i="31"/>
  <c r="AQ91" i="31"/>
  <c r="AQ92" i="31"/>
  <c r="AQ93" i="31"/>
  <c r="AQ94" i="31"/>
  <c r="AQ95" i="31"/>
  <c r="AQ96" i="31"/>
  <c r="AQ97" i="31"/>
  <c r="AQ98" i="31"/>
  <c r="AQ99" i="31"/>
  <c r="AQ100" i="31"/>
  <c r="AQ101" i="31"/>
  <c r="AQ102" i="31"/>
  <c r="AQ103" i="31"/>
  <c r="AQ104" i="31"/>
  <c r="AQ105" i="31"/>
  <c r="AQ106" i="31"/>
  <c r="AQ107" i="31"/>
  <c r="AQ108" i="31"/>
  <c r="AQ109" i="31"/>
  <c r="AQ110" i="31"/>
  <c r="AQ111" i="31"/>
  <c r="AQ112" i="31"/>
  <c r="AQ113" i="31"/>
  <c r="AQ114" i="31"/>
  <c r="AQ115" i="31"/>
  <c r="AQ116" i="31"/>
  <c r="AQ117" i="31"/>
  <c r="AQ118" i="31"/>
  <c r="AQ119" i="31"/>
  <c r="AQ120" i="31"/>
  <c r="AQ121" i="31"/>
  <c r="AQ122" i="31"/>
  <c r="AQ123" i="31"/>
  <c r="AQ124" i="31"/>
  <c r="AQ125" i="31"/>
  <c r="AQ126" i="31"/>
  <c r="AQ127" i="31"/>
  <c r="AQ128" i="31"/>
  <c r="AQ129" i="31"/>
  <c r="AQ130" i="31"/>
  <c r="AQ131" i="31"/>
  <c r="AQ132" i="31"/>
  <c r="AQ133" i="31"/>
  <c r="AQ134" i="31"/>
  <c r="AQ135" i="31"/>
  <c r="AQ136" i="31"/>
  <c r="AQ137" i="31"/>
  <c r="AQ138" i="31"/>
  <c r="AQ139" i="31"/>
  <c r="AQ140" i="31"/>
  <c r="AQ141" i="31"/>
  <c r="AQ142" i="31"/>
  <c r="AQ143" i="31"/>
  <c r="AQ144" i="31"/>
  <c r="AQ145" i="31"/>
  <c r="AQ146" i="31"/>
  <c r="AQ147" i="31"/>
  <c r="AR34" i="31"/>
  <c r="AR35" i="31"/>
  <c r="AR36" i="31"/>
  <c r="AR37" i="31"/>
  <c r="AR38" i="31"/>
  <c r="AR39" i="31"/>
  <c r="AR40" i="31"/>
  <c r="AR41" i="31"/>
  <c r="AR42" i="31"/>
  <c r="AR43" i="31"/>
  <c r="AR44" i="31"/>
  <c r="AR45" i="31"/>
  <c r="AR46" i="31"/>
  <c r="AR47" i="31"/>
  <c r="AR48" i="31"/>
  <c r="AR49" i="31"/>
  <c r="AR50" i="31"/>
  <c r="AR51" i="31"/>
  <c r="AR52" i="31"/>
  <c r="AR53" i="31"/>
  <c r="AR54" i="31"/>
  <c r="AR55" i="31"/>
  <c r="AR56" i="31"/>
  <c r="AR57" i="31"/>
  <c r="AR58" i="31"/>
  <c r="AR59" i="31"/>
  <c r="AR60" i="31"/>
  <c r="AR61" i="31"/>
  <c r="AR62" i="31"/>
  <c r="AR63" i="31"/>
  <c r="AR64" i="31"/>
  <c r="AR65" i="31"/>
  <c r="AR66" i="31"/>
  <c r="AR67" i="31"/>
  <c r="AR68" i="31"/>
  <c r="AR69" i="31"/>
  <c r="AR70" i="31"/>
  <c r="AR71" i="31"/>
  <c r="AR72" i="31"/>
  <c r="AR73" i="31"/>
  <c r="AR74" i="31"/>
  <c r="AR75" i="31"/>
  <c r="AR76" i="31"/>
  <c r="AR77" i="31"/>
  <c r="AR78" i="31"/>
  <c r="AR79" i="31"/>
  <c r="AR80" i="31"/>
  <c r="AR81" i="31"/>
  <c r="AR82" i="31"/>
  <c r="AR83" i="31"/>
  <c r="AR84" i="31"/>
  <c r="AR85" i="31"/>
  <c r="AR86" i="31"/>
  <c r="AR87" i="31"/>
  <c r="AR88" i="31"/>
  <c r="AR89" i="31"/>
  <c r="AR90" i="31"/>
  <c r="AR91" i="31"/>
  <c r="AR92" i="31"/>
  <c r="AR93" i="31"/>
  <c r="AR94" i="31"/>
  <c r="AR95" i="31"/>
  <c r="AR96" i="31"/>
  <c r="AR97" i="31"/>
  <c r="AR98" i="31"/>
  <c r="AR99" i="31"/>
  <c r="AR100" i="31"/>
  <c r="AR101" i="31"/>
  <c r="AR102" i="31"/>
  <c r="AR103" i="31"/>
  <c r="AR104" i="31"/>
  <c r="AR105" i="31"/>
  <c r="AR106" i="31"/>
  <c r="AR107" i="31"/>
  <c r="AR108" i="31"/>
  <c r="AR109" i="31"/>
  <c r="AR110" i="31"/>
  <c r="AR111" i="31"/>
  <c r="AR112" i="31"/>
  <c r="AR113" i="31"/>
  <c r="AR114" i="31"/>
  <c r="AR115" i="31"/>
  <c r="AR116" i="31"/>
  <c r="AR117" i="31"/>
  <c r="AR118" i="31"/>
  <c r="AR119" i="31"/>
  <c r="AR120" i="31"/>
  <c r="AR121" i="31"/>
  <c r="AR122" i="31"/>
  <c r="AR123" i="31"/>
  <c r="AR124" i="31"/>
  <c r="AR125" i="31"/>
  <c r="AR126" i="31"/>
  <c r="AR127" i="31"/>
  <c r="AR128" i="31"/>
  <c r="AR129" i="31"/>
  <c r="AR130" i="31"/>
  <c r="AR131" i="31"/>
  <c r="AR132" i="31"/>
  <c r="AR133" i="31"/>
  <c r="AR134" i="31"/>
  <c r="AR135" i="31"/>
  <c r="AR136" i="31"/>
  <c r="AR137" i="31"/>
  <c r="AR138" i="31"/>
  <c r="AR139" i="31"/>
  <c r="AR140" i="31"/>
  <c r="AR141" i="31"/>
  <c r="AR142" i="31"/>
  <c r="AR143" i="31"/>
  <c r="AR144" i="31"/>
  <c r="AR145" i="31"/>
  <c r="AR146" i="31"/>
  <c r="AR147" i="31"/>
  <c r="AS34" i="31"/>
  <c r="AS35" i="31"/>
  <c r="AS36" i="31"/>
  <c r="AS37" i="31"/>
  <c r="AS38" i="31"/>
  <c r="AS39" i="31"/>
  <c r="AS40" i="31"/>
  <c r="AS41" i="31"/>
  <c r="AS42" i="31"/>
  <c r="AS43" i="31"/>
  <c r="AS44" i="31"/>
  <c r="AS45" i="31"/>
  <c r="AS46" i="31"/>
  <c r="AS47" i="31"/>
  <c r="AS48" i="31"/>
  <c r="AS49" i="31"/>
  <c r="AS50" i="31"/>
  <c r="AS51" i="31"/>
  <c r="AS52" i="31"/>
  <c r="AS53" i="31"/>
  <c r="AS54" i="31"/>
  <c r="AS55" i="31"/>
  <c r="AS56" i="31"/>
  <c r="AS57" i="31"/>
  <c r="AS58" i="31"/>
  <c r="AS59" i="31"/>
  <c r="AS60" i="31"/>
  <c r="AS61" i="31"/>
  <c r="AS62" i="31"/>
  <c r="AS63" i="31"/>
  <c r="AS64" i="31"/>
  <c r="AS65" i="31"/>
  <c r="AS66" i="31"/>
  <c r="AS67" i="31"/>
  <c r="AS68" i="31"/>
  <c r="AS69" i="31"/>
  <c r="AS70" i="31"/>
  <c r="AS71" i="31"/>
  <c r="AS72" i="31"/>
  <c r="AS73" i="31"/>
  <c r="AS74" i="31"/>
  <c r="AS75" i="31"/>
  <c r="AS76" i="31"/>
  <c r="AS77" i="31"/>
  <c r="AS78" i="31"/>
  <c r="AS79" i="31"/>
  <c r="AS80" i="31"/>
  <c r="AS81" i="31"/>
  <c r="AS82" i="31"/>
  <c r="AS83" i="31"/>
  <c r="AS84" i="31"/>
  <c r="AS85" i="31"/>
  <c r="AS86" i="31"/>
  <c r="AS87" i="31"/>
  <c r="AS88" i="31"/>
  <c r="AS89" i="31"/>
  <c r="AS90" i="31"/>
  <c r="AS91" i="31"/>
  <c r="AS92" i="31"/>
  <c r="AS93" i="31"/>
  <c r="AS94" i="31"/>
  <c r="AS95" i="31"/>
  <c r="AS96" i="31"/>
  <c r="AS97" i="31"/>
  <c r="AS98" i="31"/>
  <c r="AS99" i="31"/>
  <c r="AS100" i="31"/>
  <c r="AS101" i="31"/>
  <c r="AS102" i="31"/>
  <c r="AS103" i="31"/>
  <c r="AS104" i="31"/>
  <c r="AS105" i="31"/>
  <c r="AS106" i="31"/>
  <c r="AS107" i="31"/>
  <c r="AS108" i="31"/>
  <c r="AS109" i="31"/>
  <c r="AS110" i="31"/>
  <c r="AS111" i="31"/>
  <c r="AS112" i="31"/>
  <c r="AS113" i="31"/>
  <c r="AS114" i="31"/>
  <c r="AS115" i="31"/>
  <c r="AS116" i="31"/>
  <c r="AS117" i="31"/>
  <c r="AS118" i="31"/>
  <c r="AS119" i="31"/>
  <c r="AS120" i="31"/>
  <c r="AS121" i="31"/>
  <c r="AS122" i="31"/>
  <c r="AS123" i="31"/>
  <c r="AS124" i="31"/>
  <c r="AS125" i="31"/>
  <c r="AS126" i="31"/>
  <c r="AS127" i="31"/>
  <c r="AS128" i="31"/>
  <c r="AS129" i="31"/>
  <c r="AS130" i="31"/>
  <c r="AS131" i="31"/>
  <c r="AS132" i="31"/>
  <c r="AS133" i="31"/>
  <c r="AS134" i="31"/>
  <c r="AS135" i="31"/>
  <c r="AS136" i="31"/>
  <c r="AS137" i="31"/>
  <c r="AS138" i="31"/>
  <c r="AS139" i="31"/>
  <c r="AS140" i="31"/>
  <c r="AS141" i="31"/>
  <c r="AS142" i="31"/>
  <c r="AS143" i="31"/>
  <c r="AS144" i="31"/>
  <c r="AS145" i="31"/>
  <c r="AS146" i="31"/>
  <c r="AS147" i="31"/>
  <c r="AT34" i="31"/>
  <c r="AT35" i="31"/>
  <c r="AT36" i="31"/>
  <c r="AT37" i="31"/>
  <c r="AT38" i="31"/>
  <c r="AT39" i="31"/>
  <c r="AT40" i="31"/>
  <c r="AT41" i="31"/>
  <c r="AT42" i="31"/>
  <c r="AT43" i="31"/>
  <c r="AT44" i="31"/>
  <c r="AT45" i="31"/>
  <c r="AT46" i="31"/>
  <c r="AT47" i="31"/>
  <c r="AT48" i="31"/>
  <c r="AT49" i="31"/>
  <c r="AT50" i="31"/>
  <c r="AT51" i="31"/>
  <c r="AT52" i="31"/>
  <c r="AT53" i="31"/>
  <c r="AT54" i="31"/>
  <c r="AT55" i="31"/>
  <c r="AT56" i="31"/>
  <c r="AT57" i="31"/>
  <c r="AT58" i="31"/>
  <c r="AT59" i="31"/>
  <c r="AT60" i="31"/>
  <c r="AT61" i="31"/>
  <c r="AT62" i="31"/>
  <c r="AT63" i="31"/>
  <c r="AT64" i="31"/>
  <c r="AT65" i="31"/>
  <c r="AT66" i="31"/>
  <c r="AT67" i="31"/>
  <c r="AT68" i="31"/>
  <c r="AT69" i="31"/>
  <c r="AT70" i="31"/>
  <c r="AT71" i="31"/>
  <c r="AT72" i="31"/>
  <c r="AT73" i="31"/>
  <c r="AT74" i="31"/>
  <c r="AT75" i="31"/>
  <c r="AT76" i="31"/>
  <c r="AT77" i="31"/>
  <c r="AT78" i="31"/>
  <c r="AT79" i="31"/>
  <c r="AT80" i="31"/>
  <c r="AT81" i="31"/>
  <c r="AT82" i="31"/>
  <c r="AT83" i="31"/>
  <c r="AT84" i="31"/>
  <c r="AT85" i="31"/>
  <c r="AT86" i="31"/>
  <c r="AT87" i="31"/>
  <c r="AT88" i="31"/>
  <c r="AT89" i="31"/>
  <c r="AT90" i="31"/>
  <c r="AT91" i="31"/>
  <c r="AT92" i="31"/>
  <c r="AT93" i="31"/>
  <c r="AT94" i="31"/>
  <c r="AT95" i="31"/>
  <c r="AT96" i="31"/>
  <c r="AT97" i="31"/>
  <c r="AT98" i="31"/>
  <c r="AT99" i="31"/>
  <c r="AT100" i="31"/>
  <c r="AT101" i="31"/>
  <c r="AT102" i="31"/>
  <c r="AT103" i="31"/>
  <c r="AT104" i="31"/>
  <c r="AT105" i="31"/>
  <c r="AT106" i="31"/>
  <c r="AT107" i="31"/>
  <c r="AT108" i="31"/>
  <c r="AT109" i="31"/>
  <c r="AT110" i="31"/>
  <c r="AT111" i="31"/>
  <c r="AT112" i="31"/>
  <c r="AT113" i="31"/>
  <c r="AT114" i="31"/>
  <c r="AT115" i="31"/>
  <c r="AT116" i="31"/>
  <c r="AT117" i="31"/>
  <c r="AT118" i="31"/>
  <c r="AT119" i="31"/>
  <c r="AT120" i="31"/>
  <c r="AT121" i="31"/>
  <c r="AT122" i="31"/>
  <c r="AT123" i="31"/>
  <c r="AT124" i="31"/>
  <c r="AT125" i="31"/>
  <c r="AT126" i="31"/>
  <c r="AT127" i="31"/>
  <c r="AT128" i="31"/>
  <c r="AT129" i="31"/>
  <c r="AT130" i="31"/>
  <c r="AT131" i="31"/>
  <c r="AT132" i="31"/>
  <c r="AT133" i="31"/>
  <c r="AT134" i="31"/>
  <c r="AT135" i="31"/>
  <c r="AT136" i="31"/>
  <c r="AT137" i="31"/>
  <c r="AT138" i="31"/>
  <c r="AT139" i="31"/>
  <c r="AT140" i="31"/>
  <c r="AT141" i="31"/>
  <c r="AT142" i="31"/>
  <c r="AT143" i="31"/>
  <c r="AT144" i="31"/>
  <c r="AT145" i="31"/>
  <c r="AT146" i="31"/>
  <c r="AT147" i="31"/>
  <c r="AU34" i="31"/>
  <c r="AU35" i="31"/>
  <c r="AU36" i="31"/>
  <c r="AU37" i="31"/>
  <c r="AU38" i="31"/>
  <c r="AU39" i="31"/>
  <c r="AU40" i="31"/>
  <c r="AU41" i="31"/>
  <c r="AU42" i="31"/>
  <c r="AU43" i="31"/>
  <c r="AU44" i="31"/>
  <c r="AU45" i="31"/>
  <c r="AU46" i="31"/>
  <c r="AU47" i="31"/>
  <c r="AU48" i="31"/>
  <c r="AU49" i="31"/>
  <c r="AU50" i="31"/>
  <c r="AU51" i="31"/>
  <c r="AU52" i="31"/>
  <c r="AU53" i="31"/>
  <c r="AU54" i="31"/>
  <c r="AU55" i="31"/>
  <c r="AU56" i="31"/>
  <c r="AU57" i="31"/>
  <c r="AU58" i="31"/>
  <c r="AU59" i="31"/>
  <c r="AU60" i="31"/>
  <c r="AU61" i="31"/>
  <c r="AU62" i="31"/>
  <c r="AU63" i="31"/>
  <c r="AU64" i="31"/>
  <c r="AU65" i="31"/>
  <c r="AU66" i="31"/>
  <c r="AU67" i="31"/>
  <c r="AU68" i="31"/>
  <c r="AU69" i="31"/>
  <c r="AU70" i="31"/>
  <c r="AU71" i="31"/>
  <c r="AU72" i="31"/>
  <c r="AU73" i="31"/>
  <c r="AU74" i="31"/>
  <c r="AU75" i="31"/>
  <c r="AU76" i="31"/>
  <c r="AU77" i="31"/>
  <c r="AU78" i="31"/>
  <c r="AU79" i="31"/>
  <c r="AU80" i="31"/>
  <c r="AU81" i="31"/>
  <c r="AU82" i="31"/>
  <c r="AU83" i="31"/>
  <c r="AU84" i="31"/>
  <c r="AU85" i="31"/>
  <c r="AU86" i="31"/>
  <c r="AU87" i="31"/>
  <c r="AU88" i="31"/>
  <c r="AU89" i="31"/>
  <c r="AU90" i="31"/>
  <c r="AU91" i="31"/>
  <c r="AU92" i="31"/>
  <c r="AU93" i="31"/>
  <c r="AU94" i="31"/>
  <c r="AU95" i="31"/>
  <c r="AU96" i="31"/>
  <c r="AU97" i="31"/>
  <c r="AU98" i="31"/>
  <c r="AU99" i="31"/>
  <c r="AU100" i="31"/>
  <c r="AU101" i="31"/>
  <c r="AU102" i="31"/>
  <c r="AU103" i="31"/>
  <c r="AU104" i="31"/>
  <c r="AU105" i="31"/>
  <c r="AU106" i="31"/>
  <c r="AU107" i="31"/>
  <c r="AU108" i="31"/>
  <c r="AU109" i="31"/>
  <c r="AU110" i="31"/>
  <c r="AU111" i="31"/>
  <c r="AU112" i="31"/>
  <c r="AU113" i="31"/>
  <c r="AU114" i="31"/>
  <c r="AU115" i="31"/>
  <c r="AU116" i="31"/>
  <c r="AU117" i="31"/>
  <c r="AU118" i="31"/>
  <c r="AU119" i="31"/>
  <c r="AU120" i="31"/>
  <c r="AU121" i="31"/>
  <c r="AU122" i="31"/>
  <c r="AU123" i="31"/>
  <c r="AU124" i="31"/>
  <c r="AU125" i="31"/>
  <c r="AU126" i="31"/>
  <c r="AU127" i="31"/>
  <c r="AU128" i="31"/>
  <c r="AU129" i="31"/>
  <c r="AU130" i="31"/>
  <c r="AU131" i="31"/>
  <c r="AU132" i="31"/>
  <c r="AU133" i="31"/>
  <c r="AU134" i="31"/>
  <c r="AU135" i="31"/>
  <c r="AU136" i="31"/>
  <c r="AU137" i="31"/>
  <c r="AU138" i="31"/>
  <c r="AU139" i="31"/>
  <c r="AU140" i="31"/>
  <c r="AU141" i="31"/>
  <c r="AU142" i="31"/>
  <c r="AU143" i="31"/>
  <c r="AU144" i="31"/>
  <c r="AU145" i="31"/>
  <c r="AU146" i="31"/>
  <c r="AU147" i="31"/>
  <c r="AV34" i="31"/>
  <c r="AV35" i="31"/>
  <c r="AV36" i="31"/>
  <c r="AV37" i="31"/>
  <c r="AV38" i="31"/>
  <c r="AV39" i="31"/>
  <c r="AV40" i="31"/>
  <c r="AV41" i="31"/>
  <c r="AV42" i="31"/>
  <c r="AV43" i="31"/>
  <c r="AV44" i="31"/>
  <c r="AV45" i="31"/>
  <c r="AV46" i="31"/>
  <c r="AV47" i="31"/>
  <c r="AV48" i="31"/>
  <c r="AV49" i="31"/>
  <c r="AV50" i="31"/>
  <c r="AV51" i="31"/>
  <c r="AV52" i="31"/>
  <c r="AV53" i="31"/>
  <c r="AV54" i="31"/>
  <c r="AV55" i="31"/>
  <c r="AV56" i="31"/>
  <c r="AV57" i="31"/>
  <c r="AV58" i="31"/>
  <c r="AV59" i="31"/>
  <c r="AV60" i="31"/>
  <c r="AV61" i="31"/>
  <c r="AV62" i="31"/>
  <c r="AV63" i="31"/>
  <c r="AV64" i="31"/>
  <c r="AV65" i="31"/>
  <c r="AV66" i="31"/>
  <c r="AV67" i="31"/>
  <c r="AV68" i="31"/>
  <c r="AV69" i="31"/>
  <c r="AV70" i="31"/>
  <c r="AV71" i="31"/>
  <c r="AV72" i="31"/>
  <c r="AV73" i="31"/>
  <c r="AV74" i="31"/>
  <c r="AV75" i="31"/>
  <c r="AV76" i="31"/>
  <c r="AV77" i="31"/>
  <c r="AV78" i="31"/>
  <c r="AV79" i="31"/>
  <c r="AV80" i="31"/>
  <c r="AV81" i="31"/>
  <c r="AV82" i="31"/>
  <c r="AV83" i="31"/>
  <c r="AV84" i="31"/>
  <c r="AV85" i="31"/>
  <c r="AV86" i="31"/>
  <c r="AV87" i="31"/>
  <c r="AV88" i="31"/>
  <c r="AV89" i="31"/>
  <c r="AV90" i="31"/>
  <c r="AV91" i="31"/>
  <c r="AV92" i="31"/>
  <c r="AV93" i="31"/>
  <c r="AV94" i="31"/>
  <c r="AV95" i="31"/>
  <c r="AV96" i="31"/>
  <c r="AV97" i="31"/>
  <c r="AV98" i="31"/>
  <c r="AV99" i="31"/>
  <c r="AV100" i="31"/>
  <c r="AV101" i="31"/>
  <c r="AV102" i="31"/>
  <c r="AV103" i="31"/>
  <c r="AV104" i="31"/>
  <c r="AV105" i="31"/>
  <c r="AV106" i="31"/>
  <c r="AV107" i="31"/>
  <c r="AV108" i="31"/>
  <c r="AV109" i="31"/>
  <c r="AV110" i="31"/>
  <c r="AV111" i="31"/>
  <c r="AV112" i="31"/>
  <c r="AV113" i="31"/>
  <c r="AV114" i="31"/>
  <c r="AV115" i="31"/>
  <c r="AV116" i="31"/>
  <c r="AV117" i="31"/>
  <c r="AV118" i="31"/>
  <c r="AV119" i="31"/>
  <c r="AV120" i="31"/>
  <c r="AV121" i="31"/>
  <c r="AV122" i="31"/>
  <c r="AV123" i="31"/>
  <c r="AV124" i="31"/>
  <c r="AV125" i="31"/>
  <c r="AV126" i="31"/>
  <c r="AV127" i="31"/>
  <c r="AV128" i="31"/>
  <c r="AV129" i="31"/>
  <c r="AV130" i="31"/>
  <c r="AV131" i="31"/>
  <c r="AV132" i="31"/>
  <c r="AV133" i="31"/>
  <c r="AV134" i="31"/>
  <c r="AV135" i="31"/>
  <c r="AV136" i="31"/>
  <c r="AV137" i="31"/>
  <c r="AV138" i="31"/>
  <c r="AV139" i="31"/>
  <c r="AV140" i="31"/>
  <c r="AV141" i="31"/>
  <c r="AV142" i="31"/>
  <c r="AV143" i="31"/>
  <c r="AV144" i="31"/>
  <c r="AV145" i="31"/>
  <c r="AV146" i="31"/>
  <c r="AV147" i="31"/>
  <c r="AW34" i="31"/>
  <c r="AW35" i="31"/>
  <c r="AW36" i="31"/>
  <c r="AW37" i="31"/>
  <c r="AW38" i="31"/>
  <c r="AW39" i="31"/>
  <c r="AW40" i="31"/>
  <c r="AW41" i="31"/>
  <c r="AW42" i="31"/>
  <c r="AW43" i="31"/>
  <c r="AW44" i="31"/>
  <c r="AW45" i="31"/>
  <c r="AW46" i="31"/>
  <c r="AW47" i="31"/>
  <c r="AW48" i="31"/>
  <c r="AW49" i="31"/>
  <c r="AW50" i="31"/>
  <c r="AW51" i="31"/>
  <c r="AW52" i="31"/>
  <c r="AW53" i="31"/>
  <c r="AW54" i="31"/>
  <c r="AW55" i="31"/>
  <c r="AW56" i="31"/>
  <c r="AW57" i="31"/>
  <c r="AW58" i="31"/>
  <c r="AW59" i="31"/>
  <c r="AW60" i="31"/>
  <c r="AW61" i="31"/>
  <c r="AW62" i="31"/>
  <c r="AW63" i="31"/>
  <c r="AW64" i="31"/>
  <c r="AW65" i="31"/>
  <c r="AW66" i="31"/>
  <c r="AW67" i="31"/>
  <c r="AW68" i="31"/>
  <c r="AW69" i="31"/>
  <c r="AW70" i="31"/>
  <c r="AW71" i="31"/>
  <c r="AW72" i="31"/>
  <c r="AW73" i="31"/>
  <c r="AW74" i="31"/>
  <c r="AW75" i="31"/>
  <c r="AW76" i="31"/>
  <c r="AW77" i="31"/>
  <c r="AW78" i="31"/>
  <c r="AW79" i="31"/>
  <c r="AW80" i="31"/>
  <c r="AW81" i="31"/>
  <c r="AW82" i="31"/>
  <c r="AW83" i="31"/>
  <c r="AW84" i="31"/>
  <c r="AW85" i="31"/>
  <c r="AW86" i="31"/>
  <c r="AW87" i="31"/>
  <c r="AW88" i="31"/>
  <c r="AW89" i="31"/>
  <c r="AW90" i="31"/>
  <c r="AW91" i="31"/>
  <c r="AW92" i="31"/>
  <c r="AW93" i="31"/>
  <c r="AW94" i="31"/>
  <c r="AW95" i="31"/>
  <c r="AW96" i="31"/>
  <c r="AW97" i="31"/>
  <c r="AW98" i="31"/>
  <c r="AW99" i="31"/>
  <c r="AW100" i="31"/>
  <c r="AW101" i="31"/>
  <c r="AW102" i="31"/>
  <c r="AW103" i="31"/>
  <c r="AW104" i="31"/>
  <c r="AW105" i="31"/>
  <c r="AW106" i="31"/>
  <c r="AW107" i="31"/>
  <c r="AW108" i="31"/>
  <c r="AW109" i="31"/>
  <c r="AW110" i="31"/>
  <c r="AW111" i="31"/>
  <c r="AW112" i="31"/>
  <c r="AW113" i="31"/>
  <c r="AW114" i="31"/>
  <c r="AW115" i="31"/>
  <c r="AW116" i="31"/>
  <c r="AW117" i="31"/>
  <c r="AW118" i="31"/>
  <c r="AW119" i="31"/>
  <c r="AW120" i="31"/>
  <c r="AW121" i="31"/>
  <c r="AW122" i="31"/>
  <c r="AW123" i="31"/>
  <c r="AW124" i="31"/>
  <c r="AW125" i="31"/>
  <c r="AW126" i="31"/>
  <c r="AW127" i="31"/>
  <c r="AW128" i="31"/>
  <c r="AW129" i="31"/>
  <c r="AW130" i="31"/>
  <c r="AW131" i="31"/>
  <c r="AW132" i="31"/>
  <c r="AW133" i="31"/>
  <c r="AW134" i="31"/>
  <c r="AW135" i="31"/>
  <c r="AW136" i="31"/>
  <c r="AW137" i="31"/>
  <c r="AW138" i="31"/>
  <c r="AW139" i="31"/>
  <c r="AW140" i="31"/>
  <c r="AW141" i="31"/>
  <c r="AW142" i="31"/>
  <c r="AW143" i="31"/>
  <c r="AW144" i="31"/>
  <c r="AW145" i="31"/>
  <c r="AW146" i="31"/>
  <c r="AW147" i="31"/>
  <c r="AX34" i="31"/>
  <c r="AX35" i="31"/>
  <c r="AX36" i="31"/>
  <c r="AX37" i="31"/>
  <c r="AX38" i="31"/>
  <c r="AX39" i="31"/>
  <c r="AX40" i="31"/>
  <c r="AX41" i="31"/>
  <c r="AX42" i="31"/>
  <c r="AX43" i="31"/>
  <c r="AX44" i="31"/>
  <c r="AX45" i="31"/>
  <c r="AX46" i="31"/>
  <c r="AX47" i="31"/>
  <c r="AX48" i="31"/>
  <c r="AX49" i="31"/>
  <c r="AX50" i="31"/>
  <c r="AX51" i="31"/>
  <c r="AX52" i="31"/>
  <c r="AX53" i="31"/>
  <c r="AX54" i="31"/>
  <c r="AX55" i="31"/>
  <c r="AX56" i="31"/>
  <c r="AX57" i="31"/>
  <c r="AX58" i="31"/>
  <c r="AX59" i="31"/>
  <c r="AX60" i="31"/>
  <c r="AX61" i="31"/>
  <c r="AX62" i="31"/>
  <c r="AX63" i="31"/>
  <c r="AX64" i="31"/>
  <c r="AX65" i="31"/>
  <c r="AX66" i="31"/>
  <c r="AX67" i="31"/>
  <c r="AX68" i="31"/>
  <c r="AX69" i="31"/>
  <c r="AX70" i="31"/>
  <c r="AX71" i="31"/>
  <c r="AX72" i="31"/>
  <c r="AX73" i="31"/>
  <c r="AX74" i="31"/>
  <c r="AX75" i="31"/>
  <c r="AX76" i="31"/>
  <c r="AX77" i="31"/>
  <c r="AX78" i="31"/>
  <c r="AX79" i="31"/>
  <c r="AX80" i="31"/>
  <c r="AX81" i="31"/>
  <c r="AX82" i="31"/>
  <c r="AX83" i="31"/>
  <c r="AX84" i="31"/>
  <c r="AX85" i="31"/>
  <c r="AX86" i="31"/>
  <c r="AX87" i="31"/>
  <c r="AX88" i="31"/>
  <c r="AX89" i="31"/>
  <c r="AX90" i="31"/>
  <c r="AX91" i="31"/>
  <c r="AX92" i="31"/>
  <c r="AX93" i="31"/>
  <c r="AX94" i="31"/>
  <c r="AX95" i="31"/>
  <c r="AX96" i="31"/>
  <c r="AX97" i="31"/>
  <c r="AX98" i="31"/>
  <c r="AX99" i="31"/>
  <c r="AX100" i="31"/>
  <c r="AX101" i="31"/>
  <c r="AX102" i="31"/>
  <c r="AX103" i="31"/>
  <c r="AX104" i="31"/>
  <c r="AX105" i="31"/>
  <c r="AX106" i="31"/>
  <c r="AX107" i="31"/>
  <c r="AX108" i="31"/>
  <c r="AX109" i="31"/>
  <c r="AX110" i="31"/>
  <c r="AX111" i="31"/>
  <c r="AX112" i="31"/>
  <c r="AX113" i="31"/>
  <c r="AX114" i="31"/>
  <c r="AX115" i="31"/>
  <c r="AX116" i="31"/>
  <c r="AX117" i="31"/>
  <c r="AX118" i="31"/>
  <c r="AX119" i="31"/>
  <c r="AX120" i="31"/>
  <c r="AX121" i="31"/>
  <c r="AX122" i="31"/>
  <c r="AX123" i="31"/>
  <c r="AX124" i="31"/>
  <c r="AX125" i="31"/>
  <c r="AX126" i="31"/>
  <c r="AX127" i="31"/>
  <c r="AX128" i="31"/>
  <c r="AX129" i="31"/>
  <c r="AX130" i="31"/>
  <c r="AX131" i="31"/>
  <c r="AX132" i="31"/>
  <c r="AX133" i="31"/>
  <c r="AX134" i="31"/>
  <c r="AX135" i="31"/>
  <c r="AX136" i="31"/>
  <c r="AX137" i="31"/>
  <c r="AX138" i="31"/>
  <c r="AX139" i="31"/>
  <c r="AX140" i="31"/>
  <c r="AX141" i="31"/>
  <c r="AX142" i="31"/>
  <c r="AX143" i="31"/>
  <c r="AX144" i="31"/>
  <c r="AX145" i="31"/>
  <c r="AX146" i="31"/>
  <c r="AX147" i="31"/>
  <c r="AY34" i="31"/>
  <c r="AY35" i="31"/>
  <c r="AY36" i="31"/>
  <c r="AY37" i="31"/>
  <c r="AY38" i="31"/>
  <c r="AY39" i="31"/>
  <c r="AY40" i="31"/>
  <c r="AY41" i="31"/>
  <c r="AY42" i="31"/>
  <c r="AY43" i="31"/>
  <c r="AY44" i="31"/>
  <c r="AY45" i="31"/>
  <c r="AY46" i="31"/>
  <c r="AY47" i="31"/>
  <c r="AY48" i="31"/>
  <c r="AY49" i="31"/>
  <c r="AY50" i="31"/>
  <c r="AY51" i="31"/>
  <c r="AY52" i="31"/>
  <c r="AY53" i="31"/>
  <c r="AY54" i="31"/>
  <c r="AY55" i="31"/>
  <c r="AY56" i="31"/>
  <c r="AY57" i="31"/>
  <c r="AY58" i="31"/>
  <c r="AY59" i="31"/>
  <c r="AY60" i="31"/>
  <c r="AY61" i="31"/>
  <c r="AY62" i="31"/>
  <c r="AY63" i="31"/>
  <c r="AY64" i="31"/>
  <c r="AY65" i="31"/>
  <c r="AY66" i="31"/>
  <c r="AY67" i="31"/>
  <c r="AY68" i="31"/>
  <c r="AY69" i="31"/>
  <c r="AY70" i="31"/>
  <c r="AY71" i="31"/>
  <c r="AY72" i="31"/>
  <c r="AY73" i="31"/>
  <c r="AY74" i="31"/>
  <c r="AY75" i="31"/>
  <c r="AY76" i="31"/>
  <c r="AY77" i="31"/>
  <c r="AY78" i="31"/>
  <c r="AY79" i="31"/>
  <c r="AY80" i="31"/>
  <c r="AY81" i="31"/>
  <c r="AY82" i="31"/>
  <c r="AY83" i="31"/>
  <c r="AY84" i="31"/>
  <c r="AY85" i="31"/>
  <c r="AY86" i="31"/>
  <c r="AY87" i="31"/>
  <c r="AY88" i="31"/>
  <c r="AY89" i="31"/>
  <c r="AY90" i="31"/>
  <c r="AY91" i="31"/>
  <c r="AY92" i="31"/>
  <c r="AY93" i="31"/>
  <c r="AY94" i="31"/>
  <c r="AY95" i="31"/>
  <c r="AY96" i="31"/>
  <c r="AY97" i="31"/>
  <c r="AY98" i="31"/>
  <c r="AY99" i="31"/>
  <c r="AY100" i="31"/>
  <c r="AY101" i="31"/>
  <c r="AY102" i="31"/>
  <c r="AY103" i="31"/>
  <c r="AY104" i="31"/>
  <c r="AY105" i="31"/>
  <c r="AY106" i="31"/>
  <c r="AY107" i="31"/>
  <c r="AY108" i="31"/>
  <c r="AY109" i="31"/>
  <c r="AY110" i="31"/>
  <c r="AY111" i="31"/>
  <c r="AY112" i="31"/>
  <c r="AY113" i="31"/>
  <c r="AY114" i="31"/>
  <c r="AY115" i="31"/>
  <c r="AY116" i="31"/>
  <c r="AY117" i="31"/>
  <c r="AY118" i="31"/>
  <c r="AY119" i="31"/>
  <c r="AY120" i="31"/>
  <c r="AY121" i="31"/>
  <c r="AY122" i="31"/>
  <c r="AY123" i="31"/>
  <c r="AY124" i="31"/>
  <c r="AY125" i="31"/>
  <c r="AY126" i="31"/>
  <c r="AY127" i="31"/>
  <c r="AY128" i="31"/>
  <c r="AY129" i="31"/>
  <c r="AY130" i="31"/>
  <c r="AY131" i="31"/>
  <c r="AY132" i="31"/>
  <c r="AY133" i="31"/>
  <c r="AY134" i="31"/>
  <c r="AY135" i="31"/>
  <c r="AY136" i="31"/>
  <c r="AY137" i="31"/>
  <c r="AY138" i="31"/>
  <c r="AY139" i="31"/>
  <c r="AY140" i="31"/>
  <c r="AY141" i="31"/>
  <c r="AY142" i="31"/>
  <c r="AY143" i="31"/>
  <c r="AY144" i="31"/>
  <c r="AY145" i="31"/>
  <c r="AY146" i="31"/>
  <c r="AY147" i="31"/>
  <c r="AZ34" i="31"/>
  <c r="AZ35" i="31"/>
  <c r="AZ36" i="31"/>
  <c r="AZ37" i="31"/>
  <c r="AZ38" i="31"/>
  <c r="AZ39" i="31"/>
  <c r="AZ40" i="31"/>
  <c r="AZ41" i="31"/>
  <c r="AZ42" i="31"/>
  <c r="AZ43" i="31"/>
  <c r="AZ44" i="31"/>
  <c r="AZ45" i="31"/>
  <c r="AZ46" i="31"/>
  <c r="AZ47" i="31"/>
  <c r="AZ48" i="31"/>
  <c r="AZ49" i="31"/>
  <c r="AZ50" i="31"/>
  <c r="AZ51" i="31"/>
  <c r="AZ52" i="31"/>
  <c r="AZ53" i="31"/>
  <c r="AZ54" i="31"/>
  <c r="AZ55" i="31"/>
  <c r="AZ56" i="31"/>
  <c r="AZ57" i="31"/>
  <c r="AZ58" i="31"/>
  <c r="AZ59" i="31"/>
  <c r="AZ60" i="31"/>
  <c r="AZ61" i="31"/>
  <c r="AZ62" i="31"/>
  <c r="AZ63" i="31"/>
  <c r="AZ64" i="31"/>
  <c r="AZ65" i="31"/>
  <c r="AZ66" i="31"/>
  <c r="AZ67" i="31"/>
  <c r="AZ68" i="31"/>
  <c r="AZ69" i="31"/>
  <c r="AZ70" i="31"/>
  <c r="AZ71" i="31"/>
  <c r="AZ72" i="31"/>
  <c r="AZ73" i="31"/>
  <c r="AZ74" i="31"/>
  <c r="AZ75" i="31"/>
  <c r="AZ76" i="31"/>
  <c r="AZ77" i="31"/>
  <c r="AZ78" i="31"/>
  <c r="AZ79" i="31"/>
  <c r="AZ80" i="31"/>
  <c r="AZ81" i="31"/>
  <c r="AZ82" i="31"/>
  <c r="AZ83" i="31"/>
  <c r="AZ84" i="31"/>
  <c r="AZ85" i="31"/>
  <c r="AZ86" i="31"/>
  <c r="AZ87" i="31"/>
  <c r="AZ88" i="31"/>
  <c r="AZ89" i="31"/>
  <c r="AZ90" i="31"/>
  <c r="AZ91" i="31"/>
  <c r="AZ92" i="31"/>
  <c r="AZ93" i="31"/>
  <c r="AZ94" i="31"/>
  <c r="AZ95" i="31"/>
  <c r="AZ96" i="31"/>
  <c r="AZ97" i="31"/>
  <c r="AZ98" i="31"/>
  <c r="AZ99" i="31"/>
  <c r="AZ100" i="31"/>
  <c r="AZ101" i="31"/>
  <c r="AZ102" i="31"/>
  <c r="AZ103" i="31"/>
  <c r="AZ104" i="31"/>
  <c r="AZ105" i="31"/>
  <c r="AZ106" i="31"/>
  <c r="AZ107" i="31"/>
  <c r="AZ108" i="31"/>
  <c r="AZ109" i="31"/>
  <c r="AZ110" i="31"/>
  <c r="AZ111" i="31"/>
  <c r="AZ112" i="31"/>
  <c r="AZ113" i="31"/>
  <c r="AZ114" i="31"/>
  <c r="AZ115" i="31"/>
  <c r="AZ116" i="31"/>
  <c r="AZ117" i="31"/>
  <c r="AZ118" i="31"/>
  <c r="AZ119" i="31"/>
  <c r="AZ120" i="31"/>
  <c r="AZ121" i="31"/>
  <c r="AZ122" i="31"/>
  <c r="AZ123" i="31"/>
  <c r="AZ124" i="31"/>
  <c r="AZ125" i="31"/>
  <c r="AZ126" i="31"/>
  <c r="AZ127" i="31"/>
  <c r="AZ128" i="31"/>
  <c r="AZ129" i="31"/>
  <c r="AZ130" i="31"/>
  <c r="AZ131" i="31"/>
  <c r="AZ132" i="31"/>
  <c r="AZ133" i="31"/>
  <c r="AZ134" i="31"/>
  <c r="AZ135" i="31"/>
  <c r="AZ136" i="31"/>
  <c r="AZ137" i="31"/>
  <c r="AZ138" i="31"/>
  <c r="AZ139" i="31"/>
  <c r="AZ140" i="31"/>
  <c r="AZ141" i="31"/>
  <c r="AZ142" i="31"/>
  <c r="AZ143" i="31"/>
  <c r="AZ144" i="31"/>
  <c r="AZ145" i="31"/>
  <c r="AZ146" i="31"/>
  <c r="AZ147" i="31"/>
  <c r="BC34" i="31"/>
  <c r="BC35" i="31"/>
  <c r="BC36" i="31"/>
  <c r="BC37" i="31"/>
  <c r="BC38" i="31"/>
  <c r="BC39" i="31"/>
  <c r="BC40" i="31"/>
  <c r="BC41" i="31"/>
  <c r="BC42" i="31"/>
  <c r="BC43" i="31"/>
  <c r="BC44" i="31"/>
  <c r="BC45" i="31"/>
  <c r="BC46" i="31"/>
  <c r="BC47" i="31"/>
  <c r="BC48" i="31"/>
  <c r="BC49" i="31"/>
  <c r="BC50" i="31"/>
  <c r="BC51" i="31"/>
  <c r="BC52" i="31"/>
  <c r="BC53" i="31"/>
  <c r="BC54" i="31"/>
  <c r="BC55" i="31"/>
  <c r="BC56" i="31"/>
  <c r="BC57" i="31"/>
  <c r="BC58" i="31"/>
  <c r="BC59" i="31"/>
  <c r="BC60" i="31"/>
  <c r="BC61" i="31"/>
  <c r="BC62" i="31"/>
  <c r="BC63" i="31"/>
  <c r="BC64" i="31"/>
  <c r="BC65" i="31"/>
  <c r="BC66" i="31"/>
  <c r="BC67" i="31"/>
  <c r="BC68" i="31"/>
  <c r="BC69" i="31"/>
  <c r="BC70" i="31"/>
  <c r="BC71" i="31"/>
  <c r="BC72" i="31"/>
  <c r="BC73" i="31"/>
  <c r="BC74" i="31"/>
  <c r="BC75" i="31"/>
  <c r="BC76" i="31"/>
  <c r="BC77" i="31"/>
  <c r="BC78" i="31"/>
  <c r="BC79" i="31"/>
  <c r="BC80" i="31"/>
  <c r="BC81" i="31"/>
  <c r="BC82" i="31"/>
  <c r="BC83" i="31"/>
  <c r="BC84" i="31"/>
  <c r="BC85" i="31"/>
  <c r="BC86" i="31"/>
  <c r="BC87" i="31"/>
  <c r="BC88" i="31"/>
  <c r="BC89" i="31"/>
  <c r="BC90" i="31"/>
  <c r="BC91" i="31"/>
  <c r="BC92" i="31"/>
  <c r="BC93" i="31"/>
  <c r="BC94" i="31"/>
  <c r="BC95" i="31"/>
  <c r="BC96" i="31"/>
  <c r="BC97" i="31"/>
  <c r="BC98" i="31"/>
  <c r="BC99" i="31"/>
  <c r="BC100" i="31"/>
  <c r="BC101" i="31"/>
  <c r="BC102" i="31"/>
  <c r="BC103" i="31"/>
  <c r="BC104" i="31"/>
  <c r="BC105" i="31"/>
  <c r="BC106" i="31"/>
  <c r="BC107" i="31"/>
  <c r="BC108" i="31"/>
  <c r="BC109" i="31"/>
  <c r="BC110" i="31"/>
  <c r="BC111" i="31"/>
  <c r="BC112" i="31"/>
  <c r="BC113" i="31"/>
  <c r="BC114" i="31"/>
  <c r="BC115" i="31"/>
  <c r="BC116" i="31"/>
  <c r="BC117" i="31"/>
  <c r="BC118" i="31"/>
  <c r="BC119" i="31"/>
  <c r="BC120" i="31"/>
  <c r="BC121" i="31"/>
  <c r="BC122" i="31"/>
  <c r="BC123" i="31"/>
  <c r="BC124" i="31"/>
  <c r="BC125" i="31"/>
  <c r="BC126" i="31"/>
  <c r="BC127" i="31"/>
  <c r="BC128" i="31"/>
  <c r="BC129" i="31"/>
  <c r="BC130" i="31"/>
  <c r="BC131" i="31"/>
  <c r="BC132" i="31"/>
  <c r="BC133" i="31"/>
  <c r="BC134" i="31"/>
  <c r="BC135" i="31"/>
  <c r="BC136" i="31"/>
  <c r="BC137" i="31"/>
  <c r="BC138" i="31"/>
  <c r="BC139" i="31"/>
  <c r="BC140" i="31"/>
  <c r="BC141" i="31"/>
  <c r="BC142" i="31"/>
  <c r="BC143" i="31"/>
  <c r="BC144" i="31"/>
  <c r="BC145" i="31"/>
  <c r="BC146" i="31"/>
  <c r="BC147" i="31"/>
  <c r="BD34" i="31"/>
  <c r="BD35" i="31"/>
  <c r="BD36" i="31"/>
  <c r="BD37" i="31"/>
  <c r="BD38" i="31"/>
  <c r="BD39" i="31"/>
  <c r="BD40" i="31"/>
  <c r="BD41" i="31"/>
  <c r="BD42" i="31"/>
  <c r="BD43" i="31"/>
  <c r="BD44" i="31"/>
  <c r="BD45" i="31"/>
  <c r="BD46" i="31"/>
  <c r="BD47" i="31"/>
  <c r="BD48" i="31"/>
  <c r="BD49" i="31"/>
  <c r="BD50" i="31"/>
  <c r="BD51" i="31"/>
  <c r="BD52" i="31"/>
  <c r="BD53" i="31"/>
  <c r="BD54" i="31"/>
  <c r="BD55" i="31"/>
  <c r="BD56" i="31"/>
  <c r="BD57" i="31"/>
  <c r="BD58" i="31"/>
  <c r="BD59" i="31"/>
  <c r="BD60" i="31"/>
  <c r="BD61" i="31"/>
  <c r="BD62" i="31"/>
  <c r="BD63" i="31"/>
  <c r="BD64" i="31"/>
  <c r="BD65" i="31"/>
  <c r="BD66" i="31"/>
  <c r="BD67" i="31"/>
  <c r="BD68" i="31"/>
  <c r="BD69" i="31"/>
  <c r="BD70" i="31"/>
  <c r="BD71" i="31"/>
  <c r="BD72" i="31"/>
  <c r="BD73" i="31"/>
  <c r="BD74" i="31"/>
  <c r="BD75" i="31"/>
  <c r="BD76" i="31"/>
  <c r="BD77" i="31"/>
  <c r="BD78" i="31"/>
  <c r="BD79" i="31"/>
  <c r="BD80" i="31"/>
  <c r="BD81" i="31"/>
  <c r="BD82" i="31"/>
  <c r="BD83" i="31"/>
  <c r="BD84" i="31"/>
  <c r="BD85" i="31"/>
  <c r="BD86" i="31"/>
  <c r="BD87" i="31"/>
  <c r="BD88" i="31"/>
  <c r="BD89" i="31"/>
  <c r="BD90" i="31"/>
  <c r="BD91" i="31"/>
  <c r="BD92" i="31"/>
  <c r="BD93" i="31"/>
  <c r="BD94" i="31"/>
  <c r="BD95" i="31"/>
  <c r="BD96" i="31"/>
  <c r="BD97" i="31"/>
  <c r="BD98" i="31"/>
  <c r="BD99" i="31"/>
  <c r="BD100" i="31"/>
  <c r="BD101" i="31"/>
  <c r="BD102" i="31"/>
  <c r="BD103" i="31"/>
  <c r="BD104" i="31"/>
  <c r="BD105" i="31"/>
  <c r="BD106" i="31"/>
  <c r="BD107" i="31"/>
  <c r="BD108" i="31"/>
  <c r="BD109" i="31"/>
  <c r="BD110" i="31"/>
  <c r="BD111" i="31"/>
  <c r="BD112" i="31"/>
  <c r="BD113" i="31"/>
  <c r="BD114" i="31"/>
  <c r="BD115" i="31"/>
  <c r="BD116" i="31"/>
  <c r="BD117" i="31"/>
  <c r="BD118" i="31"/>
  <c r="BD119" i="31"/>
  <c r="BD120" i="31"/>
  <c r="BD121" i="31"/>
  <c r="BD122" i="31"/>
  <c r="BD123" i="31"/>
  <c r="BD124" i="31"/>
  <c r="BD125" i="31"/>
  <c r="BD126" i="31"/>
  <c r="BD127" i="31"/>
  <c r="BD128" i="31"/>
  <c r="BD129" i="31"/>
  <c r="BD130" i="31"/>
  <c r="BD131" i="31"/>
  <c r="BD132" i="31"/>
  <c r="BD133" i="31"/>
  <c r="BD134" i="31"/>
  <c r="BD135" i="31"/>
  <c r="BD136" i="31"/>
  <c r="BD137" i="31"/>
  <c r="BD138" i="31"/>
  <c r="BD139" i="31"/>
  <c r="BD140" i="31"/>
  <c r="BD141" i="31"/>
  <c r="BD142" i="31"/>
  <c r="BD143" i="31"/>
  <c r="BD144" i="31"/>
  <c r="BD145" i="31"/>
  <c r="BD146" i="31"/>
  <c r="BD147" i="31"/>
  <c r="BE34" i="31"/>
  <c r="BE35" i="31"/>
  <c r="BE36" i="31"/>
  <c r="BE37" i="31"/>
  <c r="BE38" i="31"/>
  <c r="BE39" i="31"/>
  <c r="BE40" i="31"/>
  <c r="BE41" i="31"/>
  <c r="BE42" i="31"/>
  <c r="BE43" i="31"/>
  <c r="BE44" i="31"/>
  <c r="BE45" i="31"/>
  <c r="BE46" i="31"/>
  <c r="BE47" i="31"/>
  <c r="BE48" i="31"/>
  <c r="BE49" i="31"/>
  <c r="BE50" i="31"/>
  <c r="BE51" i="31"/>
  <c r="BE52" i="31"/>
  <c r="BE53" i="31"/>
  <c r="BE54" i="31"/>
  <c r="BE55" i="31"/>
  <c r="BE56" i="31"/>
  <c r="BE57" i="31"/>
  <c r="BE58" i="31"/>
  <c r="BE59" i="31"/>
  <c r="BE60" i="31"/>
  <c r="BE61" i="31"/>
  <c r="BE62" i="31"/>
  <c r="BE63" i="31"/>
  <c r="BE64" i="31"/>
  <c r="BE65" i="31"/>
  <c r="BE66" i="31"/>
  <c r="BE67" i="31"/>
  <c r="BE68" i="31"/>
  <c r="BE69" i="31"/>
  <c r="BE70" i="31"/>
  <c r="BE71" i="31"/>
  <c r="BE72" i="31"/>
  <c r="BE73" i="31"/>
  <c r="BE74" i="31"/>
  <c r="BE75" i="31"/>
  <c r="BE76" i="31"/>
  <c r="BE77" i="31"/>
  <c r="BE78" i="31"/>
  <c r="BE79" i="31"/>
  <c r="BE80" i="31"/>
  <c r="BE81" i="31"/>
  <c r="BE82" i="31"/>
  <c r="BE83" i="31"/>
  <c r="BE84" i="31"/>
  <c r="BE85" i="31"/>
  <c r="BE86" i="31"/>
  <c r="BE87" i="31"/>
  <c r="BE88" i="31"/>
  <c r="BE89" i="31"/>
  <c r="BE90" i="31"/>
  <c r="BE91" i="31"/>
  <c r="BE92" i="31"/>
  <c r="BE93" i="31"/>
  <c r="BE94" i="31"/>
  <c r="BE95" i="31"/>
  <c r="BE96" i="31"/>
  <c r="BE97" i="31"/>
  <c r="BE98" i="31"/>
  <c r="BE99" i="31"/>
  <c r="BE100" i="31"/>
  <c r="BE101" i="31"/>
  <c r="BE102" i="31"/>
  <c r="BE103" i="31"/>
  <c r="BE104" i="31"/>
  <c r="BE105" i="31"/>
  <c r="BE106" i="31"/>
  <c r="BE107" i="31"/>
  <c r="BE108" i="31"/>
  <c r="BE109" i="31"/>
  <c r="BE110" i="31"/>
  <c r="BE111" i="31"/>
  <c r="BE112" i="31"/>
  <c r="BE113" i="31"/>
  <c r="BE114" i="31"/>
  <c r="BE115" i="31"/>
  <c r="BE116" i="31"/>
  <c r="BE117" i="31"/>
  <c r="BE118" i="31"/>
  <c r="BE119" i="31"/>
  <c r="BE120" i="31"/>
  <c r="BE121" i="31"/>
  <c r="BE122" i="31"/>
  <c r="BE123" i="31"/>
  <c r="BE124" i="31"/>
  <c r="BE125" i="31"/>
  <c r="BE126" i="31"/>
  <c r="BE127" i="31"/>
  <c r="BE128" i="31"/>
  <c r="BE129" i="31"/>
  <c r="BE130" i="31"/>
  <c r="BE131" i="31"/>
  <c r="BE132" i="31"/>
  <c r="BE133" i="31"/>
  <c r="BE134" i="31"/>
  <c r="BE135" i="31"/>
  <c r="BE136" i="31"/>
  <c r="BE137" i="31"/>
  <c r="BE138" i="31"/>
  <c r="BE139" i="31"/>
  <c r="BE140" i="31"/>
  <c r="BE141" i="31"/>
  <c r="BE142" i="31"/>
  <c r="BE143" i="31"/>
  <c r="BE144" i="31"/>
  <c r="BE145" i="31"/>
  <c r="BE146" i="31"/>
  <c r="BE147" i="31"/>
  <c r="BF34" i="31"/>
  <c r="BF35" i="31"/>
  <c r="BF36" i="31"/>
  <c r="BF37" i="31"/>
  <c r="BF38" i="31"/>
  <c r="BF39" i="31"/>
  <c r="BF40" i="31"/>
  <c r="BF41" i="31"/>
  <c r="BF42" i="31"/>
  <c r="BF43" i="31"/>
  <c r="BF44" i="31"/>
  <c r="BF45" i="31"/>
  <c r="BF46" i="31"/>
  <c r="BF47" i="31"/>
  <c r="BF48" i="31"/>
  <c r="BF49" i="31"/>
  <c r="BF50" i="31"/>
  <c r="BF51" i="31"/>
  <c r="BF52" i="31"/>
  <c r="BF53" i="31"/>
  <c r="BF54" i="31"/>
  <c r="BF55" i="31"/>
  <c r="BF56" i="31"/>
  <c r="BF57" i="31"/>
  <c r="BF58" i="31"/>
  <c r="BF59" i="31"/>
  <c r="BF60" i="31"/>
  <c r="BF61" i="31"/>
  <c r="BF62" i="31"/>
  <c r="BF63" i="31"/>
  <c r="BF64" i="31"/>
  <c r="BF65" i="31"/>
  <c r="BF66" i="31"/>
  <c r="BF67" i="31"/>
  <c r="BF68" i="31"/>
  <c r="BF69" i="31"/>
  <c r="BF70" i="31"/>
  <c r="BF71" i="31"/>
  <c r="BF72" i="31"/>
  <c r="BF73" i="31"/>
  <c r="BF74" i="31"/>
  <c r="BF75" i="31"/>
  <c r="BF76" i="31"/>
  <c r="BF77" i="31"/>
  <c r="BF78" i="31"/>
  <c r="BF79" i="31"/>
  <c r="BF80" i="31"/>
  <c r="BF81" i="31"/>
  <c r="BF82" i="31"/>
  <c r="BF83" i="31"/>
  <c r="BF84" i="31"/>
  <c r="BF85" i="31"/>
  <c r="BF86" i="31"/>
  <c r="BF87" i="31"/>
  <c r="BF88" i="31"/>
  <c r="BF89" i="31"/>
  <c r="BF90" i="31"/>
  <c r="BF91" i="31"/>
  <c r="BF92" i="31"/>
  <c r="BF93" i="31"/>
  <c r="BF94" i="31"/>
  <c r="BF95" i="31"/>
  <c r="BF96" i="31"/>
  <c r="BF97" i="31"/>
  <c r="BF98" i="31"/>
  <c r="BF99" i="31"/>
  <c r="BF100" i="31"/>
  <c r="BF101" i="31"/>
  <c r="BF102" i="31"/>
  <c r="BF103" i="31"/>
  <c r="BF104" i="31"/>
  <c r="BF105" i="31"/>
  <c r="BF106" i="31"/>
  <c r="BF107" i="31"/>
  <c r="BF108" i="31"/>
  <c r="BF109" i="31"/>
  <c r="BF110" i="31"/>
  <c r="BF111" i="31"/>
  <c r="BF112" i="31"/>
  <c r="BF113" i="31"/>
  <c r="BF114" i="31"/>
  <c r="BF115" i="31"/>
  <c r="BF116" i="31"/>
  <c r="BF117" i="31"/>
  <c r="BF118" i="31"/>
  <c r="BF119" i="31"/>
  <c r="BF120" i="31"/>
  <c r="BF121" i="31"/>
  <c r="BF122" i="31"/>
  <c r="BF123" i="31"/>
  <c r="BF124" i="31"/>
  <c r="BF125" i="31"/>
  <c r="BF126" i="31"/>
  <c r="BF127" i="31"/>
  <c r="BF128" i="31"/>
  <c r="BF129" i="31"/>
  <c r="BF130" i="31"/>
  <c r="BF131" i="31"/>
  <c r="BF132" i="31"/>
  <c r="BF133" i="31"/>
  <c r="BF134" i="31"/>
  <c r="BF135" i="31"/>
  <c r="BF136" i="31"/>
  <c r="BF137" i="31"/>
  <c r="BF138" i="31"/>
  <c r="BF139" i="31"/>
  <c r="BF140" i="31"/>
  <c r="BF141" i="31"/>
  <c r="BF142" i="31"/>
  <c r="BF143" i="31"/>
  <c r="BF144" i="31"/>
  <c r="BF145" i="31"/>
  <c r="BF146" i="31"/>
  <c r="BF147" i="31"/>
  <c r="BG34" i="31"/>
  <c r="BG35" i="31"/>
  <c r="BG36" i="31"/>
  <c r="BG37" i="31"/>
  <c r="BG38" i="31"/>
  <c r="BG39" i="31"/>
  <c r="BG40" i="31"/>
  <c r="BG41" i="31"/>
  <c r="BG42" i="31"/>
  <c r="BG43" i="31"/>
  <c r="BG44" i="31"/>
  <c r="BG45" i="31"/>
  <c r="BG46" i="31"/>
  <c r="BG47" i="31"/>
  <c r="BG48" i="31"/>
  <c r="BG49" i="31"/>
  <c r="BG50" i="31"/>
  <c r="BG51" i="31"/>
  <c r="BG52" i="31"/>
  <c r="BG53" i="31"/>
  <c r="BG54" i="31"/>
  <c r="BG55" i="31"/>
  <c r="BG56" i="31"/>
  <c r="BG57" i="31"/>
  <c r="BG58" i="31"/>
  <c r="BG59" i="31"/>
  <c r="BG60" i="31"/>
  <c r="BG61" i="31"/>
  <c r="BG62" i="31"/>
  <c r="BG63" i="31"/>
  <c r="BG64" i="31"/>
  <c r="BG65" i="31"/>
  <c r="BG66" i="31"/>
  <c r="BG67" i="31"/>
  <c r="BG68" i="31"/>
  <c r="BG69" i="31"/>
  <c r="BG70" i="31"/>
  <c r="BG71" i="31"/>
  <c r="BG72" i="31"/>
  <c r="BG73" i="31"/>
  <c r="BG74" i="31"/>
  <c r="BG75" i="31"/>
  <c r="BG76" i="31"/>
  <c r="BG77" i="31"/>
  <c r="BG78" i="31"/>
  <c r="BG79" i="31"/>
  <c r="BG80" i="31"/>
  <c r="BG81" i="31"/>
  <c r="BG82" i="31"/>
  <c r="BG83" i="31"/>
  <c r="BG84" i="31"/>
  <c r="BG85" i="31"/>
  <c r="BG86" i="31"/>
  <c r="BG87" i="31"/>
  <c r="BG88" i="31"/>
  <c r="BG89" i="31"/>
  <c r="BG90" i="31"/>
  <c r="BG91" i="31"/>
  <c r="BG92" i="31"/>
  <c r="BG93" i="31"/>
  <c r="BG94" i="31"/>
  <c r="BG95" i="31"/>
  <c r="BG96" i="31"/>
  <c r="BG97" i="31"/>
  <c r="BG98" i="31"/>
  <c r="BG99" i="31"/>
  <c r="BG100" i="31"/>
  <c r="BG101" i="31"/>
  <c r="BG102" i="31"/>
  <c r="BG103" i="31"/>
  <c r="BG104" i="31"/>
  <c r="BG105" i="31"/>
  <c r="BG106" i="31"/>
  <c r="BG107" i="31"/>
  <c r="BG108" i="31"/>
  <c r="BG109" i="31"/>
  <c r="BG110" i="31"/>
  <c r="BG111" i="31"/>
  <c r="BG112" i="31"/>
  <c r="BG113" i="31"/>
  <c r="BG114" i="31"/>
  <c r="BG115" i="31"/>
  <c r="BG116" i="31"/>
  <c r="BG117" i="31"/>
  <c r="BG118" i="31"/>
  <c r="BG119" i="31"/>
  <c r="BG120" i="31"/>
  <c r="BG121" i="31"/>
  <c r="BG122" i="31"/>
  <c r="BG123" i="31"/>
  <c r="BG124" i="31"/>
  <c r="BG125" i="31"/>
  <c r="BG126" i="31"/>
  <c r="BG127" i="31"/>
  <c r="BG128" i="31"/>
  <c r="BG129" i="31"/>
  <c r="BG130" i="31"/>
  <c r="BG131" i="31"/>
  <c r="BG132" i="31"/>
  <c r="BG133" i="31"/>
  <c r="BG134" i="31"/>
  <c r="BG135" i="31"/>
  <c r="BG136" i="31"/>
  <c r="BG137" i="31"/>
  <c r="BG138" i="31"/>
  <c r="BG139" i="31"/>
  <c r="BG140" i="31"/>
  <c r="BG141" i="31"/>
  <c r="BG142" i="31"/>
  <c r="BG143" i="31"/>
  <c r="BG144" i="31"/>
  <c r="BG145" i="31"/>
  <c r="BG146" i="31"/>
  <c r="BG147" i="31"/>
  <c r="BH34" i="31"/>
  <c r="BH35" i="31"/>
  <c r="BH36" i="31"/>
  <c r="BH37" i="31"/>
  <c r="BH38" i="31"/>
  <c r="BH39" i="31"/>
  <c r="BH40" i="31"/>
  <c r="BH41" i="31"/>
  <c r="BH42" i="31"/>
  <c r="BH43" i="31"/>
  <c r="BH44" i="31"/>
  <c r="BH45" i="31"/>
  <c r="BH46" i="31"/>
  <c r="BH47" i="31"/>
  <c r="BH48" i="31"/>
  <c r="BH49" i="31"/>
  <c r="BH50" i="31"/>
  <c r="BH51" i="31"/>
  <c r="BH52" i="31"/>
  <c r="BH53" i="31"/>
  <c r="BH54" i="31"/>
  <c r="BH55" i="31"/>
  <c r="BH56" i="31"/>
  <c r="BH57" i="31"/>
  <c r="BH58" i="31"/>
  <c r="BH59" i="31"/>
  <c r="BH60" i="31"/>
  <c r="BH61" i="31"/>
  <c r="BH62" i="31"/>
  <c r="BH63" i="31"/>
  <c r="BH64" i="31"/>
  <c r="BH65" i="31"/>
  <c r="BH66" i="31"/>
  <c r="BH67" i="31"/>
  <c r="BH68" i="31"/>
  <c r="BH69" i="31"/>
  <c r="BH70" i="31"/>
  <c r="BH71" i="31"/>
  <c r="BH72" i="31"/>
  <c r="BH73" i="31"/>
  <c r="BH74" i="31"/>
  <c r="BH75" i="31"/>
  <c r="BH76" i="31"/>
  <c r="BH77" i="31"/>
  <c r="BH78" i="31"/>
  <c r="BH79" i="31"/>
  <c r="BH80" i="31"/>
  <c r="BH81" i="31"/>
  <c r="BH82" i="31"/>
  <c r="BH83" i="31"/>
  <c r="BH84" i="31"/>
  <c r="BH85" i="31"/>
  <c r="BH86" i="31"/>
  <c r="BH87" i="31"/>
  <c r="BH88" i="31"/>
  <c r="BH89" i="31"/>
  <c r="BH90" i="31"/>
  <c r="BH91" i="31"/>
  <c r="BH92" i="31"/>
  <c r="BH93" i="31"/>
  <c r="BH94" i="31"/>
  <c r="BH95" i="31"/>
  <c r="BH96" i="31"/>
  <c r="BH97" i="31"/>
  <c r="BH98" i="31"/>
  <c r="BH99" i="31"/>
  <c r="BH100" i="31"/>
  <c r="BH101" i="31"/>
  <c r="BH102" i="31"/>
  <c r="BH103" i="31"/>
  <c r="BH104" i="31"/>
  <c r="BH105" i="31"/>
  <c r="BH106" i="31"/>
  <c r="BH107" i="31"/>
  <c r="BH108" i="31"/>
  <c r="BH109" i="31"/>
  <c r="BH110" i="31"/>
  <c r="BH111" i="31"/>
  <c r="BH112" i="31"/>
  <c r="BH113" i="31"/>
  <c r="BH114" i="31"/>
  <c r="BH115" i="31"/>
  <c r="BH116" i="31"/>
  <c r="BH117" i="31"/>
  <c r="BH118" i="31"/>
  <c r="BH119" i="31"/>
  <c r="BH120" i="31"/>
  <c r="BH121" i="31"/>
  <c r="BH122" i="31"/>
  <c r="BH123" i="31"/>
  <c r="BH124" i="31"/>
  <c r="BH125" i="31"/>
  <c r="BH126" i="31"/>
  <c r="BH127" i="31"/>
  <c r="BH128" i="31"/>
  <c r="BH129" i="31"/>
  <c r="BH130" i="31"/>
  <c r="BH131" i="31"/>
  <c r="BH132" i="31"/>
  <c r="BH133" i="31"/>
  <c r="BH134" i="31"/>
  <c r="BH135" i="31"/>
  <c r="BH136" i="31"/>
  <c r="BH137" i="31"/>
  <c r="BH138" i="31"/>
  <c r="BH139" i="31"/>
  <c r="BH140" i="31"/>
  <c r="BH141" i="31"/>
  <c r="BH142" i="31"/>
  <c r="BH143" i="31"/>
  <c r="BH144" i="31"/>
  <c r="BH145" i="31"/>
  <c r="BH146" i="31"/>
  <c r="BH147" i="31"/>
  <c r="BI34" i="31"/>
  <c r="BI35" i="31"/>
  <c r="BI36" i="31"/>
  <c r="BI37" i="31"/>
  <c r="BI38" i="31"/>
  <c r="BI39" i="31"/>
  <c r="BI40" i="31"/>
  <c r="BI41" i="31"/>
  <c r="BI42" i="31"/>
  <c r="BI43" i="31"/>
  <c r="BI44" i="31"/>
  <c r="BI45" i="31"/>
  <c r="BI46" i="31"/>
  <c r="BI47" i="31"/>
  <c r="BI48" i="31"/>
  <c r="BI49" i="31"/>
  <c r="BI50" i="31"/>
  <c r="BI51" i="31"/>
  <c r="BI52" i="31"/>
  <c r="BI53" i="31"/>
  <c r="BI54" i="31"/>
  <c r="BI55" i="31"/>
  <c r="BI56" i="31"/>
  <c r="BI57" i="31"/>
  <c r="BI58" i="31"/>
  <c r="BI59" i="31"/>
  <c r="BI60" i="31"/>
  <c r="BI61" i="31"/>
  <c r="BI62" i="31"/>
  <c r="BI63" i="31"/>
  <c r="BI64" i="31"/>
  <c r="BI65" i="31"/>
  <c r="BI66" i="31"/>
  <c r="BI67" i="31"/>
  <c r="BI68" i="31"/>
  <c r="BI69" i="31"/>
  <c r="BI70" i="31"/>
  <c r="BI71" i="31"/>
  <c r="BI72" i="31"/>
  <c r="BI73" i="31"/>
  <c r="BI74" i="31"/>
  <c r="BI75" i="31"/>
  <c r="BI76" i="31"/>
  <c r="BI77" i="31"/>
  <c r="BI78" i="31"/>
  <c r="BI79" i="31"/>
  <c r="BI80" i="31"/>
  <c r="BI81" i="31"/>
  <c r="BI82" i="31"/>
  <c r="BI83" i="31"/>
  <c r="BI84" i="31"/>
  <c r="BI85" i="31"/>
  <c r="BI86" i="31"/>
  <c r="BI87" i="31"/>
  <c r="BI88" i="31"/>
  <c r="BI89" i="31"/>
  <c r="BI90" i="31"/>
  <c r="BI91" i="31"/>
  <c r="BI92" i="31"/>
  <c r="BI93" i="31"/>
  <c r="BI94" i="31"/>
  <c r="BI95" i="31"/>
  <c r="BI96" i="31"/>
  <c r="BI97" i="31"/>
  <c r="BI98" i="31"/>
  <c r="BI99" i="31"/>
  <c r="BI100" i="31"/>
  <c r="BI101" i="31"/>
  <c r="BI102" i="31"/>
  <c r="BI103" i="31"/>
  <c r="BI104" i="31"/>
  <c r="BI105" i="31"/>
  <c r="BI106" i="31"/>
  <c r="BI107" i="31"/>
  <c r="BI108" i="31"/>
  <c r="BI109" i="31"/>
  <c r="BI110" i="31"/>
  <c r="BI111" i="31"/>
  <c r="BI112" i="31"/>
  <c r="BI113" i="31"/>
  <c r="BI114" i="31"/>
  <c r="BI115" i="31"/>
  <c r="BI116" i="31"/>
  <c r="BI117" i="31"/>
  <c r="BI118" i="31"/>
  <c r="BI119" i="31"/>
  <c r="BI120" i="31"/>
  <c r="BI121" i="31"/>
  <c r="BI122" i="31"/>
  <c r="BI123" i="31"/>
  <c r="BI124" i="31"/>
  <c r="BI125" i="31"/>
  <c r="BI126" i="31"/>
  <c r="BI127" i="31"/>
  <c r="BI128" i="31"/>
  <c r="BI129" i="31"/>
  <c r="BI130" i="31"/>
  <c r="BI131" i="31"/>
  <c r="BI132" i="31"/>
  <c r="BI133" i="31"/>
  <c r="BI134" i="31"/>
  <c r="BI135" i="31"/>
  <c r="BI136" i="31"/>
  <c r="BI137" i="31"/>
  <c r="BI138" i="31"/>
  <c r="BI139" i="31"/>
  <c r="BI140" i="31"/>
  <c r="BI141" i="31"/>
  <c r="BI142" i="31"/>
  <c r="BI143" i="31"/>
  <c r="BI144" i="31"/>
  <c r="BI145" i="31"/>
  <c r="BI146" i="31"/>
  <c r="BI147" i="31"/>
  <c r="BJ34" i="31"/>
  <c r="BJ35" i="31"/>
  <c r="BJ36" i="31"/>
  <c r="BJ37" i="31"/>
  <c r="BJ38" i="31"/>
  <c r="BJ39" i="31"/>
  <c r="BJ40" i="31"/>
  <c r="BJ41" i="31"/>
  <c r="BJ42" i="31"/>
  <c r="BJ43" i="31"/>
  <c r="BJ44" i="31"/>
  <c r="BJ45" i="31"/>
  <c r="BJ46" i="31"/>
  <c r="BJ47" i="31"/>
  <c r="BJ48" i="31"/>
  <c r="BJ49" i="31"/>
  <c r="BJ50" i="31"/>
  <c r="BJ51" i="31"/>
  <c r="BJ52" i="31"/>
  <c r="BJ53" i="31"/>
  <c r="BJ54" i="31"/>
  <c r="BJ55" i="31"/>
  <c r="BJ56" i="31"/>
  <c r="BJ57" i="31"/>
  <c r="BJ58" i="31"/>
  <c r="BJ59" i="31"/>
  <c r="BJ60" i="31"/>
  <c r="BJ61" i="31"/>
  <c r="BJ62" i="31"/>
  <c r="BJ63" i="31"/>
  <c r="BJ64" i="31"/>
  <c r="BJ65" i="31"/>
  <c r="BJ66" i="31"/>
  <c r="BJ67" i="31"/>
  <c r="BJ68" i="31"/>
  <c r="BJ69" i="31"/>
  <c r="BJ70" i="31"/>
  <c r="BJ71" i="31"/>
  <c r="BJ72" i="31"/>
  <c r="BJ73" i="31"/>
  <c r="BJ74" i="31"/>
  <c r="BJ75" i="31"/>
  <c r="BJ76" i="31"/>
  <c r="BJ77" i="31"/>
  <c r="BJ78" i="31"/>
  <c r="BJ79" i="31"/>
  <c r="BJ80" i="31"/>
  <c r="BJ81" i="31"/>
  <c r="BJ82" i="31"/>
  <c r="BJ83" i="31"/>
  <c r="BJ84" i="31"/>
  <c r="BJ85" i="31"/>
  <c r="BJ86" i="31"/>
  <c r="BJ87" i="31"/>
  <c r="BJ88" i="31"/>
  <c r="BJ89" i="31"/>
  <c r="BJ90" i="31"/>
  <c r="BJ91" i="31"/>
  <c r="BJ92" i="31"/>
  <c r="BJ93" i="31"/>
  <c r="BJ94" i="31"/>
  <c r="BJ95" i="31"/>
  <c r="BJ96" i="31"/>
  <c r="BJ97" i="31"/>
  <c r="BJ98" i="31"/>
  <c r="BJ99" i="31"/>
  <c r="BJ100" i="31"/>
  <c r="BJ101" i="31"/>
  <c r="BJ102" i="31"/>
  <c r="BJ103" i="31"/>
  <c r="BJ104" i="31"/>
  <c r="BJ105" i="31"/>
  <c r="BJ106" i="31"/>
  <c r="BJ107" i="31"/>
  <c r="BJ108" i="31"/>
  <c r="BJ109" i="31"/>
  <c r="BJ110" i="31"/>
  <c r="BJ111" i="31"/>
  <c r="BJ112" i="31"/>
  <c r="BJ113" i="31"/>
  <c r="BJ114" i="31"/>
  <c r="BJ115" i="31"/>
  <c r="BJ116" i="31"/>
  <c r="BJ117" i="31"/>
  <c r="BJ118" i="31"/>
  <c r="BJ119" i="31"/>
  <c r="BJ120" i="31"/>
  <c r="BJ121" i="31"/>
  <c r="BJ122" i="31"/>
  <c r="BJ123" i="31"/>
  <c r="BJ124" i="31"/>
  <c r="BJ125" i="31"/>
  <c r="BJ126" i="31"/>
  <c r="BJ127" i="31"/>
  <c r="BJ128" i="31"/>
  <c r="BJ129" i="31"/>
  <c r="BJ130" i="31"/>
  <c r="BJ131" i="31"/>
  <c r="BJ132" i="31"/>
  <c r="BJ133" i="31"/>
  <c r="BJ134" i="31"/>
  <c r="BJ135" i="31"/>
  <c r="BJ136" i="31"/>
  <c r="BJ137" i="31"/>
  <c r="BJ138" i="31"/>
  <c r="BJ139" i="31"/>
  <c r="BJ140" i="31"/>
  <c r="BJ141" i="31"/>
  <c r="BJ142" i="31"/>
  <c r="BJ143" i="31"/>
  <c r="BJ144" i="31"/>
  <c r="BJ145" i="31"/>
  <c r="BJ146" i="31"/>
  <c r="BJ147" i="31"/>
  <c r="BK34" i="31"/>
  <c r="BK35" i="31"/>
  <c r="BK36" i="31"/>
  <c r="BK37" i="31"/>
  <c r="BK38" i="31"/>
  <c r="BK39" i="31"/>
  <c r="BK40" i="31"/>
  <c r="BK41" i="31"/>
  <c r="BK42" i="31"/>
  <c r="BK43" i="31"/>
  <c r="BK44" i="31"/>
  <c r="BK45" i="31"/>
  <c r="BK46" i="31"/>
  <c r="BK47" i="31"/>
  <c r="BK48" i="31"/>
  <c r="BK49" i="31"/>
  <c r="BK50" i="31"/>
  <c r="BK51" i="31"/>
  <c r="BK52" i="31"/>
  <c r="BK53" i="31"/>
  <c r="BK54" i="31"/>
  <c r="BK55" i="31"/>
  <c r="BK56" i="31"/>
  <c r="BK57" i="31"/>
  <c r="BK58" i="31"/>
  <c r="BK59" i="31"/>
  <c r="BK60" i="31"/>
  <c r="BK61" i="31"/>
  <c r="BK62" i="31"/>
  <c r="BK63" i="31"/>
  <c r="BK64" i="31"/>
  <c r="BK65" i="31"/>
  <c r="BK66" i="31"/>
  <c r="BK67" i="31"/>
  <c r="BK68" i="31"/>
  <c r="BK69" i="31"/>
  <c r="BK70" i="31"/>
  <c r="BK71" i="31"/>
  <c r="BK72" i="31"/>
  <c r="BK73" i="31"/>
  <c r="BK74" i="31"/>
  <c r="BK75" i="31"/>
  <c r="BK76" i="31"/>
  <c r="BK77" i="31"/>
  <c r="BK78" i="31"/>
  <c r="BK79" i="31"/>
  <c r="BK80" i="31"/>
  <c r="BK81" i="31"/>
  <c r="BK82" i="31"/>
  <c r="BK83" i="31"/>
  <c r="BK84" i="31"/>
  <c r="BK85" i="31"/>
  <c r="BK86" i="31"/>
  <c r="BK87" i="31"/>
  <c r="BK88" i="31"/>
  <c r="BK89" i="31"/>
  <c r="BK90" i="31"/>
  <c r="BK91" i="31"/>
  <c r="BK92" i="31"/>
  <c r="BK93" i="31"/>
  <c r="BK94" i="31"/>
  <c r="BK95" i="31"/>
  <c r="BK96" i="31"/>
  <c r="BK97" i="31"/>
  <c r="BK98" i="31"/>
  <c r="BK99" i="31"/>
  <c r="BK100" i="31"/>
  <c r="BK101" i="31"/>
  <c r="BK102" i="31"/>
  <c r="BK103" i="31"/>
  <c r="BK104" i="31"/>
  <c r="BK105" i="31"/>
  <c r="BK106" i="31"/>
  <c r="BK107" i="31"/>
  <c r="BK108" i="31"/>
  <c r="BK109" i="31"/>
  <c r="BK110" i="31"/>
  <c r="BK111" i="31"/>
  <c r="BK112" i="31"/>
  <c r="BK113" i="31"/>
  <c r="BK114" i="31"/>
  <c r="BK115" i="31"/>
  <c r="BK116" i="31"/>
  <c r="BK117" i="31"/>
  <c r="BK118" i="31"/>
  <c r="BK119" i="31"/>
  <c r="BK120" i="31"/>
  <c r="BK121" i="31"/>
  <c r="BK122" i="31"/>
  <c r="BK123" i="31"/>
  <c r="BK124" i="31"/>
  <c r="BK125" i="31"/>
  <c r="BK126" i="31"/>
  <c r="BK127" i="31"/>
  <c r="BK128" i="31"/>
  <c r="BK129" i="31"/>
  <c r="BK130" i="31"/>
  <c r="BK131" i="31"/>
  <c r="BK132" i="31"/>
  <c r="BK133" i="31"/>
  <c r="BK134" i="31"/>
  <c r="BK135" i="31"/>
  <c r="BK136" i="31"/>
  <c r="BK137" i="31"/>
  <c r="BK138" i="31"/>
  <c r="BK139" i="31"/>
  <c r="BK140" i="31"/>
  <c r="BK141" i="31"/>
  <c r="BK142" i="31"/>
  <c r="BK143" i="31"/>
  <c r="BK144" i="31"/>
  <c r="BK145" i="31"/>
  <c r="BK146" i="31"/>
  <c r="BK147" i="31"/>
  <c r="BL34" i="31"/>
  <c r="BL35" i="31"/>
  <c r="BL36" i="31"/>
  <c r="BL37" i="31"/>
  <c r="BL38" i="31"/>
  <c r="BL39" i="31"/>
  <c r="BL40" i="31"/>
  <c r="BL41" i="31"/>
  <c r="BL42" i="31"/>
  <c r="BL43" i="31"/>
  <c r="BL44" i="31"/>
  <c r="BL45" i="31"/>
  <c r="BL46" i="31"/>
  <c r="BL47" i="31"/>
  <c r="BL48" i="31"/>
  <c r="BL49" i="31"/>
  <c r="BL50" i="31"/>
  <c r="BL51" i="31"/>
  <c r="BL52" i="31"/>
  <c r="BL53" i="31"/>
  <c r="BL54" i="31"/>
  <c r="BL55" i="31"/>
  <c r="BL56" i="31"/>
  <c r="BL57" i="31"/>
  <c r="BL58" i="31"/>
  <c r="BL59" i="31"/>
  <c r="BL60" i="31"/>
  <c r="BL61" i="31"/>
  <c r="BL62" i="31"/>
  <c r="BL63" i="31"/>
  <c r="BL64" i="31"/>
  <c r="BL65" i="31"/>
  <c r="BL66" i="31"/>
  <c r="BL67" i="31"/>
  <c r="BL68" i="31"/>
  <c r="BL69" i="31"/>
  <c r="BL70" i="31"/>
  <c r="BL71" i="31"/>
  <c r="BL72" i="31"/>
  <c r="BL73" i="31"/>
  <c r="BL74" i="31"/>
  <c r="BL75" i="31"/>
  <c r="BL76" i="31"/>
  <c r="BL77" i="31"/>
  <c r="BL78" i="31"/>
  <c r="BL79" i="31"/>
  <c r="BL80" i="31"/>
  <c r="BL81" i="31"/>
  <c r="BL82" i="31"/>
  <c r="BL83" i="31"/>
  <c r="BL84" i="31"/>
  <c r="BL85" i="31"/>
  <c r="BL86" i="31"/>
  <c r="BL87" i="31"/>
  <c r="BL88" i="31"/>
  <c r="BL89" i="31"/>
  <c r="BL90" i="31"/>
  <c r="BL91" i="31"/>
  <c r="BL92" i="31"/>
  <c r="BL93" i="31"/>
  <c r="BL94" i="31"/>
  <c r="BL95" i="31"/>
  <c r="BL96" i="31"/>
  <c r="BL97" i="31"/>
  <c r="BL98" i="31"/>
  <c r="BL99" i="31"/>
  <c r="BL100" i="31"/>
  <c r="BL101" i="31"/>
  <c r="BL102" i="31"/>
  <c r="BL103" i="31"/>
  <c r="BL104" i="31"/>
  <c r="BL105" i="31"/>
  <c r="BL106" i="31"/>
  <c r="BL107" i="31"/>
  <c r="BL108" i="31"/>
  <c r="BL109" i="31"/>
  <c r="BL110" i="31"/>
  <c r="BL111" i="31"/>
  <c r="BL112" i="31"/>
  <c r="BL113" i="31"/>
  <c r="BL114" i="31"/>
  <c r="BL115" i="31"/>
  <c r="BL116" i="31"/>
  <c r="BL117" i="31"/>
  <c r="BL118" i="31"/>
  <c r="BL119" i="31"/>
  <c r="BL120" i="31"/>
  <c r="BL121" i="31"/>
  <c r="BL122" i="31"/>
  <c r="BL123" i="31"/>
  <c r="BL124" i="31"/>
  <c r="BL125" i="31"/>
  <c r="BL126" i="31"/>
  <c r="BL127" i="31"/>
  <c r="BL128" i="31"/>
  <c r="BL129" i="31"/>
  <c r="BL130" i="31"/>
  <c r="BL131" i="31"/>
  <c r="BL132" i="31"/>
  <c r="BL133" i="31"/>
  <c r="BL134" i="31"/>
  <c r="BL135" i="31"/>
  <c r="BL136" i="31"/>
  <c r="BL137" i="31"/>
  <c r="BL138" i="31"/>
  <c r="BL139" i="31"/>
  <c r="BL140" i="31"/>
  <c r="BL141" i="31"/>
  <c r="BL142" i="31"/>
  <c r="BL143" i="31"/>
  <c r="BL144" i="31"/>
  <c r="BL145" i="31"/>
  <c r="BL146" i="31"/>
  <c r="BL147" i="31"/>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E22" i="6"/>
  <c r="D22" i="6"/>
  <c r="C22" i="6"/>
  <c r="AD36" i="6"/>
  <c r="CY142" i="31" l="1"/>
  <c r="CY130" i="31"/>
  <c r="CY118" i="31"/>
  <c r="CY106" i="31"/>
  <c r="CY94" i="31"/>
  <c r="CY82" i="31"/>
  <c r="CY74" i="31"/>
  <c r="CY66" i="31"/>
  <c r="CY58" i="31"/>
  <c r="CY50" i="31"/>
  <c r="CY38" i="31"/>
  <c r="CY141" i="31"/>
  <c r="CY137" i="31"/>
  <c r="CY133" i="31"/>
  <c r="CY129" i="31"/>
  <c r="CY125" i="31"/>
  <c r="CY121" i="31"/>
  <c r="CY117" i="31"/>
  <c r="CY113" i="31"/>
  <c r="CY109" i="31"/>
  <c r="CY105" i="31"/>
  <c r="CY101" i="31"/>
  <c r="CY97" i="31"/>
  <c r="CY93" i="31"/>
  <c r="CY89" i="31"/>
  <c r="CY85" i="31"/>
  <c r="CY81" i="31"/>
  <c r="CY77" i="31"/>
  <c r="CY73" i="31"/>
  <c r="CY69" i="31"/>
  <c r="CY65" i="31"/>
  <c r="CY61" i="31"/>
  <c r="CY57" i="31"/>
  <c r="CY53" i="31"/>
  <c r="CY49" i="31"/>
  <c r="CY45" i="31"/>
  <c r="CY41" i="31"/>
  <c r="CY37" i="31"/>
  <c r="CY153" i="31"/>
  <c r="CY149" i="31"/>
  <c r="CY138" i="31"/>
  <c r="CY126" i="31"/>
  <c r="CY114" i="31"/>
  <c r="CY102" i="31"/>
  <c r="CY90" i="31"/>
  <c r="CY78" i="31"/>
  <c r="CY70" i="31"/>
  <c r="CY62" i="31"/>
  <c r="CY54" i="31"/>
  <c r="CY46" i="31"/>
  <c r="CY34" i="31"/>
  <c r="CY145" i="31"/>
  <c r="CY144" i="31"/>
  <c r="CY140" i="31"/>
  <c r="CY136" i="31"/>
  <c r="CY132" i="31"/>
  <c r="CY128" i="31"/>
  <c r="CY124" i="31"/>
  <c r="CY120" i="31"/>
  <c r="CY116" i="31"/>
  <c r="CY112" i="31"/>
  <c r="CY108" i="31"/>
  <c r="CY104" i="31"/>
  <c r="CY100" i="31"/>
  <c r="CY96" i="31"/>
  <c r="CY92" i="31"/>
  <c r="CY88" i="31"/>
  <c r="CY84" i="31"/>
  <c r="CY80" i="31"/>
  <c r="CY76" i="31"/>
  <c r="CY72" i="31"/>
  <c r="CY68" i="31"/>
  <c r="CY64" i="31"/>
  <c r="CY60" i="31"/>
  <c r="CY56" i="31"/>
  <c r="CY52" i="31"/>
  <c r="CY48" i="31"/>
  <c r="CY44" i="31"/>
  <c r="CY40" i="31"/>
  <c r="CY36" i="31"/>
  <c r="CY152" i="31"/>
  <c r="CY148" i="31"/>
  <c r="CY146" i="31"/>
  <c r="CY134" i="31"/>
  <c r="CY122" i="31"/>
  <c r="CY110" i="31"/>
  <c r="CY98" i="31"/>
  <c r="CY86" i="31"/>
  <c r="CY42" i="31"/>
  <c r="CY147" i="31"/>
  <c r="CY143" i="31"/>
  <c r="CY139" i="31"/>
  <c r="CY135" i="31"/>
  <c r="CY131" i="31"/>
  <c r="CY127" i="31"/>
  <c r="CY123" i="31"/>
  <c r="CY119" i="31"/>
  <c r="CY115" i="31"/>
  <c r="CY111" i="31"/>
  <c r="CY107" i="31"/>
  <c r="CY103" i="31"/>
  <c r="CY99" i="31"/>
  <c r="CY95" i="31"/>
  <c r="CY91" i="31"/>
  <c r="CY87" i="31"/>
  <c r="CY83" i="31"/>
  <c r="CY79" i="31"/>
  <c r="CY75" i="31"/>
  <c r="CY71" i="31"/>
  <c r="CY67" i="31"/>
  <c r="CY63" i="31"/>
  <c r="CY59" i="31"/>
  <c r="CY55" i="31"/>
  <c r="CY51" i="31"/>
  <c r="CY47" i="31"/>
  <c r="CY43" i="31"/>
  <c r="CY39" i="31"/>
  <c r="CY35" i="31"/>
  <c r="CY155" i="31"/>
  <c r="CY151" i="31"/>
  <c r="CY154" i="31"/>
  <c r="CY150" i="31"/>
  <c r="CX142" i="31"/>
  <c r="CX126" i="31"/>
  <c r="CX110" i="31"/>
  <c r="CX90" i="31"/>
  <c r="CX74" i="31"/>
  <c r="CX58" i="31"/>
  <c r="CX46" i="31"/>
  <c r="CX141" i="31"/>
  <c r="CX129" i="31"/>
  <c r="CX117" i="31"/>
  <c r="CX105" i="31"/>
  <c r="CX93" i="31"/>
  <c r="CX81" i="31"/>
  <c r="CX69" i="31"/>
  <c r="CX41" i="31"/>
  <c r="CX147" i="31"/>
  <c r="CX143" i="31"/>
  <c r="CX139" i="31"/>
  <c r="CX135" i="31"/>
  <c r="CX131" i="31"/>
  <c r="CX127" i="31"/>
  <c r="CX123" i="31"/>
  <c r="CX119" i="31"/>
  <c r="CX115" i="31"/>
  <c r="CX111" i="31"/>
  <c r="CX107" i="31"/>
  <c r="CX103" i="31"/>
  <c r="CX99" i="31"/>
  <c r="CX95" i="31"/>
  <c r="CX91" i="31"/>
  <c r="CX87" i="31"/>
  <c r="CX83" i="31"/>
  <c r="CX79" i="31"/>
  <c r="CX75" i="31"/>
  <c r="CX71" i="31"/>
  <c r="CX67" i="31"/>
  <c r="CX63" i="31"/>
  <c r="CX59" i="31"/>
  <c r="CX55" i="31"/>
  <c r="CX51" i="31"/>
  <c r="CX47" i="31"/>
  <c r="CX43" i="31"/>
  <c r="CX39" i="31"/>
  <c r="CX35" i="31"/>
  <c r="CX153" i="31"/>
  <c r="CX149" i="31"/>
  <c r="CX134" i="31"/>
  <c r="CX118" i="31"/>
  <c r="CX98" i="31"/>
  <c r="CX86" i="31"/>
  <c r="CX70" i="31"/>
  <c r="CX54" i="31"/>
  <c r="CX38" i="31"/>
  <c r="CX152" i="31"/>
  <c r="CX148" i="31"/>
  <c r="CX146" i="31"/>
  <c r="CX130" i="31"/>
  <c r="CX114" i="31"/>
  <c r="CX102" i="31"/>
  <c r="CX82" i="31"/>
  <c r="CX66" i="31"/>
  <c r="CX50" i="31"/>
  <c r="CX34" i="31"/>
  <c r="CX145" i="31"/>
  <c r="CX133" i="31"/>
  <c r="CX121" i="31"/>
  <c r="CX109" i="31"/>
  <c r="CX97" i="31"/>
  <c r="CX85" i="31"/>
  <c r="CX73" i="31"/>
  <c r="CX61" i="31"/>
  <c r="CX53" i="31"/>
  <c r="CX45" i="31"/>
  <c r="CX155" i="31"/>
  <c r="CX151" i="31"/>
  <c r="CX138" i="31"/>
  <c r="CX122" i="31"/>
  <c r="CX106" i="31"/>
  <c r="CX94" i="31"/>
  <c r="CX78" i="31"/>
  <c r="CX62" i="31"/>
  <c r="CX42" i="31"/>
  <c r="CX137" i="31"/>
  <c r="CX125" i="31"/>
  <c r="CX113" i="31"/>
  <c r="CX101" i="31"/>
  <c r="CX89" i="31"/>
  <c r="CX77" i="31"/>
  <c r="CX65" i="31"/>
  <c r="CX57" i="31"/>
  <c r="CX49" i="31"/>
  <c r="CX37" i="31"/>
  <c r="CX144" i="31"/>
  <c r="CX140" i="31"/>
  <c r="CX136" i="31"/>
  <c r="CX132" i="31"/>
  <c r="CX128" i="31"/>
  <c r="CX124" i="31"/>
  <c r="CX120" i="31"/>
  <c r="CX116" i="31"/>
  <c r="CX112" i="31"/>
  <c r="CX108" i="31"/>
  <c r="CX104" i="31"/>
  <c r="CX100" i="31"/>
  <c r="CX96" i="31"/>
  <c r="CX92" i="31"/>
  <c r="CX88" i="31"/>
  <c r="CX84" i="31"/>
  <c r="CX80" i="31"/>
  <c r="CX76" i="31"/>
  <c r="CX72" i="31"/>
  <c r="CX68" i="31"/>
  <c r="CX64" i="31"/>
  <c r="CX60" i="31"/>
  <c r="CX56" i="31"/>
  <c r="CX52" i="31"/>
  <c r="CX48" i="31"/>
  <c r="CX44" i="31"/>
  <c r="CX40" i="31"/>
  <c r="CX36" i="31"/>
  <c r="CX154" i="31"/>
  <c r="CX150" i="31"/>
  <c r="CW135" i="31"/>
  <c r="CW123" i="31"/>
  <c r="CW115" i="31"/>
  <c r="CW99" i="31"/>
  <c r="CW87" i="31"/>
  <c r="CW75" i="31"/>
  <c r="CW67" i="31"/>
  <c r="CW51" i="31"/>
  <c r="CW43" i="31"/>
  <c r="CV103" i="31"/>
  <c r="CW153" i="31"/>
  <c r="CW146" i="31"/>
  <c r="CW142" i="31"/>
  <c r="CW138" i="31"/>
  <c r="CW134" i="31"/>
  <c r="CW130" i="31"/>
  <c r="CW126" i="31"/>
  <c r="CW122" i="31"/>
  <c r="CW118" i="31"/>
  <c r="CW114" i="31"/>
  <c r="CW110" i="31"/>
  <c r="CW106" i="31"/>
  <c r="CW102" i="31"/>
  <c r="CW98" i="31"/>
  <c r="CW94" i="31"/>
  <c r="CW90" i="31"/>
  <c r="CW86" i="31"/>
  <c r="CW82" i="31"/>
  <c r="CW78" i="31"/>
  <c r="CW74" i="31"/>
  <c r="CW70" i="31"/>
  <c r="CW66" i="31"/>
  <c r="CW62" i="31"/>
  <c r="CW58" i="31"/>
  <c r="CW54" i="31"/>
  <c r="CW50" i="31"/>
  <c r="CW46" i="31"/>
  <c r="CW42" i="31"/>
  <c r="CW38" i="31"/>
  <c r="CW34" i="31"/>
  <c r="CW152" i="31"/>
  <c r="CW148" i="31"/>
  <c r="CW147" i="31"/>
  <c r="CW139" i="31"/>
  <c r="CW127" i="31"/>
  <c r="CW111" i="31"/>
  <c r="CW103" i="31"/>
  <c r="CW91" i="31"/>
  <c r="CW79" i="31"/>
  <c r="CW63" i="31"/>
  <c r="CW55" i="31"/>
  <c r="CW39" i="31"/>
  <c r="CW145" i="31"/>
  <c r="CW141" i="31"/>
  <c r="CW137" i="31"/>
  <c r="CW133" i="31"/>
  <c r="CW129" i="31"/>
  <c r="CW125" i="31"/>
  <c r="CW121" i="31"/>
  <c r="CW117" i="31"/>
  <c r="CW113" i="31"/>
  <c r="CW109" i="31"/>
  <c r="CW105" i="31"/>
  <c r="CW101" i="31"/>
  <c r="CW97" i="31"/>
  <c r="CW93" i="31"/>
  <c r="CW89" i="31"/>
  <c r="CW85" i="31"/>
  <c r="CW81" i="31"/>
  <c r="CW77" i="31"/>
  <c r="CW73" i="31"/>
  <c r="CW69" i="31"/>
  <c r="CW65" i="31"/>
  <c r="CW61" i="31"/>
  <c r="CW57" i="31"/>
  <c r="CW53" i="31"/>
  <c r="CW49" i="31"/>
  <c r="CW45" i="31"/>
  <c r="CW41" i="31"/>
  <c r="CW37" i="31"/>
  <c r="CW155" i="31"/>
  <c r="CW151" i="31"/>
  <c r="CW143" i="31"/>
  <c r="CW131" i="31"/>
  <c r="CW119" i="31"/>
  <c r="CW107" i="31"/>
  <c r="CW95" i="31"/>
  <c r="CW83" i="31"/>
  <c r="CW71" i="31"/>
  <c r="CW59" i="31"/>
  <c r="CW47" i="31"/>
  <c r="CW35" i="31"/>
  <c r="CW149" i="31"/>
  <c r="CW144" i="31"/>
  <c r="CW140" i="31"/>
  <c r="CW136" i="31"/>
  <c r="CW132" i="31"/>
  <c r="CW128" i="31"/>
  <c r="CW124" i="31"/>
  <c r="CW120" i="31"/>
  <c r="CW116" i="31"/>
  <c r="CW112" i="31"/>
  <c r="CW108" i="31"/>
  <c r="CW104" i="31"/>
  <c r="CW100" i="31"/>
  <c r="CW96" i="31"/>
  <c r="CW92" i="31"/>
  <c r="CW88" i="31"/>
  <c r="CW84" i="31"/>
  <c r="CW80" i="31"/>
  <c r="CW76" i="31"/>
  <c r="CW72" i="31"/>
  <c r="CW68" i="31"/>
  <c r="CW64" i="31"/>
  <c r="CW60" i="31"/>
  <c r="CW56" i="31"/>
  <c r="CW52" i="31"/>
  <c r="CW48" i="31"/>
  <c r="CW44" i="31"/>
  <c r="CW40" i="31"/>
  <c r="CW36" i="31"/>
  <c r="CW154" i="31"/>
  <c r="CW150" i="31"/>
  <c r="CV135" i="31"/>
  <c r="CV91" i="31"/>
  <c r="CV79" i="31"/>
  <c r="CV67" i="31"/>
  <c r="CV55" i="31"/>
  <c r="CV43" i="31"/>
  <c r="CV149" i="31"/>
  <c r="CV146" i="31"/>
  <c r="CV142" i="31"/>
  <c r="CV138" i="31"/>
  <c r="CV134" i="31"/>
  <c r="CV130" i="31"/>
  <c r="CV126" i="31"/>
  <c r="CV122" i="31"/>
  <c r="CV118" i="31"/>
  <c r="CV114" i="31"/>
  <c r="CV110" i="31"/>
  <c r="CV106" i="31"/>
  <c r="CV102" i="31"/>
  <c r="CV98" i="31"/>
  <c r="CV94" i="31"/>
  <c r="CV90" i="31"/>
  <c r="CV86" i="31"/>
  <c r="CV82" i="31"/>
  <c r="CV78" i="31"/>
  <c r="CV74" i="31"/>
  <c r="CV70" i="31"/>
  <c r="CV66" i="31"/>
  <c r="CV62" i="31"/>
  <c r="CV58" i="31"/>
  <c r="CV54" i="31"/>
  <c r="CV50" i="31"/>
  <c r="CV46" i="31"/>
  <c r="CV42" i="31"/>
  <c r="CV38" i="31"/>
  <c r="CV34" i="31"/>
  <c r="CV152" i="31"/>
  <c r="CV148" i="31"/>
  <c r="CV143" i="31"/>
  <c r="CV127" i="31"/>
  <c r="CV119" i="31"/>
  <c r="CV111" i="31"/>
  <c r="CV99" i="31"/>
  <c r="CV87" i="31"/>
  <c r="CV75" i="31"/>
  <c r="CV63" i="31"/>
  <c r="CV47" i="31"/>
  <c r="CV35" i="31"/>
  <c r="CV153" i="31"/>
  <c r="CV145" i="31"/>
  <c r="CV141" i="31"/>
  <c r="CV137" i="31"/>
  <c r="CV133" i="31"/>
  <c r="CV129" i="31"/>
  <c r="CV125" i="31"/>
  <c r="CV121" i="31"/>
  <c r="CV117" i="31"/>
  <c r="CV113" i="31"/>
  <c r="CV109" i="31"/>
  <c r="CV105" i="31"/>
  <c r="CV101" i="31"/>
  <c r="CV97" i="31"/>
  <c r="CV93" i="31"/>
  <c r="CV89" i="31"/>
  <c r="CV85" i="31"/>
  <c r="CV81" i="31"/>
  <c r="CV77" i="31"/>
  <c r="CV73" i="31"/>
  <c r="CV69" i="31"/>
  <c r="CV65" i="31"/>
  <c r="CV61" i="31"/>
  <c r="CV57" i="31"/>
  <c r="CV53" i="31"/>
  <c r="CV49" i="31"/>
  <c r="CV45" i="31"/>
  <c r="CV41" i="31"/>
  <c r="CV37" i="31"/>
  <c r="CV155" i="31"/>
  <c r="CV151" i="31"/>
  <c r="CV147" i="31"/>
  <c r="CV139" i="31"/>
  <c r="CV131" i="31"/>
  <c r="CV123" i="31"/>
  <c r="CV115" i="31"/>
  <c r="CV107" i="31"/>
  <c r="CV95" i="31"/>
  <c r="CV83" i="31"/>
  <c r="CV71" i="31"/>
  <c r="CV59" i="31"/>
  <c r="CV51" i="31"/>
  <c r="CV39" i="31"/>
  <c r="CV144" i="31"/>
  <c r="CV140" i="31"/>
  <c r="CV136" i="31"/>
  <c r="CV132" i="31"/>
  <c r="CV128" i="31"/>
  <c r="CV124" i="31"/>
  <c r="CV120" i="31"/>
  <c r="CV116" i="31"/>
  <c r="CV112" i="31"/>
  <c r="CV108" i="31"/>
  <c r="CV104" i="31"/>
  <c r="CV100" i="31"/>
  <c r="CV96" i="31"/>
  <c r="CV92" i="31"/>
  <c r="CV88" i="31"/>
  <c r="CV84" i="31"/>
  <c r="CV80" i="31"/>
  <c r="CV76" i="31"/>
  <c r="CV72" i="31"/>
  <c r="CV68" i="31"/>
  <c r="CV64" i="31"/>
  <c r="CV60" i="31"/>
  <c r="CV56" i="31"/>
  <c r="CV52" i="31"/>
  <c r="CV48" i="31"/>
  <c r="CV44" i="31"/>
  <c r="CV40" i="31"/>
  <c r="CV36" i="31"/>
  <c r="CV154" i="31"/>
  <c r="CV150" i="31"/>
  <c r="CU156" i="29"/>
  <c r="CV156" i="29"/>
  <c r="BM156" i="29"/>
  <c r="CW156" i="29"/>
  <c r="CU157" i="29"/>
  <c r="BM157" i="29"/>
  <c r="CW155" i="29"/>
  <c r="CU155" i="29"/>
  <c r="CV155" i="29"/>
  <c r="CV154" i="29"/>
  <c r="CV137" i="30"/>
  <c r="CX137" i="30"/>
  <c r="CW137" i="30"/>
  <c r="CX133" i="30"/>
  <c r="CW133" i="30"/>
  <c r="CV133" i="30"/>
  <c r="CX134" i="30"/>
  <c r="CW134" i="30"/>
  <c r="CV134" i="30"/>
  <c r="CX135" i="30"/>
  <c r="CW135" i="30"/>
  <c r="CV135" i="30"/>
  <c r="CV130" i="30"/>
  <c r="CW129" i="30"/>
  <c r="CX129" i="30"/>
  <c r="CV129" i="30"/>
  <c r="CW130" i="30"/>
  <c r="CW126" i="30"/>
  <c r="CX126" i="30"/>
  <c r="CV126" i="30"/>
  <c r="CX127" i="30"/>
  <c r="CW127" i="30"/>
  <c r="CV127" i="30"/>
  <c r="CX124" i="30"/>
  <c r="CV124" i="30"/>
  <c r="CW123" i="30"/>
  <c r="CX123" i="30"/>
  <c r="CV123" i="30"/>
  <c r="CW124" i="30"/>
  <c r="CX120" i="30"/>
  <c r="CW120" i="30"/>
  <c r="CV120" i="30"/>
  <c r="CX121" i="30"/>
  <c r="CW121" i="30"/>
  <c r="CV121" i="30"/>
  <c r="CX117" i="30"/>
  <c r="CW117" i="30"/>
  <c r="CV117" i="30"/>
  <c r="CV113" i="30"/>
  <c r="CX113" i="30"/>
  <c r="CW113" i="30"/>
  <c r="CX103" i="30"/>
  <c r="CV103" i="30"/>
  <c r="CW103" i="30"/>
  <c r="CX104" i="30"/>
  <c r="CW104" i="30"/>
  <c r="CV104" i="30"/>
  <c r="CX105" i="30"/>
  <c r="CW105" i="30"/>
  <c r="CV105" i="30"/>
  <c r="CX106" i="30"/>
  <c r="CW106" i="30"/>
  <c r="CV106" i="30"/>
  <c r="CX107" i="30"/>
  <c r="CW107" i="30"/>
  <c r="CV107" i="30"/>
  <c r="CW101" i="30"/>
  <c r="CV101" i="30"/>
  <c r="CX101" i="30"/>
  <c r="CY153" i="37"/>
  <c r="CY149" i="37"/>
  <c r="CY145" i="37"/>
  <c r="CY141" i="37"/>
  <c r="CY137" i="37"/>
  <c r="CY133" i="37"/>
  <c r="CY129" i="37"/>
  <c r="CY125" i="37"/>
  <c r="CY121" i="37"/>
  <c r="CY117" i="37"/>
  <c r="CY113" i="37"/>
  <c r="CY109" i="37"/>
  <c r="CY105" i="37"/>
  <c r="CY101" i="37"/>
  <c r="CY97" i="37"/>
  <c r="CY93" i="37"/>
  <c r="CY89" i="37"/>
  <c r="CY85" i="37"/>
  <c r="CY81" i="37"/>
  <c r="CY77" i="37"/>
  <c r="CY73" i="37"/>
  <c r="CY69" i="37"/>
  <c r="CY65" i="37"/>
  <c r="CY61" i="37"/>
  <c r="CY57" i="37"/>
  <c r="CY53" i="37"/>
  <c r="CY49" i="37"/>
  <c r="CY45" i="37"/>
  <c r="CY41" i="37"/>
  <c r="CY37" i="37"/>
  <c r="CV152" i="37"/>
  <c r="CY152" i="37"/>
  <c r="CY148" i="37"/>
  <c r="CY144" i="37"/>
  <c r="CY140" i="37"/>
  <c r="CY136" i="37"/>
  <c r="CY132" i="37"/>
  <c r="CY128" i="37"/>
  <c r="CY124" i="37"/>
  <c r="CY120" i="37"/>
  <c r="CY116" i="37"/>
  <c r="CY112" i="37"/>
  <c r="CY108" i="37"/>
  <c r="CY104" i="37"/>
  <c r="CY100" i="37"/>
  <c r="CY96" i="37"/>
  <c r="CY92" i="37"/>
  <c r="CY88" i="37"/>
  <c r="CY84" i="37"/>
  <c r="CY80" i="37"/>
  <c r="CY76" i="37"/>
  <c r="CY72" i="37"/>
  <c r="CY68" i="37"/>
  <c r="CY64" i="37"/>
  <c r="CY60" i="37"/>
  <c r="CY56" i="37"/>
  <c r="CY52" i="37"/>
  <c r="CY48" i="37"/>
  <c r="CY44" i="37"/>
  <c r="CY40" i="37"/>
  <c r="CY36" i="37"/>
  <c r="CV120" i="37"/>
  <c r="CV56" i="37"/>
  <c r="CY155" i="37"/>
  <c r="CY151" i="37"/>
  <c r="CY147" i="37"/>
  <c r="CY143" i="37"/>
  <c r="CY139" i="37"/>
  <c r="CY135" i="37"/>
  <c r="CY131" i="37"/>
  <c r="CY127" i="37"/>
  <c r="CY123" i="37"/>
  <c r="CY119" i="37"/>
  <c r="CY115" i="37"/>
  <c r="CY111" i="37"/>
  <c r="CY107" i="37"/>
  <c r="CY103" i="37"/>
  <c r="CY99" i="37"/>
  <c r="CY95" i="37"/>
  <c r="CY91" i="37"/>
  <c r="CY87" i="37"/>
  <c r="CY83" i="37"/>
  <c r="CY79" i="37"/>
  <c r="CY75" i="37"/>
  <c r="CY71" i="37"/>
  <c r="CY67" i="37"/>
  <c r="CY63" i="37"/>
  <c r="CY59" i="37"/>
  <c r="CY55" i="37"/>
  <c r="CY51" i="37"/>
  <c r="CY47" i="37"/>
  <c r="CY43" i="37"/>
  <c r="CY39" i="37"/>
  <c r="CY35" i="37"/>
  <c r="CY154" i="37"/>
  <c r="CY150" i="37"/>
  <c r="CY146" i="37"/>
  <c r="CY142" i="37"/>
  <c r="CY138" i="37"/>
  <c r="CY134" i="37"/>
  <c r="CY130" i="37"/>
  <c r="CY126" i="37"/>
  <c r="CY122" i="37"/>
  <c r="CY118" i="37"/>
  <c r="CY114" i="37"/>
  <c r="CY110" i="37"/>
  <c r="CY106" i="37"/>
  <c r="CY102" i="37"/>
  <c r="CY98" i="37"/>
  <c r="CY94" i="37"/>
  <c r="CY90" i="37"/>
  <c r="CY86" i="37"/>
  <c r="CY82" i="37"/>
  <c r="CY78" i="37"/>
  <c r="CY74" i="37"/>
  <c r="CY70" i="37"/>
  <c r="CY66" i="37"/>
  <c r="CY62" i="37"/>
  <c r="CY58" i="37"/>
  <c r="CY54" i="37"/>
  <c r="CY50" i="37"/>
  <c r="CY46" i="37"/>
  <c r="CY42" i="37"/>
  <c r="CY38" i="37"/>
  <c r="CV89" i="30"/>
  <c r="CX89" i="30"/>
  <c r="CW89" i="30"/>
  <c r="CW87" i="30"/>
  <c r="CX87" i="30"/>
  <c r="CV87" i="30"/>
  <c r="CX82" i="30"/>
  <c r="CV82" i="30"/>
  <c r="CW82" i="30"/>
  <c r="CV80" i="30"/>
  <c r="CX80" i="30"/>
  <c r="CW80" i="30"/>
  <c r="CW71" i="30"/>
  <c r="CV71" i="30"/>
  <c r="CX71" i="30"/>
  <c r="CX72" i="30"/>
  <c r="CW72" i="30"/>
  <c r="CV72" i="30"/>
  <c r="CX73" i="30"/>
  <c r="CW73" i="30"/>
  <c r="CV73" i="30"/>
  <c r="CV65" i="30"/>
  <c r="CX65" i="30"/>
  <c r="CW65" i="30"/>
  <c r="CV62" i="30"/>
  <c r="CX62" i="30"/>
  <c r="CW62" i="30"/>
  <c r="CW58" i="30"/>
  <c r="CX58" i="30"/>
  <c r="CV58" i="30"/>
  <c r="CX59" i="30"/>
  <c r="CW59" i="30"/>
  <c r="CV59" i="30"/>
  <c r="CX60" i="30"/>
  <c r="CW60" i="30"/>
  <c r="CV60" i="30"/>
  <c r="CV55" i="30"/>
  <c r="CX55" i="30"/>
  <c r="CW55" i="30"/>
  <c r="CX52" i="30"/>
  <c r="CW52" i="30"/>
  <c r="CV52" i="30"/>
  <c r="CX47" i="30"/>
  <c r="CV47" i="30"/>
  <c r="CW47" i="30"/>
  <c r="CX48" i="30"/>
  <c r="CW48" i="30"/>
  <c r="CV48" i="30"/>
  <c r="CX49" i="30"/>
  <c r="CW49" i="30"/>
  <c r="CV49" i="30"/>
  <c r="CX50" i="30"/>
  <c r="CW50" i="30"/>
  <c r="CV50" i="30"/>
  <c r="CW41" i="30"/>
  <c r="CV43" i="30"/>
  <c r="CX41" i="30"/>
  <c r="CV41" i="30"/>
  <c r="CX42" i="30"/>
  <c r="CW42" i="30"/>
  <c r="CV42" i="30"/>
  <c r="CX43" i="30"/>
  <c r="CW43" i="30"/>
  <c r="CV45" i="30"/>
  <c r="CX44" i="30"/>
  <c r="CW44" i="30"/>
  <c r="CV44" i="30"/>
  <c r="CX45" i="30"/>
  <c r="CW45" i="30"/>
  <c r="CW38" i="30"/>
  <c r="CX38" i="30"/>
  <c r="CV38" i="30"/>
  <c r="CX39" i="30"/>
  <c r="CW39" i="30"/>
  <c r="CV39" i="30"/>
  <c r="CV36" i="30"/>
  <c r="CX36" i="30"/>
  <c r="CW36" i="30"/>
  <c r="CV34" i="30"/>
  <c r="CX34" i="30"/>
  <c r="CW34" i="30"/>
  <c r="CX30" i="30"/>
  <c r="CW30" i="30"/>
  <c r="CV30" i="30"/>
  <c r="CX28" i="30"/>
  <c r="CV28" i="30"/>
  <c r="CW28" i="30"/>
  <c r="CU139" i="29"/>
  <c r="CX22" i="30"/>
  <c r="CW22" i="30"/>
  <c r="CV22" i="30"/>
  <c r="CX20" i="30"/>
  <c r="CW20" i="30"/>
  <c r="CV20" i="30"/>
  <c r="CV13" i="30"/>
  <c r="CX13" i="30"/>
  <c r="CW13" i="30"/>
  <c r="CV14" i="30"/>
  <c r="CX14" i="30"/>
  <c r="CW14" i="30"/>
  <c r="CW137" i="37"/>
  <c r="CW129" i="37"/>
  <c r="CW125" i="37"/>
  <c r="CW109" i="37"/>
  <c r="CW93" i="37"/>
  <c r="CW77" i="37"/>
  <c r="CW61" i="37"/>
  <c r="CW45" i="37"/>
  <c r="CW153" i="37"/>
  <c r="CW149" i="37"/>
  <c r="CW145" i="37"/>
  <c r="CV148" i="37"/>
  <c r="CV140" i="37"/>
  <c r="CV132" i="37"/>
  <c r="CV104" i="37"/>
  <c r="CV88" i="37"/>
  <c r="CV72" i="37"/>
  <c r="CV40" i="37"/>
  <c r="CW141" i="37"/>
  <c r="CW133" i="37"/>
  <c r="CW121" i="37"/>
  <c r="CW117" i="37"/>
  <c r="CW113" i="37"/>
  <c r="CW105" i="37"/>
  <c r="CW101" i="37"/>
  <c r="CW97" i="37"/>
  <c r="CW89" i="37"/>
  <c r="CW85" i="37"/>
  <c r="CW81" i="37"/>
  <c r="CW73" i="37"/>
  <c r="CW69" i="37"/>
  <c r="CW65" i="37"/>
  <c r="CW57" i="37"/>
  <c r="CW53" i="37"/>
  <c r="CW49" i="37"/>
  <c r="CW41" i="37"/>
  <c r="CW37" i="37"/>
  <c r="CV153" i="37"/>
  <c r="CV149" i="37"/>
  <c r="CW152" i="37"/>
  <c r="CW148" i="37"/>
  <c r="CW144" i="37"/>
  <c r="CW140" i="37"/>
  <c r="CW136" i="37"/>
  <c r="CW132" i="37"/>
  <c r="CW128" i="37"/>
  <c r="CW124" i="37"/>
  <c r="CV144" i="37"/>
  <c r="CV136" i="37"/>
  <c r="CV128" i="37"/>
  <c r="CV124" i="37"/>
  <c r="CV116" i="37"/>
  <c r="CV112" i="37"/>
  <c r="CV108" i="37"/>
  <c r="CV100" i="37"/>
  <c r="CV96" i="37"/>
  <c r="CV92" i="37"/>
  <c r="CV84" i="37"/>
  <c r="CV80" i="37"/>
  <c r="CV76" i="37"/>
  <c r="CV68" i="37"/>
  <c r="CV64" i="37"/>
  <c r="CV60" i="37"/>
  <c r="CV52" i="37"/>
  <c r="CV48" i="37"/>
  <c r="CV44" i="37"/>
  <c r="CV36" i="37"/>
  <c r="CW155" i="37"/>
  <c r="CW151" i="37"/>
  <c r="CW147" i="37"/>
  <c r="CW143" i="37"/>
  <c r="CW139" i="37"/>
  <c r="CW135" i="37"/>
  <c r="CW131" i="37"/>
  <c r="CW127" i="37"/>
  <c r="CV155" i="37"/>
  <c r="CV151" i="37"/>
  <c r="CW154" i="37"/>
  <c r="CW150" i="37"/>
  <c r="CW146" i="37"/>
  <c r="CW142" i="37"/>
  <c r="CW138" i="37"/>
  <c r="CW134" i="37"/>
  <c r="CW130" i="37"/>
  <c r="CW126" i="37"/>
  <c r="CW122" i="37"/>
  <c r="CW118" i="37"/>
  <c r="CW114" i="37"/>
  <c r="CW110" i="37"/>
  <c r="CW106" i="37"/>
  <c r="CW102" i="37"/>
  <c r="CW98" i="37"/>
  <c r="CW94" i="37"/>
  <c r="CW90" i="37"/>
  <c r="CW86" i="37"/>
  <c r="CW82" i="37"/>
  <c r="CW78" i="37"/>
  <c r="CW74" i="37"/>
  <c r="CW70" i="37"/>
  <c r="CW66" i="37"/>
  <c r="CW62" i="37"/>
  <c r="CW58" i="37"/>
  <c r="CW54" i="37"/>
  <c r="CW50" i="37"/>
  <c r="CW46" i="37"/>
  <c r="CW42" i="37"/>
  <c r="CW38" i="37"/>
  <c r="CV154" i="37"/>
  <c r="CV150" i="37"/>
  <c r="CV146" i="37"/>
  <c r="CV142" i="37"/>
  <c r="CV138" i="37"/>
  <c r="CV134" i="37"/>
  <c r="CV130" i="37"/>
  <c r="CV126" i="37"/>
  <c r="CV122" i="37"/>
  <c r="CV118" i="37"/>
  <c r="CV114" i="37"/>
  <c r="CV110" i="37"/>
  <c r="CV106" i="37"/>
  <c r="CV102" i="37"/>
  <c r="CV98" i="37"/>
  <c r="CV94" i="37"/>
  <c r="CV90" i="37"/>
  <c r="CV86" i="37"/>
  <c r="CV82" i="37"/>
  <c r="CV78" i="37"/>
  <c r="CV74" i="37"/>
  <c r="CV70" i="37"/>
  <c r="CV66" i="37"/>
  <c r="CV62" i="37"/>
  <c r="CV58" i="37"/>
  <c r="CV54" i="37"/>
  <c r="CV50" i="37"/>
  <c r="CV46" i="37"/>
  <c r="CV42" i="37"/>
  <c r="CV38" i="37"/>
  <c r="CV145" i="37"/>
  <c r="CV141" i="37"/>
  <c r="CV137" i="37"/>
  <c r="CV133" i="37"/>
  <c r="CV129" i="37"/>
  <c r="CV125" i="37"/>
  <c r="CV121" i="37"/>
  <c r="CV117" i="37"/>
  <c r="CV113" i="37"/>
  <c r="CV109" i="37"/>
  <c r="CV105" i="37"/>
  <c r="CV101" i="37"/>
  <c r="CV97" i="37"/>
  <c r="CV93" i="37"/>
  <c r="CV89" i="37"/>
  <c r="CV85" i="37"/>
  <c r="CV81" i="37"/>
  <c r="CV77" i="37"/>
  <c r="CV73" i="37"/>
  <c r="CV69" i="37"/>
  <c r="CV65" i="37"/>
  <c r="CV61" i="37"/>
  <c r="CV57" i="37"/>
  <c r="CV53" i="37"/>
  <c r="CV49" i="37"/>
  <c r="CV45" i="37"/>
  <c r="CV41" i="37"/>
  <c r="CV37" i="37"/>
  <c r="CW120" i="37"/>
  <c r="CW116" i="37"/>
  <c r="CW112" i="37"/>
  <c r="CW108" i="37"/>
  <c r="CW104" i="37"/>
  <c r="CW100" i="37"/>
  <c r="CW96" i="37"/>
  <c r="CW92" i="37"/>
  <c r="CW88" i="37"/>
  <c r="CW84" i="37"/>
  <c r="CW80" i="37"/>
  <c r="CW76" i="37"/>
  <c r="CW72" i="37"/>
  <c r="CW68" i="37"/>
  <c r="CW64" i="37"/>
  <c r="CW60" i="37"/>
  <c r="CW56" i="37"/>
  <c r="CW52" i="37"/>
  <c r="CW48" i="37"/>
  <c r="CW44" i="37"/>
  <c r="CW40" i="37"/>
  <c r="CW36" i="37"/>
  <c r="CW123" i="37"/>
  <c r="CW119" i="37"/>
  <c r="CW115" i="37"/>
  <c r="CW111" i="37"/>
  <c r="CW107" i="37"/>
  <c r="CW103" i="37"/>
  <c r="CW99" i="37"/>
  <c r="CW95" i="37"/>
  <c r="CW91" i="37"/>
  <c r="CW87" i="37"/>
  <c r="CW83" i="37"/>
  <c r="CW79" i="37"/>
  <c r="CW75" i="37"/>
  <c r="CW71" i="37"/>
  <c r="CW67" i="37"/>
  <c r="CW63" i="37"/>
  <c r="CW59" i="37"/>
  <c r="CW55" i="37"/>
  <c r="CW51" i="37"/>
  <c r="CW47" i="37"/>
  <c r="CW43" i="37"/>
  <c r="CW39" i="37"/>
  <c r="CW35" i="37"/>
  <c r="CV147" i="37"/>
  <c r="CV143" i="37"/>
  <c r="CV139" i="37"/>
  <c r="CV135" i="37"/>
  <c r="CV131" i="37"/>
  <c r="CV127" i="37"/>
  <c r="CV123" i="37"/>
  <c r="CV119" i="37"/>
  <c r="CV115" i="37"/>
  <c r="CV111" i="37"/>
  <c r="CV107" i="37"/>
  <c r="CV103" i="37"/>
  <c r="CV99" i="37"/>
  <c r="CV95" i="37"/>
  <c r="CV91" i="37"/>
  <c r="CV87" i="37"/>
  <c r="CV83" i="37"/>
  <c r="CV79" i="37"/>
  <c r="CV75" i="37"/>
  <c r="CV71" i="37"/>
  <c r="CV67" i="37"/>
  <c r="CV63" i="37"/>
  <c r="CV59" i="37"/>
  <c r="CV55" i="37"/>
  <c r="CV51" i="37"/>
  <c r="CV47" i="37"/>
  <c r="CV43" i="37"/>
  <c r="CV39" i="37"/>
  <c r="CV35" i="37"/>
  <c r="CU151" i="29"/>
  <c r="BM152" i="29"/>
  <c r="CW137" i="29"/>
  <c r="BM148" i="29"/>
  <c r="CV146" i="29"/>
  <c r="CU147" i="29"/>
  <c r="CW133" i="29"/>
  <c r="BM136" i="29"/>
  <c r="CV150" i="29"/>
  <c r="CV142" i="29"/>
  <c r="CV151" i="29"/>
  <c r="CW151" i="29"/>
  <c r="CU152" i="29"/>
  <c r="CV152" i="29"/>
  <c r="BM153" i="29"/>
  <c r="BM154" i="29"/>
  <c r="CU135" i="29"/>
  <c r="CU153" i="29"/>
  <c r="CW154" i="29"/>
  <c r="BM144" i="29"/>
  <c r="CV153" i="29"/>
  <c r="CV138" i="29"/>
  <c r="CW153" i="29"/>
  <c r="CU143" i="29"/>
  <c r="CW152" i="29"/>
  <c r="CW145" i="29"/>
  <c r="BM140" i="29"/>
  <c r="CV134" i="29"/>
  <c r="CW148" i="29"/>
  <c r="CU149" i="29"/>
  <c r="CU137" i="29"/>
  <c r="CW146" i="29"/>
  <c r="CW138" i="29"/>
  <c r="CV149" i="29"/>
  <c r="CV137" i="29"/>
  <c r="CV143" i="29"/>
  <c r="CV135" i="29"/>
  <c r="CW149" i="29"/>
  <c r="CW147" i="29"/>
  <c r="CW143" i="29"/>
  <c r="CW139" i="29"/>
  <c r="CW135" i="29"/>
  <c r="CU148" i="29"/>
  <c r="CU144" i="29"/>
  <c r="CU140" i="29"/>
  <c r="CU136" i="29"/>
  <c r="CV148" i="29"/>
  <c r="CV144" i="29"/>
  <c r="CV140" i="29"/>
  <c r="CV136" i="29"/>
  <c r="BM149" i="29"/>
  <c r="BM145" i="29"/>
  <c r="BM141" i="29"/>
  <c r="BM137" i="29"/>
  <c r="BM133" i="29"/>
  <c r="BM150" i="29"/>
  <c r="BM146" i="29"/>
  <c r="BM142" i="29"/>
  <c r="BM138" i="29"/>
  <c r="BM134" i="29"/>
  <c r="CW144" i="29"/>
  <c r="CW136" i="29"/>
  <c r="CU141" i="29"/>
  <c r="CW150" i="29"/>
  <c r="CW134" i="29"/>
  <c r="CV145" i="29"/>
  <c r="CV133" i="29"/>
  <c r="CW140" i="29"/>
  <c r="CU145" i="29"/>
  <c r="CU133" i="29"/>
  <c r="CW142" i="29"/>
  <c r="CV141" i="29"/>
  <c r="CV147" i="29"/>
  <c r="CV139" i="29"/>
  <c r="CW141" i="29"/>
  <c r="CU150" i="29"/>
  <c r="CU142" i="29"/>
  <c r="CU134" i="29"/>
  <c r="BM151" i="29"/>
  <c r="BM139" i="29"/>
  <c r="CV157" i="29"/>
  <c r="CU154" i="29"/>
  <c r="CU146" i="29"/>
  <c r="CU138" i="29"/>
  <c r="BM155" i="29"/>
  <c r="BM147" i="29"/>
  <c r="BM143" i="29"/>
  <c r="BM135" i="29"/>
  <c r="CW129" i="29"/>
  <c r="CV128" i="29"/>
  <c r="CU128" i="29"/>
  <c r="CW128" i="29"/>
  <c r="CU129" i="29"/>
  <c r="BM129" i="29"/>
  <c r="CV129" i="29"/>
  <c r="BM122" i="29"/>
  <c r="CW123" i="29"/>
  <c r="CU122" i="29"/>
  <c r="CV122" i="29"/>
  <c r="CW122" i="29"/>
  <c r="CW124" i="29"/>
  <c r="CU123" i="29"/>
  <c r="CV123" i="29"/>
  <c r="CW125" i="29"/>
  <c r="CU124" i="29"/>
  <c r="CV124" i="29"/>
  <c r="CW126" i="29"/>
  <c r="CU125" i="29"/>
  <c r="CV125" i="29"/>
  <c r="CU126" i="29"/>
  <c r="CV126" i="29"/>
  <c r="CV117" i="29"/>
  <c r="CU117" i="29"/>
  <c r="CW117" i="29"/>
  <c r="CV113" i="29"/>
  <c r="CW114" i="29"/>
  <c r="CU113" i="29"/>
  <c r="CW113" i="29"/>
  <c r="CU114" i="29"/>
  <c r="CV114" i="29"/>
  <c r="CV110" i="29"/>
  <c r="CU110" i="29"/>
  <c r="CW110" i="29"/>
  <c r="CV104" i="29"/>
  <c r="CU104" i="29"/>
  <c r="CW104" i="29"/>
  <c r="CW102" i="29"/>
  <c r="CV102" i="29"/>
  <c r="CU102" i="29"/>
  <c r="CV100" i="29"/>
  <c r="CU100" i="29"/>
  <c r="CW100" i="29"/>
  <c r="CV98" i="29"/>
  <c r="CU98" i="29"/>
  <c r="CW98" i="29"/>
  <c r="CU94" i="29"/>
  <c r="CV94" i="29"/>
  <c r="CW95" i="29"/>
  <c r="CW94" i="29"/>
  <c r="CU95" i="29"/>
  <c r="CV95" i="29"/>
  <c r="CU91" i="29"/>
  <c r="CW92" i="29"/>
  <c r="CV91" i="29"/>
  <c r="CW91" i="29"/>
  <c r="CU92" i="29"/>
  <c r="CV92" i="29"/>
  <c r="CV88" i="29"/>
  <c r="CU88" i="29"/>
  <c r="CW88" i="29"/>
  <c r="CU83" i="29"/>
  <c r="CV83" i="29"/>
  <c r="CW83" i="29"/>
  <c r="CV84" i="29"/>
  <c r="CW85" i="29"/>
  <c r="CU84" i="29"/>
  <c r="CW84" i="29"/>
  <c r="CU85" i="29"/>
  <c r="CV85" i="29"/>
  <c r="CV81" i="29"/>
  <c r="CU81" i="29"/>
  <c r="CW81" i="29"/>
  <c r="CW79" i="29"/>
  <c r="CV79" i="29"/>
  <c r="CU79" i="29"/>
  <c r="CV75" i="29"/>
  <c r="CU75" i="29"/>
  <c r="CW75" i="29"/>
  <c r="CW76" i="29"/>
  <c r="CV76" i="29"/>
  <c r="CU76" i="29"/>
  <c r="CU72" i="29"/>
  <c r="CV72" i="29"/>
  <c r="CW72" i="29"/>
  <c r="CV68" i="29"/>
  <c r="CU68" i="29"/>
  <c r="CW69" i="29"/>
  <c r="CW68" i="29"/>
  <c r="CU69" i="29"/>
  <c r="CV69" i="29"/>
  <c r="CW62" i="29"/>
  <c r="CV61" i="29"/>
  <c r="CU61" i="29"/>
  <c r="CW61" i="29"/>
  <c r="CW63" i="29"/>
  <c r="CU62" i="29"/>
  <c r="CV62" i="29"/>
  <c r="CU63" i="29"/>
  <c r="CV63" i="29"/>
  <c r="CV57" i="29"/>
  <c r="CW58" i="29"/>
  <c r="CU57" i="29"/>
  <c r="CW57" i="29"/>
  <c r="CU58" i="29"/>
  <c r="CV58" i="29"/>
  <c r="CV55" i="29"/>
  <c r="CU55" i="29"/>
  <c r="CW55" i="29"/>
  <c r="CU51" i="29"/>
  <c r="CV51" i="29"/>
  <c r="CW51" i="29"/>
  <c r="CV48" i="29"/>
  <c r="CU48" i="29"/>
  <c r="CW48" i="29"/>
  <c r="CW49" i="29"/>
  <c r="CV49" i="29"/>
  <c r="CU49" i="29"/>
  <c r="CV46" i="29"/>
  <c r="CU46" i="29"/>
  <c r="CW46" i="29"/>
  <c r="CV42" i="29"/>
  <c r="CU42" i="29"/>
  <c r="CW42" i="29"/>
  <c r="CU37" i="29"/>
  <c r="CV37" i="29"/>
  <c r="CW37" i="29"/>
  <c r="CU33" i="29"/>
  <c r="CV33" i="29"/>
  <c r="CW33" i="29"/>
  <c r="CV30" i="29"/>
  <c r="CU30" i="29"/>
  <c r="CW30" i="29"/>
  <c r="CW28" i="29"/>
  <c r="CV27" i="29"/>
  <c r="CU27" i="29"/>
  <c r="CW27" i="29"/>
  <c r="CU28" i="29"/>
  <c r="CV28" i="29"/>
  <c r="CW24" i="29"/>
  <c r="CU23" i="29"/>
  <c r="CV23" i="29"/>
  <c r="CW23" i="29"/>
  <c r="CU24" i="29"/>
  <c r="CV24" i="29"/>
  <c r="CW20" i="29"/>
  <c r="CV20" i="29"/>
  <c r="CW21" i="29"/>
  <c r="CU20" i="29"/>
  <c r="CU21" i="29"/>
  <c r="CV21" i="29"/>
  <c r="CV18" i="29"/>
  <c r="CU18" i="29"/>
  <c r="CW18" i="29"/>
  <c r="CW14" i="29"/>
  <c r="CW13" i="29"/>
  <c r="CU13" i="29"/>
  <c r="CV13" i="29"/>
  <c r="CV12" i="29"/>
  <c r="CU12" i="29"/>
  <c r="CW12" i="29"/>
  <c r="CU14" i="29"/>
  <c r="CV14" i="29"/>
  <c r="R82" i="5" l="1"/>
  <c r="BC11" i="32"/>
  <c r="BC12" i="32"/>
  <c r="BC13" i="32"/>
  <c r="BC14" i="32"/>
  <c r="BC15" i="32"/>
  <c r="BC16" i="32"/>
  <c r="BC17" i="32"/>
  <c r="BC18" i="32"/>
  <c r="BC19" i="32"/>
  <c r="BC20" i="32"/>
  <c r="BC21" i="32"/>
  <c r="BC22" i="32"/>
  <c r="BC23" i="32"/>
  <c r="BC24" i="32"/>
  <c r="BC25" i="32"/>
  <c r="BC26" i="32"/>
  <c r="BC27" i="32"/>
  <c r="BC28" i="32"/>
  <c r="BC29" i="32"/>
  <c r="BC30" i="32"/>
  <c r="BC31" i="32"/>
  <c r="BC32" i="32"/>
  <c r="BC33" i="32"/>
  <c r="BC34" i="32"/>
  <c r="BB11" i="32"/>
  <c r="BB12" i="32"/>
  <c r="BB13" i="32"/>
  <c r="BB14" i="32"/>
  <c r="BB15" i="32"/>
  <c r="BB16" i="32"/>
  <c r="BB17" i="32"/>
  <c r="BB18" i="32"/>
  <c r="BB19" i="32"/>
  <c r="BB20" i="32"/>
  <c r="BB21" i="32"/>
  <c r="BB22" i="32"/>
  <c r="BB23" i="32"/>
  <c r="BB24" i="32"/>
  <c r="BB25" i="32"/>
  <c r="BB26" i="32"/>
  <c r="BB27" i="32"/>
  <c r="BB28" i="32"/>
  <c r="BB29" i="32"/>
  <c r="BB30" i="32"/>
  <c r="BB31" i="32"/>
  <c r="BB32" i="32"/>
  <c r="BB33" i="32"/>
  <c r="BB34" i="32"/>
  <c r="BA11" i="32"/>
  <c r="BA12" i="32"/>
  <c r="BA13" i="32"/>
  <c r="BA14" i="32"/>
  <c r="BA15" i="32"/>
  <c r="BA16" i="32"/>
  <c r="BA17" i="32"/>
  <c r="BA18" i="32"/>
  <c r="BA19" i="32"/>
  <c r="BA20" i="32"/>
  <c r="BA21" i="32"/>
  <c r="BA22" i="32"/>
  <c r="BA23" i="32"/>
  <c r="BA24" i="32"/>
  <c r="BA25" i="32"/>
  <c r="BA26" i="32"/>
  <c r="BA27" i="32"/>
  <c r="BA28" i="32"/>
  <c r="BA29" i="32"/>
  <c r="BA30" i="32"/>
  <c r="BA31" i="32"/>
  <c r="BA32" i="32"/>
  <c r="BA33" i="32"/>
  <c r="BA34" i="32"/>
  <c r="BF11" i="32"/>
  <c r="BF12" i="32"/>
  <c r="BF13" i="32"/>
  <c r="BF14" i="32"/>
  <c r="BF15" i="32"/>
  <c r="BF16" i="32"/>
  <c r="BF17" i="32"/>
  <c r="BF18" i="32"/>
  <c r="BF19" i="32"/>
  <c r="BF20" i="32"/>
  <c r="BF21" i="32"/>
  <c r="BF22" i="32"/>
  <c r="BF23" i="32"/>
  <c r="BF24" i="32"/>
  <c r="BF25" i="32"/>
  <c r="BF26" i="32"/>
  <c r="BF27" i="32"/>
  <c r="BF28" i="32"/>
  <c r="BF29" i="32"/>
  <c r="BF30" i="32"/>
  <c r="BF31" i="32"/>
  <c r="BF32" i="32"/>
  <c r="BF33" i="32"/>
  <c r="BF34" i="32"/>
  <c r="BE11" i="32"/>
  <c r="BE12" i="32"/>
  <c r="BE13" i="32"/>
  <c r="BE14" i="32"/>
  <c r="BE15" i="32"/>
  <c r="BE16" i="32"/>
  <c r="BE17" i="32"/>
  <c r="BE18" i="32"/>
  <c r="BE19" i="32"/>
  <c r="BE20" i="32"/>
  <c r="BE21" i="32"/>
  <c r="BE22" i="32"/>
  <c r="BE23" i="32"/>
  <c r="BE24" i="32"/>
  <c r="BE25" i="32"/>
  <c r="BE26" i="32"/>
  <c r="BE27" i="32"/>
  <c r="BE28" i="32"/>
  <c r="BE29" i="32"/>
  <c r="BE30" i="32"/>
  <c r="BE31" i="32"/>
  <c r="BE32" i="32"/>
  <c r="BE33" i="32"/>
  <c r="BE34" i="32"/>
  <c r="AH11" i="31"/>
  <c r="AI11" i="31"/>
  <c r="AH12" i="31"/>
  <c r="AI12" i="31"/>
  <c r="AH13" i="31"/>
  <c r="AI13" i="31"/>
  <c r="AH14" i="31"/>
  <c r="AI14" i="31"/>
  <c r="AH15" i="31"/>
  <c r="AI15" i="31"/>
  <c r="AH16" i="31"/>
  <c r="AI16" i="31"/>
  <c r="AH17" i="31"/>
  <c r="AI17" i="31"/>
  <c r="AH18" i="31"/>
  <c r="AI18" i="31"/>
  <c r="AH19" i="31"/>
  <c r="AI19" i="31"/>
  <c r="AH20" i="31"/>
  <c r="AI20" i="31"/>
  <c r="AH21" i="31"/>
  <c r="AI21" i="31"/>
  <c r="AH22" i="31"/>
  <c r="AI22" i="31"/>
  <c r="AH23" i="31"/>
  <c r="AI23" i="31"/>
  <c r="AH24" i="31"/>
  <c r="AI24" i="31"/>
  <c r="AH25" i="31"/>
  <c r="AI25" i="31"/>
  <c r="AH26" i="31"/>
  <c r="AI26" i="31"/>
  <c r="AH27" i="31"/>
  <c r="AI27" i="31"/>
  <c r="AH28" i="31"/>
  <c r="AI28" i="31"/>
  <c r="AH29" i="31"/>
  <c r="AI29" i="31"/>
  <c r="AH30" i="31"/>
  <c r="AI30" i="31"/>
  <c r="AH31" i="31"/>
  <c r="AI31" i="31"/>
  <c r="AH32" i="31"/>
  <c r="AI32" i="31"/>
  <c r="AH33" i="31"/>
  <c r="AI33" i="31"/>
  <c r="AJ11" i="31"/>
  <c r="AK11" i="31"/>
  <c r="AL11" i="31"/>
  <c r="AM11" i="31"/>
  <c r="AN11" i="31"/>
  <c r="AO11" i="31"/>
  <c r="AP11" i="31"/>
  <c r="AQ11" i="31"/>
  <c r="AR11" i="31"/>
  <c r="AS11" i="31"/>
  <c r="AT11" i="31"/>
  <c r="AU11" i="31"/>
  <c r="AV11" i="31"/>
  <c r="AW11" i="31"/>
  <c r="AX11" i="31"/>
  <c r="AY11" i="31"/>
  <c r="AZ11" i="31"/>
  <c r="BC11" i="31"/>
  <c r="BD11" i="31"/>
  <c r="BE11" i="31"/>
  <c r="BF11" i="31"/>
  <c r="BG11" i="31"/>
  <c r="BH11" i="31"/>
  <c r="BI11" i="31"/>
  <c r="BJ11" i="31"/>
  <c r="BK11" i="31"/>
  <c r="BL11" i="31"/>
  <c r="AJ12" i="31"/>
  <c r="AJ13" i="31"/>
  <c r="AJ14" i="31"/>
  <c r="AJ15" i="31"/>
  <c r="AJ16" i="31"/>
  <c r="AJ17" i="31"/>
  <c r="AJ18" i="31"/>
  <c r="AJ19" i="31"/>
  <c r="AJ20" i="31"/>
  <c r="AJ21" i="31"/>
  <c r="AJ22" i="31"/>
  <c r="AJ23" i="31"/>
  <c r="AJ24" i="31"/>
  <c r="AJ25" i="31"/>
  <c r="AJ26" i="31"/>
  <c r="AJ27" i="31"/>
  <c r="AJ28" i="31"/>
  <c r="AJ29" i="31"/>
  <c r="AJ30" i="31"/>
  <c r="AJ31" i="31"/>
  <c r="AJ32" i="31"/>
  <c r="AJ33" i="31"/>
  <c r="AK12" i="31"/>
  <c r="AK13" i="31"/>
  <c r="AK14" i="31"/>
  <c r="AK15" i="31"/>
  <c r="AK16" i="31"/>
  <c r="AK17" i="31"/>
  <c r="AK18" i="31"/>
  <c r="AK19" i="31"/>
  <c r="AK20" i="31"/>
  <c r="AK21" i="31"/>
  <c r="AK22" i="31"/>
  <c r="AK23" i="31"/>
  <c r="AK24" i="31"/>
  <c r="AK25" i="31"/>
  <c r="AK26" i="31"/>
  <c r="AK27" i="31"/>
  <c r="AK28" i="31"/>
  <c r="AK29" i="31"/>
  <c r="AK30" i="31"/>
  <c r="AK31" i="31"/>
  <c r="AK32" i="31"/>
  <c r="AK33" i="31"/>
  <c r="AL12" i="31"/>
  <c r="AL13" i="31"/>
  <c r="AL14" i="31"/>
  <c r="AL15" i="31"/>
  <c r="AL16" i="31"/>
  <c r="AL17" i="31"/>
  <c r="AL18" i="31"/>
  <c r="AL19" i="31"/>
  <c r="AL20" i="31"/>
  <c r="AL21" i="31"/>
  <c r="AL22" i="31"/>
  <c r="AL23" i="31"/>
  <c r="AL24" i="31"/>
  <c r="AL25" i="31"/>
  <c r="AL26" i="31"/>
  <c r="AL27" i="31"/>
  <c r="AL28" i="31"/>
  <c r="AL29" i="31"/>
  <c r="AL30" i="31"/>
  <c r="AL31" i="31"/>
  <c r="AL32" i="31"/>
  <c r="AL33" i="31"/>
  <c r="AM12" i="31"/>
  <c r="AM13" i="31"/>
  <c r="AM14" i="31"/>
  <c r="AM15" i="31"/>
  <c r="AM16" i="31"/>
  <c r="AM17" i="31"/>
  <c r="AM18" i="31"/>
  <c r="AM19" i="31"/>
  <c r="AM20" i="31"/>
  <c r="AM21" i="31"/>
  <c r="AM22" i="31"/>
  <c r="AM23" i="31"/>
  <c r="AM24" i="31"/>
  <c r="AM25" i="31"/>
  <c r="AM26" i="31"/>
  <c r="AM27" i="31"/>
  <c r="AM28" i="31"/>
  <c r="AM29" i="31"/>
  <c r="AM30" i="31"/>
  <c r="AM31" i="31"/>
  <c r="AM32" i="31"/>
  <c r="AM33" i="31"/>
  <c r="AN12" i="31"/>
  <c r="AN13" i="31"/>
  <c r="AN14" i="31"/>
  <c r="AN15" i="31"/>
  <c r="AN16" i="31"/>
  <c r="AN17" i="31"/>
  <c r="AN18" i="31"/>
  <c r="AN19" i="31"/>
  <c r="AN20" i="31"/>
  <c r="AN21" i="31"/>
  <c r="AN22" i="31"/>
  <c r="AN23" i="31"/>
  <c r="AN24" i="31"/>
  <c r="AN25" i="31"/>
  <c r="AN26" i="31"/>
  <c r="AN27" i="31"/>
  <c r="AN28" i="31"/>
  <c r="AN29" i="31"/>
  <c r="AN30" i="31"/>
  <c r="AN31" i="31"/>
  <c r="AN32" i="31"/>
  <c r="AN33" i="31"/>
  <c r="AO12" i="31"/>
  <c r="AO13" i="31"/>
  <c r="AO14" i="31"/>
  <c r="AO15" i="31"/>
  <c r="AO16" i="31"/>
  <c r="AO17" i="31"/>
  <c r="AO18" i="31"/>
  <c r="AO19" i="31"/>
  <c r="AO20" i="31"/>
  <c r="AO21" i="31"/>
  <c r="AO22" i="31"/>
  <c r="AO23" i="31"/>
  <c r="AO24" i="31"/>
  <c r="AO25" i="31"/>
  <c r="AO26" i="31"/>
  <c r="AO27" i="31"/>
  <c r="AO28" i="31"/>
  <c r="AO29" i="31"/>
  <c r="AO30" i="31"/>
  <c r="AO31" i="31"/>
  <c r="AO32" i="31"/>
  <c r="AO33" i="31"/>
  <c r="AP12" i="31"/>
  <c r="AP13" i="31"/>
  <c r="AP14" i="31"/>
  <c r="AP15" i="31"/>
  <c r="AP16" i="31"/>
  <c r="AP17" i="31"/>
  <c r="AP18" i="31"/>
  <c r="AP19" i="31"/>
  <c r="AP20" i="31"/>
  <c r="AP21" i="31"/>
  <c r="AP22" i="31"/>
  <c r="AP23" i="31"/>
  <c r="AP24" i="31"/>
  <c r="AP25" i="31"/>
  <c r="AP26" i="31"/>
  <c r="AP27" i="31"/>
  <c r="AP28" i="31"/>
  <c r="AP29" i="31"/>
  <c r="AP30" i="31"/>
  <c r="AP31" i="31"/>
  <c r="AP32" i="31"/>
  <c r="AP33" i="31"/>
  <c r="AQ12" i="31"/>
  <c r="AQ13" i="31"/>
  <c r="AQ14" i="31"/>
  <c r="AQ15" i="31"/>
  <c r="AQ16" i="31"/>
  <c r="AQ17" i="31"/>
  <c r="AQ18" i="31"/>
  <c r="AQ19" i="31"/>
  <c r="AQ20" i="31"/>
  <c r="AQ21" i="31"/>
  <c r="AQ22" i="31"/>
  <c r="AQ23" i="31"/>
  <c r="AQ24" i="31"/>
  <c r="AQ25" i="31"/>
  <c r="AQ26" i="31"/>
  <c r="AQ27" i="31"/>
  <c r="AQ28" i="31"/>
  <c r="AQ29" i="31"/>
  <c r="AQ30" i="31"/>
  <c r="AQ31" i="31"/>
  <c r="AQ32" i="31"/>
  <c r="AQ33" i="31"/>
  <c r="AR12" i="31"/>
  <c r="AR13" i="31"/>
  <c r="AR14" i="31"/>
  <c r="AR15" i="31"/>
  <c r="AR16" i="31"/>
  <c r="AR17" i="31"/>
  <c r="AR18" i="31"/>
  <c r="AR19" i="31"/>
  <c r="AR20" i="31"/>
  <c r="AR21" i="31"/>
  <c r="AR22" i="31"/>
  <c r="AR23" i="31"/>
  <c r="AR24" i="31"/>
  <c r="AR25" i="31"/>
  <c r="AR26" i="31"/>
  <c r="AR27" i="31"/>
  <c r="AR28" i="31"/>
  <c r="AR29" i="31"/>
  <c r="AR30" i="31"/>
  <c r="AR31" i="31"/>
  <c r="AR32" i="31"/>
  <c r="AR33" i="31"/>
  <c r="AS12" i="31"/>
  <c r="AS13" i="31"/>
  <c r="AS14" i="31"/>
  <c r="AS15" i="31"/>
  <c r="AS16" i="31"/>
  <c r="AS17" i="31"/>
  <c r="AS18" i="31"/>
  <c r="AS19" i="31"/>
  <c r="AS20" i="31"/>
  <c r="AS21" i="31"/>
  <c r="AS22" i="31"/>
  <c r="AS23" i="31"/>
  <c r="AS24" i="31"/>
  <c r="AS25" i="31"/>
  <c r="AS26" i="31"/>
  <c r="AS27" i="31"/>
  <c r="AS28" i="31"/>
  <c r="AS29" i="31"/>
  <c r="AS30" i="31"/>
  <c r="AS31" i="31"/>
  <c r="AS32" i="31"/>
  <c r="AS33" i="31"/>
  <c r="AT12" i="31"/>
  <c r="AT13" i="31"/>
  <c r="AT14" i="31"/>
  <c r="AT15" i="31"/>
  <c r="AT16" i="31"/>
  <c r="AT17" i="31"/>
  <c r="AT18" i="31"/>
  <c r="AT19" i="31"/>
  <c r="AT20" i="31"/>
  <c r="AT21" i="31"/>
  <c r="AT22" i="31"/>
  <c r="AT23" i="31"/>
  <c r="AT24" i="31"/>
  <c r="AT25" i="31"/>
  <c r="AT26" i="31"/>
  <c r="AT27" i="31"/>
  <c r="AT28" i="31"/>
  <c r="AT29" i="31"/>
  <c r="AT30" i="31"/>
  <c r="AT31" i="31"/>
  <c r="AT32" i="31"/>
  <c r="AT33" i="31"/>
  <c r="AU12" i="31"/>
  <c r="AU13" i="31"/>
  <c r="AU14" i="31"/>
  <c r="AU15" i="31"/>
  <c r="AU16" i="31"/>
  <c r="AU17" i="31"/>
  <c r="AU18" i="31"/>
  <c r="AU19" i="31"/>
  <c r="AU20" i="31"/>
  <c r="AU21" i="31"/>
  <c r="AU22" i="31"/>
  <c r="AU23" i="31"/>
  <c r="AU24" i="31"/>
  <c r="AU25" i="31"/>
  <c r="AU26" i="31"/>
  <c r="AU27" i="31"/>
  <c r="AU28" i="31"/>
  <c r="AU29" i="31"/>
  <c r="AU30" i="31"/>
  <c r="AU31" i="31"/>
  <c r="AU32" i="31"/>
  <c r="AU33" i="31"/>
  <c r="AV12" i="31"/>
  <c r="AV13" i="31"/>
  <c r="AV14" i="31"/>
  <c r="AV15" i="31"/>
  <c r="AV16" i="31"/>
  <c r="AV17" i="31"/>
  <c r="AV18" i="31"/>
  <c r="AV19" i="31"/>
  <c r="AV20" i="31"/>
  <c r="AV21" i="31"/>
  <c r="AV22" i="31"/>
  <c r="AV23" i="31"/>
  <c r="AV24" i="31"/>
  <c r="AV25" i="31"/>
  <c r="AV26" i="31"/>
  <c r="AV27" i="31"/>
  <c r="AV28" i="31"/>
  <c r="AV29" i="31"/>
  <c r="AV30" i="31"/>
  <c r="AV31" i="31"/>
  <c r="AV32" i="31"/>
  <c r="AV33" i="31"/>
  <c r="AW12" i="31"/>
  <c r="AW13" i="31"/>
  <c r="AW14" i="31"/>
  <c r="AW15" i="31"/>
  <c r="AW16" i="31"/>
  <c r="AW17" i="31"/>
  <c r="AW18" i="31"/>
  <c r="AW19" i="31"/>
  <c r="AW20" i="31"/>
  <c r="AW21" i="31"/>
  <c r="AW22" i="31"/>
  <c r="AW23" i="31"/>
  <c r="AW24" i="31"/>
  <c r="AW25" i="31"/>
  <c r="AW26" i="31"/>
  <c r="AW27" i="31"/>
  <c r="AW28" i="31"/>
  <c r="AW29" i="31"/>
  <c r="AW30" i="31"/>
  <c r="AW31" i="31"/>
  <c r="AW32" i="31"/>
  <c r="AW33" i="31"/>
  <c r="AX12" i="31"/>
  <c r="AX13" i="31"/>
  <c r="AX14" i="31"/>
  <c r="AX15" i="31"/>
  <c r="AX16" i="31"/>
  <c r="AX17" i="31"/>
  <c r="AX18" i="31"/>
  <c r="AX19" i="31"/>
  <c r="AX20" i="31"/>
  <c r="AX21" i="31"/>
  <c r="AX22" i="31"/>
  <c r="AX23" i="31"/>
  <c r="AX24" i="31"/>
  <c r="AX25" i="31"/>
  <c r="AX26" i="31"/>
  <c r="AX27" i="31"/>
  <c r="AX28" i="31"/>
  <c r="AX29" i="31"/>
  <c r="AX30" i="31"/>
  <c r="AX31" i="31"/>
  <c r="AX32" i="31"/>
  <c r="AX33" i="31"/>
  <c r="AY12" i="31"/>
  <c r="AY13" i="31"/>
  <c r="AY14" i="31"/>
  <c r="AY15" i="31"/>
  <c r="AY16" i="31"/>
  <c r="AY17" i="31"/>
  <c r="AY18" i="31"/>
  <c r="AY19" i="31"/>
  <c r="AY20" i="31"/>
  <c r="AY21" i="31"/>
  <c r="AY22" i="31"/>
  <c r="AY23" i="31"/>
  <c r="AY24" i="31"/>
  <c r="AY25" i="31"/>
  <c r="AY26" i="31"/>
  <c r="AY27" i="31"/>
  <c r="AY28" i="31"/>
  <c r="AY29" i="31"/>
  <c r="AY30" i="31"/>
  <c r="AY31" i="31"/>
  <c r="AY32" i="31"/>
  <c r="AY33" i="31"/>
  <c r="AZ12" i="31"/>
  <c r="AZ13" i="31"/>
  <c r="AZ14" i="31"/>
  <c r="AZ15" i="31"/>
  <c r="AZ16" i="31"/>
  <c r="AZ17" i="31"/>
  <c r="AZ18" i="31"/>
  <c r="AZ19" i="31"/>
  <c r="AZ20" i="31"/>
  <c r="AZ21" i="31"/>
  <c r="AZ22" i="31"/>
  <c r="AZ23" i="31"/>
  <c r="AZ24" i="31"/>
  <c r="AZ25" i="31"/>
  <c r="AZ26" i="31"/>
  <c r="AZ27" i="31"/>
  <c r="AZ28" i="31"/>
  <c r="AZ29" i="31"/>
  <c r="AZ30" i="31"/>
  <c r="AZ31" i="31"/>
  <c r="AZ32" i="31"/>
  <c r="AZ33" i="31"/>
  <c r="BC12" i="31"/>
  <c r="BC13" i="31"/>
  <c r="BC14" i="31"/>
  <c r="BC15" i="31"/>
  <c r="BC16" i="31"/>
  <c r="BC17" i="31"/>
  <c r="BC18" i="31"/>
  <c r="BC19" i="31"/>
  <c r="BC20" i="31"/>
  <c r="BC21" i="31"/>
  <c r="BC22" i="31"/>
  <c r="BC23" i="31"/>
  <c r="BC24" i="31"/>
  <c r="BC25" i="31"/>
  <c r="BC26" i="31"/>
  <c r="BC27" i="31"/>
  <c r="BC28" i="31"/>
  <c r="BC29" i="31"/>
  <c r="BC30" i="31"/>
  <c r="BC31" i="31"/>
  <c r="BC32" i="31"/>
  <c r="BC33" i="31"/>
  <c r="BD12" i="31"/>
  <c r="BD13" i="31"/>
  <c r="BD14" i="31"/>
  <c r="BD15" i="31"/>
  <c r="BD16" i="31"/>
  <c r="BD17" i="31"/>
  <c r="BD18" i="31"/>
  <c r="BD19" i="31"/>
  <c r="BD20" i="31"/>
  <c r="BD21" i="31"/>
  <c r="BD22" i="31"/>
  <c r="BD23" i="31"/>
  <c r="BD24" i="31"/>
  <c r="BD25" i="31"/>
  <c r="BD26" i="31"/>
  <c r="BD27" i="31"/>
  <c r="BD28" i="31"/>
  <c r="BD29" i="31"/>
  <c r="BD30" i="31"/>
  <c r="BD31" i="31"/>
  <c r="BD32" i="31"/>
  <c r="BD33" i="31"/>
  <c r="BE12" i="31"/>
  <c r="BE13" i="31"/>
  <c r="BE14" i="31"/>
  <c r="BE15" i="31"/>
  <c r="BE16" i="31"/>
  <c r="BE17" i="31"/>
  <c r="BE18" i="31"/>
  <c r="BE19" i="31"/>
  <c r="BE20" i="31"/>
  <c r="BE21" i="31"/>
  <c r="BE22" i="31"/>
  <c r="BE23" i="31"/>
  <c r="BE24" i="31"/>
  <c r="BE25" i="31"/>
  <c r="BE26" i="31"/>
  <c r="BE27" i="31"/>
  <c r="BE28" i="31"/>
  <c r="BE29" i="31"/>
  <c r="BE30" i="31"/>
  <c r="BE31" i="31"/>
  <c r="BE32" i="31"/>
  <c r="BE33" i="31"/>
  <c r="BF12" i="31"/>
  <c r="BF13" i="31"/>
  <c r="BF14" i="31"/>
  <c r="BF15" i="31"/>
  <c r="BF16" i="31"/>
  <c r="BF17" i="31"/>
  <c r="BF18" i="31"/>
  <c r="BF19" i="31"/>
  <c r="BF20" i="31"/>
  <c r="BF21" i="31"/>
  <c r="BF22" i="31"/>
  <c r="BF23" i="31"/>
  <c r="BF24" i="31"/>
  <c r="BF25" i="31"/>
  <c r="BF26" i="31"/>
  <c r="BF27" i="31"/>
  <c r="BF28" i="31"/>
  <c r="BF29" i="31"/>
  <c r="BF30" i="31"/>
  <c r="BF31" i="31"/>
  <c r="BF32" i="31"/>
  <c r="BF33" i="31"/>
  <c r="BG12" i="31"/>
  <c r="BG13" i="31"/>
  <c r="BG14" i="31"/>
  <c r="BG15" i="31"/>
  <c r="BG16" i="31"/>
  <c r="BG17" i="31"/>
  <c r="BG18" i="31"/>
  <c r="BG19" i="31"/>
  <c r="BG20" i="31"/>
  <c r="BG21" i="31"/>
  <c r="BG22" i="31"/>
  <c r="BG23" i="31"/>
  <c r="BG24" i="31"/>
  <c r="BG25" i="31"/>
  <c r="BG26" i="31"/>
  <c r="BG27" i="31"/>
  <c r="BG28" i="31"/>
  <c r="BG29" i="31"/>
  <c r="BG30" i="31"/>
  <c r="BG31" i="31"/>
  <c r="BG32" i="31"/>
  <c r="BG33" i="31"/>
  <c r="BH12" i="31"/>
  <c r="BH13" i="31"/>
  <c r="BH14" i="31"/>
  <c r="BH15" i="31"/>
  <c r="BH16" i="31"/>
  <c r="BH17" i="31"/>
  <c r="BH18" i="31"/>
  <c r="BH19" i="31"/>
  <c r="BH20" i="31"/>
  <c r="BH21" i="31"/>
  <c r="BH22" i="31"/>
  <c r="BH23" i="31"/>
  <c r="BH24" i="31"/>
  <c r="BH25" i="31"/>
  <c r="BH26" i="31"/>
  <c r="BH27" i="31"/>
  <c r="BH28" i="31"/>
  <c r="BH29" i="31"/>
  <c r="BH30" i="31"/>
  <c r="BH31" i="31"/>
  <c r="BH32" i="31"/>
  <c r="BH33" i="31"/>
  <c r="BI12" i="31"/>
  <c r="BI13" i="31"/>
  <c r="BI14" i="31"/>
  <c r="BI15" i="31"/>
  <c r="BI16" i="31"/>
  <c r="BI17" i="31"/>
  <c r="BI18" i="31"/>
  <c r="BI19" i="31"/>
  <c r="BI20" i="31"/>
  <c r="BI21" i="31"/>
  <c r="BI22" i="31"/>
  <c r="BI23" i="31"/>
  <c r="BI24" i="31"/>
  <c r="BI25" i="31"/>
  <c r="BI26" i="31"/>
  <c r="BI27" i="31"/>
  <c r="BI28" i="31"/>
  <c r="BI29" i="31"/>
  <c r="BI30" i="31"/>
  <c r="BI31" i="31"/>
  <c r="BI32" i="31"/>
  <c r="BI33" i="31"/>
  <c r="BJ12" i="31"/>
  <c r="BJ13" i="31"/>
  <c r="BJ14" i="31"/>
  <c r="BJ15" i="31"/>
  <c r="BJ16" i="31"/>
  <c r="BJ17" i="31"/>
  <c r="BJ18" i="31"/>
  <c r="BJ19" i="31"/>
  <c r="BJ20" i="31"/>
  <c r="BJ21" i="31"/>
  <c r="BJ22" i="31"/>
  <c r="BJ23" i="31"/>
  <c r="BJ24" i="31"/>
  <c r="BJ25" i="31"/>
  <c r="BJ26" i="31"/>
  <c r="BJ27" i="31"/>
  <c r="BJ28" i="31"/>
  <c r="BJ29" i="31"/>
  <c r="BJ30" i="31"/>
  <c r="BJ31" i="31"/>
  <c r="BJ32" i="31"/>
  <c r="BJ33" i="31"/>
  <c r="BK12" i="31"/>
  <c r="BK13" i="31"/>
  <c r="BK14" i="31"/>
  <c r="BK15" i="31"/>
  <c r="BK16" i="31"/>
  <c r="BK17" i="31"/>
  <c r="BK18" i="31"/>
  <c r="BK19" i="31"/>
  <c r="BK20" i="31"/>
  <c r="BK21" i="31"/>
  <c r="BK22" i="31"/>
  <c r="BK23" i="31"/>
  <c r="BK24" i="31"/>
  <c r="BK25" i="31"/>
  <c r="BK26" i="31"/>
  <c r="BK27" i="31"/>
  <c r="BK28" i="31"/>
  <c r="BK29" i="31"/>
  <c r="BK30" i="31"/>
  <c r="BK31" i="31"/>
  <c r="BK32" i="31"/>
  <c r="BK33" i="31"/>
  <c r="BL12" i="31"/>
  <c r="BL13" i="31"/>
  <c r="BL14" i="31"/>
  <c r="BL15" i="31"/>
  <c r="BL16" i="31"/>
  <c r="BL17" i="31"/>
  <c r="BL18" i="31"/>
  <c r="BL19" i="31"/>
  <c r="BL20" i="31"/>
  <c r="BL21" i="31"/>
  <c r="BL22" i="31"/>
  <c r="BL23" i="31"/>
  <c r="BL24" i="31"/>
  <c r="BL25" i="31"/>
  <c r="BL26" i="31"/>
  <c r="BL27" i="31"/>
  <c r="BL28" i="31"/>
  <c r="BL29" i="31"/>
  <c r="BL30" i="31"/>
  <c r="BL31" i="31"/>
  <c r="BL32" i="31"/>
  <c r="BL33" i="31"/>
  <c r="BF11" i="36"/>
  <c r="BF15" i="36"/>
  <c r="BF16" i="36"/>
  <c r="BF17" i="36"/>
  <c r="BF19" i="36"/>
  <c r="BF22" i="36"/>
  <c r="BF23" i="36"/>
  <c r="BF24" i="36"/>
  <c r="BF25" i="36"/>
  <c r="BF26" i="36"/>
  <c r="BF27" i="36"/>
  <c r="BF29" i="36"/>
  <c r="BF31" i="36"/>
  <c r="BF32" i="36"/>
  <c r="BF33" i="36"/>
  <c r="BF34" i="36"/>
  <c r="BF35" i="36"/>
  <c r="BF40" i="36"/>
  <c r="BF41" i="36"/>
  <c r="BF46" i="36"/>
  <c r="BF54" i="36"/>
  <c r="BF56" i="36"/>
  <c r="BF57" i="36"/>
  <c r="BF58" i="36"/>
  <c r="BF59" i="36"/>
  <c r="BF61" i="36"/>
  <c r="BF63" i="36"/>
  <c r="BF64" i="36"/>
  <c r="BF66" i="36"/>
  <c r="BF67" i="36"/>
  <c r="BF68" i="36"/>
  <c r="BF69" i="36"/>
  <c r="BF70" i="36"/>
  <c r="BF72" i="36"/>
  <c r="BF74" i="36"/>
  <c r="BF75" i="36"/>
  <c r="BF76" i="36"/>
  <c r="BF77" i="36"/>
  <c r="BF78" i="36"/>
  <c r="BF79" i="36"/>
  <c r="BF80" i="36"/>
  <c r="BF81" i="36"/>
  <c r="BF83" i="36"/>
  <c r="BF85" i="36"/>
  <c r="BF86" i="36"/>
  <c r="BF87" i="36"/>
  <c r="BF88" i="36"/>
  <c r="BF90" i="36"/>
  <c r="BF93" i="36"/>
  <c r="BF94" i="36"/>
  <c r="BF95" i="36"/>
  <c r="BF96" i="36"/>
  <c r="BF97" i="36"/>
  <c r="BF98" i="36"/>
  <c r="BF99" i="36"/>
  <c r="BF100" i="36"/>
  <c r="BF101" i="36"/>
  <c r="BF105" i="36"/>
  <c r="BF108" i="36"/>
  <c r="BF109" i="36"/>
  <c r="BF110" i="36"/>
  <c r="BF111" i="36"/>
  <c r="BF112" i="36"/>
  <c r="BF114" i="36"/>
  <c r="BF115" i="36"/>
  <c r="BF118" i="36"/>
  <c r="BF119" i="36"/>
  <c r="BF120" i="36"/>
  <c r="BF122" i="36"/>
  <c r="BF127" i="36"/>
  <c r="BF128" i="36"/>
  <c r="BF129" i="36"/>
  <c r="BF133" i="36"/>
  <c r="BF135" i="36"/>
  <c r="BF137" i="36"/>
  <c r="BF139" i="36"/>
  <c r="BF143" i="36"/>
  <c r="BF141" i="36"/>
  <c r="BF145" i="36"/>
  <c r="BF140" i="36"/>
  <c r="BF148" i="36"/>
  <c r="BF149" i="36"/>
  <c r="BF151" i="36"/>
  <c r="BF147" i="36"/>
  <c r="BF142" i="36"/>
  <c r="BF144" i="36"/>
  <c r="BF132" i="36"/>
  <c r="BF30" i="36"/>
  <c r="BF60" i="36"/>
  <c r="BF107" i="36"/>
  <c r="BL11" i="30"/>
  <c r="BL12" i="30"/>
  <c r="BL16" i="30"/>
  <c r="BL17" i="30"/>
  <c r="BL18" i="30"/>
  <c r="BL19" i="30"/>
  <c r="BL21" i="30"/>
  <c r="BL23" i="30"/>
  <c r="BL24" i="30"/>
  <c r="BL25" i="30"/>
  <c r="BL26" i="30"/>
  <c r="BL27" i="30"/>
  <c r="BL29" i="30"/>
  <c r="BL31" i="30"/>
  <c r="BL32" i="30"/>
  <c r="BL33" i="30"/>
  <c r="BL35" i="30"/>
  <c r="BL37" i="30"/>
  <c r="BL40" i="30"/>
  <c r="BL46" i="30"/>
  <c r="BL51" i="30"/>
  <c r="BL54" i="30"/>
  <c r="BL56" i="30"/>
  <c r="BL57" i="30"/>
  <c r="BL61" i="30"/>
  <c r="BL63" i="30"/>
  <c r="BL64" i="30"/>
  <c r="BL66" i="30"/>
  <c r="BL67" i="30"/>
  <c r="BL68" i="30"/>
  <c r="BL69" i="30"/>
  <c r="BL70" i="30"/>
  <c r="BL74" i="30"/>
  <c r="BL75" i="30"/>
  <c r="BL76" i="30"/>
  <c r="BL77" i="30"/>
  <c r="BL78" i="30"/>
  <c r="BL79" i="30"/>
  <c r="BL84" i="30"/>
  <c r="BL85" i="30"/>
  <c r="BL86" i="30"/>
  <c r="BL90" i="30"/>
  <c r="BL93" i="30"/>
  <c r="BL98" i="30"/>
  <c r="BL99" i="30"/>
  <c r="BL100" i="30"/>
  <c r="BL102" i="30"/>
  <c r="BL108" i="30"/>
  <c r="BL109" i="30"/>
  <c r="BL110" i="30"/>
  <c r="BL111" i="30"/>
  <c r="BL112" i="30"/>
  <c r="BL115" i="30"/>
  <c r="BL116" i="30"/>
  <c r="BL118" i="30"/>
  <c r="BL119" i="30"/>
  <c r="BL122" i="30"/>
  <c r="BL125" i="30"/>
  <c r="BL131" i="30"/>
  <c r="BL132" i="30"/>
  <c r="BL136" i="30"/>
  <c r="BL138" i="30"/>
  <c r="BL142" i="30"/>
  <c r="BL140" i="30"/>
  <c r="BL144" i="30"/>
  <c r="BL152" i="30"/>
  <c r="BL139" i="30"/>
  <c r="BL145" i="30"/>
  <c r="BL147" i="30"/>
  <c r="BL148" i="30"/>
  <c r="BL149" i="30"/>
  <c r="BL150" i="30"/>
  <c r="BL154" i="30"/>
  <c r="BL146" i="30"/>
  <c r="BL153" i="30"/>
  <c r="BL141" i="30"/>
  <c r="BL15" i="30"/>
  <c r="BL143" i="30"/>
  <c r="BL151" i="30"/>
  <c r="BL155" i="30"/>
  <c r="BL83" i="30"/>
  <c r="BL81" i="30"/>
  <c r="BL128" i="30"/>
  <c r="BL114" i="30"/>
  <c r="BL88" i="30"/>
  <c r="B89" i="36" l="1"/>
  <c r="B89" i="26"/>
  <c r="CY24" i="31"/>
  <c r="CY31" i="31"/>
  <c r="CY27" i="31"/>
  <c r="CY23" i="31"/>
  <c r="CY19" i="31"/>
  <c r="CY15" i="31"/>
  <c r="CY28" i="31"/>
  <c r="CY12" i="31"/>
  <c r="CY30" i="31"/>
  <c r="CY26" i="31"/>
  <c r="CY22" i="31"/>
  <c r="CY18" i="31"/>
  <c r="CY14" i="31"/>
  <c r="CY32" i="31"/>
  <c r="CY16" i="31"/>
  <c r="CY33" i="31"/>
  <c r="CY29" i="31"/>
  <c r="CY25" i="31"/>
  <c r="CY21" i="31"/>
  <c r="CY17" i="31"/>
  <c r="CY13" i="31"/>
  <c r="CY20" i="31"/>
  <c r="CX33" i="31"/>
  <c r="CX29" i="31"/>
  <c r="CX25" i="31"/>
  <c r="CX21" i="31"/>
  <c r="CX17" i="31"/>
  <c r="CX13" i="31"/>
  <c r="CX32" i="31"/>
  <c r="CX28" i="31"/>
  <c r="CX24" i="31"/>
  <c r="CX20" i="31"/>
  <c r="CX16" i="31"/>
  <c r="CX12" i="31"/>
  <c r="CX31" i="31"/>
  <c r="CX27" i="31"/>
  <c r="CX23" i="31"/>
  <c r="CX19" i="31"/>
  <c r="CX15" i="31"/>
  <c r="CX30" i="31"/>
  <c r="CX26" i="31"/>
  <c r="CX22" i="31"/>
  <c r="CX18" i="31"/>
  <c r="CX14" i="31"/>
  <c r="B89" i="37"/>
  <c r="B89" i="31"/>
  <c r="BF11" i="37"/>
  <c r="BF16" i="37"/>
  <c r="BF13" i="37"/>
  <c r="BF12" i="37"/>
  <c r="BF14" i="37"/>
  <c r="BF15" i="37"/>
  <c r="BF17" i="37"/>
  <c r="BF18" i="37"/>
  <c r="BF19" i="37"/>
  <c r="BF20" i="37"/>
  <c r="BF21" i="37"/>
  <c r="BF22" i="37"/>
  <c r="BF23" i="37"/>
  <c r="BF24" i="37"/>
  <c r="BF25" i="37"/>
  <c r="BF26" i="37"/>
  <c r="BF27" i="37"/>
  <c r="BF28" i="37"/>
  <c r="BF29" i="37"/>
  <c r="BF30" i="37"/>
  <c r="BF31" i="37"/>
  <c r="BF32" i="37"/>
  <c r="BF33" i="37"/>
  <c r="BF34" i="37"/>
  <c r="BE11" i="37"/>
  <c r="BE16" i="37"/>
  <c r="BE13" i="37"/>
  <c r="BE12" i="37"/>
  <c r="BE14" i="37"/>
  <c r="BE15" i="37"/>
  <c r="BE17" i="37"/>
  <c r="BE18" i="37"/>
  <c r="BE19" i="37"/>
  <c r="BE20" i="37"/>
  <c r="BE21" i="37"/>
  <c r="BE22" i="37"/>
  <c r="BE23" i="37"/>
  <c r="BE24" i="37"/>
  <c r="BE25" i="37"/>
  <c r="BE26" i="37"/>
  <c r="BE27" i="37"/>
  <c r="BE28" i="37"/>
  <c r="BE29" i="37"/>
  <c r="BE30" i="37"/>
  <c r="BE31" i="37"/>
  <c r="BE32" i="37"/>
  <c r="BE33" i="37"/>
  <c r="BE34" i="37"/>
  <c r="BL11" i="37"/>
  <c r="BL16" i="37"/>
  <c r="BL13" i="37"/>
  <c r="BL12" i="37"/>
  <c r="BL14" i="37"/>
  <c r="BL15" i="37"/>
  <c r="BL17" i="37"/>
  <c r="BL18" i="37"/>
  <c r="BL19" i="37"/>
  <c r="BL20" i="37"/>
  <c r="BL21" i="37"/>
  <c r="BL22" i="37"/>
  <c r="BL23" i="37"/>
  <c r="BL24" i="37"/>
  <c r="BL25" i="37"/>
  <c r="BL26" i="37"/>
  <c r="BL27" i="37"/>
  <c r="BL28" i="37"/>
  <c r="BL29" i="37"/>
  <c r="BL30" i="37"/>
  <c r="BL31" i="37"/>
  <c r="BL32" i="37"/>
  <c r="BL33" i="37"/>
  <c r="BL34" i="37"/>
  <c r="BF11" i="29"/>
  <c r="BF15" i="29"/>
  <c r="BF16" i="29"/>
  <c r="BF17" i="29"/>
  <c r="BF19" i="29"/>
  <c r="BF22" i="29"/>
  <c r="BF25" i="29"/>
  <c r="BF26" i="29"/>
  <c r="BF29" i="29"/>
  <c r="BF31" i="29"/>
  <c r="BF32" i="29"/>
  <c r="BF34" i="29"/>
  <c r="BF35" i="29"/>
  <c r="BF36" i="29"/>
  <c r="BF38" i="29"/>
  <c r="BF39" i="29"/>
  <c r="BF40" i="29"/>
  <c r="BF41" i="29"/>
  <c r="BF43" i="29"/>
  <c r="BF44" i="29"/>
  <c r="BF45" i="29"/>
  <c r="BF47" i="29"/>
  <c r="BF50" i="29"/>
  <c r="BF52" i="29"/>
  <c r="BF53" i="29"/>
  <c r="BF54" i="29"/>
  <c r="BF56" i="29"/>
  <c r="BF59" i="29"/>
  <c r="BF60" i="29"/>
  <c r="BF64" i="29"/>
  <c r="BF65" i="29"/>
  <c r="BF66" i="29"/>
  <c r="BF67" i="29"/>
  <c r="BF70" i="29"/>
  <c r="BF71" i="29"/>
  <c r="BF73" i="29"/>
  <c r="BF74" i="29"/>
  <c r="BF77" i="29"/>
  <c r="BF78" i="29"/>
  <c r="BF80" i="29"/>
  <c r="BF82" i="29"/>
  <c r="BF86" i="29"/>
  <c r="BF87" i="29"/>
  <c r="BF89" i="29"/>
  <c r="BF90" i="29"/>
  <c r="BF93" i="29"/>
  <c r="BF96" i="29"/>
  <c r="BF97" i="29"/>
  <c r="BF99" i="29"/>
  <c r="BF101" i="29"/>
  <c r="BF103" i="29"/>
  <c r="BF105" i="29"/>
  <c r="BF106" i="29"/>
  <c r="BF107" i="29"/>
  <c r="BF108" i="29"/>
  <c r="BF109" i="29"/>
  <c r="BF111" i="29"/>
  <c r="BF112" i="29"/>
  <c r="BF115" i="29"/>
  <c r="BF116" i="29"/>
  <c r="BF118" i="29"/>
  <c r="BF119" i="29"/>
  <c r="BF120" i="29"/>
  <c r="BF121" i="29"/>
  <c r="BF127" i="29"/>
  <c r="BF130" i="29"/>
  <c r="BF131" i="29"/>
  <c r="BF132" i="29"/>
  <c r="BE11" i="29"/>
  <c r="BE15" i="29"/>
  <c r="BE16" i="29"/>
  <c r="BE17" i="29"/>
  <c r="BE19" i="29"/>
  <c r="BE22" i="29"/>
  <c r="BE25" i="29"/>
  <c r="BE26" i="29"/>
  <c r="BE29" i="29"/>
  <c r="BE31" i="29"/>
  <c r="BE32" i="29"/>
  <c r="BE34" i="29"/>
  <c r="BE35" i="29"/>
  <c r="BE36" i="29"/>
  <c r="BE38" i="29"/>
  <c r="BE39" i="29"/>
  <c r="BE40" i="29"/>
  <c r="BE41" i="29"/>
  <c r="BE43" i="29"/>
  <c r="BE44" i="29"/>
  <c r="BE45" i="29"/>
  <c r="BE47" i="29"/>
  <c r="BE50" i="29"/>
  <c r="BE52" i="29"/>
  <c r="BE53" i="29"/>
  <c r="BE54" i="29"/>
  <c r="BE56" i="29"/>
  <c r="BE59" i="29"/>
  <c r="BE60" i="29"/>
  <c r="BE64" i="29"/>
  <c r="BE65" i="29"/>
  <c r="BE66" i="29"/>
  <c r="BE67" i="29"/>
  <c r="BE70" i="29"/>
  <c r="BE71" i="29"/>
  <c r="BE73" i="29"/>
  <c r="BE74" i="29"/>
  <c r="BE77" i="29"/>
  <c r="BE78" i="29"/>
  <c r="BE80" i="29"/>
  <c r="BE82" i="29"/>
  <c r="BE86" i="29"/>
  <c r="BE87" i="29"/>
  <c r="BE89" i="29"/>
  <c r="BE90" i="29"/>
  <c r="BE93" i="29"/>
  <c r="BE96" i="29"/>
  <c r="BE97" i="29"/>
  <c r="BE99" i="29"/>
  <c r="BE101" i="29"/>
  <c r="BE103" i="29"/>
  <c r="BE105" i="29"/>
  <c r="BE106" i="29"/>
  <c r="BE107" i="29"/>
  <c r="BE108" i="29"/>
  <c r="BE109" i="29"/>
  <c r="BE111" i="29"/>
  <c r="BE112" i="29"/>
  <c r="BE115" i="29"/>
  <c r="BE116" i="29"/>
  <c r="BE118" i="29"/>
  <c r="BE119" i="29"/>
  <c r="BE120" i="29"/>
  <c r="BE121" i="29"/>
  <c r="BE127" i="29"/>
  <c r="BE130" i="29"/>
  <c r="BE131" i="29"/>
  <c r="BE132" i="29"/>
  <c r="BL11" i="29"/>
  <c r="BL15" i="29"/>
  <c r="BL16" i="29"/>
  <c r="BL17" i="29"/>
  <c r="BL19" i="29"/>
  <c r="BL22" i="29"/>
  <c r="BL25" i="29"/>
  <c r="BL26" i="29"/>
  <c r="BL29" i="29"/>
  <c r="BL31" i="29"/>
  <c r="BL32" i="29"/>
  <c r="BL34" i="29"/>
  <c r="BL35" i="29"/>
  <c r="BL36" i="29"/>
  <c r="BL38" i="29"/>
  <c r="BL39" i="29"/>
  <c r="BL40" i="29"/>
  <c r="BL41" i="29"/>
  <c r="BL43" i="29"/>
  <c r="BL44" i="29"/>
  <c r="BL45" i="29"/>
  <c r="BL47" i="29"/>
  <c r="BL50" i="29"/>
  <c r="BL52" i="29"/>
  <c r="BL53" i="29"/>
  <c r="BL54" i="29"/>
  <c r="BL56" i="29"/>
  <c r="BL59" i="29"/>
  <c r="BL60" i="29"/>
  <c r="BL64" i="29"/>
  <c r="BL65" i="29"/>
  <c r="BL66" i="29"/>
  <c r="BL67" i="29"/>
  <c r="BL70" i="29"/>
  <c r="BL71" i="29"/>
  <c r="BL73" i="29"/>
  <c r="BL74" i="29"/>
  <c r="BL77" i="29"/>
  <c r="BL78" i="29"/>
  <c r="BL80" i="29"/>
  <c r="BL82" i="29"/>
  <c r="BL86" i="29"/>
  <c r="BL87" i="29"/>
  <c r="BL89" i="29"/>
  <c r="BL90" i="29"/>
  <c r="BL93" i="29"/>
  <c r="BL96" i="29"/>
  <c r="BL97" i="29"/>
  <c r="BL99" i="29"/>
  <c r="BL101" i="29"/>
  <c r="BL103" i="29"/>
  <c r="BL105" i="29"/>
  <c r="BL106" i="29"/>
  <c r="BL107" i="29"/>
  <c r="BL108" i="29"/>
  <c r="BL109" i="29"/>
  <c r="BL111" i="29"/>
  <c r="BL112" i="29"/>
  <c r="BL115" i="29"/>
  <c r="BL116" i="29"/>
  <c r="BL118" i="29"/>
  <c r="BL119" i="29"/>
  <c r="BL120" i="29"/>
  <c r="BL121" i="29"/>
  <c r="BL127" i="29"/>
  <c r="BL130" i="29"/>
  <c r="BL131" i="29"/>
  <c r="BL132" i="29"/>
  <c r="AH107" i="36" l="1"/>
  <c r="AI107" i="36"/>
  <c r="AJ107" i="36"/>
  <c r="AK107" i="36"/>
  <c r="AL107" i="36"/>
  <c r="AM107" i="36"/>
  <c r="AN107" i="36"/>
  <c r="AO107" i="36"/>
  <c r="AP107" i="36"/>
  <c r="AQ107" i="36"/>
  <c r="AR107" i="36"/>
  <c r="AS107" i="36"/>
  <c r="AT107" i="36"/>
  <c r="AU107" i="36"/>
  <c r="AV107" i="36"/>
  <c r="AW107" i="36"/>
  <c r="AX107" i="36"/>
  <c r="AY107" i="36"/>
  <c r="AZ107" i="36"/>
  <c r="BA107" i="36"/>
  <c r="BB107" i="36"/>
  <c r="BC107" i="36"/>
  <c r="BD107" i="36"/>
  <c r="BE107" i="36"/>
  <c r="BG107" i="36"/>
  <c r="BH107" i="36"/>
  <c r="BI107" i="36"/>
  <c r="BJ107" i="36"/>
  <c r="BK107" i="36"/>
  <c r="BL107" i="36"/>
  <c r="CX107" i="36" s="1"/>
  <c r="CW107" i="36" l="1"/>
  <c r="CV107" i="36"/>
  <c r="AI86" i="36"/>
  <c r="AH83" i="36"/>
  <c r="AH109" i="36"/>
  <c r="AH127" i="36"/>
  <c r="AH94" i="36"/>
  <c r="AH95" i="36"/>
  <c r="AH114" i="36"/>
  <c r="AH135" i="36"/>
  <c r="AH139" i="36"/>
  <c r="AH97" i="36"/>
  <c r="AH132" i="36"/>
  <c r="AH30" i="36"/>
  <c r="AH60" i="36"/>
  <c r="AI83" i="36"/>
  <c r="AI109" i="36"/>
  <c r="AI127" i="36"/>
  <c r="AI94" i="36"/>
  <c r="AI95" i="36"/>
  <c r="AI114" i="36"/>
  <c r="AI135" i="36"/>
  <c r="AI139" i="36"/>
  <c r="AI97" i="36"/>
  <c r="AI132" i="36"/>
  <c r="AI30" i="36"/>
  <c r="AI60" i="36"/>
  <c r="AJ83" i="36"/>
  <c r="AJ109" i="36"/>
  <c r="AJ127" i="36"/>
  <c r="AJ94" i="36"/>
  <c r="AJ95" i="36"/>
  <c r="AJ114" i="36"/>
  <c r="AJ135" i="36"/>
  <c r="AJ139" i="36"/>
  <c r="AJ97" i="36"/>
  <c r="AJ132" i="36"/>
  <c r="AJ30" i="36"/>
  <c r="AJ60" i="36"/>
  <c r="AK83" i="36"/>
  <c r="AK109" i="36"/>
  <c r="AK127" i="36"/>
  <c r="AK94" i="36"/>
  <c r="AK95" i="36"/>
  <c r="AK114" i="36"/>
  <c r="AK135" i="36"/>
  <c r="AK139" i="36"/>
  <c r="AK97" i="36"/>
  <c r="AK132" i="36"/>
  <c r="AK30" i="36"/>
  <c r="AK60" i="36"/>
  <c r="AL83" i="36"/>
  <c r="AL109" i="36"/>
  <c r="AL127" i="36"/>
  <c r="AL94" i="36"/>
  <c r="AL95" i="36"/>
  <c r="AL114" i="36"/>
  <c r="AL135" i="36"/>
  <c r="AL139" i="36"/>
  <c r="AL97" i="36"/>
  <c r="AL132" i="36"/>
  <c r="AL30" i="36"/>
  <c r="AL60" i="36"/>
  <c r="AM83" i="36"/>
  <c r="AM109" i="36"/>
  <c r="AM127" i="36"/>
  <c r="AM94" i="36"/>
  <c r="AM95" i="36"/>
  <c r="AM114" i="36"/>
  <c r="AM135" i="36"/>
  <c r="AM139" i="36"/>
  <c r="AM97" i="36"/>
  <c r="AM132" i="36"/>
  <c r="AM30" i="36"/>
  <c r="AM60" i="36"/>
  <c r="AN83" i="36"/>
  <c r="AN109" i="36"/>
  <c r="AN127" i="36"/>
  <c r="AN94" i="36"/>
  <c r="AN95" i="36"/>
  <c r="AN114" i="36"/>
  <c r="AN135" i="36"/>
  <c r="AN139" i="36"/>
  <c r="AN97" i="36"/>
  <c r="AN132" i="36"/>
  <c r="AN30" i="36"/>
  <c r="AN60" i="36"/>
  <c r="AO83" i="36"/>
  <c r="AO109" i="36"/>
  <c r="AO127" i="36"/>
  <c r="AO94" i="36"/>
  <c r="AO95" i="36"/>
  <c r="AO114" i="36"/>
  <c r="AO135" i="36"/>
  <c r="AO139" i="36"/>
  <c r="AO97" i="36"/>
  <c r="AO132" i="36"/>
  <c r="AO30" i="36"/>
  <c r="AO60" i="36"/>
  <c r="AP83" i="36"/>
  <c r="AP109" i="36"/>
  <c r="AP127" i="36"/>
  <c r="AP94" i="36"/>
  <c r="AP95" i="36"/>
  <c r="AP114" i="36"/>
  <c r="AP135" i="36"/>
  <c r="AP139" i="36"/>
  <c r="AP97" i="36"/>
  <c r="AP132" i="36"/>
  <c r="AP30" i="36"/>
  <c r="AP60" i="36"/>
  <c r="AQ83" i="36"/>
  <c r="AQ109" i="36"/>
  <c r="AQ127" i="36"/>
  <c r="AQ94" i="36"/>
  <c r="AQ95" i="36"/>
  <c r="AQ114" i="36"/>
  <c r="AQ135" i="36"/>
  <c r="AQ139" i="36"/>
  <c r="AQ97" i="36"/>
  <c r="AQ132" i="36"/>
  <c r="AQ30" i="36"/>
  <c r="AQ60" i="36"/>
  <c r="AR83" i="36"/>
  <c r="AR109" i="36"/>
  <c r="AR127" i="36"/>
  <c r="AR94" i="36"/>
  <c r="AR95" i="36"/>
  <c r="AR114" i="36"/>
  <c r="AR135" i="36"/>
  <c r="AR139" i="36"/>
  <c r="AR97" i="36"/>
  <c r="AR132" i="36"/>
  <c r="AR30" i="36"/>
  <c r="AR60" i="36"/>
  <c r="AS83" i="36"/>
  <c r="AS109" i="36"/>
  <c r="AS127" i="36"/>
  <c r="AS94" i="36"/>
  <c r="AS95" i="36"/>
  <c r="AS114" i="36"/>
  <c r="AS135" i="36"/>
  <c r="AS139" i="36"/>
  <c r="AS97" i="36"/>
  <c r="AS132" i="36"/>
  <c r="AS30" i="36"/>
  <c r="AS60" i="36"/>
  <c r="AT83" i="36"/>
  <c r="AT109" i="36"/>
  <c r="AT127" i="36"/>
  <c r="AT94" i="36"/>
  <c r="AT95" i="36"/>
  <c r="AT114" i="36"/>
  <c r="AT135" i="36"/>
  <c r="AT139" i="36"/>
  <c r="AT97" i="36"/>
  <c r="AT132" i="36"/>
  <c r="AT30" i="36"/>
  <c r="AT60" i="36"/>
  <c r="AU83" i="36"/>
  <c r="AU109" i="36"/>
  <c r="AU127" i="36"/>
  <c r="AU94" i="36"/>
  <c r="AU95" i="36"/>
  <c r="AU114" i="36"/>
  <c r="AU135" i="36"/>
  <c r="AU139" i="36"/>
  <c r="AU97" i="36"/>
  <c r="AU132" i="36"/>
  <c r="AU30" i="36"/>
  <c r="AU60" i="36"/>
  <c r="AV83" i="36"/>
  <c r="AV109" i="36"/>
  <c r="AV127" i="36"/>
  <c r="AV94" i="36"/>
  <c r="AV95" i="36"/>
  <c r="AV114" i="36"/>
  <c r="AV135" i="36"/>
  <c r="AV139" i="36"/>
  <c r="AV97" i="36"/>
  <c r="AV132" i="36"/>
  <c r="AV30" i="36"/>
  <c r="AV60" i="36"/>
  <c r="AW83" i="36"/>
  <c r="AW109" i="36"/>
  <c r="AW127" i="36"/>
  <c r="AW94" i="36"/>
  <c r="AW95" i="36"/>
  <c r="AW114" i="36"/>
  <c r="AW135" i="36"/>
  <c r="AW139" i="36"/>
  <c r="AW97" i="36"/>
  <c r="AW132" i="36"/>
  <c r="AW30" i="36"/>
  <c r="AW60" i="36"/>
  <c r="AX83" i="36"/>
  <c r="AX109" i="36"/>
  <c r="AX127" i="36"/>
  <c r="AX94" i="36"/>
  <c r="AX95" i="36"/>
  <c r="AX114" i="36"/>
  <c r="AX135" i="36"/>
  <c r="AX139" i="36"/>
  <c r="AX97" i="36"/>
  <c r="AX132" i="36"/>
  <c r="AX30" i="36"/>
  <c r="AX60" i="36"/>
  <c r="AY83" i="36"/>
  <c r="AY109" i="36"/>
  <c r="AY127" i="36"/>
  <c r="AY94" i="36"/>
  <c r="AY95" i="36"/>
  <c r="AY114" i="36"/>
  <c r="AY135" i="36"/>
  <c r="AY139" i="36"/>
  <c r="AY97" i="36"/>
  <c r="AY132" i="36"/>
  <c r="AY30" i="36"/>
  <c r="AY60" i="36"/>
  <c r="AZ83" i="36"/>
  <c r="AZ109" i="36"/>
  <c r="AZ127" i="36"/>
  <c r="AZ94" i="36"/>
  <c r="AZ95" i="36"/>
  <c r="AZ114" i="36"/>
  <c r="AZ135" i="36"/>
  <c r="AZ139" i="36"/>
  <c r="AZ97" i="36"/>
  <c r="AZ132" i="36"/>
  <c r="AZ30" i="36"/>
  <c r="AZ60" i="36"/>
  <c r="BA83" i="36"/>
  <c r="BA109" i="36"/>
  <c r="BA127" i="36"/>
  <c r="BA94" i="36"/>
  <c r="BA95" i="36"/>
  <c r="BA114" i="36"/>
  <c r="BA135" i="36"/>
  <c r="BA139" i="36"/>
  <c r="BA97" i="36"/>
  <c r="BA132" i="36"/>
  <c r="BA30" i="36"/>
  <c r="BA60" i="36"/>
  <c r="BB83" i="36"/>
  <c r="BB109" i="36"/>
  <c r="BB127" i="36"/>
  <c r="BB94" i="36"/>
  <c r="BB95" i="36"/>
  <c r="BB114" i="36"/>
  <c r="BB135" i="36"/>
  <c r="BB139" i="36"/>
  <c r="BB97" i="36"/>
  <c r="BB132" i="36"/>
  <c r="BB30" i="36"/>
  <c r="BB60" i="36"/>
  <c r="BC83" i="36"/>
  <c r="BC109" i="36"/>
  <c r="BC127" i="36"/>
  <c r="BC94" i="36"/>
  <c r="BC95" i="36"/>
  <c r="BC114" i="36"/>
  <c r="BC135" i="36"/>
  <c r="BC139" i="36"/>
  <c r="BC97" i="36"/>
  <c r="BC132" i="36"/>
  <c r="BC30" i="36"/>
  <c r="BC60" i="36"/>
  <c r="BD83" i="36"/>
  <c r="BD109" i="36"/>
  <c r="BD127" i="36"/>
  <c r="BD94" i="36"/>
  <c r="BD95" i="36"/>
  <c r="BD114" i="36"/>
  <c r="BD135" i="36"/>
  <c r="BD139" i="36"/>
  <c r="BD97" i="36"/>
  <c r="BD132" i="36"/>
  <c r="BD30" i="36"/>
  <c r="BD60" i="36"/>
  <c r="BE83" i="36"/>
  <c r="BE109" i="36"/>
  <c r="BE127" i="36"/>
  <c r="BE94" i="36"/>
  <c r="BE95" i="36"/>
  <c r="BE114" i="36"/>
  <c r="BE135" i="36"/>
  <c r="BE139" i="36"/>
  <c r="BE97" i="36"/>
  <c r="BE132" i="36"/>
  <c r="BE30" i="36"/>
  <c r="BE60" i="36"/>
  <c r="BG83" i="36"/>
  <c r="BG109" i="36"/>
  <c r="BG127" i="36"/>
  <c r="BG94" i="36"/>
  <c r="BG95" i="36"/>
  <c r="BG114" i="36"/>
  <c r="BG135" i="36"/>
  <c r="BG139" i="36"/>
  <c r="BG97" i="36"/>
  <c r="BG132" i="36"/>
  <c r="BG30" i="36"/>
  <c r="BG60" i="36"/>
  <c r="BH83" i="36"/>
  <c r="BH109" i="36"/>
  <c r="BH127" i="36"/>
  <c r="BH94" i="36"/>
  <c r="BH95" i="36"/>
  <c r="BH114" i="36"/>
  <c r="BH135" i="36"/>
  <c r="BH139" i="36"/>
  <c r="BH97" i="36"/>
  <c r="BH132" i="36"/>
  <c r="BH30" i="36"/>
  <c r="BH60" i="36"/>
  <c r="BI83" i="36"/>
  <c r="BI109" i="36"/>
  <c r="BI127" i="36"/>
  <c r="BI94" i="36"/>
  <c r="BI95" i="36"/>
  <c r="BI114" i="36"/>
  <c r="BI135" i="36"/>
  <c r="BI139" i="36"/>
  <c r="BI97" i="36"/>
  <c r="BI132" i="36"/>
  <c r="BI30" i="36"/>
  <c r="BI60" i="36"/>
  <c r="BJ83" i="36"/>
  <c r="BJ109" i="36"/>
  <c r="BJ127" i="36"/>
  <c r="BJ94" i="36"/>
  <c r="BJ95" i="36"/>
  <c r="BJ114" i="36"/>
  <c r="BJ135" i="36"/>
  <c r="BJ139" i="36"/>
  <c r="BJ97" i="36"/>
  <c r="BJ132" i="36"/>
  <c r="BJ30" i="36"/>
  <c r="BJ60" i="36"/>
  <c r="BK83" i="36"/>
  <c r="BK109" i="36"/>
  <c r="BK127" i="36"/>
  <c r="BK94" i="36"/>
  <c r="BK95" i="36"/>
  <c r="BK114" i="36"/>
  <c r="BK135" i="36"/>
  <c r="BK139" i="36"/>
  <c r="BK97" i="36"/>
  <c r="BK132" i="36"/>
  <c r="BK30" i="36"/>
  <c r="BK60" i="36"/>
  <c r="BL83" i="36"/>
  <c r="BL109" i="36"/>
  <c r="BL127" i="36"/>
  <c r="BL94" i="36"/>
  <c r="BL95" i="36"/>
  <c r="BL114" i="36"/>
  <c r="BL135" i="36"/>
  <c r="BL139" i="36"/>
  <c r="BL97" i="36"/>
  <c r="BL132" i="36"/>
  <c r="BL30" i="36"/>
  <c r="BL60" i="36"/>
  <c r="BF11" i="30"/>
  <c r="BF12" i="30"/>
  <c r="BF16" i="30"/>
  <c r="BF17" i="30"/>
  <c r="BF18" i="30"/>
  <c r="BF19" i="30"/>
  <c r="BF21" i="30"/>
  <c r="BF23" i="30"/>
  <c r="BF24" i="30"/>
  <c r="BF25" i="30"/>
  <c r="BF26" i="30"/>
  <c r="BF27" i="30"/>
  <c r="BF29" i="30"/>
  <c r="BF31" i="30"/>
  <c r="BF32" i="30"/>
  <c r="BF33" i="30"/>
  <c r="BF35" i="30"/>
  <c r="BF37" i="30"/>
  <c r="BF40" i="30"/>
  <c r="BF46" i="30"/>
  <c r="BF51" i="30"/>
  <c r="BF54" i="30"/>
  <c r="BF56" i="30"/>
  <c r="BF57" i="30"/>
  <c r="BF61" i="30"/>
  <c r="BF63" i="30"/>
  <c r="BF64" i="30"/>
  <c r="BF66" i="30"/>
  <c r="BF67" i="30"/>
  <c r="BF68" i="30"/>
  <c r="BF69" i="30"/>
  <c r="BF70" i="30"/>
  <c r="BF74" i="30"/>
  <c r="BF75" i="30"/>
  <c r="BF76" i="30"/>
  <c r="BF77" i="30"/>
  <c r="BF78" i="30"/>
  <c r="BF79" i="30"/>
  <c r="BF84" i="30"/>
  <c r="BF85" i="30"/>
  <c r="BF86" i="30"/>
  <c r="BF90" i="30"/>
  <c r="BF93" i="30"/>
  <c r="BF98" i="30"/>
  <c r="BF99" i="30"/>
  <c r="BF100" i="30"/>
  <c r="BF102" i="30"/>
  <c r="BF108" i="30"/>
  <c r="BF109" i="30"/>
  <c r="BF110" i="30"/>
  <c r="BF111" i="30"/>
  <c r="BF112" i="30"/>
  <c r="BF115" i="30"/>
  <c r="BF116" i="30"/>
  <c r="BF118" i="30"/>
  <c r="BF119" i="30"/>
  <c r="BF122" i="30"/>
  <c r="BF125" i="30"/>
  <c r="BF131" i="30"/>
  <c r="BF132" i="30"/>
  <c r="BF136" i="30"/>
  <c r="BF138" i="30"/>
  <c r="BF142" i="30"/>
  <c r="BF140" i="30"/>
  <c r="BF144" i="30"/>
  <c r="BF152" i="30"/>
  <c r="BF139" i="30"/>
  <c r="BF145" i="30"/>
  <c r="BF147" i="30"/>
  <c r="BF148" i="30"/>
  <c r="BF149" i="30"/>
  <c r="BF150" i="30"/>
  <c r="BF154" i="30"/>
  <c r="BF146" i="30"/>
  <c r="BF153" i="30"/>
  <c r="BF141" i="30"/>
  <c r="BF15" i="30"/>
  <c r="BF143" i="30"/>
  <c r="BF151" i="30"/>
  <c r="BF155" i="30"/>
  <c r="BF83" i="30"/>
  <c r="BF81" i="30"/>
  <c r="BF128" i="30"/>
  <c r="BF114" i="30"/>
  <c r="BF88" i="30"/>
  <c r="BE11" i="30"/>
  <c r="BE12" i="30"/>
  <c r="BE16" i="30"/>
  <c r="BE17" i="30"/>
  <c r="BE18" i="30"/>
  <c r="BE19" i="30"/>
  <c r="BE21" i="30"/>
  <c r="BE23" i="30"/>
  <c r="BE24" i="30"/>
  <c r="BE25" i="30"/>
  <c r="BE26" i="30"/>
  <c r="BE27" i="30"/>
  <c r="BE29" i="30"/>
  <c r="BE31" i="30"/>
  <c r="BE32" i="30"/>
  <c r="BE33" i="30"/>
  <c r="BE35" i="30"/>
  <c r="BE37" i="30"/>
  <c r="BE40" i="30"/>
  <c r="BE46" i="30"/>
  <c r="BE51" i="30"/>
  <c r="BE54" i="30"/>
  <c r="BE56" i="30"/>
  <c r="BE57" i="30"/>
  <c r="BE61" i="30"/>
  <c r="BE63" i="30"/>
  <c r="BE64" i="30"/>
  <c r="BE66" i="30"/>
  <c r="BE67" i="30"/>
  <c r="BE68" i="30"/>
  <c r="BE69" i="30"/>
  <c r="BE70" i="30"/>
  <c r="BE74" i="30"/>
  <c r="BE75" i="30"/>
  <c r="BE76" i="30"/>
  <c r="BE77" i="30"/>
  <c r="BE78" i="30"/>
  <c r="BE79" i="30"/>
  <c r="BE84" i="30"/>
  <c r="BE85" i="30"/>
  <c r="BE86" i="30"/>
  <c r="BE90" i="30"/>
  <c r="BE93" i="30"/>
  <c r="BE98" i="30"/>
  <c r="BE99" i="30"/>
  <c r="BE100" i="30"/>
  <c r="BE102" i="30"/>
  <c r="BE108" i="30"/>
  <c r="BE109" i="30"/>
  <c r="BE110" i="30"/>
  <c r="BE111" i="30"/>
  <c r="BE112" i="30"/>
  <c r="BE115" i="30"/>
  <c r="BE116" i="30"/>
  <c r="BE118" i="30"/>
  <c r="BE119" i="30"/>
  <c r="BE122" i="30"/>
  <c r="BE125" i="30"/>
  <c r="BE131" i="30"/>
  <c r="BE132" i="30"/>
  <c r="BE136" i="30"/>
  <c r="BE138" i="30"/>
  <c r="BE142" i="30"/>
  <c r="BE140" i="30"/>
  <c r="BE144" i="30"/>
  <c r="BE152" i="30"/>
  <c r="BE139" i="30"/>
  <c r="BE145" i="30"/>
  <c r="BE147" i="30"/>
  <c r="BE148" i="30"/>
  <c r="BE149" i="30"/>
  <c r="BE150" i="30"/>
  <c r="BE154" i="30"/>
  <c r="BE146" i="30"/>
  <c r="BE153" i="30"/>
  <c r="BE141" i="30"/>
  <c r="BE15" i="30"/>
  <c r="BE143" i="30"/>
  <c r="BE151" i="30"/>
  <c r="BE155" i="30"/>
  <c r="BE83" i="30"/>
  <c r="BE81" i="30"/>
  <c r="BE128" i="30"/>
  <c r="BE114" i="30"/>
  <c r="BE88" i="30"/>
  <c r="CX83" i="36" l="1"/>
  <c r="CW135" i="36"/>
  <c r="CW114" i="36"/>
  <c r="CW109" i="36"/>
  <c r="CW30" i="36"/>
  <c r="CW97" i="36"/>
  <c r="CW95" i="36"/>
  <c r="CW83" i="36"/>
  <c r="CW127" i="36"/>
  <c r="CW132" i="36"/>
  <c r="CW60" i="36"/>
  <c r="CW139" i="36"/>
  <c r="CW94" i="36"/>
  <c r="CV30" i="36"/>
  <c r="CV132" i="36"/>
  <c r="CV114" i="36"/>
  <c r="CV109" i="36"/>
  <c r="CV127" i="36"/>
  <c r="CV97" i="36"/>
  <c r="CV95" i="36"/>
  <c r="CV83" i="36"/>
  <c r="CV135" i="36"/>
  <c r="CV60" i="36"/>
  <c r="CV139" i="36"/>
  <c r="CV94" i="36"/>
  <c r="CX97" i="36"/>
  <c r="CX60" i="36"/>
  <c r="CX114" i="36"/>
  <c r="CX127" i="36"/>
  <c r="CX132" i="36"/>
  <c r="CX30" i="36"/>
  <c r="CX139" i="36"/>
  <c r="CX135" i="36"/>
  <c r="CX95" i="36"/>
  <c r="CX94" i="36"/>
  <c r="CX109" i="36"/>
  <c r="BF11" i="4"/>
  <c r="BF12" i="4"/>
  <c r="BF13" i="4"/>
  <c r="BF14" i="4"/>
  <c r="BF15" i="4"/>
  <c r="BF16" i="4"/>
  <c r="BF17" i="4"/>
  <c r="BF18" i="4"/>
  <c r="BF19" i="4"/>
  <c r="BF20" i="4"/>
  <c r="BF21" i="4"/>
  <c r="BF22" i="4"/>
  <c r="BF23" i="4"/>
  <c r="BF24" i="4"/>
  <c r="BF25" i="4"/>
  <c r="BF26" i="4"/>
  <c r="BF27" i="4"/>
  <c r="BF28" i="4"/>
  <c r="BF29" i="4"/>
  <c r="BF30" i="4"/>
  <c r="BE11" i="4"/>
  <c r="BE12" i="4"/>
  <c r="BE13" i="4"/>
  <c r="BE14" i="4"/>
  <c r="BE15" i="4"/>
  <c r="BE16" i="4"/>
  <c r="BE17" i="4"/>
  <c r="BE18" i="4"/>
  <c r="BE19" i="4"/>
  <c r="BE20" i="4"/>
  <c r="BE21" i="4"/>
  <c r="BE22" i="4"/>
  <c r="BE23" i="4"/>
  <c r="BE24" i="4"/>
  <c r="BE25" i="4"/>
  <c r="BE26" i="4"/>
  <c r="BE27" i="4"/>
  <c r="BE28" i="4"/>
  <c r="BE29" i="4"/>
  <c r="BE30" i="4"/>
  <c r="AH148" i="36" l="1"/>
  <c r="AH141" i="36"/>
  <c r="AH100" i="36"/>
  <c r="AH105" i="36"/>
  <c r="AH24" i="36"/>
  <c r="AH41" i="36"/>
  <c r="AH64" i="36"/>
  <c r="AH22" i="36"/>
  <c r="AH23" i="36"/>
  <c r="AH67" i="36"/>
  <c r="AH26" i="36"/>
  <c r="AH27" i="36"/>
  <c r="AH58" i="36"/>
  <c r="AH77" i="36"/>
  <c r="AI148" i="36"/>
  <c r="AI141" i="36"/>
  <c r="AI100" i="36"/>
  <c r="AI105" i="36"/>
  <c r="AI24" i="36"/>
  <c r="AI41" i="36"/>
  <c r="AI64" i="36"/>
  <c r="AI22" i="36"/>
  <c r="AI23" i="36"/>
  <c r="AI67" i="36"/>
  <c r="AI26" i="36"/>
  <c r="AI27" i="36"/>
  <c r="AI58" i="36"/>
  <c r="AI77" i="36"/>
  <c r="AJ148" i="36"/>
  <c r="AJ141" i="36"/>
  <c r="AJ100" i="36"/>
  <c r="AJ105" i="36"/>
  <c r="AJ24" i="36"/>
  <c r="AJ41" i="36"/>
  <c r="AJ64" i="36"/>
  <c r="AJ22" i="36"/>
  <c r="AJ23" i="36"/>
  <c r="AJ67" i="36"/>
  <c r="AJ26" i="36"/>
  <c r="AJ27" i="36"/>
  <c r="AJ58" i="36"/>
  <c r="AJ77" i="36"/>
  <c r="AK148" i="36"/>
  <c r="AK141" i="36"/>
  <c r="AK100" i="36"/>
  <c r="AK105" i="36"/>
  <c r="AK24" i="36"/>
  <c r="AK41" i="36"/>
  <c r="AK64" i="36"/>
  <c r="AK22" i="36"/>
  <c r="AK23" i="36"/>
  <c r="AK67" i="36"/>
  <c r="AK26" i="36"/>
  <c r="AK27" i="36"/>
  <c r="AK58" i="36"/>
  <c r="AK77" i="36"/>
  <c r="AL148" i="36"/>
  <c r="AL141" i="36"/>
  <c r="AL100" i="36"/>
  <c r="AL105" i="36"/>
  <c r="AL24" i="36"/>
  <c r="AL41" i="36"/>
  <c r="AL64" i="36"/>
  <c r="AL22" i="36"/>
  <c r="AL23" i="36"/>
  <c r="AL67" i="36"/>
  <c r="AL26" i="36"/>
  <c r="AL27" i="36"/>
  <c r="AL58" i="36"/>
  <c r="AL77" i="36"/>
  <c r="AM148" i="36"/>
  <c r="AM141" i="36"/>
  <c r="AM100" i="36"/>
  <c r="AM105" i="36"/>
  <c r="AM24" i="36"/>
  <c r="AM41" i="36"/>
  <c r="AM64" i="36"/>
  <c r="AM22" i="36"/>
  <c r="AM23" i="36"/>
  <c r="AM67" i="36"/>
  <c r="AM26" i="36"/>
  <c r="AM27" i="36"/>
  <c r="AM58" i="36"/>
  <c r="AM77" i="36"/>
  <c r="AN148" i="36"/>
  <c r="AN141" i="36"/>
  <c r="AN100" i="36"/>
  <c r="AN105" i="36"/>
  <c r="AN24" i="36"/>
  <c r="AN41" i="36"/>
  <c r="AN64" i="36"/>
  <c r="AN22" i="36"/>
  <c r="AN23" i="36"/>
  <c r="AN67" i="36"/>
  <c r="AN26" i="36"/>
  <c r="AN27" i="36"/>
  <c r="AN58" i="36"/>
  <c r="AN77" i="36"/>
  <c r="AO148" i="36"/>
  <c r="AO141" i="36"/>
  <c r="AO100" i="36"/>
  <c r="AO105" i="36"/>
  <c r="AO24" i="36"/>
  <c r="AO41" i="36"/>
  <c r="AO64" i="36"/>
  <c r="AO22" i="36"/>
  <c r="AO23" i="36"/>
  <c r="AO67" i="36"/>
  <c r="AO26" i="36"/>
  <c r="AO27" i="36"/>
  <c r="AO58" i="36"/>
  <c r="AO77" i="36"/>
  <c r="AP148" i="36"/>
  <c r="AP141" i="36"/>
  <c r="AP100" i="36"/>
  <c r="AP105" i="36"/>
  <c r="AP24" i="36"/>
  <c r="AP41" i="36"/>
  <c r="AP64" i="36"/>
  <c r="AP22" i="36"/>
  <c r="AP23" i="36"/>
  <c r="AP67" i="36"/>
  <c r="AP26" i="36"/>
  <c r="AP27" i="36"/>
  <c r="AP58" i="36"/>
  <c r="AP77" i="36"/>
  <c r="AQ148" i="36"/>
  <c r="AQ141" i="36"/>
  <c r="AQ100" i="36"/>
  <c r="AQ105" i="36"/>
  <c r="AQ24" i="36"/>
  <c r="AQ41" i="36"/>
  <c r="AQ64" i="36"/>
  <c r="AQ22" i="36"/>
  <c r="AQ23" i="36"/>
  <c r="AQ67" i="36"/>
  <c r="AQ26" i="36"/>
  <c r="AQ27" i="36"/>
  <c r="AQ58" i="36"/>
  <c r="AQ77" i="36"/>
  <c r="AR148" i="36"/>
  <c r="AR141" i="36"/>
  <c r="AR100" i="36"/>
  <c r="AR105" i="36"/>
  <c r="AR24" i="36"/>
  <c r="AR41" i="36"/>
  <c r="AR64" i="36"/>
  <c r="AR22" i="36"/>
  <c r="AR23" i="36"/>
  <c r="AR67" i="36"/>
  <c r="AR26" i="36"/>
  <c r="AR27" i="36"/>
  <c r="AR58" i="36"/>
  <c r="AR77" i="36"/>
  <c r="AS148" i="36"/>
  <c r="AS141" i="36"/>
  <c r="AS100" i="36"/>
  <c r="AS105" i="36"/>
  <c r="AS24" i="36"/>
  <c r="AS41" i="36"/>
  <c r="AS64" i="36"/>
  <c r="AS22" i="36"/>
  <c r="AS23" i="36"/>
  <c r="AS67" i="36"/>
  <c r="AS26" i="36"/>
  <c r="AS27" i="36"/>
  <c r="AS58" i="36"/>
  <c r="AS77" i="36"/>
  <c r="AT148" i="36"/>
  <c r="AT141" i="36"/>
  <c r="AT100" i="36"/>
  <c r="AT105" i="36"/>
  <c r="AT24" i="36"/>
  <c r="AT41" i="36"/>
  <c r="AT64" i="36"/>
  <c r="AT22" i="36"/>
  <c r="AT23" i="36"/>
  <c r="AT67" i="36"/>
  <c r="AT26" i="36"/>
  <c r="AT27" i="36"/>
  <c r="AT58" i="36"/>
  <c r="AT77" i="36"/>
  <c r="AU148" i="36"/>
  <c r="AU141" i="36"/>
  <c r="AU100" i="36"/>
  <c r="AU105" i="36"/>
  <c r="AU24" i="36"/>
  <c r="AU41" i="36"/>
  <c r="AU64" i="36"/>
  <c r="AU22" i="36"/>
  <c r="AU23" i="36"/>
  <c r="AU67" i="36"/>
  <c r="AU26" i="36"/>
  <c r="AU27" i="36"/>
  <c r="AU58" i="36"/>
  <c r="AU77" i="36"/>
  <c r="AV148" i="36"/>
  <c r="AV141" i="36"/>
  <c r="AV100" i="36"/>
  <c r="AV105" i="36"/>
  <c r="AV24" i="36"/>
  <c r="AV41" i="36"/>
  <c r="AV64" i="36"/>
  <c r="AV22" i="36"/>
  <c r="AV23" i="36"/>
  <c r="AV67" i="36"/>
  <c r="AV26" i="36"/>
  <c r="AV27" i="36"/>
  <c r="AV58" i="36"/>
  <c r="AV77" i="36"/>
  <c r="AW148" i="36"/>
  <c r="AW141" i="36"/>
  <c r="AW100" i="36"/>
  <c r="AW105" i="36"/>
  <c r="AW24" i="36"/>
  <c r="AW41" i="36"/>
  <c r="AW64" i="36"/>
  <c r="AW22" i="36"/>
  <c r="AW23" i="36"/>
  <c r="AW67" i="36"/>
  <c r="AW26" i="36"/>
  <c r="AW27" i="36"/>
  <c r="AW58" i="36"/>
  <c r="AW77" i="36"/>
  <c r="AX148" i="36"/>
  <c r="AX141" i="36"/>
  <c r="AX100" i="36"/>
  <c r="AX105" i="36"/>
  <c r="AX24" i="36"/>
  <c r="AX41" i="36"/>
  <c r="AX64" i="36"/>
  <c r="AX22" i="36"/>
  <c r="AX23" i="36"/>
  <c r="AX67" i="36"/>
  <c r="AX26" i="36"/>
  <c r="AX27" i="36"/>
  <c r="AX58" i="36"/>
  <c r="AX77" i="36"/>
  <c r="AY148" i="36"/>
  <c r="AY141" i="36"/>
  <c r="AY100" i="36"/>
  <c r="AY105" i="36"/>
  <c r="AY24" i="36"/>
  <c r="AY41" i="36"/>
  <c r="AY64" i="36"/>
  <c r="AY22" i="36"/>
  <c r="AY23" i="36"/>
  <c r="AY67" i="36"/>
  <c r="AY26" i="36"/>
  <c r="AY27" i="36"/>
  <c r="AY58" i="36"/>
  <c r="AY77" i="36"/>
  <c r="AZ148" i="36"/>
  <c r="AZ141" i="36"/>
  <c r="AZ100" i="36"/>
  <c r="AZ105" i="36"/>
  <c r="AZ24" i="36"/>
  <c r="AZ41" i="36"/>
  <c r="AZ64" i="36"/>
  <c r="AZ22" i="36"/>
  <c r="AZ23" i="36"/>
  <c r="AZ67" i="36"/>
  <c r="AZ26" i="36"/>
  <c r="AZ27" i="36"/>
  <c r="AZ58" i="36"/>
  <c r="AZ77" i="36"/>
  <c r="BA148" i="36"/>
  <c r="BA141" i="36"/>
  <c r="BA100" i="36"/>
  <c r="BA105" i="36"/>
  <c r="BA24" i="36"/>
  <c r="BA41" i="36"/>
  <c r="BA64" i="36"/>
  <c r="BA22" i="36"/>
  <c r="BA23" i="36"/>
  <c r="BA67" i="36"/>
  <c r="BA26" i="36"/>
  <c r="BA27" i="36"/>
  <c r="BA58" i="36"/>
  <c r="BA77" i="36"/>
  <c r="BB148" i="36"/>
  <c r="BB141" i="36"/>
  <c r="BB100" i="36"/>
  <c r="BB105" i="36"/>
  <c r="BB24" i="36"/>
  <c r="BB41" i="36"/>
  <c r="BB64" i="36"/>
  <c r="BB22" i="36"/>
  <c r="BB23" i="36"/>
  <c r="BB67" i="36"/>
  <c r="BB26" i="36"/>
  <c r="BB27" i="36"/>
  <c r="BB58" i="36"/>
  <c r="BB77" i="36"/>
  <c r="BC148" i="36"/>
  <c r="BC141" i="36"/>
  <c r="BC100" i="36"/>
  <c r="BC105" i="36"/>
  <c r="BC24" i="36"/>
  <c r="BC41" i="36"/>
  <c r="BC64" i="36"/>
  <c r="BC22" i="36"/>
  <c r="BC23" i="36"/>
  <c r="BC67" i="36"/>
  <c r="BC26" i="36"/>
  <c r="BC27" i="36"/>
  <c r="BC58" i="36"/>
  <c r="BC77" i="36"/>
  <c r="BD148" i="36"/>
  <c r="BD141" i="36"/>
  <c r="BD100" i="36"/>
  <c r="BD105" i="36"/>
  <c r="BD24" i="36"/>
  <c r="BD41" i="36"/>
  <c r="BD64" i="36"/>
  <c r="BD22" i="36"/>
  <c r="BD23" i="36"/>
  <c r="BD67" i="36"/>
  <c r="BD26" i="36"/>
  <c r="BD27" i="36"/>
  <c r="BD58" i="36"/>
  <c r="BD77" i="36"/>
  <c r="BE148" i="36"/>
  <c r="BE141" i="36"/>
  <c r="BE100" i="36"/>
  <c r="BE105" i="36"/>
  <c r="BE24" i="36"/>
  <c r="BE41" i="36"/>
  <c r="BE64" i="36"/>
  <c r="BE22" i="36"/>
  <c r="BE23" i="36"/>
  <c r="BE67" i="36"/>
  <c r="BE26" i="36"/>
  <c r="BE27" i="36"/>
  <c r="BE58" i="36"/>
  <c r="BE77" i="36"/>
  <c r="BG148" i="36"/>
  <c r="BG141" i="36"/>
  <c r="BG100" i="36"/>
  <c r="BG105" i="36"/>
  <c r="BG24" i="36"/>
  <c r="BG41" i="36"/>
  <c r="BG64" i="36"/>
  <c r="BG22" i="36"/>
  <c r="BG23" i="36"/>
  <c r="BG67" i="36"/>
  <c r="BG26" i="36"/>
  <c r="BG27" i="36"/>
  <c r="BG58" i="36"/>
  <c r="BG77" i="36"/>
  <c r="BH148" i="36"/>
  <c r="BH141" i="36"/>
  <c r="BH100" i="36"/>
  <c r="BH105" i="36"/>
  <c r="BH24" i="36"/>
  <c r="BH41" i="36"/>
  <c r="BH64" i="36"/>
  <c r="BH22" i="36"/>
  <c r="BH23" i="36"/>
  <c r="BH67" i="36"/>
  <c r="BH26" i="36"/>
  <c r="BH27" i="36"/>
  <c r="BH58" i="36"/>
  <c r="BH77" i="36"/>
  <c r="BI148" i="36"/>
  <c r="BI141" i="36"/>
  <c r="BI100" i="36"/>
  <c r="BI105" i="36"/>
  <c r="BI24" i="36"/>
  <c r="BI41" i="36"/>
  <c r="BI64" i="36"/>
  <c r="BI22" i="36"/>
  <c r="BI23" i="36"/>
  <c r="BI67" i="36"/>
  <c r="BI26" i="36"/>
  <c r="BI27" i="36"/>
  <c r="BI58" i="36"/>
  <c r="BI77" i="36"/>
  <c r="BJ148" i="36"/>
  <c r="BJ141" i="36"/>
  <c r="BJ100" i="36"/>
  <c r="BJ105" i="36"/>
  <c r="BJ24" i="36"/>
  <c r="BJ41" i="36"/>
  <c r="BJ64" i="36"/>
  <c r="BJ22" i="36"/>
  <c r="BJ23" i="36"/>
  <c r="BJ67" i="36"/>
  <c r="BJ26" i="36"/>
  <c r="BJ27" i="36"/>
  <c r="BJ58" i="36"/>
  <c r="BJ77" i="36"/>
  <c r="BK148" i="36"/>
  <c r="BK141" i="36"/>
  <c r="BK100" i="36"/>
  <c r="BK105" i="36"/>
  <c r="BK24" i="36"/>
  <c r="BK41" i="36"/>
  <c r="BK64" i="36"/>
  <c r="BK22" i="36"/>
  <c r="BK23" i="36"/>
  <c r="BK67" i="36"/>
  <c r="BK26" i="36"/>
  <c r="BK27" i="36"/>
  <c r="BK58" i="36"/>
  <c r="BK77" i="36"/>
  <c r="BL148" i="36"/>
  <c r="BL141" i="36"/>
  <c r="BL100" i="36"/>
  <c r="BL105" i="36"/>
  <c r="CX105" i="36" s="1"/>
  <c r="BL24" i="36"/>
  <c r="BL41" i="36"/>
  <c r="BL64" i="36"/>
  <c r="CX64" i="36" s="1"/>
  <c r="BL22" i="36"/>
  <c r="BL23" i="36"/>
  <c r="BL67" i="36"/>
  <c r="BL26" i="36"/>
  <c r="CX26" i="36" s="1"/>
  <c r="BL27" i="36"/>
  <c r="BL58" i="36"/>
  <c r="BL77" i="36"/>
  <c r="BE15" i="36"/>
  <c r="BE16" i="36"/>
  <c r="BE17" i="36"/>
  <c r="BE19" i="36"/>
  <c r="BE25" i="36"/>
  <c r="BE29" i="36"/>
  <c r="BE32" i="36"/>
  <c r="BE33" i="36"/>
  <c r="BE35" i="36"/>
  <c r="BE40" i="36"/>
  <c r="BE46" i="36"/>
  <c r="BE54" i="36"/>
  <c r="BE56" i="36"/>
  <c r="BE57" i="36"/>
  <c r="BE59" i="36"/>
  <c r="BE63" i="36"/>
  <c r="BE69" i="36"/>
  <c r="BE70" i="36"/>
  <c r="BE72" i="36"/>
  <c r="BE74" i="36"/>
  <c r="BE75" i="36"/>
  <c r="BE79" i="36"/>
  <c r="BE80" i="36"/>
  <c r="BE81" i="36"/>
  <c r="BE85" i="36"/>
  <c r="BE86" i="36"/>
  <c r="BE88" i="36"/>
  <c r="BE93" i="36"/>
  <c r="BE98" i="36"/>
  <c r="BE99" i="36"/>
  <c r="BE101" i="36"/>
  <c r="BE108" i="36"/>
  <c r="BE110" i="36"/>
  <c r="BE111" i="36"/>
  <c r="BE112" i="36"/>
  <c r="BE115" i="36"/>
  <c r="BE118" i="36"/>
  <c r="BE119" i="36"/>
  <c r="BE122" i="36"/>
  <c r="BE128" i="36"/>
  <c r="BE129" i="36"/>
  <c r="BE133" i="36"/>
  <c r="BE137" i="36"/>
  <c r="BE151" i="36"/>
  <c r="BE147" i="36"/>
  <c r="BE142" i="36"/>
  <c r="BE144" i="36"/>
  <c r="BE87" i="36"/>
  <c r="BE120" i="36"/>
  <c r="BE96" i="36"/>
  <c r="BE31" i="36"/>
  <c r="BE76" i="36"/>
  <c r="BE143" i="36"/>
  <c r="BE78" i="36"/>
  <c r="BE68" i="36"/>
  <c r="BE90" i="36"/>
  <c r="BE149" i="36"/>
  <c r="BE145" i="36"/>
  <c r="BE34" i="36"/>
  <c r="BE11" i="36"/>
  <c r="BE61" i="36"/>
  <c r="BE140" i="36"/>
  <c r="BE66" i="36"/>
  <c r="CX27" i="36" l="1"/>
  <c r="CX77" i="36"/>
  <c r="CW22" i="36"/>
  <c r="CW26" i="36"/>
  <c r="CW64" i="36"/>
  <c r="CW100" i="36"/>
  <c r="CW77" i="36"/>
  <c r="CW67" i="36"/>
  <c r="CW41" i="36"/>
  <c r="CW141" i="36"/>
  <c r="CW27" i="36"/>
  <c r="CW105" i="36"/>
  <c r="CW58" i="36"/>
  <c r="CW23" i="36"/>
  <c r="CW24" i="36"/>
  <c r="CW148" i="36"/>
  <c r="CV27" i="36"/>
  <c r="CV26" i="36"/>
  <c r="CV64" i="36"/>
  <c r="CV100" i="36"/>
  <c r="CV105" i="36"/>
  <c r="CV77" i="36"/>
  <c r="CV67" i="36"/>
  <c r="CV41" i="36"/>
  <c r="CV141" i="36"/>
  <c r="CV22" i="36"/>
  <c r="CV58" i="36"/>
  <c r="CV23" i="36"/>
  <c r="CV24" i="36"/>
  <c r="CV148" i="36"/>
  <c r="CU105" i="36"/>
  <c r="CU100" i="36"/>
  <c r="CU141" i="36"/>
  <c r="CU148" i="36"/>
  <c r="CX67" i="36"/>
  <c r="CX41" i="36"/>
  <c r="CX100" i="36"/>
  <c r="CX141" i="36"/>
  <c r="CX22" i="36"/>
  <c r="CX58" i="36"/>
  <c r="CX23" i="36"/>
  <c r="CX24" i="36"/>
  <c r="CX148" i="36"/>
  <c r="BL11" i="32"/>
  <c r="BL12" i="32"/>
  <c r="BL13" i="32"/>
  <c r="BL14" i="32"/>
  <c r="BL15" i="32"/>
  <c r="BL16" i="32"/>
  <c r="BL17" i="32"/>
  <c r="BL18" i="32"/>
  <c r="BL19" i="32"/>
  <c r="BL20" i="32"/>
  <c r="BL21" i="32"/>
  <c r="BL22" i="32"/>
  <c r="BL23" i="32"/>
  <c r="BL24" i="32"/>
  <c r="BL25" i="32"/>
  <c r="BL26" i="32"/>
  <c r="BL27" i="32"/>
  <c r="BL28" i="32"/>
  <c r="BL29" i="32"/>
  <c r="BL30" i="32"/>
  <c r="BL31" i="32"/>
  <c r="BL32" i="32"/>
  <c r="BL33" i="32"/>
  <c r="BL34" i="32"/>
  <c r="BL110" i="36"/>
  <c r="BL115" i="36"/>
  <c r="BL75" i="36"/>
  <c r="BL46" i="36"/>
  <c r="BL63" i="36"/>
  <c r="BL69" i="36"/>
  <c r="BL128" i="36"/>
  <c r="BL74" i="36"/>
  <c r="BL88" i="36"/>
  <c r="BL147" i="36"/>
  <c r="BL80" i="36"/>
  <c r="BL15" i="36"/>
  <c r="BL16" i="36"/>
  <c r="BL19" i="36"/>
  <c r="BL29" i="36"/>
  <c r="BL33" i="36"/>
  <c r="BL40" i="36"/>
  <c r="BL25" i="36"/>
  <c r="BL35" i="36"/>
  <c r="BL144" i="36"/>
  <c r="BL54" i="36"/>
  <c r="BL56" i="36"/>
  <c r="BL57" i="36"/>
  <c r="BL59" i="36"/>
  <c r="BL142" i="36"/>
  <c r="BL72" i="36"/>
  <c r="BL79" i="36"/>
  <c r="BL81" i="36"/>
  <c r="BL85" i="36"/>
  <c r="BL86" i="36"/>
  <c r="BL93" i="36"/>
  <c r="BL98" i="36"/>
  <c r="BL101" i="36"/>
  <c r="BL70" i="36"/>
  <c r="BL99" i="36"/>
  <c r="BL108" i="36"/>
  <c r="BL111" i="36"/>
  <c r="BL112" i="36"/>
  <c r="BL118" i="36"/>
  <c r="BL32" i="36"/>
  <c r="BL151" i="36"/>
  <c r="BL119" i="36"/>
  <c r="BL122" i="36"/>
  <c r="BL129" i="36"/>
  <c r="BL133" i="36"/>
  <c r="BL137" i="36"/>
  <c r="BL17" i="36"/>
  <c r="BL87" i="36"/>
  <c r="BL120" i="36"/>
  <c r="BL96" i="36"/>
  <c r="BL31" i="36"/>
  <c r="BL76" i="36"/>
  <c r="BL143" i="36"/>
  <c r="BL78" i="36"/>
  <c r="BL68" i="36"/>
  <c r="BL90" i="36"/>
  <c r="BL149" i="36"/>
  <c r="BL145" i="36"/>
  <c r="BL34" i="36"/>
  <c r="BL11" i="36"/>
  <c r="BL61" i="36"/>
  <c r="BL140" i="36"/>
  <c r="BL66" i="36"/>
  <c r="AH118" i="36" l="1"/>
  <c r="AH32" i="36"/>
  <c r="AH151" i="36"/>
  <c r="AH119" i="36"/>
  <c r="AH122" i="36"/>
  <c r="AH129" i="36"/>
  <c r="AH133" i="36"/>
  <c r="AH137" i="36"/>
  <c r="AH17" i="36"/>
  <c r="AH87" i="36"/>
  <c r="AH120" i="36"/>
  <c r="AH96" i="36"/>
  <c r="AH31" i="36"/>
  <c r="AH76" i="36"/>
  <c r="AH143" i="36"/>
  <c r="AH78" i="36"/>
  <c r="AH68" i="36"/>
  <c r="AH90" i="36"/>
  <c r="AH149" i="36"/>
  <c r="AH145" i="36"/>
  <c r="AH34" i="36"/>
  <c r="AH11" i="36"/>
  <c r="AH61" i="36"/>
  <c r="AH140" i="36"/>
  <c r="AH66" i="36"/>
  <c r="AI118" i="36"/>
  <c r="AI32" i="36"/>
  <c r="AI151" i="36"/>
  <c r="AI119" i="36"/>
  <c r="AI122" i="36"/>
  <c r="AI129" i="36"/>
  <c r="AI133" i="36"/>
  <c r="AI137" i="36"/>
  <c r="AI17" i="36"/>
  <c r="AI87" i="36"/>
  <c r="AI120" i="36"/>
  <c r="AI96" i="36"/>
  <c r="AI31" i="36"/>
  <c r="AI76" i="36"/>
  <c r="AI143" i="36"/>
  <c r="AI78" i="36"/>
  <c r="AI68" i="36"/>
  <c r="AI90" i="36"/>
  <c r="AI149" i="36"/>
  <c r="AI145" i="36"/>
  <c r="AI34" i="36"/>
  <c r="AI11" i="36"/>
  <c r="AI61" i="36"/>
  <c r="AI140" i="36"/>
  <c r="AI66" i="36"/>
  <c r="AJ118" i="36"/>
  <c r="AJ32" i="36"/>
  <c r="AJ151" i="36"/>
  <c r="AJ119" i="36"/>
  <c r="AJ122" i="36"/>
  <c r="AJ129" i="36"/>
  <c r="AJ133" i="36"/>
  <c r="AJ137" i="36"/>
  <c r="AJ17" i="36"/>
  <c r="AJ87" i="36"/>
  <c r="AJ120" i="36"/>
  <c r="AJ96" i="36"/>
  <c r="AJ31" i="36"/>
  <c r="AJ76" i="36"/>
  <c r="AJ143" i="36"/>
  <c r="AJ78" i="36"/>
  <c r="AJ68" i="36"/>
  <c r="AJ90" i="36"/>
  <c r="AJ149" i="36"/>
  <c r="AJ145" i="36"/>
  <c r="AJ34" i="36"/>
  <c r="AJ11" i="36"/>
  <c r="AJ61" i="36"/>
  <c r="AJ140" i="36"/>
  <c r="AJ66" i="36"/>
  <c r="AK118" i="36"/>
  <c r="AK32" i="36"/>
  <c r="AK151" i="36"/>
  <c r="AK119" i="36"/>
  <c r="AK122" i="36"/>
  <c r="AK129" i="36"/>
  <c r="AK133" i="36"/>
  <c r="AK137" i="36"/>
  <c r="AK17" i="36"/>
  <c r="AK87" i="36"/>
  <c r="AK120" i="36"/>
  <c r="AK96" i="36"/>
  <c r="AK31" i="36"/>
  <c r="AK76" i="36"/>
  <c r="AK143" i="36"/>
  <c r="AK78" i="36"/>
  <c r="AK68" i="36"/>
  <c r="AK90" i="36"/>
  <c r="AK149" i="36"/>
  <c r="AK145" i="36"/>
  <c r="AK34" i="36"/>
  <c r="AK11" i="36"/>
  <c r="AK61" i="36"/>
  <c r="AK140" i="36"/>
  <c r="AK66" i="36"/>
  <c r="AL118" i="36"/>
  <c r="AL32" i="36"/>
  <c r="AL151" i="36"/>
  <c r="AL119" i="36"/>
  <c r="AL122" i="36"/>
  <c r="AL129" i="36"/>
  <c r="AL133" i="36"/>
  <c r="AL137" i="36"/>
  <c r="AL17" i="36"/>
  <c r="AL87" i="36"/>
  <c r="AL120" i="36"/>
  <c r="AL96" i="36"/>
  <c r="AL31" i="36"/>
  <c r="AL76" i="36"/>
  <c r="AL143" i="36"/>
  <c r="AL78" i="36"/>
  <c r="AL68" i="36"/>
  <c r="AL90" i="36"/>
  <c r="AL149" i="36"/>
  <c r="AL145" i="36"/>
  <c r="AL34" i="36"/>
  <c r="AL11" i="36"/>
  <c r="AL61" i="36"/>
  <c r="AL140" i="36"/>
  <c r="AL66" i="36"/>
  <c r="AM118" i="36"/>
  <c r="AM32" i="36"/>
  <c r="AM151" i="36"/>
  <c r="AM119" i="36"/>
  <c r="AM122" i="36"/>
  <c r="AM129" i="36"/>
  <c r="AM133" i="36"/>
  <c r="AM137" i="36"/>
  <c r="AM17" i="36"/>
  <c r="AM87" i="36"/>
  <c r="AM120" i="36"/>
  <c r="AM96" i="36"/>
  <c r="AM31" i="36"/>
  <c r="AM76" i="36"/>
  <c r="AM143" i="36"/>
  <c r="AM78" i="36"/>
  <c r="AM68" i="36"/>
  <c r="AM90" i="36"/>
  <c r="AM149" i="36"/>
  <c r="AM145" i="36"/>
  <c r="AM34" i="36"/>
  <c r="AM11" i="36"/>
  <c r="AM61" i="36"/>
  <c r="AM140" i="36"/>
  <c r="AM66" i="36"/>
  <c r="AN118" i="36"/>
  <c r="AN32" i="36"/>
  <c r="AN151" i="36"/>
  <c r="AN119" i="36"/>
  <c r="AN122" i="36"/>
  <c r="AN129" i="36"/>
  <c r="AN133" i="36"/>
  <c r="AN137" i="36"/>
  <c r="AN17" i="36"/>
  <c r="AN87" i="36"/>
  <c r="AN120" i="36"/>
  <c r="AN96" i="36"/>
  <c r="AN31" i="36"/>
  <c r="AN76" i="36"/>
  <c r="AN143" i="36"/>
  <c r="AN78" i="36"/>
  <c r="AN68" i="36"/>
  <c r="AN90" i="36"/>
  <c r="AN149" i="36"/>
  <c r="AN145" i="36"/>
  <c r="AN34" i="36"/>
  <c r="AN11" i="36"/>
  <c r="AN61" i="36"/>
  <c r="AN140" i="36"/>
  <c r="AN66" i="36"/>
  <c r="AO118" i="36"/>
  <c r="AO32" i="36"/>
  <c r="AO151" i="36"/>
  <c r="AO119" i="36"/>
  <c r="AO122" i="36"/>
  <c r="AO129" i="36"/>
  <c r="AO133" i="36"/>
  <c r="AO137" i="36"/>
  <c r="AO17" i="36"/>
  <c r="AO87" i="36"/>
  <c r="AO120" i="36"/>
  <c r="AO96" i="36"/>
  <c r="AO31" i="36"/>
  <c r="AO76" i="36"/>
  <c r="AO143" i="36"/>
  <c r="AO78" i="36"/>
  <c r="AO68" i="36"/>
  <c r="AO90" i="36"/>
  <c r="AO149" i="36"/>
  <c r="AO145" i="36"/>
  <c r="AO34" i="36"/>
  <c r="AO11" i="36"/>
  <c r="AO61" i="36"/>
  <c r="AO140" i="36"/>
  <c r="AO66" i="36"/>
  <c r="AP118" i="36"/>
  <c r="AP32" i="36"/>
  <c r="AP151" i="36"/>
  <c r="AP119" i="36"/>
  <c r="AP122" i="36"/>
  <c r="AP129" i="36"/>
  <c r="AP133" i="36"/>
  <c r="AP137" i="36"/>
  <c r="AP17" i="36"/>
  <c r="AP87" i="36"/>
  <c r="AP120" i="36"/>
  <c r="AP96" i="36"/>
  <c r="AP31" i="36"/>
  <c r="AP76" i="36"/>
  <c r="AP143" i="36"/>
  <c r="AP78" i="36"/>
  <c r="AP68" i="36"/>
  <c r="AP90" i="36"/>
  <c r="AP149" i="36"/>
  <c r="AP145" i="36"/>
  <c r="AP34" i="36"/>
  <c r="AP11" i="36"/>
  <c r="AP61" i="36"/>
  <c r="AP140" i="36"/>
  <c r="AP66" i="36"/>
  <c r="AQ118" i="36"/>
  <c r="AQ32" i="36"/>
  <c r="AQ151" i="36"/>
  <c r="AQ119" i="36"/>
  <c r="AQ122" i="36"/>
  <c r="AQ129" i="36"/>
  <c r="AQ133" i="36"/>
  <c r="AQ137" i="36"/>
  <c r="AQ17" i="36"/>
  <c r="AQ87" i="36"/>
  <c r="AQ120" i="36"/>
  <c r="AQ96" i="36"/>
  <c r="AQ31" i="36"/>
  <c r="AQ76" i="36"/>
  <c r="AQ143" i="36"/>
  <c r="AQ78" i="36"/>
  <c r="AQ68" i="36"/>
  <c r="AQ90" i="36"/>
  <c r="AQ149" i="36"/>
  <c r="AQ145" i="36"/>
  <c r="AQ34" i="36"/>
  <c r="AQ11" i="36"/>
  <c r="AQ61" i="36"/>
  <c r="AQ140" i="36"/>
  <c r="AQ66" i="36"/>
  <c r="AR118" i="36"/>
  <c r="AR32" i="36"/>
  <c r="AR151" i="36"/>
  <c r="AR119" i="36"/>
  <c r="AR122" i="36"/>
  <c r="AR129" i="36"/>
  <c r="AR133" i="36"/>
  <c r="AR137" i="36"/>
  <c r="AR17" i="36"/>
  <c r="AR87" i="36"/>
  <c r="AR120" i="36"/>
  <c r="AR96" i="36"/>
  <c r="AR31" i="36"/>
  <c r="AR76" i="36"/>
  <c r="AR143" i="36"/>
  <c r="AR78" i="36"/>
  <c r="AR68" i="36"/>
  <c r="AR90" i="36"/>
  <c r="AR149" i="36"/>
  <c r="AR145" i="36"/>
  <c r="AR34" i="36"/>
  <c r="AR11" i="36"/>
  <c r="AR61" i="36"/>
  <c r="AR140" i="36"/>
  <c r="AR66" i="36"/>
  <c r="AS118" i="36"/>
  <c r="AS32" i="36"/>
  <c r="AS151" i="36"/>
  <c r="AS119" i="36"/>
  <c r="AS122" i="36"/>
  <c r="AS129" i="36"/>
  <c r="AS133" i="36"/>
  <c r="AS137" i="36"/>
  <c r="AS17" i="36"/>
  <c r="AS87" i="36"/>
  <c r="AS120" i="36"/>
  <c r="AS96" i="36"/>
  <c r="AS31" i="36"/>
  <c r="AS76" i="36"/>
  <c r="AS143" i="36"/>
  <c r="AS78" i="36"/>
  <c r="AS68" i="36"/>
  <c r="AS90" i="36"/>
  <c r="AS149" i="36"/>
  <c r="AS145" i="36"/>
  <c r="AS34" i="36"/>
  <c r="AS11" i="36"/>
  <c r="AS61" i="36"/>
  <c r="AS140" i="36"/>
  <c r="AS66" i="36"/>
  <c r="AT118" i="36"/>
  <c r="AT32" i="36"/>
  <c r="AT151" i="36"/>
  <c r="AT119" i="36"/>
  <c r="AT122" i="36"/>
  <c r="AT129" i="36"/>
  <c r="AT133" i="36"/>
  <c r="AT137" i="36"/>
  <c r="AT17" i="36"/>
  <c r="AT87" i="36"/>
  <c r="AT120" i="36"/>
  <c r="AT96" i="36"/>
  <c r="AT31" i="36"/>
  <c r="AT76" i="36"/>
  <c r="AT143" i="36"/>
  <c r="AT78" i="36"/>
  <c r="AT68" i="36"/>
  <c r="AT90" i="36"/>
  <c r="AT149" i="36"/>
  <c r="AT145" i="36"/>
  <c r="AT34" i="36"/>
  <c r="AT11" i="36"/>
  <c r="AT61" i="36"/>
  <c r="AT140" i="36"/>
  <c r="AT66" i="36"/>
  <c r="AU118" i="36"/>
  <c r="AU32" i="36"/>
  <c r="AU151" i="36"/>
  <c r="AU119" i="36"/>
  <c r="AU122" i="36"/>
  <c r="AU129" i="36"/>
  <c r="AU133" i="36"/>
  <c r="AU137" i="36"/>
  <c r="AU17" i="36"/>
  <c r="AU87" i="36"/>
  <c r="AU120" i="36"/>
  <c r="AU96" i="36"/>
  <c r="AU31" i="36"/>
  <c r="AU76" i="36"/>
  <c r="AU143" i="36"/>
  <c r="AU78" i="36"/>
  <c r="AU68" i="36"/>
  <c r="AU90" i="36"/>
  <c r="AU149" i="36"/>
  <c r="AU145" i="36"/>
  <c r="AU34" i="36"/>
  <c r="AU11" i="36"/>
  <c r="AU61" i="36"/>
  <c r="AU140" i="36"/>
  <c r="AU66" i="36"/>
  <c r="AV118" i="36"/>
  <c r="AV32" i="36"/>
  <c r="AV151" i="36"/>
  <c r="AV119" i="36"/>
  <c r="AV122" i="36"/>
  <c r="AV129" i="36"/>
  <c r="AV133" i="36"/>
  <c r="AV137" i="36"/>
  <c r="AV17" i="36"/>
  <c r="AV87" i="36"/>
  <c r="AV120" i="36"/>
  <c r="AV96" i="36"/>
  <c r="AV31" i="36"/>
  <c r="AV76" i="36"/>
  <c r="AV143" i="36"/>
  <c r="AV78" i="36"/>
  <c r="AV68" i="36"/>
  <c r="AV90" i="36"/>
  <c r="AV149" i="36"/>
  <c r="AV145" i="36"/>
  <c r="AV34" i="36"/>
  <c r="AV11" i="36"/>
  <c r="AV61" i="36"/>
  <c r="AV140" i="36"/>
  <c r="AV66" i="36"/>
  <c r="AW118" i="36"/>
  <c r="AW32" i="36"/>
  <c r="AW151" i="36"/>
  <c r="AW119" i="36"/>
  <c r="AW122" i="36"/>
  <c r="AW129" i="36"/>
  <c r="AW133" i="36"/>
  <c r="AW137" i="36"/>
  <c r="AW17" i="36"/>
  <c r="AW87" i="36"/>
  <c r="AW120" i="36"/>
  <c r="AW96" i="36"/>
  <c r="AW31" i="36"/>
  <c r="AW76" i="36"/>
  <c r="AW143" i="36"/>
  <c r="AW78" i="36"/>
  <c r="AW68" i="36"/>
  <c r="AW90" i="36"/>
  <c r="AW149" i="36"/>
  <c r="AW145" i="36"/>
  <c r="AW34" i="36"/>
  <c r="AW11" i="36"/>
  <c r="AW61" i="36"/>
  <c r="AW140" i="36"/>
  <c r="AW66" i="36"/>
  <c r="AX118" i="36"/>
  <c r="AX32" i="36"/>
  <c r="AX151" i="36"/>
  <c r="AX119" i="36"/>
  <c r="AX122" i="36"/>
  <c r="AX129" i="36"/>
  <c r="AX133" i="36"/>
  <c r="AX137" i="36"/>
  <c r="AX17" i="36"/>
  <c r="AX87" i="36"/>
  <c r="AX120" i="36"/>
  <c r="AX96" i="36"/>
  <c r="AX31" i="36"/>
  <c r="AX76" i="36"/>
  <c r="AX143" i="36"/>
  <c r="AX78" i="36"/>
  <c r="AX68" i="36"/>
  <c r="AX90" i="36"/>
  <c r="AX149" i="36"/>
  <c r="AX145" i="36"/>
  <c r="AX34" i="36"/>
  <c r="AX11" i="36"/>
  <c r="AX61" i="36"/>
  <c r="AX140" i="36"/>
  <c r="AX66" i="36"/>
  <c r="AY118" i="36"/>
  <c r="AY32" i="36"/>
  <c r="AY151" i="36"/>
  <c r="AY119" i="36"/>
  <c r="AY122" i="36"/>
  <c r="AY129" i="36"/>
  <c r="AY133" i="36"/>
  <c r="AY137" i="36"/>
  <c r="AY17" i="36"/>
  <c r="AY87" i="36"/>
  <c r="AY120" i="36"/>
  <c r="AY96" i="36"/>
  <c r="AY31" i="36"/>
  <c r="AY76" i="36"/>
  <c r="AY143" i="36"/>
  <c r="AY78" i="36"/>
  <c r="AY68" i="36"/>
  <c r="AY90" i="36"/>
  <c r="AY149" i="36"/>
  <c r="AY145" i="36"/>
  <c r="AY34" i="36"/>
  <c r="AY11" i="36"/>
  <c r="AY61" i="36"/>
  <c r="AY140" i="36"/>
  <c r="AY66" i="36"/>
  <c r="AZ118" i="36"/>
  <c r="AZ32" i="36"/>
  <c r="AZ151" i="36"/>
  <c r="AZ119" i="36"/>
  <c r="AZ122" i="36"/>
  <c r="AZ129" i="36"/>
  <c r="AZ133" i="36"/>
  <c r="AZ137" i="36"/>
  <c r="AZ17" i="36"/>
  <c r="AZ87" i="36"/>
  <c r="AZ120" i="36"/>
  <c r="AZ96" i="36"/>
  <c r="AZ31" i="36"/>
  <c r="AZ76" i="36"/>
  <c r="AZ143" i="36"/>
  <c r="AZ78" i="36"/>
  <c r="AZ68" i="36"/>
  <c r="AZ90" i="36"/>
  <c r="AZ149" i="36"/>
  <c r="AZ145" i="36"/>
  <c r="AZ34" i="36"/>
  <c r="AZ11" i="36"/>
  <c r="AZ61" i="36"/>
  <c r="AZ140" i="36"/>
  <c r="AZ66" i="36"/>
  <c r="BA118" i="36"/>
  <c r="BA32" i="36"/>
  <c r="BA151" i="36"/>
  <c r="BA119" i="36"/>
  <c r="BA122" i="36"/>
  <c r="BA129" i="36"/>
  <c r="BA133" i="36"/>
  <c r="BA137" i="36"/>
  <c r="BA17" i="36"/>
  <c r="BA87" i="36"/>
  <c r="BA120" i="36"/>
  <c r="BA96" i="36"/>
  <c r="BA31" i="36"/>
  <c r="BA76" i="36"/>
  <c r="BA143" i="36"/>
  <c r="BA78" i="36"/>
  <c r="BA68" i="36"/>
  <c r="BA90" i="36"/>
  <c r="BA149" i="36"/>
  <c r="BA145" i="36"/>
  <c r="BA34" i="36"/>
  <c r="BA11" i="36"/>
  <c r="BA61" i="36"/>
  <c r="BA140" i="36"/>
  <c r="BA66" i="36"/>
  <c r="BB118" i="36"/>
  <c r="BB32" i="36"/>
  <c r="BB151" i="36"/>
  <c r="BB119" i="36"/>
  <c r="BB122" i="36"/>
  <c r="BB129" i="36"/>
  <c r="BB133" i="36"/>
  <c r="BB137" i="36"/>
  <c r="BB17" i="36"/>
  <c r="BB87" i="36"/>
  <c r="BB120" i="36"/>
  <c r="BB96" i="36"/>
  <c r="BB31" i="36"/>
  <c r="BB76" i="36"/>
  <c r="BB143" i="36"/>
  <c r="BB78" i="36"/>
  <c r="BB68" i="36"/>
  <c r="BB90" i="36"/>
  <c r="BB149" i="36"/>
  <c r="BB145" i="36"/>
  <c r="BB34" i="36"/>
  <c r="BB11" i="36"/>
  <c r="BB61" i="36"/>
  <c r="BB140" i="36"/>
  <c r="BB66" i="36"/>
  <c r="BC118" i="36"/>
  <c r="BC32" i="36"/>
  <c r="BC151" i="36"/>
  <c r="BC119" i="36"/>
  <c r="BC122" i="36"/>
  <c r="BC129" i="36"/>
  <c r="BC133" i="36"/>
  <c r="BC137" i="36"/>
  <c r="BC17" i="36"/>
  <c r="BC87" i="36"/>
  <c r="BC120" i="36"/>
  <c r="BC96" i="36"/>
  <c r="BC31" i="36"/>
  <c r="BC76" i="36"/>
  <c r="BC143" i="36"/>
  <c r="BC78" i="36"/>
  <c r="BC68" i="36"/>
  <c r="BC90" i="36"/>
  <c r="BC149" i="36"/>
  <c r="BC145" i="36"/>
  <c r="BC34" i="36"/>
  <c r="BC11" i="36"/>
  <c r="BC61" i="36"/>
  <c r="BC140" i="36"/>
  <c r="BC66" i="36"/>
  <c r="BD118" i="36"/>
  <c r="BD32" i="36"/>
  <c r="BD151" i="36"/>
  <c r="BD119" i="36"/>
  <c r="BD122" i="36"/>
  <c r="BD129" i="36"/>
  <c r="BD133" i="36"/>
  <c r="BD137" i="36"/>
  <c r="BD17" i="36"/>
  <c r="BD87" i="36"/>
  <c r="BD120" i="36"/>
  <c r="BD96" i="36"/>
  <c r="BD31" i="36"/>
  <c r="BD76" i="36"/>
  <c r="BD143" i="36"/>
  <c r="BD78" i="36"/>
  <c r="BD68" i="36"/>
  <c r="BD90" i="36"/>
  <c r="BD149" i="36"/>
  <c r="BD145" i="36"/>
  <c r="BD34" i="36"/>
  <c r="BD11" i="36"/>
  <c r="BD61" i="36"/>
  <c r="BD140" i="36"/>
  <c r="BD66" i="36"/>
  <c r="BG118" i="36"/>
  <c r="BG32" i="36"/>
  <c r="BG151" i="36"/>
  <c r="BG119" i="36"/>
  <c r="BG122" i="36"/>
  <c r="BG129" i="36"/>
  <c r="BG133" i="36"/>
  <c r="BG137" i="36"/>
  <c r="BG17" i="36"/>
  <c r="BG87" i="36"/>
  <c r="BG120" i="36"/>
  <c r="BG96" i="36"/>
  <c r="BG31" i="36"/>
  <c r="BG76" i="36"/>
  <c r="BG143" i="36"/>
  <c r="BG78" i="36"/>
  <c r="BG68" i="36"/>
  <c r="BG90" i="36"/>
  <c r="BG149" i="36"/>
  <c r="BG145" i="36"/>
  <c r="BG34" i="36"/>
  <c r="BG11" i="36"/>
  <c r="BG61" i="36"/>
  <c r="BG140" i="36"/>
  <c r="BG66" i="36"/>
  <c r="BH118" i="36"/>
  <c r="CX118" i="36" s="1"/>
  <c r="BH32" i="36"/>
  <c r="CX32" i="36" s="1"/>
  <c r="BH151" i="36"/>
  <c r="CX151" i="36" s="1"/>
  <c r="BH119" i="36"/>
  <c r="CX119" i="36" s="1"/>
  <c r="BH122" i="36"/>
  <c r="CX122" i="36" s="1"/>
  <c r="BH129" i="36"/>
  <c r="CX129" i="36" s="1"/>
  <c r="BH133" i="36"/>
  <c r="CX133" i="36" s="1"/>
  <c r="BH137" i="36"/>
  <c r="CX137" i="36" s="1"/>
  <c r="BH17" i="36"/>
  <c r="BH87" i="36"/>
  <c r="CX87" i="36" s="1"/>
  <c r="BH120" i="36"/>
  <c r="CX120" i="36" s="1"/>
  <c r="BH96" i="36"/>
  <c r="BH31" i="36"/>
  <c r="CX31" i="36" s="1"/>
  <c r="BH76" i="36"/>
  <c r="CX76" i="36" s="1"/>
  <c r="BH143" i="36"/>
  <c r="BH78" i="36"/>
  <c r="CX78" i="36" s="1"/>
  <c r="BH68" i="36"/>
  <c r="CX68" i="36" s="1"/>
  <c r="BH90" i="36"/>
  <c r="CX90" i="36" s="1"/>
  <c r="BH149" i="36"/>
  <c r="BH145" i="36"/>
  <c r="CX145" i="36" s="1"/>
  <c r="BH34" i="36"/>
  <c r="CX34" i="36" s="1"/>
  <c r="BH11" i="36"/>
  <c r="CX11" i="36" s="1"/>
  <c r="BH61" i="36"/>
  <c r="BH140" i="36"/>
  <c r="CX140" i="36" s="1"/>
  <c r="BH66" i="36"/>
  <c r="CX66" i="36" s="1"/>
  <c r="BI118" i="36"/>
  <c r="BI32" i="36"/>
  <c r="BI151" i="36"/>
  <c r="BI119" i="36"/>
  <c r="BI122" i="36"/>
  <c r="BI129" i="36"/>
  <c r="BI133" i="36"/>
  <c r="BI137" i="36"/>
  <c r="BI17" i="36"/>
  <c r="BI87" i="36"/>
  <c r="BI120" i="36"/>
  <c r="BI96" i="36"/>
  <c r="BI31" i="36"/>
  <c r="BI76" i="36"/>
  <c r="BI143" i="36"/>
  <c r="BI78" i="36"/>
  <c r="BI68" i="36"/>
  <c r="BI90" i="36"/>
  <c r="BI149" i="36"/>
  <c r="BI145" i="36"/>
  <c r="BI34" i="36"/>
  <c r="BI11" i="36"/>
  <c r="BI61" i="36"/>
  <c r="BI140" i="36"/>
  <c r="BI66" i="36"/>
  <c r="BJ118" i="36"/>
  <c r="BJ32" i="36"/>
  <c r="BJ151" i="36"/>
  <c r="BJ119" i="36"/>
  <c r="BJ122" i="36"/>
  <c r="BJ129" i="36"/>
  <c r="BJ133" i="36"/>
  <c r="BJ137" i="36"/>
  <c r="BJ17" i="36"/>
  <c r="BJ87" i="36"/>
  <c r="BJ120" i="36"/>
  <c r="BJ96" i="36"/>
  <c r="BJ31" i="36"/>
  <c r="BJ76" i="36"/>
  <c r="BJ143" i="36"/>
  <c r="BJ78" i="36"/>
  <c r="BJ68" i="36"/>
  <c r="BJ90" i="36"/>
  <c r="BJ149" i="36"/>
  <c r="BJ145" i="36"/>
  <c r="BJ34" i="36"/>
  <c r="BJ11" i="36"/>
  <c r="BJ61" i="36"/>
  <c r="BJ140" i="36"/>
  <c r="BJ66" i="36"/>
  <c r="BK118" i="36"/>
  <c r="BK32" i="36"/>
  <c r="BK151" i="36"/>
  <c r="BK119" i="36"/>
  <c r="BK122" i="36"/>
  <c r="BK129" i="36"/>
  <c r="BK133" i="36"/>
  <c r="BK137" i="36"/>
  <c r="BK17" i="36"/>
  <c r="BK87" i="36"/>
  <c r="BK120" i="36"/>
  <c r="BK96" i="36"/>
  <c r="BK31" i="36"/>
  <c r="BK76" i="36"/>
  <c r="BK143" i="36"/>
  <c r="BK78" i="36"/>
  <c r="BK68" i="36"/>
  <c r="BK90" i="36"/>
  <c r="BK149" i="36"/>
  <c r="BK145" i="36"/>
  <c r="BK34" i="36"/>
  <c r="BK11" i="36"/>
  <c r="BK61" i="36"/>
  <c r="BK140" i="36"/>
  <c r="BK66" i="36"/>
  <c r="CW76" i="36" l="1"/>
  <c r="CW32" i="36"/>
  <c r="CW66" i="36"/>
  <c r="CW34" i="36"/>
  <c r="CW68" i="36"/>
  <c r="CW31" i="36"/>
  <c r="CW17" i="36"/>
  <c r="CW122" i="36"/>
  <c r="CW118" i="36"/>
  <c r="CW90" i="36"/>
  <c r="CW87" i="36"/>
  <c r="CW140" i="36"/>
  <c r="CW145" i="36"/>
  <c r="CW78" i="36"/>
  <c r="CW96" i="36"/>
  <c r="CW137" i="36"/>
  <c r="CW119" i="36"/>
  <c r="CW11" i="36"/>
  <c r="CW129" i="36"/>
  <c r="CW61" i="36"/>
  <c r="CW149" i="36"/>
  <c r="CW143" i="36"/>
  <c r="CW120" i="36"/>
  <c r="CW133" i="36"/>
  <c r="CW151" i="36"/>
  <c r="CV11" i="36"/>
  <c r="CV140" i="36"/>
  <c r="CV145" i="36"/>
  <c r="CV78" i="36"/>
  <c r="CV96" i="36"/>
  <c r="CV137" i="36"/>
  <c r="CV119" i="36"/>
  <c r="CV61" i="36"/>
  <c r="CV149" i="36"/>
  <c r="CV143" i="36"/>
  <c r="CV120" i="36"/>
  <c r="CV133" i="36"/>
  <c r="CV151" i="36"/>
  <c r="CV90" i="36"/>
  <c r="CV76" i="36"/>
  <c r="CV87" i="36"/>
  <c r="CV129" i="36"/>
  <c r="CV32" i="36"/>
  <c r="CV66" i="36"/>
  <c r="CV34" i="36"/>
  <c r="CV68" i="36"/>
  <c r="CV31" i="36"/>
  <c r="CV17" i="36"/>
  <c r="CV122" i="36"/>
  <c r="CV118" i="36"/>
  <c r="CX61" i="36"/>
  <c r="CX149" i="36"/>
  <c r="CX143" i="36"/>
  <c r="CX96" i="36"/>
  <c r="CX17" i="36"/>
  <c r="AH54" i="36"/>
  <c r="AI54" i="36"/>
  <c r="AJ54" i="36"/>
  <c r="AK54" i="36"/>
  <c r="AL54" i="36"/>
  <c r="AM54" i="36"/>
  <c r="AN54" i="36"/>
  <c r="AO54" i="36"/>
  <c r="AP54" i="36"/>
  <c r="AQ54" i="36"/>
  <c r="AR54" i="36"/>
  <c r="AS54" i="36"/>
  <c r="AT54" i="36"/>
  <c r="AU54" i="36"/>
  <c r="AV54" i="36"/>
  <c r="AW54" i="36"/>
  <c r="AX54" i="36"/>
  <c r="AY54" i="36"/>
  <c r="AZ54" i="36"/>
  <c r="BA54" i="36"/>
  <c r="BB54" i="36"/>
  <c r="BC54" i="36"/>
  <c r="BD54" i="36"/>
  <c r="BG54" i="36"/>
  <c r="BH54" i="36"/>
  <c r="CX54" i="36" s="1"/>
  <c r="BI54" i="36"/>
  <c r="BJ54" i="36"/>
  <c r="BK54" i="36"/>
  <c r="AH56" i="36"/>
  <c r="AI56" i="36"/>
  <c r="AJ56" i="36"/>
  <c r="AK56" i="36"/>
  <c r="AL56" i="36"/>
  <c r="AM56" i="36"/>
  <c r="AN56" i="36"/>
  <c r="AO56" i="36"/>
  <c r="AP56" i="36"/>
  <c r="AQ56" i="36"/>
  <c r="AR56" i="36"/>
  <c r="AS56" i="36"/>
  <c r="AT56" i="36"/>
  <c r="AU56" i="36"/>
  <c r="AV56" i="36"/>
  <c r="AW56" i="36"/>
  <c r="AX56" i="36"/>
  <c r="AY56" i="36"/>
  <c r="AZ56" i="36"/>
  <c r="BA56" i="36"/>
  <c r="BB56" i="36"/>
  <c r="BC56" i="36"/>
  <c r="BD56" i="36"/>
  <c r="BG56" i="36"/>
  <c r="BH56" i="36"/>
  <c r="CX56" i="36" s="1"/>
  <c r="BI56" i="36"/>
  <c r="BJ56" i="36"/>
  <c r="BK56" i="36"/>
  <c r="AH57" i="36"/>
  <c r="AI57" i="36"/>
  <c r="AJ57" i="36"/>
  <c r="AK57" i="36"/>
  <c r="AL57" i="36"/>
  <c r="AM57" i="36"/>
  <c r="AN57" i="36"/>
  <c r="AO57" i="36"/>
  <c r="AP57" i="36"/>
  <c r="AQ57" i="36"/>
  <c r="AR57" i="36"/>
  <c r="AS57" i="36"/>
  <c r="AT57" i="36"/>
  <c r="AU57" i="36"/>
  <c r="AV57" i="36"/>
  <c r="AW57" i="36"/>
  <c r="AX57" i="36"/>
  <c r="AY57" i="36"/>
  <c r="AZ57" i="36"/>
  <c r="BA57" i="36"/>
  <c r="BB57" i="36"/>
  <c r="BC57" i="36"/>
  <c r="BD57" i="36"/>
  <c r="BG57" i="36"/>
  <c r="BH57" i="36"/>
  <c r="CX57" i="36" s="1"/>
  <c r="BI57" i="36"/>
  <c r="BJ57" i="36"/>
  <c r="BK57" i="36"/>
  <c r="AH59" i="36"/>
  <c r="AI59" i="36"/>
  <c r="AJ59" i="36"/>
  <c r="AK59" i="36"/>
  <c r="AL59" i="36"/>
  <c r="AM59" i="36"/>
  <c r="AN59" i="36"/>
  <c r="AO59" i="36"/>
  <c r="AP59" i="36"/>
  <c r="AQ59" i="36"/>
  <c r="AR59" i="36"/>
  <c r="AS59" i="36"/>
  <c r="AT59" i="36"/>
  <c r="AU59" i="36"/>
  <c r="AV59" i="36"/>
  <c r="AW59" i="36"/>
  <c r="AX59" i="36"/>
  <c r="AY59" i="36"/>
  <c r="AZ59" i="36"/>
  <c r="BA59" i="36"/>
  <c r="BB59" i="36"/>
  <c r="BC59" i="36"/>
  <c r="BD59" i="36"/>
  <c r="BG59" i="36"/>
  <c r="BH59" i="36"/>
  <c r="CX59" i="36" s="1"/>
  <c r="BI59" i="36"/>
  <c r="BJ59" i="36"/>
  <c r="BK59" i="36"/>
  <c r="AH142" i="36"/>
  <c r="AI142" i="36"/>
  <c r="AJ142" i="36"/>
  <c r="AK142" i="36"/>
  <c r="AL142" i="36"/>
  <c r="AM142" i="36"/>
  <c r="AN142" i="36"/>
  <c r="AO142" i="36"/>
  <c r="AP142" i="36"/>
  <c r="AQ142" i="36"/>
  <c r="AR142" i="36"/>
  <c r="AS142" i="36"/>
  <c r="AT142" i="36"/>
  <c r="AU142" i="36"/>
  <c r="AV142" i="36"/>
  <c r="AW142" i="36"/>
  <c r="AX142" i="36"/>
  <c r="AY142" i="36"/>
  <c r="AZ142" i="36"/>
  <c r="BA142" i="36"/>
  <c r="BB142" i="36"/>
  <c r="BC142" i="36"/>
  <c r="BD142" i="36"/>
  <c r="BG142" i="36"/>
  <c r="BH142" i="36"/>
  <c r="CX142" i="36" s="1"/>
  <c r="BI142" i="36"/>
  <c r="BJ142" i="36"/>
  <c r="BK142" i="36"/>
  <c r="AH72" i="36"/>
  <c r="AI72" i="36"/>
  <c r="AJ72" i="36"/>
  <c r="AK72" i="36"/>
  <c r="AL72" i="36"/>
  <c r="AM72" i="36"/>
  <c r="AN72" i="36"/>
  <c r="AO72" i="36"/>
  <c r="AP72" i="36"/>
  <c r="AQ72" i="36"/>
  <c r="AR72" i="36"/>
  <c r="AS72" i="36"/>
  <c r="AT72" i="36"/>
  <c r="AU72" i="36"/>
  <c r="AV72" i="36"/>
  <c r="AW72" i="36"/>
  <c r="AX72" i="36"/>
  <c r="AY72" i="36"/>
  <c r="AZ72" i="36"/>
  <c r="BA72" i="36"/>
  <c r="BB72" i="36"/>
  <c r="BC72" i="36"/>
  <c r="BD72" i="36"/>
  <c r="BG72" i="36"/>
  <c r="BH72" i="36"/>
  <c r="CX72" i="36" s="1"/>
  <c r="BI72" i="36"/>
  <c r="BJ72" i="36"/>
  <c r="BK72" i="36"/>
  <c r="AH79" i="36"/>
  <c r="AI79" i="36"/>
  <c r="AJ79" i="36"/>
  <c r="AK79" i="36"/>
  <c r="AL79" i="36"/>
  <c r="AM79" i="36"/>
  <c r="AN79" i="36"/>
  <c r="AO79" i="36"/>
  <c r="AP79" i="36"/>
  <c r="AQ79" i="36"/>
  <c r="AR79" i="36"/>
  <c r="AS79" i="36"/>
  <c r="AT79" i="36"/>
  <c r="AU79" i="36"/>
  <c r="AV79" i="36"/>
  <c r="AW79" i="36"/>
  <c r="AX79" i="36"/>
  <c r="AY79" i="36"/>
  <c r="AZ79" i="36"/>
  <c r="BA79" i="36"/>
  <c r="BB79" i="36"/>
  <c r="BC79" i="36"/>
  <c r="BD79" i="36"/>
  <c r="BG79" i="36"/>
  <c r="BH79" i="36"/>
  <c r="CX79" i="36" s="1"/>
  <c r="BI79" i="36"/>
  <c r="BJ79" i="36"/>
  <c r="BK79" i="36"/>
  <c r="AH81" i="36"/>
  <c r="AI81" i="36"/>
  <c r="AJ81" i="36"/>
  <c r="AK81" i="36"/>
  <c r="AL81" i="36"/>
  <c r="AM81" i="36"/>
  <c r="AN81" i="36"/>
  <c r="AO81" i="36"/>
  <c r="AP81" i="36"/>
  <c r="AQ81" i="36"/>
  <c r="AR81" i="36"/>
  <c r="AS81" i="36"/>
  <c r="AT81" i="36"/>
  <c r="AU81" i="36"/>
  <c r="AV81" i="36"/>
  <c r="AW81" i="36"/>
  <c r="AX81" i="36"/>
  <c r="AY81" i="36"/>
  <c r="AZ81" i="36"/>
  <c r="BA81" i="36"/>
  <c r="BB81" i="36"/>
  <c r="BC81" i="36"/>
  <c r="BD81" i="36"/>
  <c r="BG81" i="36"/>
  <c r="BH81" i="36"/>
  <c r="CX81" i="36" s="1"/>
  <c r="BI81" i="36"/>
  <c r="BJ81" i="36"/>
  <c r="BK81" i="36"/>
  <c r="AH85" i="36"/>
  <c r="AI85" i="36"/>
  <c r="AJ85" i="36"/>
  <c r="AK85" i="36"/>
  <c r="AL85" i="36"/>
  <c r="AM85" i="36"/>
  <c r="AN85" i="36"/>
  <c r="AO85" i="36"/>
  <c r="AP85" i="36"/>
  <c r="AQ85" i="36"/>
  <c r="AR85" i="36"/>
  <c r="AS85" i="36"/>
  <c r="AT85" i="36"/>
  <c r="AU85" i="36"/>
  <c r="AV85" i="36"/>
  <c r="AW85" i="36"/>
  <c r="AX85" i="36"/>
  <c r="AY85" i="36"/>
  <c r="AZ85" i="36"/>
  <c r="BA85" i="36"/>
  <c r="BB85" i="36"/>
  <c r="BC85" i="36"/>
  <c r="BD85" i="36"/>
  <c r="BG85" i="36"/>
  <c r="BH85" i="36"/>
  <c r="CX85" i="36" s="1"/>
  <c r="BI85" i="36"/>
  <c r="BJ85" i="36"/>
  <c r="BK85" i="36"/>
  <c r="AH86" i="36"/>
  <c r="AJ86" i="36"/>
  <c r="AK86" i="36"/>
  <c r="AL86" i="36"/>
  <c r="AM86" i="36"/>
  <c r="AN86" i="36"/>
  <c r="AO86" i="36"/>
  <c r="AP86" i="36"/>
  <c r="AQ86" i="36"/>
  <c r="AR86" i="36"/>
  <c r="AS86" i="36"/>
  <c r="AT86" i="36"/>
  <c r="AU86" i="36"/>
  <c r="AV86" i="36"/>
  <c r="AW86" i="36"/>
  <c r="AX86" i="36"/>
  <c r="AY86" i="36"/>
  <c r="AZ86" i="36"/>
  <c r="BA86" i="36"/>
  <c r="BB86" i="36"/>
  <c r="BC86" i="36"/>
  <c r="BD86" i="36"/>
  <c r="BG86" i="36"/>
  <c r="BH86" i="36"/>
  <c r="CX86" i="36" s="1"/>
  <c r="BI86" i="36"/>
  <c r="BJ86" i="36"/>
  <c r="BK86" i="36"/>
  <c r="AH93" i="36"/>
  <c r="AI93" i="36"/>
  <c r="AJ93" i="36"/>
  <c r="AK93" i="36"/>
  <c r="AL93" i="36"/>
  <c r="AM93" i="36"/>
  <c r="AN93" i="36"/>
  <c r="AO93" i="36"/>
  <c r="AP93" i="36"/>
  <c r="AQ93" i="36"/>
  <c r="AR93" i="36"/>
  <c r="AS93" i="36"/>
  <c r="AT93" i="36"/>
  <c r="AU93" i="36"/>
  <c r="AV93" i="36"/>
  <c r="AW93" i="36"/>
  <c r="AX93" i="36"/>
  <c r="AY93" i="36"/>
  <c r="AZ93" i="36"/>
  <c r="BA93" i="36"/>
  <c r="BB93" i="36"/>
  <c r="BC93" i="36"/>
  <c r="BD93" i="36"/>
  <c r="BG93" i="36"/>
  <c r="BH93" i="36"/>
  <c r="CX93" i="36" s="1"/>
  <c r="BI93" i="36"/>
  <c r="BJ93" i="36"/>
  <c r="BK93" i="36"/>
  <c r="AH98" i="36"/>
  <c r="AI98" i="36"/>
  <c r="AJ98" i="36"/>
  <c r="AK98" i="36"/>
  <c r="AL98" i="36"/>
  <c r="AM98" i="36"/>
  <c r="AN98" i="36"/>
  <c r="AO98" i="36"/>
  <c r="AP98" i="36"/>
  <c r="AQ98" i="36"/>
  <c r="AR98" i="36"/>
  <c r="AS98" i="36"/>
  <c r="AT98" i="36"/>
  <c r="AU98" i="36"/>
  <c r="AV98" i="36"/>
  <c r="AW98" i="36"/>
  <c r="AX98" i="36"/>
  <c r="AY98" i="36"/>
  <c r="AZ98" i="36"/>
  <c r="BA98" i="36"/>
  <c r="BB98" i="36"/>
  <c r="BC98" i="36"/>
  <c r="BD98" i="36"/>
  <c r="BG98" i="36"/>
  <c r="BH98" i="36"/>
  <c r="CX98" i="36" s="1"/>
  <c r="BI98" i="36"/>
  <c r="BJ98" i="36"/>
  <c r="BK98" i="36"/>
  <c r="AH101" i="36"/>
  <c r="AI101" i="36"/>
  <c r="AJ101" i="36"/>
  <c r="AK101" i="36"/>
  <c r="AL101" i="36"/>
  <c r="AM101" i="36"/>
  <c r="AN101" i="36"/>
  <c r="AO101" i="36"/>
  <c r="AP101" i="36"/>
  <c r="AQ101" i="36"/>
  <c r="AR101" i="36"/>
  <c r="AS101" i="36"/>
  <c r="AT101" i="36"/>
  <c r="AU101" i="36"/>
  <c r="AV101" i="36"/>
  <c r="AW101" i="36"/>
  <c r="AX101" i="36"/>
  <c r="AY101" i="36"/>
  <c r="AZ101" i="36"/>
  <c r="BA101" i="36"/>
  <c r="BB101" i="36"/>
  <c r="BC101" i="36"/>
  <c r="BD101" i="36"/>
  <c r="BG101" i="36"/>
  <c r="BH101" i="36"/>
  <c r="CX101" i="36" s="1"/>
  <c r="BI101" i="36"/>
  <c r="BJ101" i="36"/>
  <c r="BK101" i="36"/>
  <c r="AH70" i="36"/>
  <c r="AI70" i="36"/>
  <c r="AJ70" i="36"/>
  <c r="AK70" i="36"/>
  <c r="AL70" i="36"/>
  <c r="AM70" i="36"/>
  <c r="AN70" i="36"/>
  <c r="AO70" i="36"/>
  <c r="AP70" i="36"/>
  <c r="AQ70" i="36"/>
  <c r="AR70" i="36"/>
  <c r="AS70" i="36"/>
  <c r="AT70" i="36"/>
  <c r="AU70" i="36"/>
  <c r="AV70" i="36"/>
  <c r="AW70" i="36"/>
  <c r="AX70" i="36"/>
  <c r="AY70" i="36"/>
  <c r="AZ70" i="36"/>
  <c r="BA70" i="36"/>
  <c r="BB70" i="36"/>
  <c r="BC70" i="36"/>
  <c r="BD70" i="36"/>
  <c r="BG70" i="36"/>
  <c r="BH70" i="36"/>
  <c r="CX70" i="36" s="1"/>
  <c r="BI70" i="36"/>
  <c r="BJ70" i="36"/>
  <c r="BK70" i="36"/>
  <c r="AH99" i="36"/>
  <c r="AI99" i="36"/>
  <c r="AJ99" i="36"/>
  <c r="AK99" i="36"/>
  <c r="AL99" i="36"/>
  <c r="AM99" i="36"/>
  <c r="AN99" i="36"/>
  <c r="AO99" i="36"/>
  <c r="AP99" i="36"/>
  <c r="AQ99" i="36"/>
  <c r="AR99" i="36"/>
  <c r="AS99" i="36"/>
  <c r="AT99" i="36"/>
  <c r="AU99" i="36"/>
  <c r="AV99" i="36"/>
  <c r="AW99" i="36"/>
  <c r="AX99" i="36"/>
  <c r="AY99" i="36"/>
  <c r="AZ99" i="36"/>
  <c r="BA99" i="36"/>
  <c r="BB99" i="36"/>
  <c r="BC99" i="36"/>
  <c r="BD99" i="36"/>
  <c r="BG99" i="36"/>
  <c r="BH99" i="36"/>
  <c r="CX99" i="36" s="1"/>
  <c r="BI99" i="36"/>
  <c r="BJ99" i="36"/>
  <c r="BK99" i="36"/>
  <c r="CW85" i="36" l="1"/>
  <c r="CW81" i="36"/>
  <c r="CW79" i="36"/>
  <c r="CW72" i="36"/>
  <c r="CW142" i="36"/>
  <c r="CW59" i="36"/>
  <c r="CW57" i="36"/>
  <c r="CW56" i="36"/>
  <c r="CW54" i="36"/>
  <c r="CW99" i="36"/>
  <c r="CW70" i="36"/>
  <c r="CW101" i="36"/>
  <c r="CW98" i="36"/>
  <c r="CW93" i="36"/>
  <c r="CW86" i="36"/>
  <c r="CV86" i="36"/>
  <c r="CV85" i="36"/>
  <c r="CV79" i="36"/>
  <c r="CV72" i="36"/>
  <c r="CV56" i="36"/>
  <c r="CV54" i="36"/>
  <c r="CV70" i="36"/>
  <c r="CV101" i="36"/>
  <c r="CV81" i="36"/>
  <c r="CV142" i="36"/>
  <c r="CV59" i="36"/>
  <c r="CV57" i="36"/>
  <c r="CV99" i="36"/>
  <c r="CV98" i="36"/>
  <c r="CV93" i="36"/>
  <c r="CW11" i="6" l="1"/>
  <c r="CV11" i="6"/>
  <c r="BC11" i="4"/>
  <c r="BC12" i="4"/>
  <c r="BC13" i="4"/>
  <c r="BC14" i="4"/>
  <c r="BC15" i="4"/>
  <c r="BC16" i="4"/>
  <c r="BC17" i="4"/>
  <c r="BC18" i="4"/>
  <c r="BC19" i="4"/>
  <c r="BC20" i="4"/>
  <c r="BC21" i="4"/>
  <c r="BC22" i="4"/>
  <c r="BC23" i="4"/>
  <c r="BC24" i="4"/>
  <c r="BC25" i="4"/>
  <c r="BC26" i="4"/>
  <c r="BC27" i="4"/>
  <c r="BC28" i="4"/>
  <c r="BC29" i="4"/>
  <c r="BC30" i="4"/>
  <c r="BC110" i="36"/>
  <c r="BC115" i="36"/>
  <c r="BC75" i="36"/>
  <c r="BC46" i="36"/>
  <c r="BC63" i="36"/>
  <c r="BC69" i="36"/>
  <c r="BC128" i="36"/>
  <c r="BC74" i="36"/>
  <c r="BC88" i="36"/>
  <c r="BC147" i="36"/>
  <c r="BC80" i="36"/>
  <c r="BC15" i="36"/>
  <c r="BC16" i="36"/>
  <c r="BC19" i="36"/>
  <c r="BC29" i="36"/>
  <c r="BC33" i="36"/>
  <c r="BC40" i="36"/>
  <c r="BC25" i="36"/>
  <c r="BC35" i="36"/>
  <c r="BC144" i="36"/>
  <c r="BC108" i="36"/>
  <c r="BC111" i="36"/>
  <c r="BC112" i="36"/>
  <c r="AH110" i="36"/>
  <c r="AI110" i="36"/>
  <c r="AJ110" i="36"/>
  <c r="AK110" i="36"/>
  <c r="AL110" i="36"/>
  <c r="AM110" i="36"/>
  <c r="AN110" i="36"/>
  <c r="AO110" i="36"/>
  <c r="AP110" i="36"/>
  <c r="AQ110" i="36"/>
  <c r="AR110" i="36"/>
  <c r="AS110" i="36"/>
  <c r="AT110" i="36"/>
  <c r="AU110" i="36"/>
  <c r="AV110" i="36"/>
  <c r="AW110" i="36"/>
  <c r="AX110" i="36"/>
  <c r="AY110" i="36"/>
  <c r="AZ110" i="36"/>
  <c r="BB110" i="36"/>
  <c r="BA110" i="36"/>
  <c r="BD110" i="36"/>
  <c r="BG110" i="36"/>
  <c r="BH110" i="36"/>
  <c r="CX110" i="36" s="1"/>
  <c r="BI110" i="36"/>
  <c r="BJ110" i="36"/>
  <c r="BK110" i="36"/>
  <c r="AH115" i="36"/>
  <c r="AH75" i="36"/>
  <c r="AH46" i="36"/>
  <c r="AH63" i="36"/>
  <c r="AH69" i="36"/>
  <c r="AH128" i="36"/>
  <c r="AH74" i="36"/>
  <c r="AH88" i="36"/>
  <c r="AH147" i="36"/>
  <c r="AH80" i="36"/>
  <c r="AH15" i="36"/>
  <c r="AH16" i="36"/>
  <c r="AH19" i="36"/>
  <c r="AH29" i="36"/>
  <c r="AH33" i="36"/>
  <c r="AH40" i="36"/>
  <c r="AH25" i="36"/>
  <c r="AH35" i="36"/>
  <c r="AH144" i="36"/>
  <c r="AH108" i="36"/>
  <c r="AH111" i="36"/>
  <c r="AH112" i="36"/>
  <c r="AI115" i="36"/>
  <c r="AI75" i="36"/>
  <c r="AI46" i="36"/>
  <c r="AI63" i="36"/>
  <c r="AI69" i="36"/>
  <c r="AI128" i="36"/>
  <c r="AI74" i="36"/>
  <c r="AI88" i="36"/>
  <c r="AI147" i="36"/>
  <c r="AI80" i="36"/>
  <c r="AI15" i="36"/>
  <c r="AI16" i="36"/>
  <c r="AI19" i="36"/>
  <c r="AI29" i="36"/>
  <c r="AI33" i="36"/>
  <c r="AI40" i="36"/>
  <c r="AI25" i="36"/>
  <c r="AI35" i="36"/>
  <c r="AI144" i="36"/>
  <c r="AI108" i="36"/>
  <c r="AI111" i="36"/>
  <c r="AI112" i="36"/>
  <c r="AJ115" i="36"/>
  <c r="AJ75" i="36"/>
  <c r="AJ46" i="36"/>
  <c r="AJ63" i="36"/>
  <c r="AJ69" i="36"/>
  <c r="AJ128" i="36"/>
  <c r="AJ74" i="36"/>
  <c r="AJ88" i="36"/>
  <c r="AJ147" i="36"/>
  <c r="AJ80" i="36"/>
  <c r="AJ15" i="36"/>
  <c r="AJ16" i="36"/>
  <c r="AJ19" i="36"/>
  <c r="AJ29" i="36"/>
  <c r="AJ33" i="36"/>
  <c r="AJ40" i="36"/>
  <c r="AJ25" i="36"/>
  <c r="AJ35" i="36"/>
  <c r="AJ144" i="36"/>
  <c r="AJ108" i="36"/>
  <c r="AJ111" i="36"/>
  <c r="AJ112" i="36"/>
  <c r="AK115" i="36"/>
  <c r="AK75" i="36"/>
  <c r="AK46" i="36"/>
  <c r="AK63" i="36"/>
  <c r="AK69" i="36"/>
  <c r="AK128" i="36"/>
  <c r="AK74" i="36"/>
  <c r="AK88" i="36"/>
  <c r="AK147" i="36"/>
  <c r="AK80" i="36"/>
  <c r="AK15" i="36"/>
  <c r="AK16" i="36"/>
  <c r="AK19" i="36"/>
  <c r="AK29" i="36"/>
  <c r="AK33" i="36"/>
  <c r="AK40" i="36"/>
  <c r="AK25" i="36"/>
  <c r="AK35" i="36"/>
  <c r="AK144" i="36"/>
  <c r="AK108" i="36"/>
  <c r="AK111" i="36"/>
  <c r="AK112" i="36"/>
  <c r="AL115" i="36"/>
  <c r="AL75" i="36"/>
  <c r="AL46" i="36"/>
  <c r="AL63" i="36"/>
  <c r="AL69" i="36"/>
  <c r="AL128" i="36"/>
  <c r="AL74" i="36"/>
  <c r="AL88" i="36"/>
  <c r="AL147" i="36"/>
  <c r="AL80" i="36"/>
  <c r="AL15" i="36"/>
  <c r="AL16" i="36"/>
  <c r="AL19" i="36"/>
  <c r="AL29" i="36"/>
  <c r="AL33" i="36"/>
  <c r="AL40" i="36"/>
  <c r="AL25" i="36"/>
  <c r="AL35" i="36"/>
  <c r="AL144" i="36"/>
  <c r="AL108" i="36"/>
  <c r="AL111" i="36"/>
  <c r="AL112" i="36"/>
  <c r="AM115" i="36"/>
  <c r="AM75" i="36"/>
  <c r="AM46" i="36"/>
  <c r="AM63" i="36"/>
  <c r="AM69" i="36"/>
  <c r="AM128" i="36"/>
  <c r="AM74" i="36"/>
  <c r="AM88" i="36"/>
  <c r="AM147" i="36"/>
  <c r="AM80" i="36"/>
  <c r="AM15" i="36"/>
  <c r="AM16" i="36"/>
  <c r="AM19" i="36"/>
  <c r="AM29" i="36"/>
  <c r="AM33" i="36"/>
  <c r="AM40" i="36"/>
  <c r="AM25" i="36"/>
  <c r="AM35" i="36"/>
  <c r="AM144" i="36"/>
  <c r="AM108" i="36"/>
  <c r="AM111" i="36"/>
  <c r="AM112" i="36"/>
  <c r="AN115" i="36"/>
  <c r="AN75" i="36"/>
  <c r="AN46" i="36"/>
  <c r="AN63" i="36"/>
  <c r="AN69" i="36"/>
  <c r="AN128" i="36"/>
  <c r="AN74" i="36"/>
  <c r="AN88" i="36"/>
  <c r="AN147" i="36"/>
  <c r="AN80" i="36"/>
  <c r="AN15" i="36"/>
  <c r="AN16" i="36"/>
  <c r="AN19" i="36"/>
  <c r="AN29" i="36"/>
  <c r="AN33" i="36"/>
  <c r="AN40" i="36"/>
  <c r="AN25" i="36"/>
  <c r="AN35" i="36"/>
  <c r="AN144" i="36"/>
  <c r="AN108" i="36"/>
  <c r="AN111" i="36"/>
  <c r="AN112" i="36"/>
  <c r="AO115" i="36"/>
  <c r="AO75" i="36"/>
  <c r="AO46" i="36"/>
  <c r="AO63" i="36"/>
  <c r="AO69" i="36"/>
  <c r="AO74" i="36"/>
  <c r="AO88" i="36"/>
  <c r="AO147" i="36"/>
  <c r="AO80" i="36"/>
  <c r="AO15" i="36"/>
  <c r="AO16" i="36"/>
  <c r="AO19" i="36"/>
  <c r="AO29" i="36"/>
  <c r="AO33" i="36"/>
  <c r="AO40" i="36"/>
  <c r="AO25" i="36"/>
  <c r="AO35" i="36"/>
  <c r="AO144" i="36"/>
  <c r="AO108" i="36"/>
  <c r="AO111" i="36"/>
  <c r="AO112" i="36"/>
  <c r="AP115" i="36"/>
  <c r="AP75" i="36"/>
  <c r="AP46" i="36"/>
  <c r="AP63" i="36"/>
  <c r="AP69" i="36"/>
  <c r="AP128" i="36"/>
  <c r="AP74" i="36"/>
  <c r="AP88" i="36"/>
  <c r="AP147" i="36"/>
  <c r="AP80" i="36"/>
  <c r="AP15" i="36"/>
  <c r="AP16" i="36"/>
  <c r="AP19" i="36"/>
  <c r="AP29" i="36"/>
  <c r="AP33" i="36"/>
  <c r="AP40" i="36"/>
  <c r="AP25" i="36"/>
  <c r="AP35" i="36"/>
  <c r="AP144" i="36"/>
  <c r="AP108" i="36"/>
  <c r="AP111" i="36"/>
  <c r="AP112" i="36"/>
  <c r="AQ115" i="36"/>
  <c r="AQ75" i="36"/>
  <c r="AQ46" i="36"/>
  <c r="AQ63" i="36"/>
  <c r="AQ69" i="36"/>
  <c r="AQ128" i="36"/>
  <c r="AQ74" i="36"/>
  <c r="AQ88" i="36"/>
  <c r="AQ147" i="36"/>
  <c r="AQ80" i="36"/>
  <c r="AQ15" i="36"/>
  <c r="AQ16" i="36"/>
  <c r="AQ19" i="36"/>
  <c r="AQ29" i="36"/>
  <c r="AQ33" i="36"/>
  <c r="AQ40" i="36"/>
  <c r="AQ25" i="36"/>
  <c r="AQ35" i="36"/>
  <c r="AQ144" i="36"/>
  <c r="AQ108" i="36"/>
  <c r="AQ111" i="36"/>
  <c r="AQ112" i="36"/>
  <c r="AR115" i="36"/>
  <c r="AR75" i="36"/>
  <c r="AR46" i="36"/>
  <c r="AR63" i="36"/>
  <c r="AR69" i="36"/>
  <c r="AR128" i="36"/>
  <c r="AR74" i="36"/>
  <c r="AR88" i="36"/>
  <c r="AR147" i="36"/>
  <c r="AR80" i="36"/>
  <c r="AR15" i="36"/>
  <c r="AR16" i="36"/>
  <c r="AR19" i="36"/>
  <c r="AR29" i="36"/>
  <c r="AR33" i="36"/>
  <c r="AR40" i="36"/>
  <c r="AR25" i="36"/>
  <c r="AR35" i="36"/>
  <c r="AR144" i="36"/>
  <c r="AR108" i="36"/>
  <c r="AR111" i="36"/>
  <c r="AR112" i="36"/>
  <c r="AS115" i="36"/>
  <c r="AS75" i="36"/>
  <c r="AS46" i="36"/>
  <c r="AS63" i="36"/>
  <c r="AS69" i="36"/>
  <c r="AS128" i="36"/>
  <c r="AS74" i="36"/>
  <c r="AS88" i="36"/>
  <c r="AS147" i="36"/>
  <c r="AS80" i="36"/>
  <c r="AS15" i="36"/>
  <c r="AS16" i="36"/>
  <c r="AS19" i="36"/>
  <c r="AS29" i="36"/>
  <c r="AS33" i="36"/>
  <c r="AS40" i="36"/>
  <c r="AS25" i="36"/>
  <c r="AS35" i="36"/>
  <c r="AS144" i="36"/>
  <c r="AS108" i="36"/>
  <c r="AS111" i="36"/>
  <c r="AS112" i="36"/>
  <c r="AT115" i="36"/>
  <c r="AT75" i="36"/>
  <c r="AT46" i="36"/>
  <c r="AT63" i="36"/>
  <c r="AT69" i="36"/>
  <c r="AT128" i="36"/>
  <c r="AT74" i="36"/>
  <c r="AT88" i="36"/>
  <c r="AT147" i="36"/>
  <c r="AT80" i="36"/>
  <c r="AT15" i="36"/>
  <c r="AT16" i="36"/>
  <c r="AT19" i="36"/>
  <c r="AT29" i="36"/>
  <c r="AT33" i="36"/>
  <c r="AT40" i="36"/>
  <c r="AT25" i="36"/>
  <c r="AT35" i="36"/>
  <c r="AT144" i="36"/>
  <c r="AT108" i="36"/>
  <c r="AT111" i="36"/>
  <c r="AT112" i="36"/>
  <c r="AU115" i="36"/>
  <c r="AU75" i="36"/>
  <c r="AU46" i="36"/>
  <c r="AU63" i="36"/>
  <c r="AU69" i="36"/>
  <c r="AU128" i="36"/>
  <c r="AU74" i="36"/>
  <c r="AU88" i="36"/>
  <c r="AU147" i="36"/>
  <c r="AU80" i="36"/>
  <c r="AU15" i="36"/>
  <c r="AU16" i="36"/>
  <c r="AU19" i="36"/>
  <c r="AU29" i="36"/>
  <c r="AU33" i="36"/>
  <c r="AU40" i="36"/>
  <c r="AU25" i="36"/>
  <c r="AU35" i="36"/>
  <c r="AU144" i="36"/>
  <c r="AU108" i="36"/>
  <c r="AU111" i="36"/>
  <c r="AU112" i="36"/>
  <c r="AV115" i="36"/>
  <c r="AV75" i="36"/>
  <c r="AV46" i="36"/>
  <c r="AV63" i="36"/>
  <c r="AV69" i="36"/>
  <c r="AV128" i="36"/>
  <c r="AV74" i="36"/>
  <c r="AV88" i="36"/>
  <c r="AV147" i="36"/>
  <c r="AV80" i="36"/>
  <c r="AV15" i="36"/>
  <c r="AV16" i="36"/>
  <c r="AV19" i="36"/>
  <c r="AV29" i="36"/>
  <c r="AV33" i="36"/>
  <c r="AV40" i="36"/>
  <c r="AV25" i="36"/>
  <c r="AV35" i="36"/>
  <c r="AV144" i="36"/>
  <c r="AV108" i="36"/>
  <c r="AV111" i="36"/>
  <c r="AV112" i="36"/>
  <c r="AW115" i="36"/>
  <c r="AW75" i="36"/>
  <c r="AW46" i="36"/>
  <c r="AW63" i="36"/>
  <c r="AW69" i="36"/>
  <c r="AW128" i="36"/>
  <c r="AW74" i="36"/>
  <c r="AW88" i="36"/>
  <c r="AW147" i="36"/>
  <c r="AW80" i="36"/>
  <c r="AW15" i="36"/>
  <c r="AW16" i="36"/>
  <c r="AW19" i="36"/>
  <c r="AW29" i="36"/>
  <c r="AW33" i="36"/>
  <c r="AW40" i="36"/>
  <c r="AW25" i="36"/>
  <c r="AW35" i="36"/>
  <c r="AW144" i="36"/>
  <c r="AW108" i="36"/>
  <c r="AW111" i="36"/>
  <c r="AW112" i="36"/>
  <c r="AX115" i="36"/>
  <c r="AX75" i="36"/>
  <c r="AX46" i="36"/>
  <c r="AX63" i="36"/>
  <c r="AX69" i="36"/>
  <c r="AX128" i="36"/>
  <c r="AX74" i="36"/>
  <c r="AX88" i="36"/>
  <c r="AX147" i="36"/>
  <c r="AX80" i="36"/>
  <c r="AX15" i="36"/>
  <c r="AX16" i="36"/>
  <c r="AX19" i="36"/>
  <c r="AX29" i="36"/>
  <c r="AX33" i="36"/>
  <c r="AX40" i="36"/>
  <c r="AX25" i="36"/>
  <c r="AX35" i="36"/>
  <c r="AX144" i="36"/>
  <c r="AX108" i="36"/>
  <c r="AX111" i="36"/>
  <c r="AX112" i="36"/>
  <c r="AY115" i="36"/>
  <c r="AY75" i="36"/>
  <c r="AY46" i="36"/>
  <c r="AY63" i="36"/>
  <c r="AY69" i="36"/>
  <c r="AY128" i="36"/>
  <c r="AY74" i="36"/>
  <c r="AY88" i="36"/>
  <c r="AY147" i="36"/>
  <c r="AY80" i="36"/>
  <c r="AY15" i="36"/>
  <c r="AY16" i="36"/>
  <c r="AY19" i="36"/>
  <c r="AY29" i="36"/>
  <c r="AY33" i="36"/>
  <c r="AY40" i="36"/>
  <c r="AY25" i="36"/>
  <c r="AY35" i="36"/>
  <c r="AY144" i="36"/>
  <c r="AY108" i="36"/>
  <c r="AY111" i="36"/>
  <c r="AY112" i="36"/>
  <c r="AZ115" i="36"/>
  <c r="AZ75" i="36"/>
  <c r="AZ46" i="36"/>
  <c r="AZ63" i="36"/>
  <c r="AZ69" i="36"/>
  <c r="AZ128" i="36"/>
  <c r="AZ74" i="36"/>
  <c r="AZ88" i="36"/>
  <c r="AZ147" i="36"/>
  <c r="AZ80" i="36"/>
  <c r="AZ15" i="36"/>
  <c r="AZ16" i="36"/>
  <c r="AZ19" i="36"/>
  <c r="AZ29" i="36"/>
  <c r="AZ33" i="36"/>
  <c r="AZ40" i="36"/>
  <c r="AZ25" i="36"/>
  <c r="AZ35" i="36"/>
  <c r="AZ144" i="36"/>
  <c r="AZ108" i="36"/>
  <c r="AZ111" i="36"/>
  <c r="AZ112" i="36"/>
  <c r="BB115" i="36"/>
  <c r="BB75" i="36"/>
  <c r="BB46" i="36"/>
  <c r="BB63" i="36"/>
  <c r="BB69" i="36"/>
  <c r="BB128" i="36"/>
  <c r="BB74" i="36"/>
  <c r="BB88" i="36"/>
  <c r="BB147" i="36"/>
  <c r="BB80" i="36"/>
  <c r="BB15" i="36"/>
  <c r="BB16" i="36"/>
  <c r="BB19" i="36"/>
  <c r="BB29" i="36"/>
  <c r="BB33" i="36"/>
  <c r="BB40" i="36"/>
  <c r="BB25" i="36"/>
  <c r="BB35" i="36"/>
  <c r="BB144" i="36"/>
  <c r="BB108" i="36"/>
  <c r="BB111" i="36"/>
  <c r="BB112" i="36"/>
  <c r="BA115" i="36"/>
  <c r="BA75" i="36"/>
  <c r="BA46" i="36"/>
  <c r="BA63" i="36"/>
  <c r="BA69" i="36"/>
  <c r="BA128" i="36"/>
  <c r="BA74" i="36"/>
  <c r="BA88" i="36"/>
  <c r="BA147" i="36"/>
  <c r="BA80" i="36"/>
  <c r="BA15" i="36"/>
  <c r="BA16" i="36"/>
  <c r="BA19" i="36"/>
  <c r="BA29" i="36"/>
  <c r="BA33" i="36"/>
  <c r="BA40" i="36"/>
  <c r="BA25" i="36"/>
  <c r="BA35" i="36"/>
  <c r="BA144" i="36"/>
  <c r="BA108" i="36"/>
  <c r="BA111" i="36"/>
  <c r="BA112" i="36"/>
  <c r="BD115" i="36"/>
  <c r="BD75" i="36"/>
  <c r="BD46" i="36"/>
  <c r="BD63" i="36"/>
  <c r="BD69" i="36"/>
  <c r="BD128" i="36"/>
  <c r="BD74" i="36"/>
  <c r="BD88" i="36"/>
  <c r="BD147" i="36"/>
  <c r="BD80" i="36"/>
  <c r="BD15" i="36"/>
  <c r="BD16" i="36"/>
  <c r="BD19" i="36"/>
  <c r="BD29" i="36"/>
  <c r="BD33" i="36"/>
  <c r="BD40" i="36"/>
  <c r="BD25" i="36"/>
  <c r="BD35" i="36"/>
  <c r="BD144" i="36"/>
  <c r="BD108" i="36"/>
  <c r="BD111" i="36"/>
  <c r="BD112" i="36"/>
  <c r="BG115" i="36"/>
  <c r="BG75" i="36"/>
  <c r="BG46" i="36"/>
  <c r="BG63" i="36"/>
  <c r="BG69" i="36"/>
  <c r="BG128" i="36"/>
  <c r="BG74" i="36"/>
  <c r="BG88" i="36"/>
  <c r="BG147" i="36"/>
  <c r="BG80" i="36"/>
  <c r="BG15" i="36"/>
  <c r="BG16" i="36"/>
  <c r="BG19" i="36"/>
  <c r="BG29" i="36"/>
  <c r="BG33" i="36"/>
  <c r="BG40" i="36"/>
  <c r="BG25" i="36"/>
  <c r="BG35" i="36"/>
  <c r="BG144" i="36"/>
  <c r="BG108" i="36"/>
  <c r="BG111" i="36"/>
  <c r="BG112" i="36"/>
  <c r="BH115" i="36"/>
  <c r="CX115" i="36" s="1"/>
  <c r="BH75" i="36"/>
  <c r="CX75" i="36" s="1"/>
  <c r="BH46" i="36"/>
  <c r="CX46" i="36" s="1"/>
  <c r="BH63" i="36"/>
  <c r="CX63" i="36" s="1"/>
  <c r="BH69" i="36"/>
  <c r="CX69" i="36" s="1"/>
  <c r="BH128" i="36"/>
  <c r="CX128" i="36" s="1"/>
  <c r="BH74" i="36"/>
  <c r="CX74" i="36" s="1"/>
  <c r="BH88" i="36"/>
  <c r="CX88" i="36" s="1"/>
  <c r="BH147" i="36"/>
  <c r="CX147" i="36" s="1"/>
  <c r="BH80" i="36"/>
  <c r="CX80" i="36" s="1"/>
  <c r="BH15" i="36"/>
  <c r="CX15" i="36" s="1"/>
  <c r="BH16" i="36"/>
  <c r="CX16" i="36" s="1"/>
  <c r="BH19" i="36"/>
  <c r="CX19" i="36" s="1"/>
  <c r="BH29" i="36"/>
  <c r="CX29" i="36" s="1"/>
  <c r="BH33" i="36"/>
  <c r="CX33" i="36" s="1"/>
  <c r="BH40" i="36"/>
  <c r="CX40" i="36" s="1"/>
  <c r="BH25" i="36"/>
  <c r="CX25" i="36" s="1"/>
  <c r="BH35" i="36"/>
  <c r="CX35" i="36" s="1"/>
  <c r="BH144" i="36"/>
  <c r="CX144" i="36" s="1"/>
  <c r="BH108" i="36"/>
  <c r="CX108" i="36" s="1"/>
  <c r="BH111" i="36"/>
  <c r="CX111" i="36" s="1"/>
  <c r="BH112" i="36"/>
  <c r="CX112" i="36" s="1"/>
  <c r="BI115" i="36"/>
  <c r="BI75" i="36"/>
  <c r="BI46" i="36"/>
  <c r="BI63" i="36"/>
  <c r="BI69" i="36"/>
  <c r="BI128" i="36"/>
  <c r="BI74" i="36"/>
  <c r="BI88" i="36"/>
  <c r="BI147" i="36"/>
  <c r="BI80" i="36"/>
  <c r="BI15" i="36"/>
  <c r="BI16" i="36"/>
  <c r="BI19" i="36"/>
  <c r="BI29" i="36"/>
  <c r="BI33" i="36"/>
  <c r="BI40" i="36"/>
  <c r="BI25" i="36"/>
  <c r="BI35" i="36"/>
  <c r="BI144" i="36"/>
  <c r="BI108" i="36"/>
  <c r="BI111" i="36"/>
  <c r="BI112" i="36"/>
  <c r="BJ115" i="36"/>
  <c r="BJ75" i="36"/>
  <c r="BJ46" i="36"/>
  <c r="BJ63" i="36"/>
  <c r="BJ69" i="36"/>
  <c r="BJ128" i="36"/>
  <c r="BJ74" i="36"/>
  <c r="BJ88" i="36"/>
  <c r="BJ147" i="36"/>
  <c r="BJ80" i="36"/>
  <c r="BJ15" i="36"/>
  <c r="BJ16" i="36"/>
  <c r="BJ19" i="36"/>
  <c r="BJ29" i="36"/>
  <c r="BJ33" i="36"/>
  <c r="BJ40" i="36"/>
  <c r="BJ25" i="36"/>
  <c r="BJ35" i="36"/>
  <c r="BJ144" i="36"/>
  <c r="BJ108" i="36"/>
  <c r="BJ111" i="36"/>
  <c r="BJ112" i="36"/>
  <c r="BK115" i="36"/>
  <c r="BK75" i="36"/>
  <c r="BK46" i="36"/>
  <c r="BK63" i="36"/>
  <c r="BK69" i="36"/>
  <c r="BK128" i="36"/>
  <c r="BK74" i="36"/>
  <c r="BK88" i="36"/>
  <c r="BK147" i="36"/>
  <c r="BK80" i="36"/>
  <c r="BK15" i="36"/>
  <c r="BK16" i="36"/>
  <c r="BK19" i="36"/>
  <c r="BK29" i="36"/>
  <c r="BK33" i="36"/>
  <c r="BK40" i="36"/>
  <c r="BK25" i="36"/>
  <c r="BK35" i="36"/>
  <c r="BK144" i="36"/>
  <c r="BK108" i="36"/>
  <c r="BK111" i="36"/>
  <c r="BK112" i="36"/>
  <c r="AU64" i="30"/>
  <c r="AU66" i="30"/>
  <c r="AU67" i="30"/>
  <c r="AU68" i="30"/>
  <c r="AU69" i="30"/>
  <c r="AU70" i="30"/>
  <c r="AU74" i="30"/>
  <c r="AU75" i="30"/>
  <c r="AU76" i="30"/>
  <c r="AU77" i="30"/>
  <c r="AU78" i="30"/>
  <c r="AU79" i="30"/>
  <c r="AU84" i="30"/>
  <c r="AU85" i="30"/>
  <c r="AU86" i="30"/>
  <c r="AU90" i="30"/>
  <c r="AU93" i="30"/>
  <c r="AU98" i="30"/>
  <c r="AU99" i="30"/>
  <c r="AU100" i="30"/>
  <c r="AU102" i="30"/>
  <c r="AU108" i="30"/>
  <c r="AU109" i="30"/>
  <c r="AU110" i="30"/>
  <c r="AU111" i="30"/>
  <c r="AU112" i="30"/>
  <c r="AU115" i="30"/>
  <c r="AU116" i="30"/>
  <c r="AU118" i="30"/>
  <c r="AU119" i="30"/>
  <c r="AU122" i="30"/>
  <c r="AU125" i="30"/>
  <c r="AU131" i="30"/>
  <c r="AU132" i="30"/>
  <c r="AU136" i="30"/>
  <c r="AU138" i="30"/>
  <c r="AU142" i="30"/>
  <c r="AU140" i="30"/>
  <c r="AU144" i="30"/>
  <c r="AU152" i="30"/>
  <c r="AU139" i="30"/>
  <c r="AU145" i="30"/>
  <c r="AU147" i="30"/>
  <c r="AU148" i="30"/>
  <c r="AU149" i="30"/>
  <c r="AU150" i="30"/>
  <c r="AU154" i="30"/>
  <c r="AU146" i="30"/>
  <c r="AU153" i="30"/>
  <c r="AU141" i="30"/>
  <c r="AU15" i="30"/>
  <c r="AU143" i="30"/>
  <c r="AU151" i="30"/>
  <c r="AU155" i="30"/>
  <c r="AU83" i="30"/>
  <c r="AU81" i="30"/>
  <c r="AU128" i="30"/>
  <c r="AU114" i="30"/>
  <c r="AU88" i="30"/>
  <c r="BD11" i="37"/>
  <c r="BD16" i="37"/>
  <c r="BD13" i="37"/>
  <c r="BD12" i="37"/>
  <c r="BD14" i="37"/>
  <c r="BD15" i="37"/>
  <c r="BD17" i="37"/>
  <c r="BD18" i="37"/>
  <c r="BD19" i="37"/>
  <c r="BD20" i="37"/>
  <c r="BD21" i="37"/>
  <c r="BD22" i="37"/>
  <c r="BD23" i="37"/>
  <c r="BD24" i="37"/>
  <c r="BD25" i="37"/>
  <c r="BD26" i="37"/>
  <c r="BD27" i="37"/>
  <c r="BD28" i="37"/>
  <c r="BD29" i="37"/>
  <c r="BD30" i="37"/>
  <c r="BD31" i="37"/>
  <c r="BD32" i="37"/>
  <c r="BD33" i="37"/>
  <c r="BD34" i="37"/>
  <c r="BC11" i="37"/>
  <c r="BC16" i="37"/>
  <c r="BC13" i="37"/>
  <c r="BC12" i="37"/>
  <c r="BC14" i="37"/>
  <c r="BC15" i="37"/>
  <c r="BC17" i="37"/>
  <c r="BC18" i="37"/>
  <c r="BC19" i="37"/>
  <c r="BC20" i="37"/>
  <c r="BC21" i="37"/>
  <c r="BC22" i="37"/>
  <c r="BC23" i="37"/>
  <c r="BC24" i="37"/>
  <c r="BC25" i="37"/>
  <c r="BC26" i="37"/>
  <c r="BC27" i="37"/>
  <c r="BC28" i="37"/>
  <c r="BC29" i="37"/>
  <c r="BC30" i="37"/>
  <c r="BC31" i="37"/>
  <c r="BC32" i="37"/>
  <c r="BC33" i="37"/>
  <c r="BC34" i="37"/>
  <c r="BD11" i="29"/>
  <c r="BD15" i="29"/>
  <c r="BD16" i="29"/>
  <c r="BD17" i="29"/>
  <c r="BD19" i="29"/>
  <c r="BD22" i="29"/>
  <c r="BD25" i="29"/>
  <c r="BD26" i="29"/>
  <c r="BD29" i="29"/>
  <c r="BD31" i="29"/>
  <c r="BD32" i="29"/>
  <c r="BD34" i="29"/>
  <c r="BD35" i="29"/>
  <c r="BD36" i="29"/>
  <c r="BD38" i="29"/>
  <c r="BD39" i="29"/>
  <c r="BD40" i="29"/>
  <c r="BD41" i="29"/>
  <c r="BD43" i="29"/>
  <c r="BD44" i="29"/>
  <c r="BD45" i="29"/>
  <c r="BD47" i="29"/>
  <c r="BD50" i="29"/>
  <c r="BD52" i="29"/>
  <c r="BD53" i="29"/>
  <c r="BD54" i="29"/>
  <c r="BD56" i="29"/>
  <c r="BD59" i="29"/>
  <c r="BD60" i="29"/>
  <c r="BD64" i="29"/>
  <c r="BD65" i="29"/>
  <c r="BD66" i="29"/>
  <c r="BD67" i="29"/>
  <c r="BD70" i="29"/>
  <c r="BD71" i="29"/>
  <c r="BD73" i="29"/>
  <c r="BD74" i="29"/>
  <c r="BD77" i="29"/>
  <c r="BD78" i="29"/>
  <c r="BD80" i="29"/>
  <c r="BD82" i="29"/>
  <c r="BD86" i="29"/>
  <c r="BD87" i="29"/>
  <c r="BD89" i="29"/>
  <c r="BD90" i="29"/>
  <c r="BD93" i="29"/>
  <c r="BD96" i="29"/>
  <c r="BD97" i="29"/>
  <c r="BD99" i="29"/>
  <c r="BD101" i="29"/>
  <c r="BD103" i="29"/>
  <c r="BD105" i="29"/>
  <c r="BD106" i="29"/>
  <c r="BD107" i="29"/>
  <c r="BD108" i="29"/>
  <c r="BD109" i="29"/>
  <c r="BD111" i="29"/>
  <c r="BD112" i="29"/>
  <c r="BD115" i="29"/>
  <c r="BD116" i="29"/>
  <c r="BD118" i="29"/>
  <c r="BD119" i="29"/>
  <c r="BD120" i="29"/>
  <c r="BD121" i="29"/>
  <c r="BD127" i="29"/>
  <c r="BD130" i="29"/>
  <c r="BD131" i="29"/>
  <c r="BD132" i="29"/>
  <c r="BC11" i="29"/>
  <c r="BC15" i="29"/>
  <c r="BC16" i="29"/>
  <c r="BC17" i="29"/>
  <c r="BC19" i="29"/>
  <c r="BC22" i="29"/>
  <c r="BC25" i="29"/>
  <c r="BC26" i="29"/>
  <c r="BC29" i="29"/>
  <c r="BC31" i="29"/>
  <c r="BC32" i="29"/>
  <c r="BC34" i="29"/>
  <c r="BC35" i="29"/>
  <c r="BC36" i="29"/>
  <c r="BC38" i="29"/>
  <c r="BC39" i="29"/>
  <c r="BC40" i="29"/>
  <c r="BC41" i="29"/>
  <c r="BC43" i="29"/>
  <c r="BC44" i="29"/>
  <c r="BC45" i="29"/>
  <c r="BC47" i="29"/>
  <c r="BC50" i="29"/>
  <c r="BC52" i="29"/>
  <c r="BC53" i="29"/>
  <c r="BC54" i="29"/>
  <c r="BC56" i="29"/>
  <c r="BC59" i="29"/>
  <c r="BC60" i="29"/>
  <c r="BC64" i="29"/>
  <c r="BC65" i="29"/>
  <c r="BC66" i="29"/>
  <c r="BC67" i="29"/>
  <c r="BC70" i="29"/>
  <c r="BC71" i="29"/>
  <c r="BC73" i="29"/>
  <c r="BC74" i="29"/>
  <c r="BC77" i="29"/>
  <c r="BC78" i="29"/>
  <c r="BC80" i="29"/>
  <c r="BC82" i="29"/>
  <c r="BC86" i="29"/>
  <c r="BC87" i="29"/>
  <c r="BC89" i="29"/>
  <c r="BC90" i="29"/>
  <c r="BC93" i="29"/>
  <c r="BC96" i="29"/>
  <c r="BC97" i="29"/>
  <c r="BC99" i="29"/>
  <c r="BC101" i="29"/>
  <c r="BC103" i="29"/>
  <c r="BC105" i="29"/>
  <c r="BC106" i="29"/>
  <c r="BC107" i="29"/>
  <c r="BC108" i="29"/>
  <c r="BC109" i="29"/>
  <c r="BC111" i="29"/>
  <c r="BC112" i="29"/>
  <c r="BC115" i="29"/>
  <c r="BC116" i="29"/>
  <c r="BC118" i="29"/>
  <c r="BC119" i="29"/>
  <c r="BC120" i="29"/>
  <c r="BC121" i="29"/>
  <c r="BC127" i="29"/>
  <c r="BC130" i="29"/>
  <c r="BC131" i="29"/>
  <c r="BC132" i="29"/>
  <c r="BD11" i="28"/>
  <c r="BD12" i="28"/>
  <c r="BD13" i="28"/>
  <c r="BD14" i="28"/>
  <c r="BD15" i="28"/>
  <c r="BD16" i="28"/>
  <c r="BD17" i="28"/>
  <c r="BD18" i="28"/>
  <c r="BD19" i="28"/>
  <c r="BD20" i="28"/>
  <c r="BD21" i="28"/>
  <c r="BD22" i="28"/>
  <c r="BD23" i="28"/>
  <c r="BD24" i="28"/>
  <c r="BD25" i="28"/>
  <c r="BD26" i="28"/>
  <c r="BD27" i="28"/>
  <c r="BD28" i="28"/>
  <c r="BD29" i="28"/>
  <c r="BD30" i="28"/>
  <c r="BD31" i="28"/>
  <c r="BD32" i="28"/>
  <c r="BD33" i="28"/>
  <c r="BD34" i="28"/>
  <c r="BC11" i="28"/>
  <c r="BC12" i="28"/>
  <c r="BC13" i="28"/>
  <c r="BC14" i="28"/>
  <c r="BC15" i="28"/>
  <c r="BC16" i="28"/>
  <c r="BC17" i="28"/>
  <c r="BC18" i="28"/>
  <c r="BC19" i="28"/>
  <c r="BC20" i="28"/>
  <c r="BC21" i="28"/>
  <c r="BC22" i="28"/>
  <c r="BC23" i="28"/>
  <c r="BC24" i="28"/>
  <c r="BC25" i="28"/>
  <c r="BC26" i="28"/>
  <c r="BC27" i="28"/>
  <c r="BC28" i="28"/>
  <c r="BC29" i="28"/>
  <c r="BC30" i="28"/>
  <c r="BC31" i="28"/>
  <c r="BC32" i="28"/>
  <c r="BC33" i="28"/>
  <c r="BC34" i="28"/>
  <c r="BB11" i="28"/>
  <c r="BB12" i="28"/>
  <c r="BB13" i="28"/>
  <c r="BB14" i="28"/>
  <c r="BB15" i="28"/>
  <c r="BB16" i="28"/>
  <c r="BB17" i="28"/>
  <c r="BB18" i="28"/>
  <c r="BB19" i="28"/>
  <c r="BB20" i="28"/>
  <c r="BB21" i="28"/>
  <c r="BB22" i="28"/>
  <c r="BB23" i="28"/>
  <c r="BB24" i="28"/>
  <c r="BB25" i="28"/>
  <c r="BB26" i="28"/>
  <c r="BB27" i="28"/>
  <c r="BB28" i="28"/>
  <c r="BB29" i="28"/>
  <c r="BB30" i="28"/>
  <c r="BB31" i="28"/>
  <c r="BB32" i="28"/>
  <c r="BB33" i="28"/>
  <c r="BB34" i="28"/>
  <c r="BA11" i="28"/>
  <c r="BA12" i="28"/>
  <c r="BA13" i="28"/>
  <c r="BA14" i="28"/>
  <c r="BA15" i="28"/>
  <c r="BA16" i="28"/>
  <c r="BA17" i="28"/>
  <c r="BA18" i="28"/>
  <c r="BA19" i="28"/>
  <c r="BA20" i="28"/>
  <c r="BA21" i="28"/>
  <c r="BA22" i="28"/>
  <c r="BA23" i="28"/>
  <c r="BA24" i="28"/>
  <c r="BA25" i="28"/>
  <c r="BA26" i="28"/>
  <c r="BA27" i="28"/>
  <c r="BA28" i="28"/>
  <c r="BA29" i="28"/>
  <c r="BA30" i="28"/>
  <c r="BA31" i="28"/>
  <c r="BA32" i="28"/>
  <c r="BA33" i="28"/>
  <c r="BA34" i="28"/>
  <c r="BD11" i="27"/>
  <c r="BD12" i="27"/>
  <c r="BD13" i="27"/>
  <c r="BD14" i="27"/>
  <c r="BD15" i="27"/>
  <c r="BD16" i="27"/>
  <c r="BD17" i="27"/>
  <c r="BD18" i="27"/>
  <c r="BD19" i="27"/>
  <c r="BD20" i="27"/>
  <c r="BD21" i="27"/>
  <c r="BD22" i="27"/>
  <c r="BD23" i="27"/>
  <c r="BD24" i="27"/>
  <c r="BD25" i="27"/>
  <c r="BD26" i="27"/>
  <c r="BD27" i="27"/>
  <c r="BD28" i="27"/>
  <c r="BD29" i="27"/>
  <c r="BD30" i="27"/>
  <c r="BD31" i="27"/>
  <c r="BD32" i="27"/>
  <c r="BD33" i="27"/>
  <c r="BD34" i="27"/>
  <c r="BC11" i="27"/>
  <c r="BC12" i="27"/>
  <c r="BC13" i="27"/>
  <c r="BC14" i="27"/>
  <c r="BC15" i="27"/>
  <c r="BC16" i="27"/>
  <c r="BC17" i="27"/>
  <c r="BC18" i="27"/>
  <c r="BC19" i="27"/>
  <c r="BC20" i="27"/>
  <c r="BC21" i="27"/>
  <c r="BC22" i="27"/>
  <c r="BC23" i="27"/>
  <c r="BC24" i="27"/>
  <c r="BC25" i="27"/>
  <c r="BC26" i="27"/>
  <c r="BC27" i="27"/>
  <c r="BC28" i="27"/>
  <c r="BC29" i="27"/>
  <c r="BC30" i="27"/>
  <c r="BC31" i="27"/>
  <c r="BC32" i="27"/>
  <c r="BC33" i="27"/>
  <c r="BC34" i="27"/>
  <c r="BB11" i="27"/>
  <c r="BB12" i="27"/>
  <c r="BB13" i="27"/>
  <c r="BB14" i="27"/>
  <c r="BB15" i="27"/>
  <c r="BB16" i="27"/>
  <c r="BB17" i="27"/>
  <c r="BB18" i="27"/>
  <c r="BB19" i="27"/>
  <c r="BB20" i="27"/>
  <c r="BB21" i="27"/>
  <c r="BB22" i="27"/>
  <c r="BB23" i="27"/>
  <c r="BB24" i="27"/>
  <c r="BB25" i="27"/>
  <c r="BB26" i="27"/>
  <c r="BB27" i="27"/>
  <c r="BB28" i="27"/>
  <c r="BB29" i="27"/>
  <c r="BB30" i="27"/>
  <c r="BB31" i="27"/>
  <c r="BB32" i="27"/>
  <c r="BB33" i="27"/>
  <c r="BB34" i="27"/>
  <c r="BA11" i="27"/>
  <c r="BA12" i="27"/>
  <c r="BA13" i="27"/>
  <c r="BA14" i="27"/>
  <c r="BA15" i="27"/>
  <c r="BA16" i="27"/>
  <c r="BA17" i="27"/>
  <c r="BA18" i="27"/>
  <c r="BA19" i="27"/>
  <c r="BA20" i="27"/>
  <c r="BA21" i="27"/>
  <c r="BA22" i="27"/>
  <c r="BA23" i="27"/>
  <c r="BA24" i="27"/>
  <c r="BA25" i="27"/>
  <c r="BA26" i="27"/>
  <c r="BA27" i="27"/>
  <c r="BA28" i="27"/>
  <c r="BA29" i="27"/>
  <c r="BA30" i="27"/>
  <c r="BA31" i="27"/>
  <c r="BA32" i="27"/>
  <c r="BA33" i="27"/>
  <c r="BA34" i="27"/>
  <c r="BD11" i="32"/>
  <c r="BD12" i="32"/>
  <c r="BD13" i="32"/>
  <c r="BD14" i="32"/>
  <c r="BD15" i="32"/>
  <c r="BD16" i="32"/>
  <c r="BD17" i="32"/>
  <c r="BD18" i="32"/>
  <c r="BD19" i="32"/>
  <c r="BD20" i="32"/>
  <c r="BD21" i="32"/>
  <c r="BD22" i="32"/>
  <c r="BD23" i="32"/>
  <c r="BD24" i="32"/>
  <c r="BD25" i="32"/>
  <c r="BD26" i="32"/>
  <c r="BD27" i="32"/>
  <c r="BD28" i="32"/>
  <c r="BD29" i="32"/>
  <c r="BD30" i="32"/>
  <c r="BD31" i="32"/>
  <c r="BD32" i="32"/>
  <c r="BD33" i="32"/>
  <c r="BD34" i="32"/>
  <c r="BD11" i="30"/>
  <c r="BD12" i="30"/>
  <c r="BD16" i="30"/>
  <c r="BD17" i="30"/>
  <c r="BD18" i="30"/>
  <c r="BD19" i="30"/>
  <c r="BD21" i="30"/>
  <c r="BD23" i="30"/>
  <c r="BD24" i="30"/>
  <c r="BD25" i="30"/>
  <c r="BD26" i="30"/>
  <c r="BD27" i="30"/>
  <c r="BD29" i="30"/>
  <c r="BD31" i="30"/>
  <c r="BD32" i="30"/>
  <c r="BD33" i="30"/>
  <c r="BD35" i="30"/>
  <c r="BD37" i="30"/>
  <c r="BD40" i="30"/>
  <c r="BD46" i="30"/>
  <c r="BD51" i="30"/>
  <c r="BD54" i="30"/>
  <c r="BD56" i="30"/>
  <c r="BD57" i="30"/>
  <c r="BD61" i="30"/>
  <c r="BD63" i="30"/>
  <c r="BD64" i="30"/>
  <c r="BD66" i="30"/>
  <c r="BD67" i="30"/>
  <c r="BD68" i="30"/>
  <c r="BD69" i="30"/>
  <c r="BD70" i="30"/>
  <c r="BD74" i="30"/>
  <c r="BD75" i="30"/>
  <c r="BD76" i="30"/>
  <c r="BD77" i="30"/>
  <c r="BD78" i="30"/>
  <c r="BD79" i="30"/>
  <c r="BD84" i="30"/>
  <c r="BD85" i="30"/>
  <c r="BD86" i="30"/>
  <c r="BD90" i="30"/>
  <c r="BD93" i="30"/>
  <c r="BD98" i="30"/>
  <c r="BD99" i="30"/>
  <c r="BD100" i="30"/>
  <c r="BD102" i="30"/>
  <c r="BD108" i="30"/>
  <c r="BD109" i="30"/>
  <c r="BD110" i="30"/>
  <c r="BD111" i="30"/>
  <c r="BD112" i="30"/>
  <c r="BD115" i="30"/>
  <c r="BD116" i="30"/>
  <c r="BD118" i="30"/>
  <c r="BD119" i="30"/>
  <c r="BD122" i="30"/>
  <c r="BD125" i="30"/>
  <c r="BD131" i="30"/>
  <c r="BD132" i="30"/>
  <c r="BD136" i="30"/>
  <c r="BD138" i="30"/>
  <c r="BD142" i="30"/>
  <c r="BD140" i="30"/>
  <c r="BD144" i="30"/>
  <c r="BD152" i="30"/>
  <c r="BD139" i="30"/>
  <c r="BD145" i="30"/>
  <c r="BD147" i="30"/>
  <c r="BD148" i="30"/>
  <c r="BD149" i="30"/>
  <c r="BD150" i="30"/>
  <c r="BD154" i="30"/>
  <c r="BD146" i="30"/>
  <c r="BD153" i="30"/>
  <c r="BD141" i="30"/>
  <c r="BD15" i="30"/>
  <c r="BD143" i="30"/>
  <c r="BD151" i="30"/>
  <c r="BD155" i="30"/>
  <c r="BD83" i="30"/>
  <c r="BD81" i="30"/>
  <c r="BD128" i="30"/>
  <c r="BD114" i="30"/>
  <c r="BD88" i="30"/>
  <c r="BD11" i="4"/>
  <c r="BD12" i="4"/>
  <c r="BD13" i="4"/>
  <c r="BD14" i="4"/>
  <c r="BD15" i="4"/>
  <c r="BD16" i="4"/>
  <c r="BD17" i="4"/>
  <c r="BD18" i="4"/>
  <c r="BD19" i="4"/>
  <c r="BD20" i="4"/>
  <c r="BD21" i="4"/>
  <c r="BD22" i="4"/>
  <c r="BD23" i="4"/>
  <c r="BD24" i="4"/>
  <c r="BD25" i="4"/>
  <c r="BD26" i="4"/>
  <c r="BD27" i="4"/>
  <c r="BD28" i="4"/>
  <c r="BD29" i="4"/>
  <c r="BD30" i="4"/>
  <c r="CW108" i="36" l="1"/>
  <c r="CW40" i="36"/>
  <c r="CW16" i="36"/>
  <c r="CW88" i="36"/>
  <c r="CW63" i="36"/>
  <c r="CW144" i="36"/>
  <c r="CW33" i="36"/>
  <c r="CW15" i="36"/>
  <c r="CW74" i="36"/>
  <c r="CW46" i="36"/>
  <c r="CW110" i="36"/>
  <c r="CW112" i="36"/>
  <c r="CW35" i="36"/>
  <c r="CW29" i="36"/>
  <c r="CW80" i="36"/>
  <c r="CW128" i="36"/>
  <c r="CW75" i="36"/>
  <c r="CW111" i="36"/>
  <c r="CW25" i="36"/>
  <c r="CW19" i="36"/>
  <c r="CW147" i="36"/>
  <c r="CW69" i="36"/>
  <c r="CW115" i="36"/>
  <c r="CV40" i="36"/>
  <c r="CV88" i="36"/>
  <c r="CV144" i="36"/>
  <c r="CV15" i="36"/>
  <c r="CV46" i="36"/>
  <c r="CV112" i="36"/>
  <c r="CV35" i="36"/>
  <c r="CV29" i="36"/>
  <c r="CV80" i="36"/>
  <c r="CV128" i="36"/>
  <c r="CV75" i="36"/>
  <c r="CV110" i="36"/>
  <c r="CV108" i="36"/>
  <c r="CV16" i="36"/>
  <c r="CV63" i="36"/>
  <c r="CV33" i="36"/>
  <c r="CV74" i="36"/>
  <c r="CV111" i="36"/>
  <c r="CV25" i="36"/>
  <c r="CV19" i="36"/>
  <c r="CV147" i="36"/>
  <c r="CV69" i="36"/>
  <c r="CV115" i="36"/>
  <c r="A35" i="38"/>
  <c r="A34" i="38"/>
  <c r="A33" i="38"/>
  <c r="A32" i="38"/>
  <c r="A31" i="38"/>
  <c r="A30" i="38"/>
  <c r="A29" i="38"/>
  <c r="A28" i="38"/>
  <c r="A27" i="38"/>
  <c r="A26" i="38"/>
  <c r="A25" i="38"/>
  <c r="A24" i="38"/>
  <c r="A23" i="38"/>
  <c r="A22" i="38"/>
  <c r="A21" i="38"/>
  <c r="A20" i="38"/>
  <c r="A19" i="38"/>
  <c r="A18" i="38"/>
  <c r="A17" i="38"/>
  <c r="A16" i="38"/>
  <c r="A15" i="38"/>
  <c r="A14" i="38"/>
  <c r="A13" i="38"/>
  <c r="A12" i="38"/>
  <c r="B11" i="4"/>
  <c r="B12" i="4"/>
  <c r="AH88" i="30"/>
  <c r="AI88" i="30"/>
  <c r="AJ88" i="30"/>
  <c r="AK88" i="30"/>
  <c r="AL88" i="30"/>
  <c r="AM88" i="30"/>
  <c r="AN88" i="30"/>
  <c r="AO88" i="30"/>
  <c r="AP88" i="30"/>
  <c r="AQ88" i="30"/>
  <c r="AR88" i="30"/>
  <c r="AS88" i="30"/>
  <c r="AT88" i="30"/>
  <c r="AV88" i="30"/>
  <c r="AW88" i="30"/>
  <c r="AX88" i="30"/>
  <c r="AY88" i="30"/>
  <c r="BC88" i="30"/>
  <c r="AZ88" i="30"/>
  <c r="BB88" i="30"/>
  <c r="BA88" i="30"/>
  <c r="BG88" i="30"/>
  <c r="BH88" i="30"/>
  <c r="CX88" i="30" s="1"/>
  <c r="BI88" i="30"/>
  <c r="BJ88" i="30"/>
  <c r="BK88" i="30"/>
  <c r="B12" i="38"/>
  <c r="B13" i="38"/>
  <c r="B14" i="38"/>
  <c r="B15" i="38"/>
  <c r="B16" i="38"/>
  <c r="B17" i="38"/>
  <c r="B18" i="38"/>
  <c r="B19" i="38"/>
  <c r="B20" i="38"/>
  <c r="B21" i="38"/>
  <c r="B22" i="38"/>
  <c r="B23" i="38"/>
  <c r="B24" i="38"/>
  <c r="B25" i="38"/>
  <c r="B26" i="38"/>
  <c r="B27" i="38"/>
  <c r="B28" i="38"/>
  <c r="B29" i="38"/>
  <c r="B30" i="38"/>
  <c r="B31" i="38"/>
  <c r="B32" i="38"/>
  <c r="B33" i="38"/>
  <c r="B34" i="38"/>
  <c r="B35" i="38"/>
  <c r="B13" i="25"/>
  <c r="B14" i="25"/>
  <c r="B16" i="25"/>
  <c r="B17" i="25"/>
  <c r="B20" i="25"/>
  <c r="B21" i="25"/>
  <c r="B22" i="25"/>
  <c r="B23" i="25"/>
  <c r="B24" i="25"/>
  <c r="B25" i="25"/>
  <c r="B26" i="25"/>
  <c r="B27" i="25"/>
  <c r="B28" i="25"/>
  <c r="B29" i="25"/>
  <c r="B30" i="25"/>
  <c r="B31" i="25"/>
  <c r="B32" i="25"/>
  <c r="B33" i="25"/>
  <c r="B34" i="25"/>
  <c r="B34" i="27"/>
  <c r="B33" i="27"/>
  <c r="B32" i="27"/>
  <c r="B31" i="27"/>
  <c r="B30" i="27"/>
  <c r="B29" i="27"/>
  <c r="B28" i="27"/>
  <c r="B27" i="27"/>
  <c r="B26" i="27"/>
  <c r="B25" i="27"/>
  <c r="B24" i="27"/>
  <c r="B23" i="27"/>
  <c r="B22" i="27"/>
  <c r="B21" i="27"/>
  <c r="B20" i="27"/>
  <c r="B19" i="27"/>
  <c r="B18" i="27"/>
  <c r="B17" i="27"/>
  <c r="B16" i="27"/>
  <c r="B15" i="27"/>
  <c r="B14" i="27"/>
  <c r="B13" i="27"/>
  <c r="B12" i="27"/>
  <c r="CV88" i="30" l="1"/>
  <c r="CW88" i="30"/>
  <c r="AH114" i="30"/>
  <c r="AI114" i="30"/>
  <c r="AJ114" i="30"/>
  <c r="AK114" i="30"/>
  <c r="AL114" i="30"/>
  <c r="AM114" i="30"/>
  <c r="AN114" i="30"/>
  <c r="AO114" i="30"/>
  <c r="AP114" i="30"/>
  <c r="AQ114" i="30"/>
  <c r="AR114" i="30"/>
  <c r="AS114" i="30"/>
  <c r="AT114" i="30"/>
  <c r="AV114" i="30"/>
  <c r="AW114" i="30"/>
  <c r="AX114" i="30"/>
  <c r="AY114" i="30"/>
  <c r="BC114" i="30"/>
  <c r="AZ114" i="30"/>
  <c r="BB114" i="30"/>
  <c r="BA114" i="30"/>
  <c r="BG114" i="30"/>
  <c r="BH114" i="30"/>
  <c r="CX114" i="30" s="1"/>
  <c r="BI114" i="30"/>
  <c r="BJ114" i="30"/>
  <c r="BK114" i="30"/>
  <c r="CV114" i="30" l="1"/>
  <c r="CW114" i="30"/>
  <c r="AH128" i="30"/>
  <c r="AI128" i="30"/>
  <c r="AJ128" i="30"/>
  <c r="AK128" i="30"/>
  <c r="AL128" i="30"/>
  <c r="AM128" i="30"/>
  <c r="AN128" i="30"/>
  <c r="AO128" i="30"/>
  <c r="AP128" i="30"/>
  <c r="AQ128" i="30"/>
  <c r="AR128" i="30"/>
  <c r="AS128" i="30"/>
  <c r="AT128" i="30"/>
  <c r="AV128" i="30"/>
  <c r="AW128" i="30"/>
  <c r="AX128" i="30"/>
  <c r="AY128" i="30"/>
  <c r="BC128" i="30"/>
  <c r="AZ128" i="30"/>
  <c r="BB128" i="30"/>
  <c r="BA128" i="30"/>
  <c r="BG128" i="30"/>
  <c r="BH128" i="30"/>
  <c r="CX128" i="30" s="1"/>
  <c r="BI128" i="30"/>
  <c r="BJ128" i="30"/>
  <c r="BK128" i="30"/>
  <c r="AH81" i="30"/>
  <c r="AI81" i="30"/>
  <c r="AJ81" i="30"/>
  <c r="AK81" i="30"/>
  <c r="AL81" i="30"/>
  <c r="AM81" i="30"/>
  <c r="AN81" i="30"/>
  <c r="AO81" i="30"/>
  <c r="AP81" i="30"/>
  <c r="AQ81" i="30"/>
  <c r="AR81" i="30"/>
  <c r="AS81" i="30"/>
  <c r="AT81" i="30"/>
  <c r="AV81" i="30"/>
  <c r="AW81" i="30"/>
  <c r="AX81" i="30"/>
  <c r="AY81" i="30"/>
  <c r="BC81" i="30"/>
  <c r="AZ81" i="30"/>
  <c r="BB81" i="30"/>
  <c r="BA81" i="30"/>
  <c r="BG81" i="30"/>
  <c r="BH81" i="30"/>
  <c r="CX81" i="30" s="1"/>
  <c r="BI81" i="30"/>
  <c r="BJ81" i="30"/>
  <c r="BK81" i="30"/>
  <c r="AH83" i="30"/>
  <c r="AI83" i="30"/>
  <c r="AJ83" i="30"/>
  <c r="AK83" i="30"/>
  <c r="AL83" i="30"/>
  <c r="AM83" i="30"/>
  <c r="AN83" i="30"/>
  <c r="AO83" i="30"/>
  <c r="AP83" i="30"/>
  <c r="AQ83" i="30"/>
  <c r="AR83" i="30"/>
  <c r="AS83" i="30"/>
  <c r="AT83" i="30"/>
  <c r="AV83" i="30"/>
  <c r="AW83" i="30"/>
  <c r="AX83" i="30"/>
  <c r="AY83" i="30"/>
  <c r="BC83" i="30"/>
  <c r="AZ83" i="30"/>
  <c r="BB83" i="30"/>
  <c r="BA83" i="30"/>
  <c r="BG83" i="30"/>
  <c r="BH83" i="30"/>
  <c r="CX83" i="30" s="1"/>
  <c r="BI83" i="30"/>
  <c r="BJ83" i="30"/>
  <c r="BK83" i="30"/>
  <c r="CV128" i="30" l="1"/>
  <c r="CV83" i="30"/>
  <c r="CV81" i="30"/>
  <c r="CW83" i="30"/>
  <c r="CW81" i="30"/>
  <c r="CW128" i="30"/>
  <c r="AH66" i="30"/>
  <c r="AI66" i="30"/>
  <c r="AJ66" i="30"/>
  <c r="AK66" i="30"/>
  <c r="AL66" i="30"/>
  <c r="AM66" i="30"/>
  <c r="AN66" i="30"/>
  <c r="AO66" i="30"/>
  <c r="AP66" i="30"/>
  <c r="AQ66" i="30"/>
  <c r="AR66" i="30"/>
  <c r="AS66" i="30"/>
  <c r="AT66" i="30"/>
  <c r="AV66" i="30"/>
  <c r="AW66" i="30"/>
  <c r="AX66" i="30"/>
  <c r="AY66" i="30"/>
  <c r="BC66" i="30"/>
  <c r="AZ66" i="30"/>
  <c r="BB66" i="30"/>
  <c r="BA66" i="30"/>
  <c r="BG66" i="30"/>
  <c r="BH66" i="30"/>
  <c r="CX66" i="30" s="1"/>
  <c r="BI66" i="30"/>
  <c r="BJ66" i="30"/>
  <c r="BK66" i="30"/>
  <c r="AH35" i="30"/>
  <c r="AI35" i="30"/>
  <c r="AJ35" i="30"/>
  <c r="AK35" i="30"/>
  <c r="AL35" i="30"/>
  <c r="AM35" i="30"/>
  <c r="AN35" i="30"/>
  <c r="AO35" i="30"/>
  <c r="AP35" i="30"/>
  <c r="AQ35" i="30"/>
  <c r="AR35" i="30"/>
  <c r="AS35" i="30"/>
  <c r="AT35" i="30"/>
  <c r="AU35" i="30"/>
  <c r="AV35" i="30"/>
  <c r="AW35" i="30"/>
  <c r="AX35" i="30"/>
  <c r="AY35" i="30"/>
  <c r="BC35" i="30"/>
  <c r="AZ35" i="30"/>
  <c r="BB35" i="30"/>
  <c r="BA35" i="30"/>
  <c r="BG35" i="30"/>
  <c r="BH35" i="30"/>
  <c r="CX35" i="30" s="1"/>
  <c r="BI35" i="30"/>
  <c r="BJ35" i="30"/>
  <c r="BK35" i="30"/>
  <c r="AH18" i="30"/>
  <c r="AI18" i="30"/>
  <c r="AJ18" i="30"/>
  <c r="AK18" i="30"/>
  <c r="AL18" i="30"/>
  <c r="AM18" i="30"/>
  <c r="AN18" i="30"/>
  <c r="AO18" i="30"/>
  <c r="AP18" i="30"/>
  <c r="AQ18" i="30"/>
  <c r="AR18" i="30"/>
  <c r="AS18" i="30"/>
  <c r="AT18" i="30"/>
  <c r="AU18" i="30"/>
  <c r="AV18" i="30"/>
  <c r="AW18" i="30"/>
  <c r="AX18" i="30"/>
  <c r="AY18" i="30"/>
  <c r="BC18" i="30"/>
  <c r="AZ18" i="30"/>
  <c r="BB18" i="30"/>
  <c r="BA18" i="30"/>
  <c r="BG18" i="30"/>
  <c r="BH18" i="30"/>
  <c r="CX18" i="30" s="1"/>
  <c r="BI18" i="30"/>
  <c r="BJ18" i="30"/>
  <c r="BK18" i="30"/>
  <c r="AH100" i="30"/>
  <c r="AI100" i="30"/>
  <c r="AJ100" i="30"/>
  <c r="AK100" i="30"/>
  <c r="AL100" i="30"/>
  <c r="AM100" i="30"/>
  <c r="AN100" i="30"/>
  <c r="AO100" i="30"/>
  <c r="AP100" i="30"/>
  <c r="AQ100" i="30"/>
  <c r="AR100" i="30"/>
  <c r="AS100" i="30"/>
  <c r="AT100" i="30"/>
  <c r="AV100" i="30"/>
  <c r="AW100" i="30"/>
  <c r="AX100" i="30"/>
  <c r="AY100" i="30"/>
  <c r="BC100" i="30"/>
  <c r="AZ100" i="30"/>
  <c r="BB100" i="30"/>
  <c r="BA100" i="30"/>
  <c r="BG100" i="30"/>
  <c r="BH100" i="30"/>
  <c r="CX100" i="30" s="1"/>
  <c r="BI100" i="30"/>
  <c r="BJ100" i="30"/>
  <c r="BK100" i="30"/>
  <c r="BC11" i="30"/>
  <c r="BC12" i="30"/>
  <c r="BC16" i="30"/>
  <c r="BC17" i="30"/>
  <c r="BC19" i="30"/>
  <c r="BC21" i="30"/>
  <c r="BC23" i="30"/>
  <c r="BC24" i="30"/>
  <c r="BC25" i="30"/>
  <c r="BC26" i="30"/>
  <c r="BC27" i="30"/>
  <c r="BC29" i="30"/>
  <c r="BC31" i="30"/>
  <c r="BC32" i="30"/>
  <c r="BC33" i="30"/>
  <c r="BC37" i="30"/>
  <c r="BC40" i="30"/>
  <c r="BC46" i="30"/>
  <c r="BC51" i="30"/>
  <c r="BC54" i="30"/>
  <c r="BC56" i="30"/>
  <c r="BC57" i="30"/>
  <c r="BC61" i="30"/>
  <c r="BC63" i="30"/>
  <c r="BC64" i="30"/>
  <c r="BC67" i="30"/>
  <c r="BC68" i="30"/>
  <c r="BC69" i="30"/>
  <c r="BC70" i="30"/>
  <c r="BC74" i="30"/>
  <c r="BC75" i="30"/>
  <c r="BC76" i="30"/>
  <c r="BC77" i="30"/>
  <c r="BC78" i="30"/>
  <c r="BC79" i="30"/>
  <c r="BC84" i="30"/>
  <c r="BC85" i="30"/>
  <c r="BC86" i="30"/>
  <c r="BC90" i="30"/>
  <c r="BC93" i="30"/>
  <c r="BC98" i="30"/>
  <c r="BC99" i="30"/>
  <c r="BC102" i="30"/>
  <c r="BC108" i="30"/>
  <c r="BC109" i="30"/>
  <c r="BC110" i="30"/>
  <c r="BC111" i="30"/>
  <c r="BC112" i="30"/>
  <c r="BC115" i="30"/>
  <c r="BC116" i="30"/>
  <c r="BC118" i="30"/>
  <c r="BC119" i="30"/>
  <c r="BC122" i="30"/>
  <c r="BC125" i="30"/>
  <c r="BC131" i="30"/>
  <c r="BC132" i="30"/>
  <c r="BC136" i="30"/>
  <c r="BC138" i="30"/>
  <c r="BC142" i="30"/>
  <c r="BC140" i="30"/>
  <c r="BC144" i="30"/>
  <c r="BC152" i="30"/>
  <c r="BC139" i="30"/>
  <c r="BC145" i="30"/>
  <c r="BC147" i="30"/>
  <c r="BC148" i="30"/>
  <c r="BC149" i="30"/>
  <c r="BC150" i="30"/>
  <c r="BC154" i="30"/>
  <c r="BC146" i="30"/>
  <c r="BC153" i="30"/>
  <c r="BC141" i="30"/>
  <c r="BC15" i="30"/>
  <c r="BC143" i="30"/>
  <c r="BC151" i="30"/>
  <c r="BC155" i="30"/>
  <c r="CV35" i="30" l="1"/>
  <c r="CV18" i="30"/>
  <c r="CV100" i="30"/>
  <c r="CV66" i="30"/>
  <c r="CW100" i="30"/>
  <c r="CW66" i="30"/>
  <c r="CW18" i="30"/>
  <c r="CW35" i="30"/>
  <c r="BB11" i="37"/>
  <c r="BB16" i="37"/>
  <c r="BB13" i="37"/>
  <c r="BB12" i="37"/>
  <c r="BB14" i="37"/>
  <c r="BB15" i="37"/>
  <c r="BB17" i="37"/>
  <c r="BB18" i="37"/>
  <c r="BB19" i="37"/>
  <c r="BB20" i="37"/>
  <c r="BB21" i="37"/>
  <c r="BB22" i="37"/>
  <c r="BB23" i="37"/>
  <c r="BB24" i="37"/>
  <c r="BB25" i="37"/>
  <c r="BB26" i="37"/>
  <c r="BB27" i="37"/>
  <c r="BB28" i="37"/>
  <c r="BB29" i="37"/>
  <c r="BB30" i="37"/>
  <c r="BB31" i="37"/>
  <c r="BB32" i="37"/>
  <c r="BB33" i="37"/>
  <c r="BB34" i="37"/>
  <c r="BA11" i="37"/>
  <c r="BA16" i="37"/>
  <c r="BA13" i="37"/>
  <c r="BA12" i="37"/>
  <c r="BA14" i="37"/>
  <c r="BA15" i="37"/>
  <c r="BA17" i="37"/>
  <c r="BA18" i="37"/>
  <c r="BA19" i="37"/>
  <c r="BA20" i="37"/>
  <c r="BA21" i="37"/>
  <c r="BA22" i="37"/>
  <c r="BA23" i="37"/>
  <c r="BA24" i="37"/>
  <c r="BA25" i="37"/>
  <c r="BA26" i="37"/>
  <c r="BA27" i="37"/>
  <c r="BA28" i="37"/>
  <c r="BA29" i="37"/>
  <c r="BA30" i="37"/>
  <c r="BA31" i="37"/>
  <c r="BA32" i="37"/>
  <c r="BA33" i="37"/>
  <c r="BA34" i="37"/>
  <c r="BB11" i="29"/>
  <c r="BB15" i="29"/>
  <c r="BB16" i="29"/>
  <c r="BB17" i="29"/>
  <c r="BB19" i="29"/>
  <c r="BB22" i="29"/>
  <c r="BB25" i="29"/>
  <c r="BB26" i="29"/>
  <c r="BB29" i="29"/>
  <c r="BB31" i="29"/>
  <c r="BB32" i="29"/>
  <c r="BB34" i="29"/>
  <c r="BB35" i="29"/>
  <c r="BB36" i="29"/>
  <c r="BB38" i="29"/>
  <c r="BB39" i="29"/>
  <c r="BB40" i="29"/>
  <c r="BB41" i="29"/>
  <c r="BB43" i="29"/>
  <c r="BB44" i="29"/>
  <c r="BB45" i="29"/>
  <c r="BB47" i="29"/>
  <c r="BB50" i="29"/>
  <c r="BB52" i="29"/>
  <c r="BB53" i="29"/>
  <c r="BB54" i="29"/>
  <c r="BB56" i="29"/>
  <c r="BB59" i="29"/>
  <c r="BB60" i="29"/>
  <c r="BB64" i="29"/>
  <c r="BB65" i="29"/>
  <c r="BB66" i="29"/>
  <c r="BB67" i="29"/>
  <c r="BB70" i="29"/>
  <c r="BB71" i="29"/>
  <c r="BB73" i="29"/>
  <c r="BB74" i="29"/>
  <c r="BB77" i="29"/>
  <c r="BB78" i="29"/>
  <c r="BB80" i="29"/>
  <c r="BB82" i="29"/>
  <c r="BB86" i="29"/>
  <c r="BB87" i="29"/>
  <c r="BB89" i="29"/>
  <c r="BB90" i="29"/>
  <c r="BB93" i="29"/>
  <c r="BB96" i="29"/>
  <c r="BB97" i="29"/>
  <c r="BB99" i="29"/>
  <c r="BB101" i="29"/>
  <c r="BB103" i="29"/>
  <c r="BB105" i="29"/>
  <c r="BB106" i="29"/>
  <c r="BB107" i="29"/>
  <c r="BB108" i="29"/>
  <c r="BB109" i="29"/>
  <c r="BB111" i="29"/>
  <c r="BB112" i="29"/>
  <c r="BB115" i="29"/>
  <c r="BB116" i="29"/>
  <c r="BB118" i="29"/>
  <c r="BB119" i="29"/>
  <c r="BB120" i="29"/>
  <c r="BB121" i="29"/>
  <c r="BB127" i="29"/>
  <c r="BB130" i="29"/>
  <c r="BB131" i="29"/>
  <c r="BB132" i="29"/>
  <c r="BA11" i="29"/>
  <c r="BA15" i="29"/>
  <c r="BA16" i="29"/>
  <c r="BA17" i="29"/>
  <c r="BA19" i="29"/>
  <c r="BA22" i="29"/>
  <c r="BA25" i="29"/>
  <c r="BA26" i="29"/>
  <c r="BA29" i="29"/>
  <c r="BA31" i="29"/>
  <c r="BA32" i="29"/>
  <c r="BA34" i="29"/>
  <c r="BA35" i="29"/>
  <c r="BA36" i="29"/>
  <c r="BA38" i="29"/>
  <c r="BA39" i="29"/>
  <c r="BA40" i="29"/>
  <c r="BA41" i="29"/>
  <c r="BA43" i="29"/>
  <c r="BA44" i="29"/>
  <c r="BA45" i="29"/>
  <c r="BA47" i="29"/>
  <c r="BA50" i="29"/>
  <c r="BA52" i="29"/>
  <c r="BA53" i="29"/>
  <c r="BA54" i="29"/>
  <c r="BA56" i="29"/>
  <c r="BA59" i="29"/>
  <c r="BA60" i="29"/>
  <c r="BA64" i="29"/>
  <c r="BA65" i="29"/>
  <c r="BA66" i="29"/>
  <c r="BA67" i="29"/>
  <c r="BA70" i="29"/>
  <c r="BA71" i="29"/>
  <c r="BA73" i="29"/>
  <c r="BA74" i="29"/>
  <c r="BA77" i="29"/>
  <c r="BA78" i="29"/>
  <c r="BA80" i="29"/>
  <c r="BA82" i="29"/>
  <c r="BA86" i="29"/>
  <c r="BA87" i="29"/>
  <c r="BA89" i="29"/>
  <c r="BA90" i="29"/>
  <c r="BA93" i="29"/>
  <c r="BA96" i="29"/>
  <c r="BA97" i="29"/>
  <c r="BA99" i="29"/>
  <c r="BA101" i="29"/>
  <c r="BA103" i="29"/>
  <c r="BA105" i="29"/>
  <c r="BA106" i="29"/>
  <c r="BA107" i="29"/>
  <c r="BA108" i="29"/>
  <c r="BA109" i="29"/>
  <c r="BA111" i="29"/>
  <c r="BA112" i="29"/>
  <c r="BA115" i="29"/>
  <c r="BA116" i="29"/>
  <c r="BA118" i="29"/>
  <c r="BA119" i="29"/>
  <c r="BA120" i="29"/>
  <c r="BA121" i="29"/>
  <c r="BA127" i="29"/>
  <c r="BA130" i="29"/>
  <c r="BA131" i="29"/>
  <c r="BA132" i="29"/>
  <c r="AG9" i="39" l="1"/>
  <c r="AF9" i="39"/>
  <c r="AE9" i="39"/>
  <c r="AD9" i="39"/>
  <c r="AC9" i="39"/>
  <c r="AB9" i="39"/>
  <c r="AA9" i="39"/>
  <c r="Z9" i="39"/>
  <c r="Y9" i="39"/>
  <c r="X9" i="39"/>
  <c r="W9" i="39"/>
  <c r="V9" i="39"/>
  <c r="U9" i="39"/>
  <c r="T9" i="39"/>
  <c r="S9" i="39"/>
  <c r="R9" i="39"/>
  <c r="Q9" i="39"/>
  <c r="P9" i="39"/>
  <c r="O9" i="39"/>
  <c r="N9" i="39"/>
  <c r="M9" i="39"/>
  <c r="L9" i="39"/>
  <c r="K9" i="39"/>
  <c r="J9" i="39"/>
  <c r="I9" i="39"/>
  <c r="H9" i="39"/>
  <c r="G9" i="39"/>
  <c r="F9" i="39"/>
  <c r="E9" i="39"/>
  <c r="D9" i="39"/>
  <c r="C9" i="39"/>
  <c r="BG89" i="39"/>
  <c r="BF89" i="39"/>
  <c r="BE89" i="39"/>
  <c r="BD89" i="39"/>
  <c r="CR89" i="39" s="1"/>
  <c r="BC89" i="39"/>
  <c r="BB89" i="39"/>
  <c r="BA89" i="39"/>
  <c r="AZ89" i="39"/>
  <c r="AY89" i="39"/>
  <c r="AX89" i="39"/>
  <c r="AW89" i="39"/>
  <c r="AV89" i="39"/>
  <c r="AU89" i="39"/>
  <c r="AT89" i="39"/>
  <c r="AS89" i="39"/>
  <c r="AR89" i="39"/>
  <c r="AQ89" i="39"/>
  <c r="AP89" i="39"/>
  <c r="AO89" i="39"/>
  <c r="AN89" i="39"/>
  <c r="AM89" i="39"/>
  <c r="AL89" i="39"/>
  <c r="AK89" i="39"/>
  <c r="AJ89" i="39"/>
  <c r="AI89" i="39"/>
  <c r="AH89" i="39"/>
  <c r="BG88" i="39"/>
  <c r="BF88" i="39"/>
  <c r="BE88" i="39"/>
  <c r="BD88" i="39"/>
  <c r="CR88" i="39" s="1"/>
  <c r="BC88" i="39"/>
  <c r="BB88" i="39"/>
  <c r="BA88" i="39"/>
  <c r="AZ88" i="39"/>
  <c r="AY88" i="39"/>
  <c r="AX88" i="39"/>
  <c r="AW88" i="39"/>
  <c r="AV88" i="39"/>
  <c r="AU88" i="39"/>
  <c r="AT88" i="39"/>
  <c r="AS88" i="39"/>
  <c r="AR88" i="39"/>
  <c r="AQ88" i="39"/>
  <c r="AP88" i="39"/>
  <c r="AO88" i="39"/>
  <c r="AN88" i="39"/>
  <c r="AM88" i="39"/>
  <c r="AL88" i="39"/>
  <c r="AK88" i="39"/>
  <c r="AJ88" i="39"/>
  <c r="AI88" i="39"/>
  <c r="AH88" i="39"/>
  <c r="BG87" i="39"/>
  <c r="BF87" i="39"/>
  <c r="BE87" i="39"/>
  <c r="BD87" i="39"/>
  <c r="CR87" i="39" s="1"/>
  <c r="BC87" i="39"/>
  <c r="BB87" i="39"/>
  <c r="BA87" i="39"/>
  <c r="AZ87" i="39"/>
  <c r="AY87" i="39"/>
  <c r="AX87" i="39"/>
  <c r="AW87" i="39"/>
  <c r="AV87" i="39"/>
  <c r="AU87" i="39"/>
  <c r="AT87" i="39"/>
  <c r="AS87" i="39"/>
  <c r="AR87" i="39"/>
  <c r="AQ87" i="39"/>
  <c r="AP87" i="39"/>
  <c r="AO87" i="39"/>
  <c r="AN87" i="39"/>
  <c r="AM87" i="39"/>
  <c r="AL87" i="39"/>
  <c r="AK87" i="39"/>
  <c r="AJ87" i="39"/>
  <c r="AI87" i="39"/>
  <c r="AH87" i="39"/>
  <c r="BG86" i="39"/>
  <c r="BF86" i="39"/>
  <c r="BE86" i="39"/>
  <c r="BD86" i="39"/>
  <c r="CR86" i="39" s="1"/>
  <c r="BC86" i="39"/>
  <c r="BB86" i="39"/>
  <c r="BA86" i="39"/>
  <c r="AZ86" i="39"/>
  <c r="AY86" i="39"/>
  <c r="AX86" i="39"/>
  <c r="AW86" i="39"/>
  <c r="AV86" i="39"/>
  <c r="AU86" i="39"/>
  <c r="AT86" i="39"/>
  <c r="AS86" i="39"/>
  <c r="AR86" i="39"/>
  <c r="AQ86" i="39"/>
  <c r="AP86" i="39"/>
  <c r="AO86" i="39"/>
  <c r="AN86" i="39"/>
  <c r="AM86" i="39"/>
  <c r="AL86" i="39"/>
  <c r="AK86" i="39"/>
  <c r="AJ86" i="39"/>
  <c r="AI86" i="39"/>
  <c r="AH86" i="39"/>
  <c r="BG85" i="39"/>
  <c r="BF85" i="39"/>
  <c r="BE85" i="39"/>
  <c r="BD85" i="39"/>
  <c r="CR85" i="39" s="1"/>
  <c r="BC85" i="39"/>
  <c r="BB85" i="39"/>
  <c r="BA85" i="39"/>
  <c r="AZ85" i="39"/>
  <c r="AY85" i="39"/>
  <c r="AX85" i="39"/>
  <c r="AW85" i="39"/>
  <c r="AV85" i="39"/>
  <c r="AU85" i="39"/>
  <c r="AT85" i="39"/>
  <c r="AS85" i="39"/>
  <c r="AR85" i="39"/>
  <c r="AQ85" i="39"/>
  <c r="AP85" i="39"/>
  <c r="AO85" i="39"/>
  <c r="AN85" i="39"/>
  <c r="AM85" i="39"/>
  <c r="AL85" i="39"/>
  <c r="AK85" i="39"/>
  <c r="AJ85" i="39"/>
  <c r="AI85" i="39"/>
  <c r="AH85" i="39"/>
  <c r="BG84" i="39"/>
  <c r="BF84" i="39"/>
  <c r="BE84" i="39"/>
  <c r="BD84" i="39"/>
  <c r="CR84" i="39" s="1"/>
  <c r="BC84" i="39"/>
  <c r="BB84" i="39"/>
  <c r="BA84" i="39"/>
  <c r="AZ84" i="39"/>
  <c r="AY84" i="39"/>
  <c r="AX84" i="39"/>
  <c r="AW84" i="39"/>
  <c r="AV84" i="39"/>
  <c r="AU84" i="39"/>
  <c r="AT84" i="39"/>
  <c r="AS84" i="39"/>
  <c r="AR84" i="39"/>
  <c r="AQ84" i="39"/>
  <c r="AP84" i="39"/>
  <c r="AO84" i="39"/>
  <c r="AN84" i="39"/>
  <c r="AM84" i="39"/>
  <c r="AL84" i="39"/>
  <c r="AK84" i="39"/>
  <c r="AJ84" i="39"/>
  <c r="AI84" i="39"/>
  <c r="AH84" i="39"/>
  <c r="BG83" i="39"/>
  <c r="BF83" i="39"/>
  <c r="BE83" i="39"/>
  <c r="BD83" i="39"/>
  <c r="CR83" i="39" s="1"/>
  <c r="BC83" i="39"/>
  <c r="BB83" i="39"/>
  <c r="BA83" i="39"/>
  <c r="AZ83" i="39"/>
  <c r="AY83" i="39"/>
  <c r="AX83" i="39"/>
  <c r="AW83" i="39"/>
  <c r="AV83" i="39"/>
  <c r="AU83" i="39"/>
  <c r="AT83" i="39"/>
  <c r="AS83" i="39"/>
  <c r="AR83" i="39"/>
  <c r="AQ83" i="39"/>
  <c r="AP83" i="39"/>
  <c r="AO83" i="39"/>
  <c r="AN83" i="39"/>
  <c r="AM83" i="39"/>
  <c r="AL83" i="39"/>
  <c r="AK83" i="39"/>
  <c r="AJ83" i="39"/>
  <c r="AI83" i="39"/>
  <c r="AH83" i="39"/>
  <c r="BG82" i="39"/>
  <c r="BF82" i="39"/>
  <c r="BE82" i="39"/>
  <c r="BD82" i="39"/>
  <c r="CR82" i="39" s="1"/>
  <c r="BC82" i="39"/>
  <c r="BB82" i="39"/>
  <c r="BA82" i="39"/>
  <c r="AZ82" i="39"/>
  <c r="AY82" i="39"/>
  <c r="AX82" i="39"/>
  <c r="AW82" i="39"/>
  <c r="AV82" i="39"/>
  <c r="AU82" i="39"/>
  <c r="AT82" i="39"/>
  <c r="AS82" i="39"/>
  <c r="AR82" i="39"/>
  <c r="AQ82" i="39"/>
  <c r="AP82" i="39"/>
  <c r="AO82" i="39"/>
  <c r="AN82" i="39"/>
  <c r="AM82" i="39"/>
  <c r="AL82" i="39"/>
  <c r="AK82" i="39"/>
  <c r="AJ82" i="39"/>
  <c r="AI82" i="39"/>
  <c r="AH82" i="39"/>
  <c r="BG81" i="39"/>
  <c r="BF81" i="39"/>
  <c r="BE81" i="39"/>
  <c r="BD81" i="39"/>
  <c r="CR81" i="39" s="1"/>
  <c r="BC81" i="39"/>
  <c r="BB81" i="39"/>
  <c r="BA81" i="39"/>
  <c r="AZ81" i="39"/>
  <c r="AY81" i="39"/>
  <c r="AX81" i="39"/>
  <c r="AW81" i="39"/>
  <c r="AV81" i="39"/>
  <c r="AU81" i="39"/>
  <c r="AT81" i="39"/>
  <c r="AS81" i="39"/>
  <c r="AR81" i="39"/>
  <c r="AQ81" i="39"/>
  <c r="AP81" i="39"/>
  <c r="AO81" i="39"/>
  <c r="AN81" i="39"/>
  <c r="AM81" i="39"/>
  <c r="AL81" i="39"/>
  <c r="AK81" i="39"/>
  <c r="AJ81" i="39"/>
  <c r="AI81" i="39"/>
  <c r="AH81" i="39"/>
  <c r="BG80" i="39"/>
  <c r="BF80" i="39"/>
  <c r="BE80" i="39"/>
  <c r="BD80" i="39"/>
  <c r="CR80" i="39" s="1"/>
  <c r="BC80" i="39"/>
  <c r="BB80" i="39"/>
  <c r="BA80" i="39"/>
  <c r="AZ80" i="39"/>
  <c r="AY80" i="39"/>
  <c r="AX80" i="39"/>
  <c r="AW80" i="39"/>
  <c r="AV80" i="39"/>
  <c r="AU80" i="39"/>
  <c r="AT80" i="39"/>
  <c r="AS80" i="39"/>
  <c r="AR80" i="39"/>
  <c r="AQ80" i="39"/>
  <c r="AP80" i="39"/>
  <c r="AO80" i="39"/>
  <c r="AN80" i="39"/>
  <c r="AM80" i="39"/>
  <c r="AL80" i="39"/>
  <c r="AK80" i="39"/>
  <c r="AJ80" i="39"/>
  <c r="AI80" i="39"/>
  <c r="AH80" i="39"/>
  <c r="BG79" i="39"/>
  <c r="BF79" i="39"/>
  <c r="BE79" i="39"/>
  <c r="BD79" i="39"/>
  <c r="CR79" i="39" s="1"/>
  <c r="BC79" i="39"/>
  <c r="BB79" i="39"/>
  <c r="BA79" i="39"/>
  <c r="AZ79" i="39"/>
  <c r="AY79" i="39"/>
  <c r="AX79" i="39"/>
  <c r="AW79" i="39"/>
  <c r="AV79" i="39"/>
  <c r="AU79" i="39"/>
  <c r="AT79" i="39"/>
  <c r="AS79" i="39"/>
  <c r="AR79" i="39"/>
  <c r="AQ79" i="39"/>
  <c r="AP79" i="39"/>
  <c r="AO79" i="39"/>
  <c r="AN79" i="39"/>
  <c r="AM79" i="39"/>
  <c r="AL79" i="39"/>
  <c r="AK79" i="39"/>
  <c r="AJ79" i="39"/>
  <c r="AI79" i="39"/>
  <c r="AH79" i="39"/>
  <c r="BG78" i="39"/>
  <c r="BF78" i="39"/>
  <c r="BE78" i="39"/>
  <c r="BD78" i="39"/>
  <c r="CR78" i="39" s="1"/>
  <c r="BC78" i="39"/>
  <c r="BB78" i="39"/>
  <c r="BA78" i="39"/>
  <c r="AZ78" i="39"/>
  <c r="AY78" i="39"/>
  <c r="AX78" i="39"/>
  <c r="AW78" i="39"/>
  <c r="AV78" i="39"/>
  <c r="AU78" i="39"/>
  <c r="AT78" i="39"/>
  <c r="AS78" i="39"/>
  <c r="AR78" i="39"/>
  <c r="AQ78" i="39"/>
  <c r="AP78" i="39"/>
  <c r="AO78" i="39"/>
  <c r="AN78" i="39"/>
  <c r="AM78" i="39"/>
  <c r="AL78" i="39"/>
  <c r="AK78" i="39"/>
  <c r="AJ78" i="39"/>
  <c r="AI78" i="39"/>
  <c r="AH78" i="39"/>
  <c r="BG77" i="39"/>
  <c r="BF77" i="39"/>
  <c r="BE77" i="39"/>
  <c r="BD77" i="39"/>
  <c r="CR77" i="39" s="1"/>
  <c r="BC77" i="39"/>
  <c r="BB77" i="39"/>
  <c r="BA77" i="39"/>
  <c r="AZ77" i="39"/>
  <c r="AY77" i="39"/>
  <c r="AX77" i="39"/>
  <c r="AW77" i="39"/>
  <c r="AV77" i="39"/>
  <c r="AU77" i="39"/>
  <c r="AT77" i="39"/>
  <c r="AS77" i="39"/>
  <c r="AR77" i="39"/>
  <c r="AQ77" i="39"/>
  <c r="AP77" i="39"/>
  <c r="AO77" i="39"/>
  <c r="AN77" i="39"/>
  <c r="AM77" i="39"/>
  <c r="AL77" i="39"/>
  <c r="AK77" i="39"/>
  <c r="AJ77" i="39"/>
  <c r="AI77" i="39"/>
  <c r="AH77" i="39"/>
  <c r="BG76" i="39"/>
  <c r="BF76" i="39"/>
  <c r="BE76" i="39"/>
  <c r="BD76" i="39"/>
  <c r="CR76" i="39" s="1"/>
  <c r="BC76" i="39"/>
  <c r="BB76" i="39"/>
  <c r="BA76" i="39"/>
  <c r="AZ76" i="39"/>
  <c r="AY76" i="39"/>
  <c r="AX76" i="39"/>
  <c r="AW76" i="39"/>
  <c r="AV76" i="39"/>
  <c r="AU76" i="39"/>
  <c r="AT76" i="39"/>
  <c r="AS76" i="39"/>
  <c r="AR76" i="39"/>
  <c r="AQ76" i="39"/>
  <c r="AP76" i="39"/>
  <c r="AO76" i="39"/>
  <c r="AN76" i="39"/>
  <c r="AM76" i="39"/>
  <c r="AL76" i="39"/>
  <c r="AK76" i="39"/>
  <c r="AJ76" i="39"/>
  <c r="AI76" i="39"/>
  <c r="AH76" i="39"/>
  <c r="BG75" i="39"/>
  <c r="BF75" i="39"/>
  <c r="BE75" i="39"/>
  <c r="BD75" i="39"/>
  <c r="CR75" i="39" s="1"/>
  <c r="BC75" i="39"/>
  <c r="BB75" i="39"/>
  <c r="BA75" i="39"/>
  <c r="AZ75" i="39"/>
  <c r="AY75" i="39"/>
  <c r="AX75" i="39"/>
  <c r="AW75" i="39"/>
  <c r="AV75" i="39"/>
  <c r="AU75" i="39"/>
  <c r="AT75" i="39"/>
  <c r="AS75" i="39"/>
  <c r="AR75" i="39"/>
  <c r="AQ75" i="39"/>
  <c r="AP75" i="39"/>
  <c r="AO75" i="39"/>
  <c r="AN75" i="39"/>
  <c r="AM75" i="39"/>
  <c r="AL75" i="39"/>
  <c r="AK75" i="39"/>
  <c r="AJ75" i="39"/>
  <c r="AI75" i="39"/>
  <c r="AH75" i="39"/>
  <c r="BG74" i="39"/>
  <c r="BF74" i="39"/>
  <c r="BE74" i="39"/>
  <c r="BD74" i="39"/>
  <c r="CR74" i="39" s="1"/>
  <c r="BC74" i="39"/>
  <c r="BB74" i="39"/>
  <c r="BA74" i="39"/>
  <c r="AZ74" i="39"/>
  <c r="AY74" i="39"/>
  <c r="AX74" i="39"/>
  <c r="AW74" i="39"/>
  <c r="AV74" i="39"/>
  <c r="AU74" i="39"/>
  <c r="AT74" i="39"/>
  <c r="AS74" i="39"/>
  <c r="AR74" i="39"/>
  <c r="AQ74" i="39"/>
  <c r="AP74" i="39"/>
  <c r="AO74" i="39"/>
  <c r="AN74" i="39"/>
  <c r="AM74" i="39"/>
  <c r="AL74" i="39"/>
  <c r="AK74" i="39"/>
  <c r="AJ74" i="39"/>
  <c r="AI74" i="39"/>
  <c r="AH74" i="39"/>
  <c r="BG73" i="39"/>
  <c r="BF73" i="39"/>
  <c r="BE73" i="39"/>
  <c r="BD73" i="39"/>
  <c r="CR73" i="39" s="1"/>
  <c r="BC73" i="39"/>
  <c r="BB73" i="39"/>
  <c r="BA73" i="39"/>
  <c r="AZ73" i="39"/>
  <c r="AY73" i="39"/>
  <c r="AX73" i="39"/>
  <c r="AW73" i="39"/>
  <c r="AV73" i="39"/>
  <c r="AU73" i="39"/>
  <c r="AT73" i="39"/>
  <c r="AS73" i="39"/>
  <c r="AR73" i="39"/>
  <c r="AQ73" i="39"/>
  <c r="AP73" i="39"/>
  <c r="AO73" i="39"/>
  <c r="AN73" i="39"/>
  <c r="AM73" i="39"/>
  <c r="AL73" i="39"/>
  <c r="AK73" i="39"/>
  <c r="AJ73" i="39"/>
  <c r="AI73" i="39"/>
  <c r="AH73" i="39"/>
  <c r="BG72" i="39"/>
  <c r="BF72" i="39"/>
  <c r="BE72" i="39"/>
  <c r="BD72" i="39"/>
  <c r="CR72" i="39" s="1"/>
  <c r="BC72" i="39"/>
  <c r="BB72" i="39"/>
  <c r="BA72" i="39"/>
  <c r="AZ72" i="39"/>
  <c r="AY72" i="39"/>
  <c r="AX72" i="39"/>
  <c r="AW72" i="39"/>
  <c r="AV72" i="39"/>
  <c r="AU72" i="39"/>
  <c r="AT72" i="39"/>
  <c r="AS72" i="39"/>
  <c r="AR72" i="39"/>
  <c r="AQ72" i="39"/>
  <c r="AP72" i="39"/>
  <c r="AO72" i="39"/>
  <c r="AN72" i="39"/>
  <c r="AM72" i="39"/>
  <c r="AL72" i="39"/>
  <c r="AK72" i="39"/>
  <c r="AJ72" i="39"/>
  <c r="AI72" i="39"/>
  <c r="AH72" i="39"/>
  <c r="BG71" i="39"/>
  <c r="BF71" i="39"/>
  <c r="BE71" i="39"/>
  <c r="BD71" i="39"/>
  <c r="CR71" i="39" s="1"/>
  <c r="BC71" i="39"/>
  <c r="BB71" i="39"/>
  <c r="BA71" i="39"/>
  <c r="AZ71" i="39"/>
  <c r="AY71" i="39"/>
  <c r="AX71" i="39"/>
  <c r="AW71" i="39"/>
  <c r="AV71" i="39"/>
  <c r="AU71" i="39"/>
  <c r="AT71" i="39"/>
  <c r="AS71" i="39"/>
  <c r="AR71" i="39"/>
  <c r="AQ71" i="39"/>
  <c r="AP71" i="39"/>
  <c r="AO71" i="39"/>
  <c r="AN71" i="39"/>
  <c r="AM71" i="39"/>
  <c r="AL71" i="39"/>
  <c r="AK71" i="39"/>
  <c r="AJ71" i="39"/>
  <c r="AI71" i="39"/>
  <c r="AH71" i="39"/>
  <c r="BG70" i="39"/>
  <c r="BF70" i="39"/>
  <c r="BE70" i="39"/>
  <c r="BD70" i="39"/>
  <c r="CR70" i="39" s="1"/>
  <c r="BC70" i="39"/>
  <c r="BB70" i="39"/>
  <c r="BA70" i="39"/>
  <c r="AZ70" i="39"/>
  <c r="AY70" i="39"/>
  <c r="AX70" i="39"/>
  <c r="AW70" i="39"/>
  <c r="AV70" i="39"/>
  <c r="AU70" i="39"/>
  <c r="AT70" i="39"/>
  <c r="AS70" i="39"/>
  <c r="AR70" i="39"/>
  <c r="AQ70" i="39"/>
  <c r="AP70" i="39"/>
  <c r="AO70" i="39"/>
  <c r="AN70" i="39"/>
  <c r="AM70" i="39"/>
  <c r="AL70" i="39"/>
  <c r="AK70" i="39"/>
  <c r="AJ70" i="39"/>
  <c r="AI70" i="39"/>
  <c r="AH70" i="39"/>
  <c r="BG69" i="39"/>
  <c r="BF69" i="39"/>
  <c r="BE69" i="39"/>
  <c r="BD69" i="39"/>
  <c r="CR69" i="39" s="1"/>
  <c r="BC69" i="39"/>
  <c r="BB69" i="39"/>
  <c r="BA69" i="39"/>
  <c r="AZ69" i="39"/>
  <c r="AY69" i="39"/>
  <c r="AX69" i="39"/>
  <c r="AW69" i="39"/>
  <c r="AV69" i="39"/>
  <c r="AU69" i="39"/>
  <c r="AT69" i="39"/>
  <c r="AS69" i="39"/>
  <c r="AR69" i="39"/>
  <c r="AQ69" i="39"/>
  <c r="AP69" i="39"/>
  <c r="AO69" i="39"/>
  <c r="AN69" i="39"/>
  <c r="AM69" i="39"/>
  <c r="AL69" i="39"/>
  <c r="AK69" i="39"/>
  <c r="AJ69" i="39"/>
  <c r="AI69" i="39"/>
  <c r="AH69" i="39"/>
  <c r="BG68" i="39"/>
  <c r="BF68" i="39"/>
  <c r="BE68" i="39"/>
  <c r="BD68" i="39"/>
  <c r="CR68" i="39" s="1"/>
  <c r="BC68" i="39"/>
  <c r="BB68" i="39"/>
  <c r="BA68" i="39"/>
  <c r="AZ68" i="39"/>
  <c r="AY68" i="39"/>
  <c r="AX68" i="39"/>
  <c r="AW68" i="39"/>
  <c r="AV68" i="39"/>
  <c r="AU68" i="39"/>
  <c r="AT68" i="39"/>
  <c r="AS68" i="39"/>
  <c r="AR68" i="39"/>
  <c r="AQ68" i="39"/>
  <c r="AP68" i="39"/>
  <c r="AO68" i="39"/>
  <c r="AN68" i="39"/>
  <c r="AM68" i="39"/>
  <c r="AL68" i="39"/>
  <c r="AK68" i="39"/>
  <c r="AJ68" i="39"/>
  <c r="AI68" i="39"/>
  <c r="AH68" i="39"/>
  <c r="BG67" i="39"/>
  <c r="BF67" i="39"/>
  <c r="BE67" i="39"/>
  <c r="BD67" i="39"/>
  <c r="CR67" i="39" s="1"/>
  <c r="BC67" i="39"/>
  <c r="BB67" i="39"/>
  <c r="BA67" i="39"/>
  <c r="AZ67" i="39"/>
  <c r="AY67" i="39"/>
  <c r="AX67" i="39"/>
  <c r="AW67" i="39"/>
  <c r="AV67" i="39"/>
  <c r="AU67" i="39"/>
  <c r="AT67" i="39"/>
  <c r="AS67" i="39"/>
  <c r="AR67" i="39"/>
  <c r="AQ67" i="39"/>
  <c r="AP67" i="39"/>
  <c r="AO67" i="39"/>
  <c r="AN67" i="39"/>
  <c r="AM67" i="39"/>
  <c r="AL67" i="39"/>
  <c r="AK67" i="39"/>
  <c r="AJ67" i="39"/>
  <c r="AI67" i="39"/>
  <c r="AH67" i="39"/>
  <c r="BG66" i="39"/>
  <c r="BF66" i="39"/>
  <c r="BE66" i="39"/>
  <c r="BD66" i="39"/>
  <c r="CR66" i="39" s="1"/>
  <c r="BC66" i="39"/>
  <c r="BB66" i="39"/>
  <c r="BA66" i="39"/>
  <c r="AZ66" i="39"/>
  <c r="AY66" i="39"/>
  <c r="AX66" i="39"/>
  <c r="AW66" i="39"/>
  <c r="AV66" i="39"/>
  <c r="AU66" i="39"/>
  <c r="AT66" i="39"/>
  <c r="AS66" i="39"/>
  <c r="AR66" i="39"/>
  <c r="AQ66" i="39"/>
  <c r="AP66" i="39"/>
  <c r="AO66" i="39"/>
  <c r="AN66" i="39"/>
  <c r="AM66" i="39"/>
  <c r="AL66" i="39"/>
  <c r="AK66" i="39"/>
  <c r="AJ66" i="39"/>
  <c r="AI66" i="39"/>
  <c r="AH66" i="39"/>
  <c r="BG65" i="39"/>
  <c r="BF65" i="39"/>
  <c r="BE65" i="39"/>
  <c r="BD65" i="39"/>
  <c r="CR65" i="39" s="1"/>
  <c r="BC65" i="39"/>
  <c r="BB65" i="39"/>
  <c r="BA65" i="39"/>
  <c r="AZ65" i="39"/>
  <c r="AY65" i="39"/>
  <c r="AX65" i="39"/>
  <c r="AW65" i="39"/>
  <c r="AV65" i="39"/>
  <c r="AU65" i="39"/>
  <c r="AT65" i="39"/>
  <c r="AS65" i="39"/>
  <c r="AR65" i="39"/>
  <c r="AQ65" i="39"/>
  <c r="AP65" i="39"/>
  <c r="AO65" i="39"/>
  <c r="AN65" i="39"/>
  <c r="AM65" i="39"/>
  <c r="AL65" i="39"/>
  <c r="AK65" i="39"/>
  <c r="AJ65" i="39"/>
  <c r="AI65" i="39"/>
  <c r="AH65" i="39"/>
  <c r="BG64" i="39"/>
  <c r="BF64" i="39"/>
  <c r="BE64" i="39"/>
  <c r="BD64" i="39"/>
  <c r="CR64" i="39" s="1"/>
  <c r="BC64" i="39"/>
  <c r="BB64" i="39"/>
  <c r="BA64" i="39"/>
  <c r="AZ64" i="39"/>
  <c r="AY64" i="39"/>
  <c r="AX64" i="39"/>
  <c r="AW64" i="39"/>
  <c r="AV64" i="39"/>
  <c r="AU64" i="39"/>
  <c r="AT64" i="39"/>
  <c r="AS64" i="39"/>
  <c r="AR64" i="39"/>
  <c r="AQ64" i="39"/>
  <c r="AP64" i="39"/>
  <c r="AO64" i="39"/>
  <c r="AN64" i="39"/>
  <c r="AM64" i="39"/>
  <c r="AL64" i="39"/>
  <c r="AK64" i="39"/>
  <c r="AJ64" i="39"/>
  <c r="AI64" i="39"/>
  <c r="AH64" i="39"/>
  <c r="BG63" i="39"/>
  <c r="BF63" i="39"/>
  <c r="BE63" i="39"/>
  <c r="BD63" i="39"/>
  <c r="CR63" i="39" s="1"/>
  <c r="BC63" i="39"/>
  <c r="BB63" i="39"/>
  <c r="BA63" i="39"/>
  <c r="AZ63" i="39"/>
  <c r="AY63" i="39"/>
  <c r="AX63" i="39"/>
  <c r="AW63" i="39"/>
  <c r="AV63" i="39"/>
  <c r="AU63" i="39"/>
  <c r="AT63" i="39"/>
  <c r="AS63" i="39"/>
  <c r="AR63" i="39"/>
  <c r="AQ63" i="39"/>
  <c r="AP63" i="39"/>
  <c r="AO63" i="39"/>
  <c r="AN63" i="39"/>
  <c r="AM63" i="39"/>
  <c r="AL63" i="39"/>
  <c r="AK63" i="39"/>
  <c r="AJ63" i="39"/>
  <c r="AI63" i="39"/>
  <c r="AH63" i="39"/>
  <c r="BG62" i="39"/>
  <c r="BF62" i="39"/>
  <c r="BE62" i="39"/>
  <c r="BD62" i="39"/>
  <c r="CR62" i="39" s="1"/>
  <c r="BC62" i="39"/>
  <c r="BB62" i="39"/>
  <c r="BA62" i="39"/>
  <c r="AZ62" i="39"/>
  <c r="AY62" i="39"/>
  <c r="AX62" i="39"/>
  <c r="AW62" i="39"/>
  <c r="AV62" i="39"/>
  <c r="AU62" i="39"/>
  <c r="AT62" i="39"/>
  <c r="AS62" i="39"/>
  <c r="AR62" i="39"/>
  <c r="AQ62" i="39"/>
  <c r="AP62" i="39"/>
  <c r="AO62" i="39"/>
  <c r="AN62" i="39"/>
  <c r="AM62" i="39"/>
  <c r="AL62" i="39"/>
  <c r="AK62" i="39"/>
  <c r="AJ62" i="39"/>
  <c r="AI62" i="39"/>
  <c r="AH62" i="39"/>
  <c r="BG61" i="39"/>
  <c r="BF61" i="39"/>
  <c r="BE61" i="39"/>
  <c r="BD61" i="39"/>
  <c r="CR61" i="39" s="1"/>
  <c r="BC61" i="39"/>
  <c r="BB61" i="39"/>
  <c r="BA61" i="39"/>
  <c r="AZ61" i="39"/>
  <c r="AY61" i="39"/>
  <c r="AX61" i="39"/>
  <c r="AW61" i="39"/>
  <c r="AV61" i="39"/>
  <c r="AU61" i="39"/>
  <c r="AT61" i="39"/>
  <c r="AS61" i="39"/>
  <c r="AR61" i="39"/>
  <c r="AQ61" i="39"/>
  <c r="AP61" i="39"/>
  <c r="AO61" i="39"/>
  <c r="AN61" i="39"/>
  <c r="AM61" i="39"/>
  <c r="AL61" i="39"/>
  <c r="AK61" i="39"/>
  <c r="AJ61" i="39"/>
  <c r="AI61" i="39"/>
  <c r="AH61" i="39"/>
  <c r="BG60" i="39"/>
  <c r="BF60" i="39"/>
  <c r="BE60" i="39"/>
  <c r="BD60" i="39"/>
  <c r="CR60" i="39" s="1"/>
  <c r="BC60" i="39"/>
  <c r="BB60" i="39"/>
  <c r="BA60" i="39"/>
  <c r="AZ60" i="39"/>
  <c r="AY60" i="39"/>
  <c r="AX60" i="39"/>
  <c r="AW60" i="39"/>
  <c r="AV60" i="39"/>
  <c r="AU60" i="39"/>
  <c r="AT60" i="39"/>
  <c r="AS60" i="39"/>
  <c r="AR60" i="39"/>
  <c r="AQ60" i="39"/>
  <c r="AP60" i="39"/>
  <c r="AO60" i="39"/>
  <c r="AN60" i="39"/>
  <c r="AM60" i="39"/>
  <c r="AL60" i="39"/>
  <c r="AK60" i="39"/>
  <c r="AJ60" i="39"/>
  <c r="AI60" i="39"/>
  <c r="AH60" i="39"/>
  <c r="BG59" i="39"/>
  <c r="BF59" i="39"/>
  <c r="BE59" i="39"/>
  <c r="BD59" i="39"/>
  <c r="CR59" i="39" s="1"/>
  <c r="BC59" i="39"/>
  <c r="BB59" i="39"/>
  <c r="BA59" i="39"/>
  <c r="AZ59" i="39"/>
  <c r="AY59" i="39"/>
  <c r="AX59" i="39"/>
  <c r="AW59" i="39"/>
  <c r="AV59" i="39"/>
  <c r="AU59" i="39"/>
  <c r="AT59" i="39"/>
  <c r="AS59" i="39"/>
  <c r="AR59" i="39"/>
  <c r="AQ59" i="39"/>
  <c r="AP59" i="39"/>
  <c r="AO59" i="39"/>
  <c r="AN59" i="39"/>
  <c r="AM59" i="39"/>
  <c r="AL59" i="39"/>
  <c r="AK59" i="39"/>
  <c r="AJ59" i="39"/>
  <c r="AI59" i="39"/>
  <c r="AH59" i="39"/>
  <c r="BG58" i="39"/>
  <c r="BF58" i="39"/>
  <c r="BE58" i="39"/>
  <c r="BD58" i="39"/>
  <c r="CR58" i="39" s="1"/>
  <c r="BC58" i="39"/>
  <c r="BB58" i="39"/>
  <c r="BA58" i="39"/>
  <c r="AZ58" i="39"/>
  <c r="AY58" i="39"/>
  <c r="AX58" i="39"/>
  <c r="AW58" i="39"/>
  <c r="AV58" i="39"/>
  <c r="AU58" i="39"/>
  <c r="AT58" i="39"/>
  <c r="AS58" i="39"/>
  <c r="AR58" i="39"/>
  <c r="AQ58" i="39"/>
  <c r="AP58" i="39"/>
  <c r="AO58" i="39"/>
  <c r="AN58" i="39"/>
  <c r="AM58" i="39"/>
  <c r="AL58" i="39"/>
  <c r="AK58" i="39"/>
  <c r="AJ58" i="39"/>
  <c r="AI58" i="39"/>
  <c r="AH58" i="39"/>
  <c r="BG57" i="39"/>
  <c r="BF57" i="39"/>
  <c r="BE57" i="39"/>
  <c r="BD57" i="39"/>
  <c r="CR57" i="39" s="1"/>
  <c r="BC57" i="39"/>
  <c r="BB57" i="39"/>
  <c r="BA57" i="39"/>
  <c r="AZ57" i="39"/>
  <c r="AY57" i="39"/>
  <c r="AX57" i="39"/>
  <c r="AW57" i="39"/>
  <c r="AV57" i="39"/>
  <c r="AU57" i="39"/>
  <c r="AT57" i="39"/>
  <c r="AS57" i="39"/>
  <c r="AR57" i="39"/>
  <c r="AQ57" i="39"/>
  <c r="AP57" i="39"/>
  <c r="AO57" i="39"/>
  <c r="AN57" i="39"/>
  <c r="AM57" i="39"/>
  <c r="AL57" i="39"/>
  <c r="AK57" i="39"/>
  <c r="AJ57" i="39"/>
  <c r="AI57" i="39"/>
  <c r="AH57" i="39"/>
  <c r="BG56" i="39"/>
  <c r="BF56" i="39"/>
  <c r="BE56" i="39"/>
  <c r="BD56" i="39"/>
  <c r="CR56" i="39" s="1"/>
  <c r="BC56" i="39"/>
  <c r="BB56" i="39"/>
  <c r="BA56" i="39"/>
  <c r="AZ56" i="39"/>
  <c r="AY56" i="39"/>
  <c r="AX56" i="39"/>
  <c r="AW56" i="39"/>
  <c r="AV56" i="39"/>
  <c r="AU56" i="39"/>
  <c r="AT56" i="39"/>
  <c r="AS56" i="39"/>
  <c r="AR56" i="39"/>
  <c r="AQ56" i="39"/>
  <c r="AP56" i="39"/>
  <c r="AO56" i="39"/>
  <c r="AN56" i="39"/>
  <c r="AM56" i="39"/>
  <c r="AL56" i="39"/>
  <c r="AK56" i="39"/>
  <c r="AJ56" i="39"/>
  <c r="AI56" i="39"/>
  <c r="AH56" i="39"/>
  <c r="BG55" i="39"/>
  <c r="BF55" i="39"/>
  <c r="BE55" i="39"/>
  <c r="BD55" i="39"/>
  <c r="CR55" i="39" s="1"/>
  <c r="BC55" i="39"/>
  <c r="BB55" i="39"/>
  <c r="BA55" i="39"/>
  <c r="AZ55" i="39"/>
  <c r="AY55" i="39"/>
  <c r="AX55" i="39"/>
  <c r="AW55" i="39"/>
  <c r="AV55" i="39"/>
  <c r="AU55" i="39"/>
  <c r="AT55" i="39"/>
  <c r="AS55" i="39"/>
  <c r="AR55" i="39"/>
  <c r="AQ55" i="39"/>
  <c r="AP55" i="39"/>
  <c r="AO55" i="39"/>
  <c r="AN55" i="39"/>
  <c r="AM55" i="39"/>
  <c r="AL55" i="39"/>
  <c r="AK55" i="39"/>
  <c r="AJ55" i="39"/>
  <c r="AI55" i="39"/>
  <c r="AH55" i="39"/>
  <c r="BG54" i="39"/>
  <c r="BF54" i="39"/>
  <c r="BE54" i="39"/>
  <c r="BD54" i="39"/>
  <c r="CR54" i="39" s="1"/>
  <c r="BC54" i="39"/>
  <c r="BB54" i="39"/>
  <c r="BA54" i="39"/>
  <c r="AZ54" i="39"/>
  <c r="AY54" i="39"/>
  <c r="AX54" i="39"/>
  <c r="AW54" i="39"/>
  <c r="AV54" i="39"/>
  <c r="AU54" i="39"/>
  <c r="AT54" i="39"/>
  <c r="AS54" i="39"/>
  <c r="AR54" i="39"/>
  <c r="AQ54" i="39"/>
  <c r="AP54" i="39"/>
  <c r="AO54" i="39"/>
  <c r="AN54" i="39"/>
  <c r="AM54" i="39"/>
  <c r="AL54" i="39"/>
  <c r="AK54" i="39"/>
  <c r="AJ54" i="39"/>
  <c r="AI54" i="39"/>
  <c r="AH54" i="39"/>
  <c r="BG53" i="39"/>
  <c r="BF53" i="39"/>
  <c r="BE53" i="39"/>
  <c r="BD53" i="39"/>
  <c r="CR53" i="39" s="1"/>
  <c r="BC53" i="39"/>
  <c r="BB53" i="39"/>
  <c r="BA53" i="39"/>
  <c r="AZ53" i="39"/>
  <c r="AY53" i="39"/>
  <c r="AX53" i="39"/>
  <c r="AW53" i="39"/>
  <c r="AV53" i="39"/>
  <c r="AU53" i="39"/>
  <c r="AT53" i="39"/>
  <c r="AS53" i="39"/>
  <c r="AR53" i="39"/>
  <c r="AQ53" i="39"/>
  <c r="AP53" i="39"/>
  <c r="AO53" i="39"/>
  <c r="AN53" i="39"/>
  <c r="AM53" i="39"/>
  <c r="AL53" i="39"/>
  <c r="AK53" i="39"/>
  <c r="AJ53" i="39"/>
  <c r="AI53" i="39"/>
  <c r="AH53" i="39"/>
  <c r="BG52" i="39"/>
  <c r="BF52" i="39"/>
  <c r="BE52" i="39"/>
  <c r="BD52" i="39"/>
  <c r="CR52" i="39" s="1"/>
  <c r="BC52" i="39"/>
  <c r="BB52" i="39"/>
  <c r="BA52" i="39"/>
  <c r="AZ52" i="39"/>
  <c r="AY52" i="39"/>
  <c r="AX52" i="39"/>
  <c r="AW52" i="39"/>
  <c r="AV52" i="39"/>
  <c r="AU52" i="39"/>
  <c r="AT52" i="39"/>
  <c r="AS52" i="39"/>
  <c r="AR52" i="39"/>
  <c r="AQ52" i="39"/>
  <c r="AP52" i="39"/>
  <c r="AO52" i="39"/>
  <c r="AN52" i="39"/>
  <c r="AM52" i="39"/>
  <c r="AL52" i="39"/>
  <c r="AK52" i="39"/>
  <c r="AJ52" i="39"/>
  <c r="AI52" i="39"/>
  <c r="AH52" i="39"/>
  <c r="BG51" i="39"/>
  <c r="BF51" i="39"/>
  <c r="BE51" i="39"/>
  <c r="BD51" i="39"/>
  <c r="CR51" i="39" s="1"/>
  <c r="BC51" i="39"/>
  <c r="BB51" i="39"/>
  <c r="BA51" i="39"/>
  <c r="AZ51" i="39"/>
  <c r="AY51" i="39"/>
  <c r="AX51" i="39"/>
  <c r="AW51" i="39"/>
  <c r="AV51" i="39"/>
  <c r="AU51" i="39"/>
  <c r="AT51" i="39"/>
  <c r="AS51" i="39"/>
  <c r="AR51" i="39"/>
  <c r="AQ51" i="39"/>
  <c r="AP51" i="39"/>
  <c r="AO51" i="39"/>
  <c r="AN51" i="39"/>
  <c r="AM51" i="39"/>
  <c r="AL51" i="39"/>
  <c r="AK51" i="39"/>
  <c r="AJ51" i="39"/>
  <c r="AI51" i="39"/>
  <c r="AH51" i="39"/>
  <c r="BG50" i="39"/>
  <c r="BF50" i="39"/>
  <c r="BE50" i="39"/>
  <c r="BD50" i="39"/>
  <c r="CR50" i="39" s="1"/>
  <c r="BC50" i="39"/>
  <c r="BB50" i="39"/>
  <c r="BA50" i="39"/>
  <c r="AZ50" i="39"/>
  <c r="AY50" i="39"/>
  <c r="AX50" i="39"/>
  <c r="AW50" i="39"/>
  <c r="AV50" i="39"/>
  <c r="AU50" i="39"/>
  <c r="AT50" i="39"/>
  <c r="AS50" i="39"/>
  <c r="AR50" i="39"/>
  <c r="AQ50" i="39"/>
  <c r="AP50" i="39"/>
  <c r="AO50" i="39"/>
  <c r="AN50" i="39"/>
  <c r="AM50" i="39"/>
  <c r="AL50" i="39"/>
  <c r="AK50" i="39"/>
  <c r="AJ50" i="39"/>
  <c r="AI50" i="39"/>
  <c r="AH50" i="39"/>
  <c r="BG49" i="39"/>
  <c r="BF49" i="39"/>
  <c r="BE49" i="39"/>
  <c r="BD49" i="39"/>
  <c r="CR49" i="39" s="1"/>
  <c r="BC49" i="39"/>
  <c r="BB49" i="39"/>
  <c r="BA49" i="39"/>
  <c r="AZ49" i="39"/>
  <c r="AY49" i="39"/>
  <c r="AX49" i="39"/>
  <c r="AW49" i="39"/>
  <c r="AV49" i="39"/>
  <c r="AU49" i="39"/>
  <c r="AT49" i="39"/>
  <c r="AS49" i="39"/>
  <c r="AR49" i="39"/>
  <c r="AQ49" i="39"/>
  <c r="AP49" i="39"/>
  <c r="AO49" i="39"/>
  <c r="AN49" i="39"/>
  <c r="AM49" i="39"/>
  <c r="AL49" i="39"/>
  <c r="AK49" i="39"/>
  <c r="AJ49" i="39"/>
  <c r="AI49" i="39"/>
  <c r="AH49" i="39"/>
  <c r="BG48" i="39"/>
  <c r="BF48" i="39"/>
  <c r="BE48" i="39"/>
  <c r="BD48" i="39"/>
  <c r="CR48" i="39" s="1"/>
  <c r="BC48" i="39"/>
  <c r="BB48" i="39"/>
  <c r="BA48" i="39"/>
  <c r="AZ48" i="39"/>
  <c r="AY48" i="39"/>
  <c r="AX48" i="39"/>
  <c r="AW48" i="39"/>
  <c r="AV48" i="39"/>
  <c r="AU48" i="39"/>
  <c r="AT48" i="39"/>
  <c r="AS48" i="39"/>
  <c r="AR48" i="39"/>
  <c r="AQ48" i="39"/>
  <c r="AP48" i="39"/>
  <c r="AO48" i="39"/>
  <c r="AN48" i="39"/>
  <c r="AM48" i="39"/>
  <c r="AL48" i="39"/>
  <c r="AK48" i="39"/>
  <c r="AJ48" i="39"/>
  <c r="AI48" i="39"/>
  <c r="AH48" i="39"/>
  <c r="BG47" i="39"/>
  <c r="BF47" i="39"/>
  <c r="BE47" i="39"/>
  <c r="BD47" i="39"/>
  <c r="CR47" i="39" s="1"/>
  <c r="BC47" i="39"/>
  <c r="BB47" i="39"/>
  <c r="BA47" i="39"/>
  <c r="AZ47" i="39"/>
  <c r="AY47" i="39"/>
  <c r="AX47" i="39"/>
  <c r="AW47" i="39"/>
  <c r="AV47" i="39"/>
  <c r="AU47" i="39"/>
  <c r="AT47" i="39"/>
  <c r="AS47" i="39"/>
  <c r="AR47" i="39"/>
  <c r="AQ47" i="39"/>
  <c r="AP47" i="39"/>
  <c r="AO47" i="39"/>
  <c r="AN47" i="39"/>
  <c r="AM47" i="39"/>
  <c r="AL47" i="39"/>
  <c r="AK47" i="39"/>
  <c r="AJ47" i="39"/>
  <c r="AI47" i="39"/>
  <c r="AH47" i="39"/>
  <c r="BG46" i="39"/>
  <c r="BF46" i="39"/>
  <c r="BE46" i="39"/>
  <c r="BD46" i="39"/>
  <c r="CR46" i="39" s="1"/>
  <c r="BC46" i="39"/>
  <c r="BB46" i="39"/>
  <c r="BA46" i="39"/>
  <c r="AZ46" i="39"/>
  <c r="AY46" i="39"/>
  <c r="AX46" i="39"/>
  <c r="AW46" i="39"/>
  <c r="AV46" i="39"/>
  <c r="AU46" i="39"/>
  <c r="AT46" i="39"/>
  <c r="AS46" i="39"/>
  <c r="AR46" i="39"/>
  <c r="AQ46" i="39"/>
  <c r="AP46" i="39"/>
  <c r="AO46" i="39"/>
  <c r="AN46" i="39"/>
  <c r="AM46" i="39"/>
  <c r="AL46" i="39"/>
  <c r="AK46" i="39"/>
  <c r="AJ46" i="39"/>
  <c r="AI46" i="39"/>
  <c r="AH46" i="39"/>
  <c r="BG45" i="39"/>
  <c r="BF45" i="39"/>
  <c r="BE45" i="39"/>
  <c r="BD45" i="39"/>
  <c r="CR45" i="39" s="1"/>
  <c r="BC45" i="39"/>
  <c r="BB45" i="39"/>
  <c r="BA45" i="39"/>
  <c r="AZ45" i="39"/>
  <c r="AY45" i="39"/>
  <c r="AX45" i="39"/>
  <c r="AW45" i="39"/>
  <c r="AV45" i="39"/>
  <c r="AU45" i="39"/>
  <c r="AT45" i="39"/>
  <c r="AS45" i="39"/>
  <c r="AR45" i="39"/>
  <c r="AQ45" i="39"/>
  <c r="AP45" i="39"/>
  <c r="AO45" i="39"/>
  <c r="AN45" i="39"/>
  <c r="AM45" i="39"/>
  <c r="AL45" i="39"/>
  <c r="AK45" i="39"/>
  <c r="AJ45" i="39"/>
  <c r="AI45" i="39"/>
  <c r="AH45" i="39"/>
  <c r="BG44" i="39"/>
  <c r="BF44" i="39"/>
  <c r="BE44" i="39"/>
  <c r="BD44" i="39"/>
  <c r="CR44" i="39" s="1"/>
  <c r="BC44" i="39"/>
  <c r="BB44" i="39"/>
  <c r="BA44" i="39"/>
  <c r="AZ44" i="39"/>
  <c r="AY44" i="39"/>
  <c r="AX44" i="39"/>
  <c r="AW44" i="39"/>
  <c r="AV44" i="39"/>
  <c r="AU44" i="39"/>
  <c r="AT44" i="39"/>
  <c r="AS44" i="39"/>
  <c r="AR44" i="39"/>
  <c r="AQ44" i="39"/>
  <c r="AP44" i="39"/>
  <c r="AO44" i="39"/>
  <c r="AN44" i="39"/>
  <c r="AM44" i="39"/>
  <c r="AL44" i="39"/>
  <c r="AK44" i="39"/>
  <c r="AJ44" i="39"/>
  <c r="AI44" i="39"/>
  <c r="AH44" i="39"/>
  <c r="BG43" i="39"/>
  <c r="BF43" i="39"/>
  <c r="BE43" i="39"/>
  <c r="BD43" i="39"/>
  <c r="CR43" i="39" s="1"/>
  <c r="BC43" i="39"/>
  <c r="BB43" i="39"/>
  <c r="BA43" i="39"/>
  <c r="AZ43" i="39"/>
  <c r="AY43" i="39"/>
  <c r="AX43" i="39"/>
  <c r="AW43" i="39"/>
  <c r="AV43" i="39"/>
  <c r="AU43" i="39"/>
  <c r="AT43" i="39"/>
  <c r="AS43" i="39"/>
  <c r="AR43" i="39"/>
  <c r="AQ43" i="39"/>
  <c r="AP43" i="39"/>
  <c r="AO43" i="39"/>
  <c r="AN43" i="39"/>
  <c r="AM43" i="39"/>
  <c r="AL43" i="39"/>
  <c r="AK43" i="39"/>
  <c r="AJ43" i="39"/>
  <c r="AI43" i="39"/>
  <c r="AH43" i="39"/>
  <c r="BG42" i="39"/>
  <c r="BF42" i="39"/>
  <c r="BE42" i="39"/>
  <c r="BD42" i="39"/>
  <c r="CR42" i="39" s="1"/>
  <c r="BC42" i="39"/>
  <c r="BB42" i="39"/>
  <c r="BA42" i="39"/>
  <c r="AZ42" i="39"/>
  <c r="AY42" i="39"/>
  <c r="AX42" i="39"/>
  <c r="AW42" i="39"/>
  <c r="AV42" i="39"/>
  <c r="AU42" i="39"/>
  <c r="AT42" i="39"/>
  <c r="AS42" i="39"/>
  <c r="AR42" i="39"/>
  <c r="AQ42" i="39"/>
  <c r="AP42" i="39"/>
  <c r="AO42" i="39"/>
  <c r="AN42" i="39"/>
  <c r="AM42" i="39"/>
  <c r="AL42" i="39"/>
  <c r="AK42" i="39"/>
  <c r="AJ42" i="39"/>
  <c r="AI42" i="39"/>
  <c r="AH42" i="39"/>
  <c r="BG41" i="39"/>
  <c r="BF41" i="39"/>
  <c r="BE41" i="39"/>
  <c r="BD41" i="39"/>
  <c r="CR41" i="39" s="1"/>
  <c r="BC41" i="39"/>
  <c r="BB41" i="39"/>
  <c r="BA41" i="39"/>
  <c r="AZ41" i="39"/>
  <c r="AY41" i="39"/>
  <c r="AX41" i="39"/>
  <c r="AW41" i="39"/>
  <c r="AV41" i="39"/>
  <c r="AU41" i="39"/>
  <c r="AT41" i="39"/>
  <c r="AS41" i="39"/>
  <c r="AR41" i="39"/>
  <c r="AQ41" i="39"/>
  <c r="AP41" i="39"/>
  <c r="AO41" i="39"/>
  <c r="AN41" i="39"/>
  <c r="AM41" i="39"/>
  <c r="AL41" i="39"/>
  <c r="AK41" i="39"/>
  <c r="AJ41" i="39"/>
  <c r="AI41" i="39"/>
  <c r="AH41" i="39"/>
  <c r="BG40" i="39"/>
  <c r="BF40" i="39"/>
  <c r="BE40" i="39"/>
  <c r="BD40" i="39"/>
  <c r="CR40" i="39" s="1"/>
  <c r="BC40" i="39"/>
  <c r="BB40" i="39"/>
  <c r="BA40" i="39"/>
  <c r="AZ40" i="39"/>
  <c r="AY40" i="39"/>
  <c r="AX40" i="39"/>
  <c r="AW40" i="39"/>
  <c r="AV40" i="39"/>
  <c r="AU40" i="39"/>
  <c r="AT40" i="39"/>
  <c r="AS40" i="39"/>
  <c r="AR40" i="39"/>
  <c r="AQ40" i="39"/>
  <c r="AP40" i="39"/>
  <c r="AO40" i="39"/>
  <c r="AN40" i="39"/>
  <c r="AM40" i="39"/>
  <c r="AL40" i="39"/>
  <c r="AK40" i="39"/>
  <c r="AJ40" i="39"/>
  <c r="AI40" i="39"/>
  <c r="AH40" i="39"/>
  <c r="BG39" i="39"/>
  <c r="BF39" i="39"/>
  <c r="BE39" i="39"/>
  <c r="BD39" i="39"/>
  <c r="CR39" i="39" s="1"/>
  <c r="BC39" i="39"/>
  <c r="BB39" i="39"/>
  <c r="BA39" i="39"/>
  <c r="AZ39" i="39"/>
  <c r="AY39" i="39"/>
  <c r="AX39" i="39"/>
  <c r="AW39" i="39"/>
  <c r="AV39" i="39"/>
  <c r="AU39" i="39"/>
  <c r="AT39" i="39"/>
  <c r="AS39" i="39"/>
  <c r="AR39" i="39"/>
  <c r="AQ39" i="39"/>
  <c r="AP39" i="39"/>
  <c r="AO39" i="39"/>
  <c r="AN39" i="39"/>
  <c r="AM39" i="39"/>
  <c r="AL39" i="39"/>
  <c r="AK39" i="39"/>
  <c r="AJ39" i="39"/>
  <c r="AI39" i="39"/>
  <c r="AH39" i="39"/>
  <c r="BG38" i="39"/>
  <c r="BF38" i="39"/>
  <c r="BE38" i="39"/>
  <c r="BD38" i="39"/>
  <c r="CR38" i="39" s="1"/>
  <c r="BC38" i="39"/>
  <c r="BB38" i="39"/>
  <c r="BA38" i="39"/>
  <c r="AZ38" i="39"/>
  <c r="AY38" i="39"/>
  <c r="AX38" i="39"/>
  <c r="AW38" i="39"/>
  <c r="AV38" i="39"/>
  <c r="AU38" i="39"/>
  <c r="AT38" i="39"/>
  <c r="AS38" i="39"/>
  <c r="AR38" i="39"/>
  <c r="AQ38" i="39"/>
  <c r="AP38" i="39"/>
  <c r="AO38" i="39"/>
  <c r="AN38" i="39"/>
  <c r="AM38" i="39"/>
  <c r="AL38" i="39"/>
  <c r="AK38" i="39"/>
  <c r="AJ38" i="39"/>
  <c r="AI38" i="39"/>
  <c r="AH38" i="39"/>
  <c r="BG37" i="39"/>
  <c r="BF37" i="39"/>
  <c r="BE37" i="39"/>
  <c r="BD37" i="39"/>
  <c r="CR37" i="39" s="1"/>
  <c r="BC37" i="39"/>
  <c r="BB37" i="39"/>
  <c r="BA37" i="39"/>
  <c r="AZ37" i="39"/>
  <c r="AY37" i="39"/>
  <c r="AX37" i="39"/>
  <c r="AW37" i="39"/>
  <c r="AV37" i="39"/>
  <c r="AU37" i="39"/>
  <c r="AT37" i="39"/>
  <c r="AS37" i="39"/>
  <c r="AR37" i="39"/>
  <c r="AQ37" i="39"/>
  <c r="AP37" i="39"/>
  <c r="AO37" i="39"/>
  <c r="AN37" i="39"/>
  <c r="AM37" i="39"/>
  <c r="AL37" i="39"/>
  <c r="AK37" i="39"/>
  <c r="AJ37" i="39"/>
  <c r="AI37" i="39"/>
  <c r="AH37" i="39"/>
  <c r="BG36" i="39"/>
  <c r="BF36" i="39"/>
  <c r="BE36" i="39"/>
  <c r="BD36" i="39"/>
  <c r="CR36" i="39" s="1"/>
  <c r="BC36" i="39"/>
  <c r="BB36" i="39"/>
  <c r="BA36" i="39"/>
  <c r="AZ36" i="39"/>
  <c r="AY36" i="39"/>
  <c r="AX36" i="39"/>
  <c r="AW36" i="39"/>
  <c r="AV36" i="39"/>
  <c r="AU36" i="39"/>
  <c r="AT36" i="39"/>
  <c r="AS36" i="39"/>
  <c r="AR36" i="39"/>
  <c r="AQ36" i="39"/>
  <c r="AP36" i="39"/>
  <c r="AO36" i="39"/>
  <c r="AN36" i="39"/>
  <c r="AM36" i="39"/>
  <c r="AL36" i="39"/>
  <c r="AK36" i="39"/>
  <c r="AJ36" i="39"/>
  <c r="AI36" i="39"/>
  <c r="AH36" i="39"/>
  <c r="BG35" i="39"/>
  <c r="BF35" i="39"/>
  <c r="BE35" i="39"/>
  <c r="BD35" i="39"/>
  <c r="CR35" i="39" s="1"/>
  <c r="BC35" i="39"/>
  <c r="BB35" i="39"/>
  <c r="BA35" i="39"/>
  <c r="AZ35" i="39"/>
  <c r="AY35" i="39"/>
  <c r="AX35" i="39"/>
  <c r="AW35" i="39"/>
  <c r="AV35" i="39"/>
  <c r="AU35" i="39"/>
  <c r="AT35" i="39"/>
  <c r="AS35" i="39"/>
  <c r="AR35" i="39"/>
  <c r="AQ35" i="39"/>
  <c r="AP35" i="39"/>
  <c r="AO35" i="39"/>
  <c r="AN35" i="39"/>
  <c r="AM35" i="39"/>
  <c r="AL35" i="39"/>
  <c r="AK35" i="39"/>
  <c r="AJ35" i="39"/>
  <c r="AI35" i="39"/>
  <c r="AH35" i="39"/>
  <c r="BG34" i="39"/>
  <c r="BF34" i="39"/>
  <c r="BE34" i="39"/>
  <c r="BD34" i="39"/>
  <c r="CR34" i="39" s="1"/>
  <c r="BC34" i="39"/>
  <c r="BB34" i="39"/>
  <c r="BA34" i="39"/>
  <c r="AZ34" i="39"/>
  <c r="AY34" i="39"/>
  <c r="AX34" i="39"/>
  <c r="AW34" i="39"/>
  <c r="AV34" i="39"/>
  <c r="AU34" i="39"/>
  <c r="AT34" i="39"/>
  <c r="AS34" i="39"/>
  <c r="AR34" i="39"/>
  <c r="AQ34" i="39"/>
  <c r="AP34" i="39"/>
  <c r="AO34" i="39"/>
  <c r="AN34" i="39"/>
  <c r="AM34" i="39"/>
  <c r="AL34" i="39"/>
  <c r="AK34" i="39"/>
  <c r="AJ34" i="39"/>
  <c r="AI34" i="39"/>
  <c r="AH34" i="39"/>
  <c r="BG33" i="39"/>
  <c r="BF33" i="39"/>
  <c r="BE33" i="39"/>
  <c r="BD33" i="39"/>
  <c r="CR33" i="39" s="1"/>
  <c r="BC33" i="39"/>
  <c r="BB33" i="39"/>
  <c r="BA33" i="39"/>
  <c r="AZ33" i="39"/>
  <c r="AY33" i="39"/>
  <c r="AX33" i="39"/>
  <c r="AW33" i="39"/>
  <c r="AV33" i="39"/>
  <c r="AU33" i="39"/>
  <c r="AT33" i="39"/>
  <c r="AS33" i="39"/>
  <c r="AR33" i="39"/>
  <c r="AQ33" i="39"/>
  <c r="AP33" i="39"/>
  <c r="AO33" i="39"/>
  <c r="AN33" i="39"/>
  <c r="AM33" i="39"/>
  <c r="AL33" i="39"/>
  <c r="AK33" i="39"/>
  <c r="AJ33" i="39"/>
  <c r="AI33" i="39"/>
  <c r="AH33" i="39"/>
  <c r="BG32" i="39"/>
  <c r="BF32" i="39"/>
  <c r="BE32" i="39"/>
  <c r="BD32" i="39"/>
  <c r="CR32" i="39" s="1"/>
  <c r="BC32" i="39"/>
  <c r="BB32" i="39"/>
  <c r="BA32" i="39"/>
  <c r="AZ32" i="39"/>
  <c r="AY32" i="39"/>
  <c r="AX32" i="39"/>
  <c r="AW32" i="39"/>
  <c r="AV32" i="39"/>
  <c r="AU32" i="39"/>
  <c r="AT32" i="39"/>
  <c r="AS32" i="39"/>
  <c r="AR32" i="39"/>
  <c r="AQ32" i="39"/>
  <c r="AP32" i="39"/>
  <c r="AO32" i="39"/>
  <c r="AN32" i="39"/>
  <c r="AM32" i="39"/>
  <c r="AL32" i="39"/>
  <c r="AK32" i="39"/>
  <c r="AJ32" i="39"/>
  <c r="AI32" i="39"/>
  <c r="AH32" i="39"/>
  <c r="BG31" i="39"/>
  <c r="BF31" i="39"/>
  <c r="BE31" i="39"/>
  <c r="BD31" i="39"/>
  <c r="CR31" i="39" s="1"/>
  <c r="BC31" i="39"/>
  <c r="BB31" i="39"/>
  <c r="BA31" i="39"/>
  <c r="AZ31" i="39"/>
  <c r="AY31" i="39"/>
  <c r="AX31" i="39"/>
  <c r="AW31" i="39"/>
  <c r="AV31" i="39"/>
  <c r="AU31" i="39"/>
  <c r="AT31" i="39"/>
  <c r="AS31" i="39"/>
  <c r="AR31" i="39"/>
  <c r="AQ31" i="39"/>
  <c r="AP31" i="39"/>
  <c r="AO31" i="39"/>
  <c r="AN31" i="39"/>
  <c r="AM31" i="39"/>
  <c r="AL31" i="39"/>
  <c r="AK31" i="39"/>
  <c r="AJ31" i="39"/>
  <c r="AI31" i="39"/>
  <c r="AH31" i="39"/>
  <c r="BG30" i="39"/>
  <c r="BF30" i="39"/>
  <c r="BE30" i="39"/>
  <c r="BD30" i="39"/>
  <c r="CR30" i="39" s="1"/>
  <c r="BC30" i="39"/>
  <c r="BB30" i="39"/>
  <c r="BA30" i="39"/>
  <c r="AZ30" i="39"/>
  <c r="AY30" i="39"/>
  <c r="AX30" i="39"/>
  <c r="AW30" i="39"/>
  <c r="AV30" i="39"/>
  <c r="AU30" i="39"/>
  <c r="AT30" i="39"/>
  <c r="AS30" i="39"/>
  <c r="AR30" i="39"/>
  <c r="AQ30" i="39"/>
  <c r="AP30" i="39"/>
  <c r="AO30" i="39"/>
  <c r="AN30" i="39"/>
  <c r="AM30" i="39"/>
  <c r="AL30" i="39"/>
  <c r="AK30" i="39"/>
  <c r="AJ30" i="39"/>
  <c r="AI30" i="39"/>
  <c r="AH30" i="39"/>
  <c r="BG29" i="39"/>
  <c r="BF29" i="39"/>
  <c r="BE29" i="39"/>
  <c r="BD29" i="39"/>
  <c r="CR29" i="39" s="1"/>
  <c r="BC29" i="39"/>
  <c r="BB29" i="39"/>
  <c r="BA29" i="39"/>
  <c r="AZ29" i="39"/>
  <c r="AY29" i="39"/>
  <c r="AX29" i="39"/>
  <c r="AW29" i="39"/>
  <c r="AV29" i="39"/>
  <c r="AU29" i="39"/>
  <c r="AT29" i="39"/>
  <c r="AS29" i="39"/>
  <c r="AR29" i="39"/>
  <c r="AQ29" i="39"/>
  <c r="AP29" i="39"/>
  <c r="AO29" i="39"/>
  <c r="AN29" i="39"/>
  <c r="AM29" i="39"/>
  <c r="AL29" i="39"/>
  <c r="AK29" i="39"/>
  <c r="AJ29" i="39"/>
  <c r="AI29" i="39"/>
  <c r="AH29" i="39"/>
  <c r="BG28" i="39"/>
  <c r="BF28" i="39"/>
  <c r="BE28" i="39"/>
  <c r="BD28" i="39"/>
  <c r="CR28" i="39" s="1"/>
  <c r="BC28" i="39"/>
  <c r="BB28" i="39"/>
  <c r="BA28" i="39"/>
  <c r="AZ28" i="39"/>
  <c r="AY28" i="39"/>
  <c r="AX28" i="39"/>
  <c r="AW28" i="39"/>
  <c r="AV28" i="39"/>
  <c r="AU28" i="39"/>
  <c r="AT28" i="39"/>
  <c r="AS28" i="39"/>
  <c r="AR28" i="39"/>
  <c r="AQ28" i="39"/>
  <c r="AP28" i="39"/>
  <c r="AO28" i="39"/>
  <c r="AN28" i="39"/>
  <c r="AM28" i="39"/>
  <c r="AL28" i="39"/>
  <c r="AK28" i="39"/>
  <c r="AJ28" i="39"/>
  <c r="AI28" i="39"/>
  <c r="AH28" i="39"/>
  <c r="BG27" i="39"/>
  <c r="BF27" i="39"/>
  <c r="BE27" i="39"/>
  <c r="BD27" i="39"/>
  <c r="CR27" i="39" s="1"/>
  <c r="BC27" i="39"/>
  <c r="BB27" i="39"/>
  <c r="BA27" i="39"/>
  <c r="AZ27" i="39"/>
  <c r="AY27" i="39"/>
  <c r="AX27" i="39"/>
  <c r="AW27" i="39"/>
  <c r="AV27" i="39"/>
  <c r="AU27" i="39"/>
  <c r="AT27" i="39"/>
  <c r="AS27" i="39"/>
  <c r="AR27" i="39"/>
  <c r="AQ27" i="39"/>
  <c r="AP27" i="39"/>
  <c r="AO27" i="39"/>
  <c r="AN27" i="39"/>
  <c r="AM27" i="39"/>
  <c r="AL27" i="39"/>
  <c r="AK27" i="39"/>
  <c r="AJ27" i="39"/>
  <c r="AI27" i="39"/>
  <c r="AH27" i="39"/>
  <c r="BG26" i="39"/>
  <c r="BF26" i="39"/>
  <c r="BE26" i="39"/>
  <c r="BD26" i="39"/>
  <c r="CR26" i="39" s="1"/>
  <c r="BC26" i="39"/>
  <c r="BB26" i="39"/>
  <c r="BA26" i="39"/>
  <c r="AZ26" i="39"/>
  <c r="AY26" i="39"/>
  <c r="AX26" i="39"/>
  <c r="AW26" i="39"/>
  <c r="AV26" i="39"/>
  <c r="AU26" i="39"/>
  <c r="AT26" i="39"/>
  <c r="AS26" i="39"/>
  <c r="AR26" i="39"/>
  <c r="AQ26" i="39"/>
  <c r="AP26" i="39"/>
  <c r="AO26" i="39"/>
  <c r="AN26" i="39"/>
  <c r="AM26" i="39"/>
  <c r="AL26" i="39"/>
  <c r="AK26" i="39"/>
  <c r="AJ26" i="39"/>
  <c r="AI26" i="39"/>
  <c r="AH26" i="39"/>
  <c r="BG25" i="39"/>
  <c r="BF25" i="39"/>
  <c r="BE25" i="39"/>
  <c r="BD25" i="39"/>
  <c r="CR25" i="39" s="1"/>
  <c r="BC25" i="39"/>
  <c r="BB25" i="39"/>
  <c r="BA25" i="39"/>
  <c r="AZ25" i="39"/>
  <c r="AY25" i="39"/>
  <c r="AX25" i="39"/>
  <c r="AW25" i="39"/>
  <c r="AV25" i="39"/>
  <c r="AU25" i="39"/>
  <c r="AT25" i="39"/>
  <c r="AS25" i="39"/>
  <c r="AR25" i="39"/>
  <c r="AQ25" i="39"/>
  <c r="AP25" i="39"/>
  <c r="AO25" i="39"/>
  <c r="AN25" i="39"/>
  <c r="AM25" i="39"/>
  <c r="AL25" i="39"/>
  <c r="AK25" i="39"/>
  <c r="AJ25" i="39"/>
  <c r="AI25" i="39"/>
  <c r="AH25" i="39"/>
  <c r="BG24" i="39"/>
  <c r="BF24" i="39"/>
  <c r="BE24" i="39"/>
  <c r="BD24" i="39"/>
  <c r="CR24" i="39" s="1"/>
  <c r="BC24" i="39"/>
  <c r="BB24" i="39"/>
  <c r="BA24" i="39"/>
  <c r="AZ24" i="39"/>
  <c r="AY24" i="39"/>
  <c r="AX24" i="39"/>
  <c r="AW24" i="39"/>
  <c r="AV24" i="39"/>
  <c r="AU24" i="39"/>
  <c r="AT24" i="39"/>
  <c r="AS24" i="39"/>
  <c r="AR24" i="39"/>
  <c r="AQ24" i="39"/>
  <c r="AP24" i="39"/>
  <c r="AO24" i="39"/>
  <c r="AN24" i="39"/>
  <c r="AM24" i="39"/>
  <c r="AL24" i="39"/>
  <c r="AK24" i="39"/>
  <c r="AJ24" i="39"/>
  <c r="AI24" i="39"/>
  <c r="AH24" i="39"/>
  <c r="BG23" i="39"/>
  <c r="BF23" i="39"/>
  <c r="BE23" i="39"/>
  <c r="BD23" i="39"/>
  <c r="CR23" i="39" s="1"/>
  <c r="BC23" i="39"/>
  <c r="BB23" i="39"/>
  <c r="BA23" i="39"/>
  <c r="AZ23" i="39"/>
  <c r="AY23" i="39"/>
  <c r="AX23" i="39"/>
  <c r="AW23" i="39"/>
  <c r="AV23" i="39"/>
  <c r="AU23" i="39"/>
  <c r="AT23" i="39"/>
  <c r="AS23" i="39"/>
  <c r="AR23" i="39"/>
  <c r="AQ23" i="39"/>
  <c r="AP23" i="39"/>
  <c r="AO23" i="39"/>
  <c r="AN23" i="39"/>
  <c r="AM23" i="39"/>
  <c r="AL23" i="39"/>
  <c r="AK23" i="39"/>
  <c r="AJ23" i="39"/>
  <c r="AI23" i="39"/>
  <c r="AH23" i="39"/>
  <c r="BG22" i="39"/>
  <c r="BF22" i="39"/>
  <c r="BE22" i="39"/>
  <c r="BD22" i="39"/>
  <c r="CR22" i="39" s="1"/>
  <c r="BC22" i="39"/>
  <c r="BB22" i="39"/>
  <c r="BA22" i="39"/>
  <c r="AZ22" i="39"/>
  <c r="AY22" i="39"/>
  <c r="AX22" i="39"/>
  <c r="AW22" i="39"/>
  <c r="AV22" i="39"/>
  <c r="AU22" i="39"/>
  <c r="AT22" i="39"/>
  <c r="AS22" i="39"/>
  <c r="AR22" i="39"/>
  <c r="AQ22" i="39"/>
  <c r="AP22" i="39"/>
  <c r="AO22" i="39"/>
  <c r="AN22" i="39"/>
  <c r="AM22" i="39"/>
  <c r="AL22" i="39"/>
  <c r="AK22" i="39"/>
  <c r="AJ22" i="39"/>
  <c r="AI22" i="39"/>
  <c r="AH22" i="39"/>
  <c r="BG21" i="39"/>
  <c r="BF21" i="39"/>
  <c r="BE21" i="39"/>
  <c r="BD21" i="39"/>
  <c r="CR21" i="39" s="1"/>
  <c r="BC21" i="39"/>
  <c r="BB21" i="39"/>
  <c r="BA21" i="39"/>
  <c r="AZ21" i="39"/>
  <c r="AY21" i="39"/>
  <c r="AX21" i="39"/>
  <c r="AW21" i="39"/>
  <c r="AV21" i="39"/>
  <c r="AU21" i="39"/>
  <c r="AT21" i="39"/>
  <c r="AS21" i="39"/>
  <c r="AR21" i="39"/>
  <c r="AQ21" i="39"/>
  <c r="AP21" i="39"/>
  <c r="AO21" i="39"/>
  <c r="AN21" i="39"/>
  <c r="AM21" i="39"/>
  <c r="AL21" i="39"/>
  <c r="AK21" i="39"/>
  <c r="AJ21" i="39"/>
  <c r="AI21" i="39"/>
  <c r="AH21" i="39"/>
  <c r="BG20" i="39"/>
  <c r="BF20" i="39"/>
  <c r="BE20" i="39"/>
  <c r="BD20" i="39"/>
  <c r="CR20" i="39" s="1"/>
  <c r="BC20" i="39"/>
  <c r="BB20" i="39"/>
  <c r="BA20" i="39"/>
  <c r="AZ20" i="39"/>
  <c r="AY20" i="39"/>
  <c r="AX20" i="39"/>
  <c r="AW20" i="39"/>
  <c r="AV20" i="39"/>
  <c r="AU20" i="39"/>
  <c r="AT20" i="39"/>
  <c r="AS20" i="39"/>
  <c r="AR20" i="39"/>
  <c r="AQ20" i="39"/>
  <c r="AP20" i="39"/>
  <c r="AO20" i="39"/>
  <c r="AN20" i="39"/>
  <c r="AM20" i="39"/>
  <c r="AL20" i="39"/>
  <c r="AK20" i="39"/>
  <c r="AJ20" i="39"/>
  <c r="AI20" i="39"/>
  <c r="AH20" i="39"/>
  <c r="BG19" i="39"/>
  <c r="BF19" i="39"/>
  <c r="BE19" i="39"/>
  <c r="BD19" i="39"/>
  <c r="CR19" i="39" s="1"/>
  <c r="BC19" i="39"/>
  <c r="BB19" i="39"/>
  <c r="BA19" i="39"/>
  <c r="AZ19" i="39"/>
  <c r="AY19" i="39"/>
  <c r="AX19" i="39"/>
  <c r="AW19" i="39"/>
  <c r="AV19" i="39"/>
  <c r="AU19" i="39"/>
  <c r="AT19" i="39"/>
  <c r="AS19" i="39"/>
  <c r="AR19" i="39"/>
  <c r="AQ19" i="39"/>
  <c r="AP19" i="39"/>
  <c r="AO19" i="39"/>
  <c r="AN19" i="39"/>
  <c r="AM19" i="39"/>
  <c r="AL19" i="39"/>
  <c r="AK19" i="39"/>
  <c r="AJ19" i="39"/>
  <c r="AI19" i="39"/>
  <c r="AH19" i="39"/>
  <c r="BG18" i="39"/>
  <c r="BF18" i="39"/>
  <c r="BE18" i="39"/>
  <c r="BD18" i="39"/>
  <c r="CR18" i="39" s="1"/>
  <c r="BC18" i="39"/>
  <c r="BB18" i="39"/>
  <c r="BA18" i="39"/>
  <c r="AZ18" i="39"/>
  <c r="AY18" i="39"/>
  <c r="AX18" i="39"/>
  <c r="AW18" i="39"/>
  <c r="AV18" i="39"/>
  <c r="AU18" i="39"/>
  <c r="AT18" i="39"/>
  <c r="AS18" i="39"/>
  <c r="AR18" i="39"/>
  <c r="AQ18" i="39"/>
  <c r="AP18" i="39"/>
  <c r="AO18" i="39"/>
  <c r="AN18" i="39"/>
  <c r="AM18" i="39"/>
  <c r="AL18" i="39"/>
  <c r="AK18" i="39"/>
  <c r="AJ18" i="39"/>
  <c r="AI18" i="39"/>
  <c r="AH18" i="39"/>
  <c r="BG17" i="39"/>
  <c r="BF17" i="39"/>
  <c r="BE17" i="39"/>
  <c r="BD17" i="39"/>
  <c r="CR17" i="39" s="1"/>
  <c r="BC17" i="39"/>
  <c r="BB17" i="39"/>
  <c r="BA17" i="39"/>
  <c r="AZ17" i="39"/>
  <c r="AY17" i="39"/>
  <c r="AX17" i="39"/>
  <c r="AW17" i="39"/>
  <c r="AV17" i="39"/>
  <c r="AU17" i="39"/>
  <c r="AT17" i="39"/>
  <c r="AS17" i="39"/>
  <c r="AR17" i="39"/>
  <c r="AQ17" i="39"/>
  <c r="AP17" i="39"/>
  <c r="AO17" i="39"/>
  <c r="AN17" i="39"/>
  <c r="AM17" i="39"/>
  <c r="AL17" i="39"/>
  <c r="AK17" i="39"/>
  <c r="AJ17" i="39"/>
  <c r="AI17" i="39"/>
  <c r="AH17" i="39"/>
  <c r="BG16" i="39"/>
  <c r="BF16" i="39"/>
  <c r="BE16" i="39"/>
  <c r="BD16" i="39"/>
  <c r="CR16" i="39" s="1"/>
  <c r="BC16" i="39"/>
  <c r="BB16" i="39"/>
  <c r="BA16" i="39"/>
  <c r="AZ16" i="39"/>
  <c r="AY16" i="39"/>
  <c r="AX16" i="39"/>
  <c r="AW16" i="39"/>
  <c r="AV16" i="39"/>
  <c r="AU16" i="39"/>
  <c r="AT16" i="39"/>
  <c r="AS16" i="39"/>
  <c r="AR16" i="39"/>
  <c r="AQ16" i="39"/>
  <c r="AP16" i="39"/>
  <c r="AO16" i="39"/>
  <c r="AN16" i="39"/>
  <c r="AM16" i="39"/>
  <c r="AL16" i="39"/>
  <c r="AK16" i="39"/>
  <c r="AJ16" i="39"/>
  <c r="AI16" i="39"/>
  <c r="AH16" i="39"/>
  <c r="BG15" i="39"/>
  <c r="BF15" i="39"/>
  <c r="BE15" i="39"/>
  <c r="BD15" i="39"/>
  <c r="CR15" i="39" s="1"/>
  <c r="BC15" i="39"/>
  <c r="BB15" i="39"/>
  <c r="BA15" i="39"/>
  <c r="AZ15" i="39"/>
  <c r="AY15" i="39"/>
  <c r="AX15" i="39"/>
  <c r="AW15" i="39"/>
  <c r="AV15" i="39"/>
  <c r="AU15" i="39"/>
  <c r="AT15" i="39"/>
  <c r="AS15" i="39"/>
  <c r="AR15" i="39"/>
  <c r="AQ15" i="39"/>
  <c r="AP15" i="39"/>
  <c r="AO15" i="39"/>
  <c r="AN15" i="39"/>
  <c r="AM15" i="39"/>
  <c r="AL15" i="39"/>
  <c r="AK15" i="39"/>
  <c r="AJ15" i="39"/>
  <c r="AI15" i="39"/>
  <c r="AH15" i="39"/>
  <c r="BG14" i="39"/>
  <c r="BF14" i="39"/>
  <c r="BE14" i="39"/>
  <c r="BD14" i="39"/>
  <c r="CR14" i="39" s="1"/>
  <c r="BC14" i="39"/>
  <c r="BB14" i="39"/>
  <c r="BA14" i="39"/>
  <c r="AZ14" i="39"/>
  <c r="AY14" i="39"/>
  <c r="AX14" i="39"/>
  <c r="AW14" i="39"/>
  <c r="AV14" i="39"/>
  <c r="AU14" i="39"/>
  <c r="AT14" i="39"/>
  <c r="AS14" i="39"/>
  <c r="AR14" i="39"/>
  <c r="AQ14" i="39"/>
  <c r="AP14" i="39"/>
  <c r="AO14" i="39"/>
  <c r="AN14" i="39"/>
  <c r="AM14" i="39"/>
  <c r="AL14" i="39"/>
  <c r="AK14" i="39"/>
  <c r="AJ14" i="39"/>
  <c r="AI14" i="39"/>
  <c r="AH14" i="39"/>
  <c r="BG13" i="39"/>
  <c r="BF13" i="39"/>
  <c r="BE13" i="39"/>
  <c r="BD13" i="39"/>
  <c r="CR13" i="39" s="1"/>
  <c r="BC13" i="39"/>
  <c r="BB13" i="39"/>
  <c r="BA13" i="39"/>
  <c r="AZ13" i="39"/>
  <c r="AY13" i="39"/>
  <c r="AX13" i="39"/>
  <c r="AW13" i="39"/>
  <c r="AV13" i="39"/>
  <c r="AU13" i="39"/>
  <c r="AT13" i="39"/>
  <c r="AS13" i="39"/>
  <c r="AR13" i="39"/>
  <c r="AQ13" i="39"/>
  <c r="AP13" i="39"/>
  <c r="AO13" i="39"/>
  <c r="AN13" i="39"/>
  <c r="AM13" i="39"/>
  <c r="AL13" i="39"/>
  <c r="AK13" i="39"/>
  <c r="AJ13" i="39"/>
  <c r="AI13" i="39"/>
  <c r="AH13" i="39"/>
  <c r="BG12" i="39"/>
  <c r="BF12" i="39"/>
  <c r="BE12" i="39"/>
  <c r="BD12" i="39"/>
  <c r="CR12" i="39" s="1"/>
  <c r="BC12" i="39"/>
  <c r="BB12" i="39"/>
  <c r="BA12" i="39"/>
  <c r="AZ12" i="39"/>
  <c r="AY12" i="39"/>
  <c r="AX12" i="39"/>
  <c r="AW12" i="39"/>
  <c r="AV12" i="39"/>
  <c r="AU12" i="39"/>
  <c r="AT12" i="39"/>
  <c r="AS12" i="39"/>
  <c r="AR12" i="39"/>
  <c r="AQ12" i="39"/>
  <c r="AP12" i="39"/>
  <c r="AO12" i="39"/>
  <c r="AN12" i="39"/>
  <c r="AM12" i="39"/>
  <c r="AL12" i="39"/>
  <c r="AK12" i="39"/>
  <c r="AJ12" i="39"/>
  <c r="AI12" i="39"/>
  <c r="AH12" i="39"/>
  <c r="BG11" i="39"/>
  <c r="BF11" i="39"/>
  <c r="BE11" i="39"/>
  <c r="BD11" i="39"/>
  <c r="CR11" i="39" s="1"/>
  <c r="BC11" i="39"/>
  <c r="BB11" i="39"/>
  <c r="BA11" i="39"/>
  <c r="AZ11" i="39"/>
  <c r="AY11" i="39"/>
  <c r="AX11" i="39"/>
  <c r="AW11" i="39"/>
  <c r="AV11" i="39"/>
  <c r="AU11" i="39"/>
  <c r="AT11" i="39"/>
  <c r="AS11" i="39"/>
  <c r="AR11" i="39"/>
  <c r="AQ11" i="39"/>
  <c r="AP11" i="39"/>
  <c r="AO11" i="39"/>
  <c r="AN11" i="39"/>
  <c r="AM11" i="39"/>
  <c r="AL11" i="39"/>
  <c r="AK11" i="39"/>
  <c r="AJ11" i="39"/>
  <c r="AI11" i="39"/>
  <c r="AH11" i="39"/>
  <c r="A9" i="39"/>
  <c r="A9" i="37"/>
  <c r="C9" i="37"/>
  <c r="D9" i="37"/>
  <c r="E9" i="37"/>
  <c r="F9" i="37"/>
  <c r="G9" i="37"/>
  <c r="H9" i="37"/>
  <c r="I9" i="37"/>
  <c r="J9" i="37"/>
  <c r="K9" i="37"/>
  <c r="L9" i="37"/>
  <c r="M9" i="37"/>
  <c r="N9" i="37"/>
  <c r="O9" i="37"/>
  <c r="P9" i="37"/>
  <c r="Q9" i="37"/>
  <c r="R9" i="37"/>
  <c r="S9" i="37"/>
  <c r="T9" i="37"/>
  <c r="U9" i="37"/>
  <c r="V9" i="37"/>
  <c r="W9" i="37"/>
  <c r="X9" i="37"/>
  <c r="Y9" i="37"/>
  <c r="Z9" i="37"/>
  <c r="AA9" i="37"/>
  <c r="AB9" i="37"/>
  <c r="AC9" i="37"/>
  <c r="AD9" i="37"/>
  <c r="AE9" i="37"/>
  <c r="AF9" i="37"/>
  <c r="AH11" i="37"/>
  <c r="AI11" i="37"/>
  <c r="AJ11" i="37"/>
  <c r="AK11" i="37"/>
  <c r="AL11" i="37"/>
  <c r="AM11" i="37"/>
  <c r="AO11" i="37"/>
  <c r="AP11" i="37"/>
  <c r="AQ11" i="37"/>
  <c r="AR11" i="37"/>
  <c r="AS11" i="37"/>
  <c r="AT11" i="37"/>
  <c r="AU11" i="37"/>
  <c r="AV11" i="37"/>
  <c r="AW11" i="37"/>
  <c r="AX11" i="37"/>
  <c r="AY11" i="37"/>
  <c r="AZ11" i="37"/>
  <c r="BG11" i="37"/>
  <c r="BH11" i="37"/>
  <c r="CX11" i="37" s="1"/>
  <c r="BI11" i="37"/>
  <c r="BJ11" i="37"/>
  <c r="BK11" i="37"/>
  <c r="AH16" i="37"/>
  <c r="AI16" i="37"/>
  <c r="AJ16" i="37"/>
  <c r="AK16" i="37"/>
  <c r="AL16" i="37"/>
  <c r="AM16" i="37"/>
  <c r="AO16" i="37"/>
  <c r="AP16" i="37"/>
  <c r="AQ16" i="37"/>
  <c r="AR16" i="37"/>
  <c r="AS16" i="37"/>
  <c r="AT16" i="37"/>
  <c r="AU16" i="37"/>
  <c r="AV16" i="37"/>
  <c r="AW16" i="37"/>
  <c r="AX16" i="37"/>
  <c r="AY16" i="37"/>
  <c r="AZ16" i="37"/>
  <c r="BG16" i="37"/>
  <c r="BH16" i="37"/>
  <c r="CX16" i="37" s="1"/>
  <c r="BI16" i="37"/>
  <c r="BJ16" i="37"/>
  <c r="BK16" i="37"/>
  <c r="AH13" i="37"/>
  <c r="AI13" i="37"/>
  <c r="AJ13" i="37"/>
  <c r="AK13" i="37"/>
  <c r="AL13" i="37"/>
  <c r="AM13" i="37"/>
  <c r="AO13" i="37"/>
  <c r="AP13" i="37"/>
  <c r="AQ13" i="37"/>
  <c r="AR13" i="37"/>
  <c r="AS13" i="37"/>
  <c r="AT13" i="37"/>
  <c r="AU13" i="37"/>
  <c r="AV13" i="37"/>
  <c r="AW13" i="37"/>
  <c r="AX13" i="37"/>
  <c r="AY13" i="37"/>
  <c r="AZ13" i="37"/>
  <c r="BG13" i="37"/>
  <c r="BH13" i="37"/>
  <c r="CX13" i="37" s="1"/>
  <c r="BI13" i="37"/>
  <c r="BJ13" i="37"/>
  <c r="BK13" i="37"/>
  <c r="AH12" i="37"/>
  <c r="AI12" i="37"/>
  <c r="AJ12" i="37"/>
  <c r="AK12" i="37"/>
  <c r="AL12" i="37"/>
  <c r="AM12" i="37"/>
  <c r="AO12" i="37"/>
  <c r="AP12" i="37"/>
  <c r="AQ12" i="37"/>
  <c r="AR12" i="37"/>
  <c r="AS12" i="37"/>
  <c r="AT12" i="37"/>
  <c r="AU12" i="37"/>
  <c r="AV12" i="37"/>
  <c r="AW12" i="37"/>
  <c r="AX12" i="37"/>
  <c r="AY12" i="37"/>
  <c r="AZ12" i="37"/>
  <c r="BG12" i="37"/>
  <c r="BH12" i="37"/>
  <c r="CX12" i="37" s="1"/>
  <c r="BI12" i="37"/>
  <c r="BJ12" i="37"/>
  <c r="BK12" i="37"/>
  <c r="AH14" i="37"/>
  <c r="AI14" i="37"/>
  <c r="AJ14" i="37"/>
  <c r="AK14" i="37"/>
  <c r="AL14" i="37"/>
  <c r="AM14" i="37"/>
  <c r="AO14" i="37"/>
  <c r="AP14" i="37"/>
  <c r="AQ14" i="37"/>
  <c r="AR14" i="37"/>
  <c r="AS14" i="37"/>
  <c r="AT14" i="37"/>
  <c r="AU14" i="37"/>
  <c r="AV14" i="37"/>
  <c r="AW14" i="37"/>
  <c r="AX14" i="37"/>
  <c r="AY14" i="37"/>
  <c r="AZ14" i="37"/>
  <c r="BG14" i="37"/>
  <c r="BH14" i="37"/>
  <c r="CX14" i="37" s="1"/>
  <c r="BI14" i="37"/>
  <c r="BJ14" i="37"/>
  <c r="BK14" i="37"/>
  <c r="AH15" i="37"/>
  <c r="AI15" i="37"/>
  <c r="AJ15" i="37"/>
  <c r="AK15" i="37"/>
  <c r="AL15" i="37"/>
  <c r="AM15" i="37"/>
  <c r="AO15" i="37"/>
  <c r="AP15" i="37"/>
  <c r="AQ15" i="37"/>
  <c r="AR15" i="37"/>
  <c r="AS15" i="37"/>
  <c r="AT15" i="37"/>
  <c r="AU15" i="37"/>
  <c r="AV15" i="37"/>
  <c r="AW15" i="37"/>
  <c r="AX15" i="37"/>
  <c r="AY15" i="37"/>
  <c r="AZ15" i="37"/>
  <c r="BG15" i="37"/>
  <c r="BH15" i="37"/>
  <c r="CX15" i="37" s="1"/>
  <c r="BI15" i="37"/>
  <c r="BJ15" i="37"/>
  <c r="BK15" i="37"/>
  <c r="AH17" i="37"/>
  <c r="AI17" i="37"/>
  <c r="AJ17" i="37"/>
  <c r="AK17" i="37"/>
  <c r="AL17" i="37"/>
  <c r="AM17" i="37"/>
  <c r="AO17" i="37"/>
  <c r="AP17" i="37"/>
  <c r="AQ17" i="37"/>
  <c r="AR17" i="37"/>
  <c r="AS17" i="37"/>
  <c r="AT17" i="37"/>
  <c r="AU17" i="37"/>
  <c r="AV17" i="37"/>
  <c r="AW17" i="37"/>
  <c r="AX17" i="37"/>
  <c r="AY17" i="37"/>
  <c r="AZ17" i="37"/>
  <c r="BG17" i="37"/>
  <c r="BH17" i="37"/>
  <c r="CX17" i="37" s="1"/>
  <c r="BI17" i="37"/>
  <c r="BJ17" i="37"/>
  <c r="BK17" i="37"/>
  <c r="AH18" i="37"/>
  <c r="AI18" i="37"/>
  <c r="AJ18" i="37"/>
  <c r="AK18" i="37"/>
  <c r="AL18" i="37"/>
  <c r="AM18" i="37"/>
  <c r="AO18" i="37"/>
  <c r="AP18" i="37"/>
  <c r="AQ18" i="37"/>
  <c r="AR18" i="37"/>
  <c r="AS18" i="37"/>
  <c r="AT18" i="37"/>
  <c r="AU18" i="37"/>
  <c r="AV18" i="37"/>
  <c r="AW18" i="37"/>
  <c r="AX18" i="37"/>
  <c r="AY18" i="37"/>
  <c r="AZ18" i="37"/>
  <c r="BG18" i="37"/>
  <c r="BH18" i="37"/>
  <c r="CX18" i="37" s="1"/>
  <c r="BI18" i="37"/>
  <c r="BJ18" i="37"/>
  <c r="BK18" i="37"/>
  <c r="AH19" i="37"/>
  <c r="AI19" i="37"/>
  <c r="AJ19" i="37"/>
  <c r="AK19" i="37"/>
  <c r="AL19" i="37"/>
  <c r="AM19" i="37"/>
  <c r="AO19" i="37"/>
  <c r="AP19" i="37"/>
  <c r="AQ19" i="37"/>
  <c r="AR19" i="37"/>
  <c r="AS19" i="37"/>
  <c r="AT19" i="37"/>
  <c r="AU19" i="37"/>
  <c r="AV19" i="37"/>
  <c r="AW19" i="37"/>
  <c r="AX19" i="37"/>
  <c r="AY19" i="37"/>
  <c r="AZ19" i="37"/>
  <c r="BG19" i="37"/>
  <c r="BH19" i="37"/>
  <c r="CX19" i="37" s="1"/>
  <c r="BI19" i="37"/>
  <c r="BJ19" i="37"/>
  <c r="BK19" i="37"/>
  <c r="AH20" i="37"/>
  <c r="AI20" i="37"/>
  <c r="AJ20" i="37"/>
  <c r="AK20" i="37"/>
  <c r="AL20" i="37"/>
  <c r="AM20" i="37"/>
  <c r="AO20" i="37"/>
  <c r="AP20" i="37"/>
  <c r="AQ20" i="37"/>
  <c r="AR20" i="37"/>
  <c r="AS20" i="37"/>
  <c r="AT20" i="37"/>
  <c r="AU20" i="37"/>
  <c r="AV20" i="37"/>
  <c r="AW20" i="37"/>
  <c r="AX20" i="37"/>
  <c r="AY20" i="37"/>
  <c r="AZ20" i="37"/>
  <c r="BG20" i="37"/>
  <c r="BH20" i="37"/>
  <c r="CX20" i="37" s="1"/>
  <c r="BI20" i="37"/>
  <c r="BJ20" i="37"/>
  <c r="BK20" i="37"/>
  <c r="AH21" i="37"/>
  <c r="AI21" i="37"/>
  <c r="AJ21" i="37"/>
  <c r="AK21" i="37"/>
  <c r="AL21" i="37"/>
  <c r="AM21" i="37"/>
  <c r="AO21" i="37"/>
  <c r="AP21" i="37"/>
  <c r="AQ21" i="37"/>
  <c r="AR21" i="37"/>
  <c r="AS21" i="37"/>
  <c r="AT21" i="37"/>
  <c r="AU21" i="37"/>
  <c r="AV21" i="37"/>
  <c r="AW21" i="37"/>
  <c r="AX21" i="37"/>
  <c r="AY21" i="37"/>
  <c r="AZ21" i="37"/>
  <c r="BG21" i="37"/>
  <c r="BH21" i="37"/>
  <c r="CX21" i="37" s="1"/>
  <c r="BI21" i="37"/>
  <c r="BJ21" i="37"/>
  <c r="BK21" i="37"/>
  <c r="AH22" i="37"/>
  <c r="AI22" i="37"/>
  <c r="AJ22" i="37"/>
  <c r="AK22" i="37"/>
  <c r="AL22" i="37"/>
  <c r="AM22" i="37"/>
  <c r="AO22" i="37"/>
  <c r="AP22" i="37"/>
  <c r="AQ22" i="37"/>
  <c r="AR22" i="37"/>
  <c r="AS22" i="37"/>
  <c r="AT22" i="37"/>
  <c r="AU22" i="37"/>
  <c r="AV22" i="37"/>
  <c r="AW22" i="37"/>
  <c r="AX22" i="37"/>
  <c r="AY22" i="37"/>
  <c r="AZ22" i="37"/>
  <c r="BG22" i="37"/>
  <c r="BH22" i="37"/>
  <c r="CX22" i="37" s="1"/>
  <c r="BI22" i="37"/>
  <c r="BJ22" i="37"/>
  <c r="BK22" i="37"/>
  <c r="AH23" i="37"/>
  <c r="AI23" i="37"/>
  <c r="AJ23" i="37"/>
  <c r="AK23" i="37"/>
  <c r="AL23" i="37"/>
  <c r="AM23" i="37"/>
  <c r="AO23" i="37"/>
  <c r="AP23" i="37"/>
  <c r="AQ23" i="37"/>
  <c r="AR23" i="37"/>
  <c r="AS23" i="37"/>
  <c r="AT23" i="37"/>
  <c r="AU23" i="37"/>
  <c r="AV23" i="37"/>
  <c r="AW23" i="37"/>
  <c r="AX23" i="37"/>
  <c r="AY23" i="37"/>
  <c r="AZ23" i="37"/>
  <c r="BG23" i="37"/>
  <c r="BH23" i="37"/>
  <c r="CX23" i="37" s="1"/>
  <c r="BI23" i="37"/>
  <c r="BJ23" i="37"/>
  <c r="BK23" i="37"/>
  <c r="AH24" i="37"/>
  <c r="AI24" i="37"/>
  <c r="AJ24" i="37"/>
  <c r="AK24" i="37"/>
  <c r="AL24" i="37"/>
  <c r="AM24" i="37"/>
  <c r="AO24" i="37"/>
  <c r="AP24" i="37"/>
  <c r="AQ24" i="37"/>
  <c r="AR24" i="37"/>
  <c r="AS24" i="37"/>
  <c r="AT24" i="37"/>
  <c r="AU24" i="37"/>
  <c r="AV24" i="37"/>
  <c r="AW24" i="37"/>
  <c r="AX24" i="37"/>
  <c r="AY24" i="37"/>
  <c r="AZ24" i="37"/>
  <c r="BG24" i="37"/>
  <c r="BH24" i="37"/>
  <c r="CX24" i="37" s="1"/>
  <c r="BI24" i="37"/>
  <c r="BJ24" i="37"/>
  <c r="BK24" i="37"/>
  <c r="AH25" i="37"/>
  <c r="AI25" i="37"/>
  <c r="AJ25" i="37"/>
  <c r="AK25" i="37"/>
  <c r="AL25" i="37"/>
  <c r="AM25" i="37"/>
  <c r="AO25" i="37"/>
  <c r="AP25" i="37"/>
  <c r="AQ25" i="37"/>
  <c r="AR25" i="37"/>
  <c r="AS25" i="37"/>
  <c r="AT25" i="37"/>
  <c r="AU25" i="37"/>
  <c r="AV25" i="37"/>
  <c r="AW25" i="37"/>
  <c r="AX25" i="37"/>
  <c r="AY25" i="37"/>
  <c r="AZ25" i="37"/>
  <c r="BG25" i="37"/>
  <c r="BH25" i="37"/>
  <c r="CX25" i="37" s="1"/>
  <c r="BI25" i="37"/>
  <c r="BJ25" i="37"/>
  <c r="BK25" i="37"/>
  <c r="AH26" i="37"/>
  <c r="AI26" i="37"/>
  <c r="AJ26" i="37"/>
  <c r="AK26" i="37"/>
  <c r="AL26" i="37"/>
  <c r="AM26" i="37"/>
  <c r="AO26" i="37"/>
  <c r="AP26" i="37"/>
  <c r="AQ26" i="37"/>
  <c r="AR26" i="37"/>
  <c r="AS26" i="37"/>
  <c r="AT26" i="37"/>
  <c r="AU26" i="37"/>
  <c r="AV26" i="37"/>
  <c r="AW26" i="37"/>
  <c r="AX26" i="37"/>
  <c r="AY26" i="37"/>
  <c r="AZ26" i="37"/>
  <c r="BG26" i="37"/>
  <c r="BH26" i="37"/>
  <c r="CX26" i="37" s="1"/>
  <c r="BI26" i="37"/>
  <c r="BJ26" i="37"/>
  <c r="BK26" i="37"/>
  <c r="AH27" i="37"/>
  <c r="AI27" i="37"/>
  <c r="AJ27" i="37"/>
  <c r="AK27" i="37"/>
  <c r="AL27" i="37"/>
  <c r="AM27" i="37"/>
  <c r="AO27" i="37"/>
  <c r="AP27" i="37"/>
  <c r="AQ27" i="37"/>
  <c r="AR27" i="37"/>
  <c r="AS27" i="37"/>
  <c r="AT27" i="37"/>
  <c r="AU27" i="37"/>
  <c r="AV27" i="37"/>
  <c r="AW27" i="37"/>
  <c r="AX27" i="37"/>
  <c r="AY27" i="37"/>
  <c r="AZ27" i="37"/>
  <c r="BG27" i="37"/>
  <c r="BH27" i="37"/>
  <c r="CX27" i="37" s="1"/>
  <c r="BI27" i="37"/>
  <c r="BJ27" i="37"/>
  <c r="BK27" i="37"/>
  <c r="AH28" i="37"/>
  <c r="AI28" i="37"/>
  <c r="AJ28" i="37"/>
  <c r="AK28" i="37"/>
  <c r="AL28" i="37"/>
  <c r="AM28" i="37"/>
  <c r="AO28" i="37"/>
  <c r="AP28" i="37"/>
  <c r="AQ28" i="37"/>
  <c r="AR28" i="37"/>
  <c r="AS28" i="37"/>
  <c r="AT28" i="37"/>
  <c r="AU28" i="37"/>
  <c r="AV28" i="37"/>
  <c r="AW28" i="37"/>
  <c r="AX28" i="37"/>
  <c r="AY28" i="37"/>
  <c r="AZ28" i="37"/>
  <c r="BG28" i="37"/>
  <c r="BH28" i="37"/>
  <c r="CX28" i="37" s="1"/>
  <c r="BI28" i="37"/>
  <c r="BJ28" i="37"/>
  <c r="BK28" i="37"/>
  <c r="AH29" i="37"/>
  <c r="AI29" i="37"/>
  <c r="AJ29" i="37"/>
  <c r="AK29" i="37"/>
  <c r="AL29" i="37"/>
  <c r="AM29" i="37"/>
  <c r="AO29" i="37"/>
  <c r="AP29" i="37"/>
  <c r="AQ29" i="37"/>
  <c r="AR29" i="37"/>
  <c r="AS29" i="37"/>
  <c r="AT29" i="37"/>
  <c r="AU29" i="37"/>
  <c r="AV29" i="37"/>
  <c r="AW29" i="37"/>
  <c r="AX29" i="37"/>
  <c r="AY29" i="37"/>
  <c r="AZ29" i="37"/>
  <c r="BG29" i="37"/>
  <c r="BH29" i="37"/>
  <c r="CX29" i="37" s="1"/>
  <c r="BI29" i="37"/>
  <c r="BJ29" i="37"/>
  <c r="BK29" i="37"/>
  <c r="AH30" i="37"/>
  <c r="AI30" i="37"/>
  <c r="AJ30" i="37"/>
  <c r="AK30" i="37"/>
  <c r="AL30" i="37"/>
  <c r="AM30" i="37"/>
  <c r="AO30" i="37"/>
  <c r="AP30" i="37"/>
  <c r="AQ30" i="37"/>
  <c r="AR30" i="37"/>
  <c r="AS30" i="37"/>
  <c r="AT30" i="37"/>
  <c r="AU30" i="37"/>
  <c r="AV30" i="37"/>
  <c r="AW30" i="37"/>
  <c r="AX30" i="37"/>
  <c r="AY30" i="37"/>
  <c r="AZ30" i="37"/>
  <c r="BG30" i="37"/>
  <c r="BH30" i="37"/>
  <c r="CX30" i="37" s="1"/>
  <c r="BI30" i="37"/>
  <c r="BJ30" i="37"/>
  <c r="BK30" i="37"/>
  <c r="AH31" i="37"/>
  <c r="AI31" i="37"/>
  <c r="AJ31" i="37"/>
  <c r="AK31" i="37"/>
  <c r="AL31" i="37"/>
  <c r="AM31" i="37"/>
  <c r="AO31" i="37"/>
  <c r="AP31" i="37"/>
  <c r="AQ31" i="37"/>
  <c r="AR31" i="37"/>
  <c r="AS31" i="37"/>
  <c r="AT31" i="37"/>
  <c r="AU31" i="37"/>
  <c r="AV31" i="37"/>
  <c r="AW31" i="37"/>
  <c r="AX31" i="37"/>
  <c r="AY31" i="37"/>
  <c r="AZ31" i="37"/>
  <c r="BG31" i="37"/>
  <c r="BH31" i="37"/>
  <c r="CX31" i="37" s="1"/>
  <c r="BI31" i="37"/>
  <c r="BJ31" i="37"/>
  <c r="BK31" i="37"/>
  <c r="AH32" i="37"/>
  <c r="AI32" i="37"/>
  <c r="AJ32" i="37"/>
  <c r="AK32" i="37"/>
  <c r="AL32" i="37"/>
  <c r="AM32" i="37"/>
  <c r="AO32" i="37"/>
  <c r="AP32" i="37"/>
  <c r="AQ32" i="37"/>
  <c r="AR32" i="37"/>
  <c r="AS32" i="37"/>
  <c r="AT32" i="37"/>
  <c r="AU32" i="37"/>
  <c r="AV32" i="37"/>
  <c r="AW32" i="37"/>
  <c r="AX32" i="37"/>
  <c r="AY32" i="37"/>
  <c r="AZ32" i="37"/>
  <c r="BG32" i="37"/>
  <c r="BH32" i="37"/>
  <c r="CX32" i="37" s="1"/>
  <c r="BI32" i="37"/>
  <c r="BJ32" i="37"/>
  <c r="BK32" i="37"/>
  <c r="AH33" i="37"/>
  <c r="AI33" i="37"/>
  <c r="AJ33" i="37"/>
  <c r="AK33" i="37"/>
  <c r="AL33" i="37"/>
  <c r="AM33" i="37"/>
  <c r="AO33" i="37"/>
  <c r="AP33" i="37"/>
  <c r="AQ33" i="37"/>
  <c r="AR33" i="37"/>
  <c r="AS33" i="37"/>
  <c r="AT33" i="37"/>
  <c r="AU33" i="37"/>
  <c r="AV33" i="37"/>
  <c r="AW33" i="37"/>
  <c r="AX33" i="37"/>
  <c r="AY33" i="37"/>
  <c r="AZ33" i="37"/>
  <c r="BG33" i="37"/>
  <c r="BH33" i="37"/>
  <c r="CX33" i="37" s="1"/>
  <c r="BI33" i="37"/>
  <c r="BJ33" i="37"/>
  <c r="BK33" i="37"/>
  <c r="AH34" i="37"/>
  <c r="AI34" i="37"/>
  <c r="AJ34" i="37"/>
  <c r="AK34" i="37"/>
  <c r="AL34" i="37"/>
  <c r="AM34" i="37"/>
  <c r="AO34" i="37"/>
  <c r="AP34" i="37"/>
  <c r="AQ34" i="37"/>
  <c r="AR34" i="37"/>
  <c r="AS34" i="37"/>
  <c r="AT34" i="37"/>
  <c r="AU34" i="37"/>
  <c r="AV34" i="37"/>
  <c r="AW34" i="37"/>
  <c r="AX34" i="37"/>
  <c r="AY34" i="37"/>
  <c r="AZ34" i="37"/>
  <c r="BG34" i="37"/>
  <c r="BH34" i="37"/>
  <c r="CX34" i="37" s="1"/>
  <c r="BI34" i="37"/>
  <c r="BJ34" i="37"/>
  <c r="BK34" i="37"/>
  <c r="AH15" i="29"/>
  <c r="AI15" i="29"/>
  <c r="AJ15" i="29"/>
  <c r="AK15" i="29"/>
  <c r="AL15" i="29"/>
  <c r="AM15" i="29"/>
  <c r="AN15" i="29"/>
  <c r="AO15" i="29"/>
  <c r="AP15" i="29"/>
  <c r="AQ15" i="29"/>
  <c r="AR15" i="29"/>
  <c r="AS15" i="29"/>
  <c r="AT15" i="29"/>
  <c r="AU15" i="29"/>
  <c r="AV15" i="29"/>
  <c r="AW15" i="29"/>
  <c r="AX15" i="29"/>
  <c r="AY15" i="29"/>
  <c r="AZ15" i="29"/>
  <c r="BG15" i="29"/>
  <c r="BH15" i="29"/>
  <c r="CX15" i="29" s="1"/>
  <c r="BI15" i="29"/>
  <c r="BJ15" i="29"/>
  <c r="BK15" i="29"/>
  <c r="AH16" i="29"/>
  <c r="AI16" i="29"/>
  <c r="AJ16" i="29"/>
  <c r="AK16" i="29"/>
  <c r="AL16" i="29"/>
  <c r="AM16" i="29"/>
  <c r="AN16" i="29"/>
  <c r="AO16" i="29"/>
  <c r="AP16" i="29"/>
  <c r="AQ16" i="29"/>
  <c r="AR16" i="29"/>
  <c r="AS16" i="29"/>
  <c r="AT16" i="29"/>
  <c r="AU16" i="29"/>
  <c r="AV16" i="29"/>
  <c r="AW16" i="29"/>
  <c r="AX16" i="29"/>
  <c r="AY16" i="29"/>
  <c r="AZ16" i="29"/>
  <c r="BG16" i="29"/>
  <c r="BH16" i="29"/>
  <c r="CX16" i="29" s="1"/>
  <c r="BI16" i="29"/>
  <c r="BJ16" i="29"/>
  <c r="BK16" i="29"/>
  <c r="AH17" i="29"/>
  <c r="AI17" i="29"/>
  <c r="AJ17" i="29"/>
  <c r="AK17" i="29"/>
  <c r="AL17" i="29"/>
  <c r="AM17" i="29"/>
  <c r="AN17" i="29"/>
  <c r="AO17" i="29"/>
  <c r="AP17" i="29"/>
  <c r="AQ17" i="29"/>
  <c r="AR17" i="29"/>
  <c r="AS17" i="29"/>
  <c r="AT17" i="29"/>
  <c r="AU17" i="29"/>
  <c r="AV17" i="29"/>
  <c r="AW17" i="29"/>
  <c r="AX17" i="29"/>
  <c r="AY17" i="29"/>
  <c r="AZ17" i="29"/>
  <c r="BG17" i="29"/>
  <c r="BH17" i="29"/>
  <c r="CX17" i="29" s="1"/>
  <c r="BI17" i="29"/>
  <c r="BJ17" i="29"/>
  <c r="BK17" i="29"/>
  <c r="AH19" i="29"/>
  <c r="AI19" i="29"/>
  <c r="AJ19" i="29"/>
  <c r="AK19" i="29"/>
  <c r="AL19" i="29"/>
  <c r="AM19" i="29"/>
  <c r="AN19" i="29"/>
  <c r="AO19" i="29"/>
  <c r="AP19" i="29"/>
  <c r="AQ19" i="29"/>
  <c r="AR19" i="29"/>
  <c r="AS19" i="29"/>
  <c r="AT19" i="29"/>
  <c r="AU19" i="29"/>
  <c r="AV19" i="29"/>
  <c r="AW19" i="29"/>
  <c r="AX19" i="29"/>
  <c r="AY19" i="29"/>
  <c r="AZ19" i="29"/>
  <c r="BG19" i="29"/>
  <c r="BH19" i="29"/>
  <c r="CX19" i="29" s="1"/>
  <c r="BI19" i="29"/>
  <c r="BJ19" i="29"/>
  <c r="BK19" i="29"/>
  <c r="AH22" i="29"/>
  <c r="AI22" i="29"/>
  <c r="AJ22" i="29"/>
  <c r="AK22" i="29"/>
  <c r="AL22" i="29"/>
  <c r="AM22" i="29"/>
  <c r="AN22" i="29"/>
  <c r="AO22" i="29"/>
  <c r="AP22" i="29"/>
  <c r="AQ22" i="29"/>
  <c r="AR22" i="29"/>
  <c r="AS22" i="29"/>
  <c r="AT22" i="29"/>
  <c r="AU22" i="29"/>
  <c r="AV22" i="29"/>
  <c r="AW22" i="29"/>
  <c r="AX22" i="29"/>
  <c r="AY22" i="29"/>
  <c r="AZ22" i="29"/>
  <c r="BG22" i="29"/>
  <c r="BH22" i="29"/>
  <c r="CX22" i="29" s="1"/>
  <c r="BI22" i="29"/>
  <c r="BJ22" i="29"/>
  <c r="BK22" i="29"/>
  <c r="AH25" i="29"/>
  <c r="AI25" i="29"/>
  <c r="AJ25" i="29"/>
  <c r="AK25" i="29"/>
  <c r="AL25" i="29"/>
  <c r="AM25" i="29"/>
  <c r="AN25" i="29"/>
  <c r="AO25" i="29"/>
  <c r="AP25" i="29"/>
  <c r="AQ25" i="29"/>
  <c r="AR25" i="29"/>
  <c r="AS25" i="29"/>
  <c r="AT25" i="29"/>
  <c r="AU25" i="29"/>
  <c r="AV25" i="29"/>
  <c r="AW25" i="29"/>
  <c r="AX25" i="29"/>
  <c r="AY25" i="29"/>
  <c r="AZ25" i="29"/>
  <c r="BG25" i="29"/>
  <c r="BH25" i="29"/>
  <c r="CX25" i="29" s="1"/>
  <c r="BI25" i="29"/>
  <c r="BJ25" i="29"/>
  <c r="BK25" i="29"/>
  <c r="AH26" i="29"/>
  <c r="AI26" i="29"/>
  <c r="AJ26" i="29"/>
  <c r="AK26" i="29"/>
  <c r="AL26" i="29"/>
  <c r="AM26" i="29"/>
  <c r="AN26" i="29"/>
  <c r="AO26" i="29"/>
  <c r="AP26" i="29"/>
  <c r="AQ26" i="29"/>
  <c r="AR26" i="29"/>
  <c r="AS26" i="29"/>
  <c r="AT26" i="29"/>
  <c r="AU26" i="29"/>
  <c r="AV26" i="29"/>
  <c r="AW26" i="29"/>
  <c r="AX26" i="29"/>
  <c r="AY26" i="29"/>
  <c r="AZ26" i="29"/>
  <c r="BG26" i="29"/>
  <c r="BH26" i="29"/>
  <c r="CX26" i="29" s="1"/>
  <c r="BI26" i="29"/>
  <c r="BJ26" i="29"/>
  <c r="BK26" i="29"/>
  <c r="AH29" i="29"/>
  <c r="AI29" i="29"/>
  <c r="AJ29" i="29"/>
  <c r="AK29" i="29"/>
  <c r="AL29" i="29"/>
  <c r="AM29" i="29"/>
  <c r="AN29" i="29"/>
  <c r="AO29" i="29"/>
  <c r="AP29" i="29"/>
  <c r="AQ29" i="29"/>
  <c r="AR29" i="29"/>
  <c r="AS29" i="29"/>
  <c r="AT29" i="29"/>
  <c r="AU29" i="29"/>
  <c r="AV29" i="29"/>
  <c r="AW29" i="29"/>
  <c r="AX29" i="29"/>
  <c r="AY29" i="29"/>
  <c r="AZ29" i="29"/>
  <c r="BG29" i="29"/>
  <c r="BH29" i="29"/>
  <c r="CX29" i="29" s="1"/>
  <c r="BI29" i="29"/>
  <c r="BJ29" i="29"/>
  <c r="BK29" i="29"/>
  <c r="AH31" i="29"/>
  <c r="AI31" i="29"/>
  <c r="AJ31" i="29"/>
  <c r="AK31" i="29"/>
  <c r="AL31" i="29"/>
  <c r="AM31" i="29"/>
  <c r="AN31" i="29"/>
  <c r="AO31" i="29"/>
  <c r="AP31" i="29"/>
  <c r="AQ31" i="29"/>
  <c r="AR31" i="29"/>
  <c r="AS31" i="29"/>
  <c r="AT31" i="29"/>
  <c r="AU31" i="29"/>
  <c r="AV31" i="29"/>
  <c r="AW31" i="29"/>
  <c r="AX31" i="29"/>
  <c r="AY31" i="29"/>
  <c r="AZ31" i="29"/>
  <c r="BG31" i="29"/>
  <c r="BH31" i="29"/>
  <c r="CX31" i="29" s="1"/>
  <c r="BI31" i="29"/>
  <c r="BJ31" i="29"/>
  <c r="BK31" i="29"/>
  <c r="AH32" i="29"/>
  <c r="AI32" i="29"/>
  <c r="BM28" i="29" s="1"/>
  <c r="AJ32" i="29"/>
  <c r="AK32" i="29"/>
  <c r="AL32" i="29"/>
  <c r="AM32" i="29"/>
  <c r="AN32" i="29"/>
  <c r="AO32" i="29"/>
  <c r="AP32" i="29"/>
  <c r="AQ32" i="29"/>
  <c r="AR32" i="29"/>
  <c r="AS32" i="29"/>
  <c r="AT32" i="29"/>
  <c r="AU32" i="29"/>
  <c r="AV32" i="29"/>
  <c r="AW32" i="29"/>
  <c r="AX32" i="29"/>
  <c r="AY32" i="29"/>
  <c r="AZ32" i="29"/>
  <c r="BG32" i="29"/>
  <c r="BH32" i="29"/>
  <c r="CX32" i="29" s="1"/>
  <c r="BI32" i="29"/>
  <c r="BJ32" i="29"/>
  <c r="BK32" i="29"/>
  <c r="AH34" i="29"/>
  <c r="AI34" i="29"/>
  <c r="AJ34" i="29"/>
  <c r="AK34" i="29"/>
  <c r="AL34" i="29"/>
  <c r="AM34" i="29"/>
  <c r="AN34" i="29"/>
  <c r="AO34" i="29"/>
  <c r="AP34" i="29"/>
  <c r="AQ34" i="29"/>
  <c r="AR34" i="29"/>
  <c r="AS34" i="29"/>
  <c r="AT34" i="29"/>
  <c r="AU34" i="29"/>
  <c r="AV34" i="29"/>
  <c r="AW34" i="29"/>
  <c r="AX34" i="29"/>
  <c r="AY34" i="29"/>
  <c r="AZ34" i="29"/>
  <c r="BG34" i="29"/>
  <c r="BH34" i="29"/>
  <c r="CX34" i="29" s="1"/>
  <c r="BI34" i="29"/>
  <c r="BJ34" i="29"/>
  <c r="BK34" i="29"/>
  <c r="AH35" i="29"/>
  <c r="AI35" i="29"/>
  <c r="BM30" i="29" s="1"/>
  <c r="AJ35" i="29"/>
  <c r="AK35" i="29"/>
  <c r="AL35" i="29"/>
  <c r="AM35" i="29"/>
  <c r="AN35" i="29"/>
  <c r="AO35" i="29"/>
  <c r="AP35" i="29"/>
  <c r="AQ35" i="29"/>
  <c r="AR35" i="29"/>
  <c r="AS35" i="29"/>
  <c r="AT35" i="29"/>
  <c r="AU35" i="29"/>
  <c r="AV35" i="29"/>
  <c r="AW35" i="29"/>
  <c r="AX35" i="29"/>
  <c r="AY35" i="29"/>
  <c r="AZ35" i="29"/>
  <c r="BG35" i="29"/>
  <c r="BH35" i="29"/>
  <c r="CX35" i="29" s="1"/>
  <c r="BI35" i="29"/>
  <c r="BJ35" i="29"/>
  <c r="BK35" i="29"/>
  <c r="AH36" i="29"/>
  <c r="AI36" i="29"/>
  <c r="AJ36" i="29"/>
  <c r="AK36" i="29"/>
  <c r="AL36" i="29"/>
  <c r="AM36" i="29"/>
  <c r="AN36" i="29"/>
  <c r="AO36" i="29"/>
  <c r="AP36" i="29"/>
  <c r="AQ36" i="29"/>
  <c r="AR36" i="29"/>
  <c r="AS36" i="29"/>
  <c r="AT36" i="29"/>
  <c r="AU36" i="29"/>
  <c r="AV36" i="29"/>
  <c r="AW36" i="29"/>
  <c r="AX36" i="29"/>
  <c r="AY36" i="29"/>
  <c r="AZ36" i="29"/>
  <c r="BG36" i="29"/>
  <c r="BH36" i="29"/>
  <c r="CX36" i="29" s="1"/>
  <c r="BI36" i="29"/>
  <c r="BJ36" i="29"/>
  <c r="BK36" i="29"/>
  <c r="AH38" i="29"/>
  <c r="AI38" i="29"/>
  <c r="BM33" i="29" s="1"/>
  <c r="AJ38" i="29"/>
  <c r="AK38" i="29"/>
  <c r="AL38" i="29"/>
  <c r="AM38" i="29"/>
  <c r="AN38" i="29"/>
  <c r="AO38" i="29"/>
  <c r="AP38" i="29"/>
  <c r="AQ38" i="29"/>
  <c r="AR38" i="29"/>
  <c r="AS38" i="29"/>
  <c r="AT38" i="29"/>
  <c r="AU38" i="29"/>
  <c r="AV38" i="29"/>
  <c r="AW38" i="29"/>
  <c r="AX38" i="29"/>
  <c r="AY38" i="29"/>
  <c r="AZ38" i="29"/>
  <c r="BG38" i="29"/>
  <c r="BH38" i="29"/>
  <c r="CX38" i="29" s="1"/>
  <c r="BI38" i="29"/>
  <c r="BJ38" i="29"/>
  <c r="BK38" i="29"/>
  <c r="AH39" i="29"/>
  <c r="AI39" i="29"/>
  <c r="AJ39" i="29"/>
  <c r="AK39" i="29"/>
  <c r="AL39" i="29"/>
  <c r="AM39" i="29"/>
  <c r="AN39" i="29"/>
  <c r="AO39" i="29"/>
  <c r="AP39" i="29"/>
  <c r="AQ39" i="29"/>
  <c r="AR39" i="29"/>
  <c r="AS39" i="29"/>
  <c r="AT39" i="29"/>
  <c r="AU39" i="29"/>
  <c r="AV39" i="29"/>
  <c r="AW39" i="29"/>
  <c r="AX39" i="29"/>
  <c r="AY39" i="29"/>
  <c r="AZ39" i="29"/>
  <c r="BG39" i="29"/>
  <c r="BH39" i="29"/>
  <c r="CX39" i="29" s="1"/>
  <c r="BI39" i="29"/>
  <c r="BJ39" i="29"/>
  <c r="BK39" i="29"/>
  <c r="AH40" i="29"/>
  <c r="AI40" i="29"/>
  <c r="AJ40" i="29"/>
  <c r="AK40" i="29"/>
  <c r="AL40" i="29"/>
  <c r="AM40" i="29"/>
  <c r="AN40" i="29"/>
  <c r="AO40" i="29"/>
  <c r="AP40" i="29"/>
  <c r="AQ40" i="29"/>
  <c r="AR40" i="29"/>
  <c r="AS40" i="29"/>
  <c r="AT40" i="29"/>
  <c r="AU40" i="29"/>
  <c r="AV40" i="29"/>
  <c r="AW40" i="29"/>
  <c r="AX40" i="29"/>
  <c r="AY40" i="29"/>
  <c r="AZ40" i="29"/>
  <c r="BG40" i="29"/>
  <c r="BH40" i="29"/>
  <c r="CX40" i="29" s="1"/>
  <c r="BI40" i="29"/>
  <c r="BJ40" i="29"/>
  <c r="BK40" i="29"/>
  <c r="AH41" i="29"/>
  <c r="AI41" i="29"/>
  <c r="BM37" i="29" s="1"/>
  <c r="AJ41" i="29"/>
  <c r="AK41" i="29"/>
  <c r="AL41" i="29"/>
  <c r="AM41" i="29"/>
  <c r="AN41" i="29"/>
  <c r="AO41" i="29"/>
  <c r="AP41" i="29"/>
  <c r="AQ41" i="29"/>
  <c r="AR41" i="29"/>
  <c r="AS41" i="29"/>
  <c r="AT41" i="29"/>
  <c r="AU41" i="29"/>
  <c r="AV41" i="29"/>
  <c r="AW41" i="29"/>
  <c r="AX41" i="29"/>
  <c r="AY41" i="29"/>
  <c r="AZ41" i="29"/>
  <c r="BG41" i="29"/>
  <c r="BH41" i="29"/>
  <c r="CX41" i="29" s="1"/>
  <c r="BI41" i="29"/>
  <c r="BJ41" i="29"/>
  <c r="BK41" i="29"/>
  <c r="AH43" i="29"/>
  <c r="AI43" i="29"/>
  <c r="AJ43" i="29"/>
  <c r="AK43" i="29"/>
  <c r="AL43" i="29"/>
  <c r="AM43" i="29"/>
  <c r="AN43" i="29"/>
  <c r="AO43" i="29"/>
  <c r="AP43" i="29"/>
  <c r="AQ43" i="29"/>
  <c r="AR43" i="29"/>
  <c r="AS43" i="29"/>
  <c r="AT43" i="29"/>
  <c r="AU43" i="29"/>
  <c r="AV43" i="29"/>
  <c r="AW43" i="29"/>
  <c r="AX43" i="29"/>
  <c r="AY43" i="29"/>
  <c r="AZ43" i="29"/>
  <c r="BG43" i="29"/>
  <c r="BH43" i="29"/>
  <c r="CX43" i="29" s="1"/>
  <c r="BI43" i="29"/>
  <c r="BJ43" i="29"/>
  <c r="BK43" i="29"/>
  <c r="AH44" i="29"/>
  <c r="AI44" i="29"/>
  <c r="AJ44" i="29"/>
  <c r="AK44" i="29"/>
  <c r="AL44" i="29"/>
  <c r="AM44" i="29"/>
  <c r="AN44" i="29"/>
  <c r="AO44" i="29"/>
  <c r="AP44" i="29"/>
  <c r="AQ44" i="29"/>
  <c r="AR44" i="29"/>
  <c r="AS44" i="29"/>
  <c r="AT44" i="29"/>
  <c r="AU44" i="29"/>
  <c r="AV44" i="29"/>
  <c r="AW44" i="29"/>
  <c r="AX44" i="29"/>
  <c r="AY44" i="29"/>
  <c r="AZ44" i="29"/>
  <c r="BG44" i="29"/>
  <c r="BH44" i="29"/>
  <c r="CX44" i="29" s="1"/>
  <c r="BI44" i="29"/>
  <c r="BJ44" i="29"/>
  <c r="BK44" i="29"/>
  <c r="AH45" i="29"/>
  <c r="AI45" i="29"/>
  <c r="AJ45" i="29"/>
  <c r="AK45" i="29"/>
  <c r="AL45" i="29"/>
  <c r="AM45" i="29"/>
  <c r="AN45" i="29"/>
  <c r="AO45" i="29"/>
  <c r="AP45" i="29"/>
  <c r="AQ45" i="29"/>
  <c r="AR45" i="29"/>
  <c r="AS45" i="29"/>
  <c r="AT45" i="29"/>
  <c r="AU45" i="29"/>
  <c r="AV45" i="29"/>
  <c r="AW45" i="29"/>
  <c r="AX45" i="29"/>
  <c r="AY45" i="29"/>
  <c r="AZ45" i="29"/>
  <c r="BG45" i="29"/>
  <c r="BH45" i="29"/>
  <c r="CX45" i="29" s="1"/>
  <c r="BI45" i="29"/>
  <c r="BJ45" i="29"/>
  <c r="BK45" i="29"/>
  <c r="AH47" i="29"/>
  <c r="AI47" i="29"/>
  <c r="BM42" i="29" s="1"/>
  <c r="AJ47" i="29"/>
  <c r="AK47" i="29"/>
  <c r="AL47" i="29"/>
  <c r="AM47" i="29"/>
  <c r="AN47" i="29"/>
  <c r="AO47" i="29"/>
  <c r="AP47" i="29"/>
  <c r="AQ47" i="29"/>
  <c r="AR47" i="29"/>
  <c r="AS47" i="29"/>
  <c r="AT47" i="29"/>
  <c r="AU47" i="29"/>
  <c r="AV47" i="29"/>
  <c r="AW47" i="29"/>
  <c r="AX47" i="29"/>
  <c r="AY47" i="29"/>
  <c r="AZ47" i="29"/>
  <c r="BG47" i="29"/>
  <c r="BH47" i="29"/>
  <c r="CX47" i="29" s="1"/>
  <c r="BI47" i="29"/>
  <c r="BJ47" i="29"/>
  <c r="BK47" i="29"/>
  <c r="AH50" i="29"/>
  <c r="AI50" i="29"/>
  <c r="AJ50" i="29"/>
  <c r="AK50" i="29"/>
  <c r="AL50" i="29"/>
  <c r="AM50" i="29"/>
  <c r="AN50" i="29"/>
  <c r="AO50" i="29"/>
  <c r="AP50" i="29"/>
  <c r="AQ50" i="29"/>
  <c r="AR50" i="29"/>
  <c r="AS50" i="29"/>
  <c r="AT50" i="29"/>
  <c r="AU50" i="29"/>
  <c r="AV50" i="29"/>
  <c r="AW50" i="29"/>
  <c r="AX50" i="29"/>
  <c r="AY50" i="29"/>
  <c r="AZ50" i="29"/>
  <c r="BG50" i="29"/>
  <c r="BH50" i="29"/>
  <c r="CX50" i="29" s="1"/>
  <c r="BI50" i="29"/>
  <c r="BJ50" i="29"/>
  <c r="BK50" i="29"/>
  <c r="AH52" i="29"/>
  <c r="AI52" i="29"/>
  <c r="AJ52" i="29"/>
  <c r="AK52" i="29"/>
  <c r="AL52" i="29"/>
  <c r="AM52" i="29"/>
  <c r="AN52" i="29"/>
  <c r="AO52" i="29"/>
  <c r="AP52" i="29"/>
  <c r="AQ52" i="29"/>
  <c r="AR52" i="29"/>
  <c r="AS52" i="29"/>
  <c r="AT52" i="29"/>
  <c r="AU52" i="29"/>
  <c r="AV52" i="29"/>
  <c r="AW52" i="29"/>
  <c r="AX52" i="29"/>
  <c r="AY52" i="29"/>
  <c r="AZ52" i="29"/>
  <c r="BG52" i="29"/>
  <c r="BH52" i="29"/>
  <c r="CX52" i="29" s="1"/>
  <c r="BI52" i="29"/>
  <c r="BJ52" i="29"/>
  <c r="BK52" i="29"/>
  <c r="AH53" i="29"/>
  <c r="AI53" i="29"/>
  <c r="AJ53" i="29"/>
  <c r="AK53" i="29"/>
  <c r="AL53" i="29"/>
  <c r="AM53" i="29"/>
  <c r="AN53" i="29"/>
  <c r="AO53" i="29"/>
  <c r="AP53" i="29"/>
  <c r="AQ53" i="29"/>
  <c r="AR53" i="29"/>
  <c r="AS53" i="29"/>
  <c r="AT53" i="29"/>
  <c r="AU53" i="29"/>
  <c r="AV53" i="29"/>
  <c r="AW53" i="29"/>
  <c r="AX53" i="29"/>
  <c r="AY53" i="29"/>
  <c r="AZ53" i="29"/>
  <c r="BG53" i="29"/>
  <c r="BH53" i="29"/>
  <c r="CX53" i="29" s="1"/>
  <c r="BI53" i="29"/>
  <c r="BJ53" i="29"/>
  <c r="BK53" i="29"/>
  <c r="AH54" i="29"/>
  <c r="AI54" i="29"/>
  <c r="BM49" i="29" s="1"/>
  <c r="AJ54" i="29"/>
  <c r="AK54" i="29"/>
  <c r="AL54" i="29"/>
  <c r="AM54" i="29"/>
  <c r="AN54" i="29"/>
  <c r="AO54" i="29"/>
  <c r="AP54" i="29"/>
  <c r="AQ54" i="29"/>
  <c r="AR54" i="29"/>
  <c r="AS54" i="29"/>
  <c r="AT54" i="29"/>
  <c r="AU54" i="29"/>
  <c r="AV54" i="29"/>
  <c r="AW54" i="29"/>
  <c r="AX54" i="29"/>
  <c r="AY54" i="29"/>
  <c r="AZ54" i="29"/>
  <c r="BG54" i="29"/>
  <c r="BH54" i="29"/>
  <c r="CX54" i="29" s="1"/>
  <c r="BI54" i="29"/>
  <c r="BJ54" i="29"/>
  <c r="BK54" i="29"/>
  <c r="AH56" i="29"/>
  <c r="AI56" i="29"/>
  <c r="BM51" i="29" s="1"/>
  <c r="AJ56" i="29"/>
  <c r="AK56" i="29"/>
  <c r="AL56" i="29"/>
  <c r="AM56" i="29"/>
  <c r="AN56" i="29"/>
  <c r="AO56" i="29"/>
  <c r="AP56" i="29"/>
  <c r="AQ56" i="29"/>
  <c r="AR56" i="29"/>
  <c r="AS56" i="29"/>
  <c r="AT56" i="29"/>
  <c r="AU56" i="29"/>
  <c r="AV56" i="29"/>
  <c r="AW56" i="29"/>
  <c r="AX56" i="29"/>
  <c r="AY56" i="29"/>
  <c r="AZ56" i="29"/>
  <c r="BG56" i="29"/>
  <c r="BH56" i="29"/>
  <c r="CX56" i="29" s="1"/>
  <c r="BI56" i="29"/>
  <c r="BJ56" i="29"/>
  <c r="BK56" i="29"/>
  <c r="AH59" i="29"/>
  <c r="AI59" i="29"/>
  <c r="AJ59" i="29"/>
  <c r="AK59" i="29"/>
  <c r="AL59" i="29"/>
  <c r="AM59" i="29"/>
  <c r="AN59" i="29"/>
  <c r="AO59" i="29"/>
  <c r="AP59" i="29"/>
  <c r="AQ59" i="29"/>
  <c r="AR59" i="29"/>
  <c r="AS59" i="29"/>
  <c r="AT59" i="29"/>
  <c r="AU59" i="29"/>
  <c r="AV59" i="29"/>
  <c r="AW59" i="29"/>
  <c r="AX59" i="29"/>
  <c r="AY59" i="29"/>
  <c r="AZ59" i="29"/>
  <c r="BG59" i="29"/>
  <c r="BH59" i="29"/>
  <c r="CX59" i="29" s="1"/>
  <c r="BI59" i="29"/>
  <c r="BJ59" i="29"/>
  <c r="BK59" i="29"/>
  <c r="AH60" i="29"/>
  <c r="AI60" i="29"/>
  <c r="AJ60" i="29"/>
  <c r="AK60" i="29"/>
  <c r="AL60" i="29"/>
  <c r="AM60" i="29"/>
  <c r="AN60" i="29"/>
  <c r="AO60" i="29"/>
  <c r="AP60" i="29"/>
  <c r="AQ60" i="29"/>
  <c r="AR60" i="29"/>
  <c r="AS60" i="29"/>
  <c r="AT60" i="29"/>
  <c r="AU60" i="29"/>
  <c r="AV60" i="29"/>
  <c r="AW60" i="29"/>
  <c r="AX60" i="29"/>
  <c r="AY60" i="29"/>
  <c r="AZ60" i="29"/>
  <c r="BG60" i="29"/>
  <c r="BH60" i="29"/>
  <c r="CX60" i="29" s="1"/>
  <c r="BI60" i="29"/>
  <c r="BJ60" i="29"/>
  <c r="BK60" i="29"/>
  <c r="AH64" i="29"/>
  <c r="AI64" i="29"/>
  <c r="AJ64" i="29"/>
  <c r="AK64" i="29"/>
  <c r="AL64" i="29"/>
  <c r="AM64" i="29"/>
  <c r="AN64" i="29"/>
  <c r="AO64" i="29"/>
  <c r="AP64" i="29"/>
  <c r="AQ64" i="29"/>
  <c r="AR64" i="29"/>
  <c r="AS64" i="29"/>
  <c r="AT64" i="29"/>
  <c r="AU64" i="29"/>
  <c r="AV64" i="29"/>
  <c r="AW64" i="29"/>
  <c r="AX64" i="29"/>
  <c r="AY64" i="29"/>
  <c r="AZ64" i="29"/>
  <c r="BG64" i="29"/>
  <c r="BH64" i="29"/>
  <c r="CX64" i="29" s="1"/>
  <c r="BI64" i="29"/>
  <c r="BJ64" i="29"/>
  <c r="BK64" i="29"/>
  <c r="AH65" i="29"/>
  <c r="AI65" i="29"/>
  <c r="AJ65" i="29"/>
  <c r="AK65" i="29"/>
  <c r="AL65" i="29"/>
  <c r="AM65" i="29"/>
  <c r="AN65" i="29"/>
  <c r="AO65" i="29"/>
  <c r="AP65" i="29"/>
  <c r="AQ65" i="29"/>
  <c r="AR65" i="29"/>
  <c r="AS65" i="29"/>
  <c r="AT65" i="29"/>
  <c r="AU65" i="29"/>
  <c r="AV65" i="29"/>
  <c r="AW65" i="29"/>
  <c r="AX65" i="29"/>
  <c r="AY65" i="29"/>
  <c r="AZ65" i="29"/>
  <c r="BG65" i="29"/>
  <c r="BH65" i="29"/>
  <c r="CX65" i="29" s="1"/>
  <c r="BI65" i="29"/>
  <c r="BJ65" i="29"/>
  <c r="BK65" i="29"/>
  <c r="AH66" i="29"/>
  <c r="AI66" i="29"/>
  <c r="BM62" i="29" s="1"/>
  <c r="AJ66" i="29"/>
  <c r="AK66" i="29"/>
  <c r="AL66" i="29"/>
  <c r="AM66" i="29"/>
  <c r="AN66" i="29"/>
  <c r="AO66" i="29"/>
  <c r="AP66" i="29"/>
  <c r="AQ66" i="29"/>
  <c r="AR66" i="29"/>
  <c r="AS66" i="29"/>
  <c r="AT66" i="29"/>
  <c r="AU66" i="29"/>
  <c r="AV66" i="29"/>
  <c r="AW66" i="29"/>
  <c r="AX66" i="29"/>
  <c r="AY66" i="29"/>
  <c r="AZ66" i="29"/>
  <c r="BG66" i="29"/>
  <c r="BH66" i="29"/>
  <c r="CX66" i="29" s="1"/>
  <c r="BI66" i="29"/>
  <c r="BJ66" i="29"/>
  <c r="BK66" i="29"/>
  <c r="AH67" i="29"/>
  <c r="AI67" i="29"/>
  <c r="BM63" i="29" s="1"/>
  <c r="AJ67" i="29"/>
  <c r="AK67" i="29"/>
  <c r="AL67" i="29"/>
  <c r="AM67" i="29"/>
  <c r="AN67" i="29"/>
  <c r="AO67" i="29"/>
  <c r="AP67" i="29"/>
  <c r="AQ67" i="29"/>
  <c r="AR67" i="29"/>
  <c r="AS67" i="29"/>
  <c r="AT67" i="29"/>
  <c r="AU67" i="29"/>
  <c r="AV67" i="29"/>
  <c r="AW67" i="29"/>
  <c r="AX67" i="29"/>
  <c r="AY67" i="29"/>
  <c r="AZ67" i="29"/>
  <c r="BG67" i="29"/>
  <c r="BH67" i="29"/>
  <c r="CX67" i="29" s="1"/>
  <c r="BI67" i="29"/>
  <c r="BJ67" i="29"/>
  <c r="BK67" i="29"/>
  <c r="AH70" i="29"/>
  <c r="AI70" i="29"/>
  <c r="AJ70" i="29"/>
  <c r="AK70" i="29"/>
  <c r="AL70" i="29"/>
  <c r="AM70" i="29"/>
  <c r="AN70" i="29"/>
  <c r="AO70" i="29"/>
  <c r="AP70" i="29"/>
  <c r="AQ70" i="29"/>
  <c r="AR70" i="29"/>
  <c r="AS70" i="29"/>
  <c r="AT70" i="29"/>
  <c r="AU70" i="29"/>
  <c r="AV70" i="29"/>
  <c r="AW70" i="29"/>
  <c r="AX70" i="29"/>
  <c r="AY70" i="29"/>
  <c r="AZ70" i="29"/>
  <c r="BG70" i="29"/>
  <c r="BH70" i="29"/>
  <c r="CX70" i="29" s="1"/>
  <c r="BI70" i="29"/>
  <c r="BJ70" i="29"/>
  <c r="BK70" i="29"/>
  <c r="AH71" i="29"/>
  <c r="AI71" i="29"/>
  <c r="AJ71" i="29"/>
  <c r="AK71" i="29"/>
  <c r="AL71" i="29"/>
  <c r="AM71" i="29"/>
  <c r="AN71" i="29"/>
  <c r="AO71" i="29"/>
  <c r="AP71" i="29"/>
  <c r="AQ71" i="29"/>
  <c r="AR71" i="29"/>
  <c r="AS71" i="29"/>
  <c r="AT71" i="29"/>
  <c r="AU71" i="29"/>
  <c r="AV71" i="29"/>
  <c r="AW71" i="29"/>
  <c r="AX71" i="29"/>
  <c r="AY71" i="29"/>
  <c r="AZ71" i="29"/>
  <c r="BG71" i="29"/>
  <c r="BH71" i="29"/>
  <c r="CX71" i="29" s="1"/>
  <c r="BI71" i="29"/>
  <c r="BJ71" i="29"/>
  <c r="BK71" i="29"/>
  <c r="AH73" i="29"/>
  <c r="AI73" i="29"/>
  <c r="BM68" i="29" s="1"/>
  <c r="AJ73" i="29"/>
  <c r="AK73" i="29"/>
  <c r="AL73" i="29"/>
  <c r="AM73" i="29"/>
  <c r="AN73" i="29"/>
  <c r="AO73" i="29"/>
  <c r="AP73" i="29"/>
  <c r="AQ73" i="29"/>
  <c r="AR73" i="29"/>
  <c r="AS73" i="29"/>
  <c r="AT73" i="29"/>
  <c r="AU73" i="29"/>
  <c r="AV73" i="29"/>
  <c r="AW73" i="29"/>
  <c r="AX73" i="29"/>
  <c r="AY73" i="29"/>
  <c r="AZ73" i="29"/>
  <c r="BG73" i="29"/>
  <c r="BH73" i="29"/>
  <c r="CX73" i="29" s="1"/>
  <c r="BI73" i="29"/>
  <c r="BJ73" i="29"/>
  <c r="BK73" i="29"/>
  <c r="AH74" i="29"/>
  <c r="AI74" i="29"/>
  <c r="BM69" i="29" s="1"/>
  <c r="AJ74" i="29"/>
  <c r="AK74" i="29"/>
  <c r="AL74" i="29"/>
  <c r="AM74" i="29"/>
  <c r="AN74" i="29"/>
  <c r="AO74" i="29"/>
  <c r="AP74" i="29"/>
  <c r="AQ74" i="29"/>
  <c r="AR74" i="29"/>
  <c r="AS74" i="29"/>
  <c r="AT74" i="29"/>
  <c r="AU74" i="29"/>
  <c r="AV74" i="29"/>
  <c r="AW74" i="29"/>
  <c r="AX74" i="29"/>
  <c r="AY74" i="29"/>
  <c r="AZ74" i="29"/>
  <c r="BG74" i="29"/>
  <c r="BH74" i="29"/>
  <c r="CX74" i="29" s="1"/>
  <c r="BI74" i="29"/>
  <c r="BJ74" i="29"/>
  <c r="BK74" i="29"/>
  <c r="AH77" i="29"/>
  <c r="AI77" i="29"/>
  <c r="AJ77" i="29"/>
  <c r="AK77" i="29"/>
  <c r="AL77" i="29"/>
  <c r="AM77" i="29"/>
  <c r="AN77" i="29"/>
  <c r="AO77" i="29"/>
  <c r="AP77" i="29"/>
  <c r="AQ77" i="29"/>
  <c r="AR77" i="29"/>
  <c r="AS77" i="29"/>
  <c r="AT77" i="29"/>
  <c r="AU77" i="29"/>
  <c r="AV77" i="29"/>
  <c r="AW77" i="29"/>
  <c r="AX77" i="29"/>
  <c r="AY77" i="29"/>
  <c r="AZ77" i="29"/>
  <c r="BG77" i="29"/>
  <c r="BH77" i="29"/>
  <c r="CX77" i="29" s="1"/>
  <c r="BI77" i="29"/>
  <c r="BJ77" i="29"/>
  <c r="BK77" i="29"/>
  <c r="AH78" i="29"/>
  <c r="AI78" i="29"/>
  <c r="AJ78" i="29"/>
  <c r="AK78" i="29"/>
  <c r="AL78" i="29"/>
  <c r="AM78" i="29"/>
  <c r="AN78" i="29"/>
  <c r="AO78" i="29"/>
  <c r="AP78" i="29"/>
  <c r="AQ78" i="29"/>
  <c r="AR78" i="29"/>
  <c r="AS78" i="29"/>
  <c r="AT78" i="29"/>
  <c r="AU78" i="29"/>
  <c r="AV78" i="29"/>
  <c r="AW78" i="29"/>
  <c r="AX78" i="29"/>
  <c r="AY78" i="29"/>
  <c r="AZ78" i="29"/>
  <c r="BG78" i="29"/>
  <c r="BH78" i="29"/>
  <c r="CX78" i="29" s="1"/>
  <c r="BI78" i="29"/>
  <c r="BJ78" i="29"/>
  <c r="BK78" i="29"/>
  <c r="AH80" i="29"/>
  <c r="AI80" i="29"/>
  <c r="BM76" i="29" s="1"/>
  <c r="AJ80" i="29"/>
  <c r="AK80" i="29"/>
  <c r="AL80" i="29"/>
  <c r="AM80" i="29"/>
  <c r="AN80" i="29"/>
  <c r="AO80" i="29"/>
  <c r="AP80" i="29"/>
  <c r="AQ80" i="29"/>
  <c r="AR80" i="29"/>
  <c r="AS80" i="29"/>
  <c r="AT80" i="29"/>
  <c r="AU80" i="29"/>
  <c r="AV80" i="29"/>
  <c r="AW80" i="29"/>
  <c r="AX80" i="29"/>
  <c r="AY80" i="29"/>
  <c r="AZ80" i="29"/>
  <c r="BG80" i="29"/>
  <c r="BH80" i="29"/>
  <c r="CX80" i="29" s="1"/>
  <c r="BI80" i="29"/>
  <c r="BJ80" i="29"/>
  <c r="BK80" i="29"/>
  <c r="AH82" i="29"/>
  <c r="AI82" i="29"/>
  <c r="AJ82" i="29"/>
  <c r="AK82" i="29"/>
  <c r="AL82" i="29"/>
  <c r="AM82" i="29"/>
  <c r="AN82" i="29"/>
  <c r="AO82" i="29"/>
  <c r="AP82" i="29"/>
  <c r="AQ82" i="29"/>
  <c r="AR82" i="29"/>
  <c r="AS82" i="29"/>
  <c r="AT82" i="29"/>
  <c r="AU82" i="29"/>
  <c r="AV82" i="29"/>
  <c r="AW82" i="29"/>
  <c r="AX82" i="29"/>
  <c r="AY82" i="29"/>
  <c r="AZ82" i="29"/>
  <c r="BG82" i="29"/>
  <c r="BH82" i="29"/>
  <c r="CX82" i="29" s="1"/>
  <c r="BI82" i="29"/>
  <c r="BJ82" i="29"/>
  <c r="BK82" i="29"/>
  <c r="AH86" i="29"/>
  <c r="AI86" i="29"/>
  <c r="AJ86" i="29"/>
  <c r="AK86" i="29"/>
  <c r="AL86" i="29"/>
  <c r="AM86" i="29"/>
  <c r="AN86" i="29"/>
  <c r="AO86" i="29"/>
  <c r="AP86" i="29"/>
  <c r="AQ86" i="29"/>
  <c r="AR86" i="29"/>
  <c r="AS86" i="29"/>
  <c r="AT86" i="29"/>
  <c r="AU86" i="29"/>
  <c r="AV86" i="29"/>
  <c r="AW86" i="29"/>
  <c r="AX86" i="29"/>
  <c r="AY86" i="29"/>
  <c r="AZ86" i="29"/>
  <c r="BG86" i="29"/>
  <c r="BH86" i="29"/>
  <c r="CX86" i="29" s="1"/>
  <c r="BI86" i="29"/>
  <c r="BJ86" i="29"/>
  <c r="BK86" i="29"/>
  <c r="AH87" i="29"/>
  <c r="AI87" i="29"/>
  <c r="AJ87" i="29"/>
  <c r="AK87" i="29"/>
  <c r="AL87" i="29"/>
  <c r="AM87" i="29"/>
  <c r="AN87" i="29"/>
  <c r="AO87" i="29"/>
  <c r="AP87" i="29"/>
  <c r="AQ87" i="29"/>
  <c r="AR87" i="29"/>
  <c r="AS87" i="29"/>
  <c r="AT87" i="29"/>
  <c r="AU87" i="29"/>
  <c r="AV87" i="29"/>
  <c r="AW87" i="29"/>
  <c r="AX87" i="29"/>
  <c r="AY87" i="29"/>
  <c r="AZ87" i="29"/>
  <c r="BG87" i="29"/>
  <c r="BH87" i="29"/>
  <c r="CX87" i="29" s="1"/>
  <c r="BI87" i="29"/>
  <c r="BJ87" i="29"/>
  <c r="BK87" i="29"/>
  <c r="AH89" i="29"/>
  <c r="AI89" i="29"/>
  <c r="AJ89" i="29"/>
  <c r="AK89" i="29"/>
  <c r="AL89" i="29"/>
  <c r="AM89" i="29"/>
  <c r="AN89" i="29"/>
  <c r="AO89" i="29"/>
  <c r="AP89" i="29"/>
  <c r="AQ89" i="29"/>
  <c r="AR89" i="29"/>
  <c r="AS89" i="29"/>
  <c r="AT89" i="29"/>
  <c r="AU89" i="29"/>
  <c r="AV89" i="29"/>
  <c r="AW89" i="29"/>
  <c r="AX89" i="29"/>
  <c r="AY89" i="29"/>
  <c r="AZ89" i="29"/>
  <c r="BG89" i="29"/>
  <c r="BH89" i="29"/>
  <c r="CX89" i="29" s="1"/>
  <c r="BI89" i="29"/>
  <c r="BJ89" i="29"/>
  <c r="BK89" i="29"/>
  <c r="AH90" i="29"/>
  <c r="AI90" i="29"/>
  <c r="BM85" i="29" s="1"/>
  <c r="AJ90" i="29"/>
  <c r="AK90" i="29"/>
  <c r="AL90" i="29"/>
  <c r="AM90" i="29"/>
  <c r="AN90" i="29"/>
  <c r="AO90" i="29"/>
  <c r="AP90" i="29"/>
  <c r="AQ90" i="29"/>
  <c r="AR90" i="29"/>
  <c r="AS90" i="29"/>
  <c r="AT90" i="29"/>
  <c r="AU90" i="29"/>
  <c r="AV90" i="29"/>
  <c r="AW90" i="29"/>
  <c r="AX90" i="29"/>
  <c r="AY90" i="29"/>
  <c r="AZ90" i="29"/>
  <c r="BG90" i="29"/>
  <c r="BH90" i="29"/>
  <c r="CX90" i="29" s="1"/>
  <c r="BI90" i="29"/>
  <c r="BJ90" i="29"/>
  <c r="BK90" i="29"/>
  <c r="AH93" i="29"/>
  <c r="AI93" i="29"/>
  <c r="AJ93" i="29"/>
  <c r="AK93" i="29"/>
  <c r="AL93" i="29"/>
  <c r="AM93" i="29"/>
  <c r="AN93" i="29"/>
  <c r="AO93" i="29"/>
  <c r="AP93" i="29"/>
  <c r="AQ93" i="29"/>
  <c r="AR93" i="29"/>
  <c r="AS93" i="29"/>
  <c r="AT93" i="29"/>
  <c r="AU93" i="29"/>
  <c r="AV93" i="29"/>
  <c r="AW93" i="29"/>
  <c r="AX93" i="29"/>
  <c r="AY93" i="29"/>
  <c r="AZ93" i="29"/>
  <c r="BG93" i="29"/>
  <c r="BH93" i="29"/>
  <c r="CX93" i="29" s="1"/>
  <c r="BI93" i="29"/>
  <c r="BJ93" i="29"/>
  <c r="BK93" i="29"/>
  <c r="AH96" i="29"/>
  <c r="AI96" i="29"/>
  <c r="BM88" i="29" s="1"/>
  <c r="AJ96" i="29"/>
  <c r="AK96" i="29"/>
  <c r="AL96" i="29"/>
  <c r="AM96" i="29"/>
  <c r="AN96" i="29"/>
  <c r="AO96" i="29"/>
  <c r="AP96" i="29"/>
  <c r="AQ96" i="29"/>
  <c r="AR96" i="29"/>
  <c r="AS96" i="29"/>
  <c r="AT96" i="29"/>
  <c r="AU96" i="29"/>
  <c r="AV96" i="29"/>
  <c r="AW96" i="29"/>
  <c r="AX96" i="29"/>
  <c r="AY96" i="29"/>
  <c r="AZ96" i="29"/>
  <c r="BG96" i="29"/>
  <c r="BH96" i="29"/>
  <c r="CX96" i="29" s="1"/>
  <c r="BI96" i="29"/>
  <c r="BJ96" i="29"/>
  <c r="BK96" i="29"/>
  <c r="AH97" i="29"/>
  <c r="AI97" i="29"/>
  <c r="BM91" i="29" s="1"/>
  <c r="AJ97" i="29"/>
  <c r="AK97" i="29"/>
  <c r="AL97" i="29"/>
  <c r="AM97" i="29"/>
  <c r="AN97" i="29"/>
  <c r="AO97" i="29"/>
  <c r="AP97" i="29"/>
  <c r="AQ97" i="29"/>
  <c r="AR97" i="29"/>
  <c r="AS97" i="29"/>
  <c r="AT97" i="29"/>
  <c r="AU97" i="29"/>
  <c r="AV97" i="29"/>
  <c r="AW97" i="29"/>
  <c r="AX97" i="29"/>
  <c r="AY97" i="29"/>
  <c r="AZ97" i="29"/>
  <c r="BG97" i="29"/>
  <c r="BH97" i="29"/>
  <c r="CX97" i="29" s="1"/>
  <c r="BI97" i="29"/>
  <c r="BJ97" i="29"/>
  <c r="BK97" i="29"/>
  <c r="AH99" i="29"/>
  <c r="AI99" i="29"/>
  <c r="AJ99" i="29"/>
  <c r="AK99" i="29"/>
  <c r="AL99" i="29"/>
  <c r="AM99" i="29"/>
  <c r="AN99" i="29"/>
  <c r="AO99" i="29"/>
  <c r="AP99" i="29"/>
  <c r="AQ99" i="29"/>
  <c r="AR99" i="29"/>
  <c r="AS99" i="29"/>
  <c r="AT99" i="29"/>
  <c r="AU99" i="29"/>
  <c r="AV99" i="29"/>
  <c r="AW99" i="29"/>
  <c r="AX99" i="29"/>
  <c r="AY99" i="29"/>
  <c r="AZ99" i="29"/>
  <c r="BG99" i="29"/>
  <c r="BH99" i="29"/>
  <c r="CX99" i="29" s="1"/>
  <c r="BI99" i="29"/>
  <c r="BJ99" i="29"/>
  <c r="BK99" i="29"/>
  <c r="AH101" i="29"/>
  <c r="AI101" i="29"/>
  <c r="BM95" i="29" s="1"/>
  <c r="AJ101" i="29"/>
  <c r="AK101" i="29"/>
  <c r="AL101" i="29"/>
  <c r="AM101" i="29"/>
  <c r="AN101" i="29"/>
  <c r="AO101" i="29"/>
  <c r="AP101" i="29"/>
  <c r="AQ101" i="29"/>
  <c r="AR101" i="29"/>
  <c r="AS101" i="29"/>
  <c r="AT101" i="29"/>
  <c r="AU101" i="29"/>
  <c r="AV101" i="29"/>
  <c r="AW101" i="29"/>
  <c r="AX101" i="29"/>
  <c r="AY101" i="29"/>
  <c r="AZ101" i="29"/>
  <c r="BG101" i="29"/>
  <c r="BH101" i="29"/>
  <c r="CX101" i="29" s="1"/>
  <c r="BI101" i="29"/>
  <c r="BJ101" i="29"/>
  <c r="BK101" i="29"/>
  <c r="AH103" i="29"/>
  <c r="AI103" i="29"/>
  <c r="AJ103" i="29"/>
  <c r="AK103" i="29"/>
  <c r="AL103" i="29"/>
  <c r="AM103" i="29"/>
  <c r="AN103" i="29"/>
  <c r="AO103" i="29"/>
  <c r="AP103" i="29"/>
  <c r="AQ103" i="29"/>
  <c r="AR103" i="29"/>
  <c r="AS103" i="29"/>
  <c r="AT103" i="29"/>
  <c r="AU103" i="29"/>
  <c r="AV103" i="29"/>
  <c r="AW103" i="29"/>
  <c r="AX103" i="29"/>
  <c r="AY103" i="29"/>
  <c r="AZ103" i="29"/>
  <c r="BG103" i="29"/>
  <c r="BH103" i="29"/>
  <c r="CX103" i="29" s="1"/>
  <c r="BI103" i="29"/>
  <c r="BJ103" i="29"/>
  <c r="BK103" i="29"/>
  <c r="AH105" i="29"/>
  <c r="AI105" i="29"/>
  <c r="BM98" i="29" s="1"/>
  <c r="AJ105" i="29"/>
  <c r="AK105" i="29"/>
  <c r="AL105" i="29"/>
  <c r="AM105" i="29"/>
  <c r="AN105" i="29"/>
  <c r="AO105" i="29"/>
  <c r="AP105" i="29"/>
  <c r="AQ105" i="29"/>
  <c r="AR105" i="29"/>
  <c r="AS105" i="29"/>
  <c r="AT105" i="29"/>
  <c r="AU105" i="29"/>
  <c r="AV105" i="29"/>
  <c r="AW105" i="29"/>
  <c r="AX105" i="29"/>
  <c r="AY105" i="29"/>
  <c r="AZ105" i="29"/>
  <c r="BG105" i="29"/>
  <c r="BH105" i="29"/>
  <c r="CX105" i="29" s="1"/>
  <c r="BI105" i="29"/>
  <c r="BJ105" i="29"/>
  <c r="BK105" i="29"/>
  <c r="AH106" i="29"/>
  <c r="AI106" i="29"/>
  <c r="BM100" i="29" s="1"/>
  <c r="AJ106" i="29"/>
  <c r="AK106" i="29"/>
  <c r="AL106" i="29"/>
  <c r="AM106" i="29"/>
  <c r="AN106" i="29"/>
  <c r="AO106" i="29"/>
  <c r="AP106" i="29"/>
  <c r="AQ106" i="29"/>
  <c r="AR106" i="29"/>
  <c r="AS106" i="29"/>
  <c r="AT106" i="29"/>
  <c r="AU106" i="29"/>
  <c r="AV106" i="29"/>
  <c r="AW106" i="29"/>
  <c r="AX106" i="29"/>
  <c r="AY106" i="29"/>
  <c r="AZ106" i="29"/>
  <c r="BG106" i="29"/>
  <c r="BH106" i="29"/>
  <c r="CX106" i="29" s="1"/>
  <c r="BI106" i="29"/>
  <c r="BJ106" i="29"/>
  <c r="BK106" i="29"/>
  <c r="AH107" i="29"/>
  <c r="AI107" i="29"/>
  <c r="BM102" i="29" s="1"/>
  <c r="AJ107" i="29"/>
  <c r="AK107" i="29"/>
  <c r="AL107" i="29"/>
  <c r="AM107" i="29"/>
  <c r="AN107" i="29"/>
  <c r="AO107" i="29"/>
  <c r="AP107" i="29"/>
  <c r="AQ107" i="29"/>
  <c r="AR107" i="29"/>
  <c r="AS107" i="29"/>
  <c r="AT107" i="29"/>
  <c r="AU107" i="29"/>
  <c r="AV107" i="29"/>
  <c r="AW107" i="29"/>
  <c r="AX107" i="29"/>
  <c r="AY107" i="29"/>
  <c r="AZ107" i="29"/>
  <c r="BG107" i="29"/>
  <c r="BH107" i="29"/>
  <c r="CX107" i="29" s="1"/>
  <c r="BI107" i="29"/>
  <c r="BJ107" i="29"/>
  <c r="BK107" i="29"/>
  <c r="AH108" i="29"/>
  <c r="AI108" i="29"/>
  <c r="BM104" i="29" s="1"/>
  <c r="AJ108" i="29"/>
  <c r="AK108" i="29"/>
  <c r="AL108" i="29"/>
  <c r="AM108" i="29"/>
  <c r="AN108" i="29"/>
  <c r="AO108" i="29"/>
  <c r="AP108" i="29"/>
  <c r="AQ108" i="29"/>
  <c r="AR108" i="29"/>
  <c r="AS108" i="29"/>
  <c r="AT108" i="29"/>
  <c r="AU108" i="29"/>
  <c r="AV108" i="29"/>
  <c r="AW108" i="29"/>
  <c r="AX108" i="29"/>
  <c r="AY108" i="29"/>
  <c r="AZ108" i="29"/>
  <c r="BG108" i="29"/>
  <c r="BH108" i="29"/>
  <c r="CX108" i="29" s="1"/>
  <c r="BI108" i="29"/>
  <c r="BJ108" i="29"/>
  <c r="BK108" i="29"/>
  <c r="AH109" i="29"/>
  <c r="AI109" i="29"/>
  <c r="AJ109" i="29"/>
  <c r="AK109" i="29"/>
  <c r="AL109" i="29"/>
  <c r="AM109" i="29"/>
  <c r="AN109" i="29"/>
  <c r="AO109" i="29"/>
  <c r="AP109" i="29"/>
  <c r="AQ109" i="29"/>
  <c r="AR109" i="29"/>
  <c r="AS109" i="29"/>
  <c r="AT109" i="29"/>
  <c r="AU109" i="29"/>
  <c r="AV109" i="29"/>
  <c r="AW109" i="29"/>
  <c r="AX109" i="29"/>
  <c r="AY109" i="29"/>
  <c r="AZ109" i="29"/>
  <c r="BG109" i="29"/>
  <c r="BH109" i="29"/>
  <c r="CX109" i="29" s="1"/>
  <c r="BI109" i="29"/>
  <c r="BJ109" i="29"/>
  <c r="BK109" i="29"/>
  <c r="AH111" i="29"/>
  <c r="AI111" i="29"/>
  <c r="AJ111" i="29"/>
  <c r="AK111" i="29"/>
  <c r="AL111" i="29"/>
  <c r="AM111" i="29"/>
  <c r="AN111" i="29"/>
  <c r="AO111" i="29"/>
  <c r="AP111" i="29"/>
  <c r="AQ111" i="29"/>
  <c r="AR111" i="29"/>
  <c r="AS111" i="29"/>
  <c r="AT111" i="29"/>
  <c r="AU111" i="29"/>
  <c r="AV111" i="29"/>
  <c r="AW111" i="29"/>
  <c r="AX111" i="29"/>
  <c r="AY111" i="29"/>
  <c r="AZ111" i="29"/>
  <c r="BG111" i="29"/>
  <c r="BH111" i="29"/>
  <c r="CX111" i="29" s="1"/>
  <c r="BI111" i="29"/>
  <c r="BJ111" i="29"/>
  <c r="BK111" i="29"/>
  <c r="AH112" i="29"/>
  <c r="AI112" i="29"/>
  <c r="AJ112" i="29"/>
  <c r="AK112" i="29"/>
  <c r="AL112" i="29"/>
  <c r="AM112" i="29"/>
  <c r="AN112" i="29"/>
  <c r="AO112" i="29"/>
  <c r="AP112" i="29"/>
  <c r="AQ112" i="29"/>
  <c r="AR112" i="29"/>
  <c r="AS112" i="29"/>
  <c r="AT112" i="29"/>
  <c r="AU112" i="29"/>
  <c r="AV112" i="29"/>
  <c r="AW112" i="29"/>
  <c r="AX112" i="29"/>
  <c r="AY112" i="29"/>
  <c r="AZ112" i="29"/>
  <c r="BG112" i="29"/>
  <c r="BH112" i="29"/>
  <c r="CX112" i="29" s="1"/>
  <c r="BI112" i="29"/>
  <c r="BJ112" i="29"/>
  <c r="BK112" i="29"/>
  <c r="AH115" i="29"/>
  <c r="AI115" i="29"/>
  <c r="AJ115" i="29"/>
  <c r="AK115" i="29"/>
  <c r="AL115" i="29"/>
  <c r="AM115" i="29"/>
  <c r="AN115" i="29"/>
  <c r="AO115" i="29"/>
  <c r="AP115" i="29"/>
  <c r="AQ115" i="29"/>
  <c r="AR115" i="29"/>
  <c r="AS115" i="29"/>
  <c r="AT115" i="29"/>
  <c r="AU115" i="29"/>
  <c r="AV115" i="29"/>
  <c r="AW115" i="29"/>
  <c r="AX115" i="29"/>
  <c r="AY115" i="29"/>
  <c r="AZ115" i="29"/>
  <c r="BG115" i="29"/>
  <c r="BH115" i="29"/>
  <c r="CX115" i="29" s="1"/>
  <c r="BI115" i="29"/>
  <c r="BJ115" i="29"/>
  <c r="BK115" i="29"/>
  <c r="AH116" i="29"/>
  <c r="AI116" i="29"/>
  <c r="BM110" i="29" s="1"/>
  <c r="AJ116" i="29"/>
  <c r="AK116" i="29"/>
  <c r="AL116" i="29"/>
  <c r="AM116" i="29"/>
  <c r="AN116" i="29"/>
  <c r="AO116" i="29"/>
  <c r="AP116" i="29"/>
  <c r="AQ116" i="29"/>
  <c r="AR116" i="29"/>
  <c r="AS116" i="29"/>
  <c r="AT116" i="29"/>
  <c r="AU116" i="29"/>
  <c r="AV116" i="29"/>
  <c r="AW116" i="29"/>
  <c r="AX116" i="29"/>
  <c r="AY116" i="29"/>
  <c r="AZ116" i="29"/>
  <c r="BG116" i="29"/>
  <c r="BH116" i="29"/>
  <c r="CX116" i="29" s="1"/>
  <c r="BI116" i="29"/>
  <c r="BJ116" i="29"/>
  <c r="BK116" i="29"/>
  <c r="AH118" i="29"/>
  <c r="AI118" i="29"/>
  <c r="BM113" i="29" s="1"/>
  <c r="AJ118" i="29"/>
  <c r="AK118" i="29"/>
  <c r="AL118" i="29"/>
  <c r="AM118" i="29"/>
  <c r="AN118" i="29"/>
  <c r="AO118" i="29"/>
  <c r="AP118" i="29"/>
  <c r="AQ118" i="29"/>
  <c r="AR118" i="29"/>
  <c r="AS118" i="29"/>
  <c r="AT118" i="29"/>
  <c r="AU118" i="29"/>
  <c r="AV118" i="29"/>
  <c r="AW118" i="29"/>
  <c r="AX118" i="29"/>
  <c r="AY118" i="29"/>
  <c r="AZ118" i="29"/>
  <c r="BG118" i="29"/>
  <c r="BH118" i="29"/>
  <c r="CX118" i="29" s="1"/>
  <c r="BI118" i="29"/>
  <c r="BJ118" i="29"/>
  <c r="BK118" i="29"/>
  <c r="AH119" i="29"/>
  <c r="AI119" i="29"/>
  <c r="BM114" i="29" s="1"/>
  <c r="AJ119" i="29"/>
  <c r="AK119" i="29"/>
  <c r="AL119" i="29"/>
  <c r="AM119" i="29"/>
  <c r="AN119" i="29"/>
  <c r="AO119" i="29"/>
  <c r="AP119" i="29"/>
  <c r="AQ119" i="29"/>
  <c r="AR119" i="29"/>
  <c r="AS119" i="29"/>
  <c r="AT119" i="29"/>
  <c r="AU119" i="29"/>
  <c r="AV119" i="29"/>
  <c r="AW119" i="29"/>
  <c r="AX119" i="29"/>
  <c r="AY119" i="29"/>
  <c r="AZ119" i="29"/>
  <c r="BG119" i="29"/>
  <c r="BH119" i="29"/>
  <c r="CX119" i="29" s="1"/>
  <c r="BI119" i="29"/>
  <c r="BJ119" i="29"/>
  <c r="BK119" i="29"/>
  <c r="AH120" i="29"/>
  <c r="AI120" i="29"/>
  <c r="AJ120" i="29"/>
  <c r="AK120" i="29"/>
  <c r="AL120" i="29"/>
  <c r="AM120" i="29"/>
  <c r="AN120" i="29"/>
  <c r="AO120" i="29"/>
  <c r="AP120" i="29"/>
  <c r="AQ120" i="29"/>
  <c r="AR120" i="29"/>
  <c r="AS120" i="29"/>
  <c r="AT120" i="29"/>
  <c r="AU120" i="29"/>
  <c r="AV120" i="29"/>
  <c r="AW120" i="29"/>
  <c r="AX120" i="29"/>
  <c r="AY120" i="29"/>
  <c r="AZ120" i="29"/>
  <c r="BG120" i="29"/>
  <c r="BH120" i="29"/>
  <c r="CX120" i="29" s="1"/>
  <c r="BI120" i="29"/>
  <c r="BJ120" i="29"/>
  <c r="BK120" i="29"/>
  <c r="AH121" i="29"/>
  <c r="AI121" i="29"/>
  <c r="BM117" i="29" s="1"/>
  <c r="AJ121" i="29"/>
  <c r="AK121" i="29"/>
  <c r="AL121" i="29"/>
  <c r="AM121" i="29"/>
  <c r="AN121" i="29"/>
  <c r="AO121" i="29"/>
  <c r="AP121" i="29"/>
  <c r="AQ121" i="29"/>
  <c r="AR121" i="29"/>
  <c r="AS121" i="29"/>
  <c r="AT121" i="29"/>
  <c r="AU121" i="29"/>
  <c r="AV121" i="29"/>
  <c r="AW121" i="29"/>
  <c r="AX121" i="29"/>
  <c r="AY121" i="29"/>
  <c r="AZ121" i="29"/>
  <c r="BG121" i="29"/>
  <c r="BH121" i="29"/>
  <c r="CX121" i="29" s="1"/>
  <c r="BI121" i="29"/>
  <c r="BJ121" i="29"/>
  <c r="BK121" i="29"/>
  <c r="AH127" i="29"/>
  <c r="AI127" i="29"/>
  <c r="BM123" i="29" s="1"/>
  <c r="AJ127" i="29"/>
  <c r="AK127" i="29"/>
  <c r="AL127" i="29"/>
  <c r="AM127" i="29"/>
  <c r="AN127" i="29"/>
  <c r="AO127" i="29"/>
  <c r="AP127" i="29"/>
  <c r="AQ127" i="29"/>
  <c r="AR127" i="29"/>
  <c r="AS127" i="29"/>
  <c r="AT127" i="29"/>
  <c r="AU127" i="29"/>
  <c r="AV127" i="29"/>
  <c r="AW127" i="29"/>
  <c r="AX127" i="29"/>
  <c r="AY127" i="29"/>
  <c r="AZ127" i="29"/>
  <c r="BG127" i="29"/>
  <c r="BH127" i="29"/>
  <c r="CX127" i="29" s="1"/>
  <c r="BI127" i="29"/>
  <c r="BJ127" i="29"/>
  <c r="BK127" i="29"/>
  <c r="AH130" i="29"/>
  <c r="AI130" i="29"/>
  <c r="BM124" i="29" s="1"/>
  <c r="AJ130" i="29"/>
  <c r="AK130" i="29"/>
  <c r="AL130" i="29"/>
  <c r="AM130" i="29"/>
  <c r="AN130" i="29"/>
  <c r="AO130" i="29"/>
  <c r="AP130" i="29"/>
  <c r="AQ130" i="29"/>
  <c r="AR130" i="29"/>
  <c r="AS130" i="29"/>
  <c r="AT130" i="29"/>
  <c r="AU130" i="29"/>
  <c r="AV130" i="29"/>
  <c r="AW130" i="29"/>
  <c r="AX130" i="29"/>
  <c r="AY130" i="29"/>
  <c r="AZ130" i="29"/>
  <c r="BG130" i="29"/>
  <c r="BH130" i="29"/>
  <c r="CX130" i="29" s="1"/>
  <c r="BI130" i="29"/>
  <c r="BJ130" i="29"/>
  <c r="BK130" i="29"/>
  <c r="AH131" i="29"/>
  <c r="AI131" i="29"/>
  <c r="BM125" i="29" s="1"/>
  <c r="AJ131" i="29"/>
  <c r="AK131" i="29"/>
  <c r="AL131" i="29"/>
  <c r="AM131" i="29"/>
  <c r="AN131" i="29"/>
  <c r="AO131" i="29"/>
  <c r="AP131" i="29"/>
  <c r="AQ131" i="29"/>
  <c r="AR131" i="29"/>
  <c r="AS131" i="29"/>
  <c r="AT131" i="29"/>
  <c r="AU131" i="29"/>
  <c r="AV131" i="29"/>
  <c r="AW131" i="29"/>
  <c r="AX131" i="29"/>
  <c r="AY131" i="29"/>
  <c r="AZ131" i="29"/>
  <c r="BG131" i="29"/>
  <c r="BH131" i="29"/>
  <c r="CX131" i="29" s="1"/>
  <c r="BI131" i="29"/>
  <c r="BJ131" i="29"/>
  <c r="BK131" i="29"/>
  <c r="AH132" i="29"/>
  <c r="AI132" i="29"/>
  <c r="AJ132" i="29"/>
  <c r="AK132" i="29"/>
  <c r="AL132" i="29"/>
  <c r="AM132" i="29"/>
  <c r="AN132" i="29"/>
  <c r="AO132" i="29"/>
  <c r="AP132" i="29"/>
  <c r="AQ132" i="29"/>
  <c r="AR132" i="29"/>
  <c r="AS132" i="29"/>
  <c r="AT132" i="29"/>
  <c r="AU132" i="29"/>
  <c r="AV132" i="29"/>
  <c r="AW132" i="29"/>
  <c r="AX132" i="29"/>
  <c r="AY132" i="29"/>
  <c r="AZ132" i="29"/>
  <c r="BG132" i="29"/>
  <c r="BH132" i="29"/>
  <c r="CX132" i="29" s="1"/>
  <c r="BI132" i="29"/>
  <c r="BJ132" i="29"/>
  <c r="BK132" i="29"/>
  <c r="AI11" i="29"/>
  <c r="AJ11" i="29"/>
  <c r="AK11" i="29"/>
  <c r="AL11" i="29"/>
  <c r="AM11" i="29"/>
  <c r="AN11" i="29"/>
  <c r="AO11" i="29"/>
  <c r="AP11" i="29"/>
  <c r="AQ11" i="29"/>
  <c r="AR11" i="29"/>
  <c r="AS11" i="29"/>
  <c r="AT11" i="29"/>
  <c r="AU11" i="29"/>
  <c r="AV11" i="29"/>
  <c r="AW11" i="29"/>
  <c r="AX11" i="29"/>
  <c r="AY11" i="29"/>
  <c r="AZ11" i="29"/>
  <c r="BG11" i="29"/>
  <c r="BH11" i="29"/>
  <c r="CX11" i="29" s="1"/>
  <c r="BI11" i="29"/>
  <c r="BJ11" i="29"/>
  <c r="BK11" i="29"/>
  <c r="CY33" i="37" l="1"/>
  <c r="CY32" i="37"/>
  <c r="CY31" i="37"/>
  <c r="CY30" i="37"/>
  <c r="CY34" i="37"/>
  <c r="BM126" i="29"/>
  <c r="BM128" i="29"/>
  <c r="BM92" i="29"/>
  <c r="BM94" i="29"/>
  <c r="BM79" i="29"/>
  <c r="BM83" i="29"/>
  <c r="BM81" i="29"/>
  <c r="BM84" i="29"/>
  <c r="BM72" i="29"/>
  <c r="BM75" i="29"/>
  <c r="BM58" i="29"/>
  <c r="BM61" i="29"/>
  <c r="BM55" i="29"/>
  <c r="BM57" i="29"/>
  <c r="BM46" i="29"/>
  <c r="BM48" i="29"/>
  <c r="BM24" i="29"/>
  <c r="BM27" i="29"/>
  <c r="BM21" i="29"/>
  <c r="BM23" i="29"/>
  <c r="BM18" i="29"/>
  <c r="BM20" i="29"/>
  <c r="BM13" i="29"/>
  <c r="BM12" i="29"/>
  <c r="BM14" i="29"/>
  <c r="CW12" i="37"/>
  <c r="CW14" i="37"/>
  <c r="CW34" i="37"/>
  <c r="CW33" i="37"/>
  <c r="CW32" i="37"/>
  <c r="CW31" i="37"/>
  <c r="CW30" i="37"/>
  <c r="CW29" i="37"/>
  <c r="CW28" i="37"/>
  <c r="CW27" i="37"/>
  <c r="CW26" i="37"/>
  <c r="CW25" i="37"/>
  <c r="CW24" i="37"/>
  <c r="CW23" i="37"/>
  <c r="CW22" i="37"/>
  <c r="CW21" i="37"/>
  <c r="CW20" i="37"/>
  <c r="CW19" i="37"/>
  <c r="CW18" i="37"/>
  <c r="CW17" i="37"/>
  <c r="CW15" i="37"/>
  <c r="CW16" i="37"/>
  <c r="CW13" i="37"/>
  <c r="CV13" i="37"/>
  <c r="CV12" i="37"/>
  <c r="CV14" i="37"/>
  <c r="CV34" i="37"/>
  <c r="CV33" i="37"/>
  <c r="CV32" i="37"/>
  <c r="CV31" i="37"/>
  <c r="CV30" i="37"/>
  <c r="CV29" i="37"/>
  <c r="CV28" i="37"/>
  <c r="CV27" i="37"/>
  <c r="CV26" i="37"/>
  <c r="CV25" i="37"/>
  <c r="CV24" i="37"/>
  <c r="CV23" i="37"/>
  <c r="CV22" i="37"/>
  <c r="CV21" i="37"/>
  <c r="CV20" i="37"/>
  <c r="CV19" i="37"/>
  <c r="CV18" i="37"/>
  <c r="CV17" i="37"/>
  <c r="CV15" i="37"/>
  <c r="CV16" i="37"/>
  <c r="CW11" i="37"/>
  <c r="CV11" i="37"/>
  <c r="CV132" i="29"/>
  <c r="CV130" i="29"/>
  <c r="CV127" i="29"/>
  <c r="CV121" i="29"/>
  <c r="CV120" i="29"/>
  <c r="CV119" i="29"/>
  <c r="CV118" i="29"/>
  <c r="CV116" i="29"/>
  <c r="CV115" i="29"/>
  <c r="CV112" i="29"/>
  <c r="CV111" i="29"/>
  <c r="CV109" i="29"/>
  <c r="CV108" i="29"/>
  <c r="CV107" i="29"/>
  <c r="CV106" i="29"/>
  <c r="CV105" i="29"/>
  <c r="CV103" i="29"/>
  <c r="CV101" i="29"/>
  <c r="CV99" i="29"/>
  <c r="CV97" i="29"/>
  <c r="CV96" i="29"/>
  <c r="CV93" i="29"/>
  <c r="CV90" i="29"/>
  <c r="CV89" i="29"/>
  <c r="CV87" i="29"/>
  <c r="CV86" i="29"/>
  <c r="CV82" i="29"/>
  <c r="CV80" i="29"/>
  <c r="CV78" i="29"/>
  <c r="CV77" i="29"/>
  <c r="CV74" i="29"/>
  <c r="CV73" i="29"/>
  <c r="CV71" i="29"/>
  <c r="CV70" i="29"/>
  <c r="CV67" i="29"/>
  <c r="CV66" i="29"/>
  <c r="CV65" i="29"/>
  <c r="CV64" i="29"/>
  <c r="CV60" i="29"/>
  <c r="CV59" i="29"/>
  <c r="CV56" i="29"/>
  <c r="CV54" i="29"/>
  <c r="CV53" i="29"/>
  <c r="CV52" i="29"/>
  <c r="CV50" i="29"/>
  <c r="CV47" i="29"/>
  <c r="CV45" i="29"/>
  <c r="CV44" i="29"/>
  <c r="CV43" i="29"/>
  <c r="CV41" i="29"/>
  <c r="CV40" i="29"/>
  <c r="CV39" i="29"/>
  <c r="CV38" i="29"/>
  <c r="CV36" i="29"/>
  <c r="CV35" i="29"/>
  <c r="CV34" i="29"/>
  <c r="CV32" i="29"/>
  <c r="CV31" i="29"/>
  <c r="CV29" i="29"/>
  <c r="CV26" i="29"/>
  <c r="CV25" i="29"/>
  <c r="CV22" i="29"/>
  <c r="CV19" i="29"/>
  <c r="CV17" i="29"/>
  <c r="CV16" i="29"/>
  <c r="CV15" i="29"/>
  <c r="CV131" i="29"/>
  <c r="CW132" i="29"/>
  <c r="CW131" i="29"/>
  <c r="CW130" i="29"/>
  <c r="CW127" i="29"/>
  <c r="CW121" i="29"/>
  <c r="CW120" i="29"/>
  <c r="CW119" i="29"/>
  <c r="CW118" i="29"/>
  <c r="CW116" i="29"/>
  <c r="CW115" i="29"/>
  <c r="CW112" i="29"/>
  <c r="CW111" i="29"/>
  <c r="CW109" i="29"/>
  <c r="CW108" i="29"/>
  <c r="CW107" i="29"/>
  <c r="CW106" i="29"/>
  <c r="CW105" i="29"/>
  <c r="CW103" i="29"/>
  <c r="CW101" i="29"/>
  <c r="CW99" i="29"/>
  <c r="CW97" i="29"/>
  <c r="CW96" i="29"/>
  <c r="CW93" i="29"/>
  <c r="CW90" i="29"/>
  <c r="CW89" i="29"/>
  <c r="CW87" i="29"/>
  <c r="CW86" i="29"/>
  <c r="CW82" i="29"/>
  <c r="CW80" i="29"/>
  <c r="CW78" i="29"/>
  <c r="CW77" i="29"/>
  <c r="CW74" i="29"/>
  <c r="CW73" i="29"/>
  <c r="CW71" i="29"/>
  <c r="CW70" i="29"/>
  <c r="CW67" i="29"/>
  <c r="CW66" i="29"/>
  <c r="CW65" i="29"/>
  <c r="CW64" i="29"/>
  <c r="CW60" i="29"/>
  <c r="CW59" i="29"/>
  <c r="CW56" i="29"/>
  <c r="CW54" i="29"/>
  <c r="CW53" i="29"/>
  <c r="CW52" i="29"/>
  <c r="CW50" i="29"/>
  <c r="CW47" i="29"/>
  <c r="CW45" i="29"/>
  <c r="CW44" i="29"/>
  <c r="CW43" i="29"/>
  <c r="CW41" i="29"/>
  <c r="CW40" i="29"/>
  <c r="CW39" i="29"/>
  <c r="CW38" i="29"/>
  <c r="CW36" i="29"/>
  <c r="CW35" i="29"/>
  <c r="CW34" i="29"/>
  <c r="CW32" i="29"/>
  <c r="CW31" i="29"/>
  <c r="CW29" i="29"/>
  <c r="CW26" i="29"/>
  <c r="CW25" i="29"/>
  <c r="CW22" i="29"/>
  <c r="CW19" i="29"/>
  <c r="CW17" i="29"/>
  <c r="CW16" i="29"/>
  <c r="CW15" i="29"/>
  <c r="CW11" i="29"/>
  <c r="CS58" i="39"/>
  <c r="CP58" i="39"/>
  <c r="CQ58" i="39"/>
  <c r="CQ60" i="39"/>
  <c r="CP61" i="39"/>
  <c r="CP70" i="39"/>
  <c r="CQ70" i="39"/>
  <c r="CP71" i="39"/>
  <c r="CP13" i="39"/>
  <c r="CQ13" i="39"/>
  <c r="CP14" i="39"/>
  <c r="CP21" i="39"/>
  <c r="CQ21" i="39"/>
  <c r="CP22" i="39"/>
  <c r="CQ22" i="39"/>
  <c r="CP28" i="39"/>
  <c r="CP35" i="39"/>
  <c r="CQ35" i="39"/>
  <c r="CQ41" i="39"/>
  <c r="CS37" i="39"/>
  <c r="CQ12" i="39"/>
  <c r="CQ43" i="39"/>
  <c r="CQ45" i="39"/>
  <c r="CP55" i="39"/>
  <c r="CQ56" i="39"/>
  <c r="CS73" i="39"/>
  <c r="CP24" i="39"/>
  <c r="CQ24" i="39"/>
  <c r="CP25" i="39"/>
  <c r="CQ25" i="39"/>
  <c r="CP41" i="39"/>
  <c r="CP53" i="39"/>
  <c r="CQ53" i="39"/>
  <c r="CP54" i="39"/>
  <c r="CP65" i="39"/>
  <c r="CQ65" i="39"/>
  <c r="CP66" i="39"/>
  <c r="CQ73" i="39"/>
  <c r="CP83" i="39"/>
  <c r="CQ83" i="39"/>
  <c r="CP84" i="39"/>
  <c r="CQ52" i="39"/>
  <c r="CS53" i="39"/>
  <c r="CP62" i="39"/>
  <c r="CQ63" i="39"/>
  <c r="CQ72" i="39"/>
  <c r="CQ82" i="39"/>
  <c r="CP11" i="39"/>
  <c r="CQ11" i="39"/>
  <c r="CP19" i="39"/>
  <c r="CQ19" i="39"/>
  <c r="CP20" i="39"/>
  <c r="CQ20" i="39"/>
  <c r="CP23" i="39"/>
  <c r="CS23" i="39"/>
  <c r="CP33" i="39"/>
  <c r="CQ33" i="39"/>
  <c r="CP34" i="39"/>
  <c r="CS34" i="39"/>
  <c r="CS35" i="39"/>
  <c r="CQ36" i="39"/>
  <c r="CP38" i="39"/>
  <c r="CQ39" i="39"/>
  <c r="CQ46" i="39"/>
  <c r="CP47" i="39"/>
  <c r="CQ48" i="39"/>
  <c r="CP49" i="39"/>
  <c r="CQ49" i="39"/>
  <c r="CP50" i="39"/>
  <c r="CQ57" i="39"/>
  <c r="CQ62" i="39"/>
  <c r="CP63" i="39"/>
  <c r="CP64" i="39"/>
  <c r="CS64" i="39"/>
  <c r="CQ66" i="39"/>
  <c r="CP67" i="39"/>
  <c r="CQ67" i="39"/>
  <c r="CP68" i="39"/>
  <c r="CS68" i="39"/>
  <c r="CP69" i="39"/>
  <c r="CS69" i="39"/>
  <c r="CS70" i="39"/>
  <c r="CQ75" i="39"/>
  <c r="CP77" i="39"/>
  <c r="CQ77" i="39"/>
  <c r="CP78" i="39"/>
  <c r="CQ84" i="39"/>
  <c r="CP85" i="39"/>
  <c r="CQ85" i="39"/>
  <c r="CP86" i="39"/>
  <c r="CQ88" i="39"/>
  <c r="CP89" i="39"/>
  <c r="CQ89" i="39"/>
  <c r="CP40" i="39"/>
  <c r="CP44" i="39"/>
  <c r="CQ50" i="39"/>
  <c r="CP51" i="39"/>
  <c r="CQ51" i="39"/>
  <c r="CP52" i="39"/>
  <c r="CQ54" i="39"/>
  <c r="CQ59" i="39"/>
  <c r="CQ64" i="39"/>
  <c r="CQ68" i="39"/>
  <c r="CQ69" i="39"/>
  <c r="CP74" i="39"/>
  <c r="CQ74" i="39"/>
  <c r="CP75" i="39"/>
  <c r="CP76" i="39"/>
  <c r="CS76" i="39" s="1"/>
  <c r="CQ78" i="39"/>
  <c r="CP79" i="39"/>
  <c r="CQ79" i="39"/>
  <c r="CP80" i="39"/>
  <c r="CQ86" i="39"/>
  <c r="CP87" i="39"/>
  <c r="CQ87" i="39"/>
  <c r="CP15" i="39"/>
  <c r="CQ15" i="39"/>
  <c r="CP16" i="39"/>
  <c r="CS16" i="39"/>
  <c r="CP26" i="39"/>
  <c r="CQ26" i="39"/>
  <c r="CP27" i="39"/>
  <c r="CQ27" i="39"/>
  <c r="CP29" i="39"/>
  <c r="CQ29" i="39"/>
  <c r="CP30" i="39"/>
  <c r="CP59" i="39"/>
  <c r="CP60" i="39"/>
  <c r="CQ61" i="39"/>
  <c r="CQ71" i="39"/>
  <c r="CS71" i="39"/>
  <c r="CP72" i="39"/>
  <c r="CS72" i="39"/>
  <c r="CP73" i="39"/>
  <c r="CS74" i="39"/>
  <c r="CQ76" i="39"/>
  <c r="CQ80" i="39"/>
  <c r="CP81" i="39"/>
  <c r="CQ81" i="39"/>
  <c r="CP82" i="39"/>
  <c r="CP88" i="39"/>
  <c r="CP17" i="39"/>
  <c r="CQ17" i="39"/>
  <c r="CP18" i="39"/>
  <c r="CQ18" i="39"/>
  <c r="CP31" i="39"/>
  <c r="CQ31" i="39"/>
  <c r="CP32" i="39"/>
  <c r="CP36" i="39"/>
  <c r="CP42" i="39"/>
  <c r="CP46" i="39"/>
  <c r="CQ47" i="39"/>
  <c r="CS47" i="39"/>
  <c r="CP48" i="39"/>
  <c r="CQ55" i="39"/>
  <c r="CP56" i="39"/>
  <c r="CP57" i="39"/>
  <c r="CQ14" i="39"/>
  <c r="CQ23" i="39"/>
  <c r="CQ28" i="39"/>
  <c r="CQ30" i="39"/>
  <c r="CP37" i="39"/>
  <c r="CP39" i="39"/>
  <c r="CQ44" i="39"/>
  <c r="CQ16" i="39"/>
  <c r="CQ32" i="39"/>
  <c r="CQ34" i="39"/>
  <c r="CQ42" i="39"/>
  <c r="CP45" i="39"/>
  <c r="CP12" i="39"/>
  <c r="CS22" i="39"/>
  <c r="CS27" i="39"/>
  <c r="CQ37" i="39"/>
  <c r="CQ38" i="39"/>
  <c r="CQ40" i="39"/>
  <c r="CP43" i="39"/>
  <c r="CS57" i="39"/>
  <c r="CY26" i="37"/>
  <c r="CY22" i="37"/>
  <c r="CY18" i="37"/>
  <c r="CY27" i="37"/>
  <c r="CY23" i="37"/>
  <c r="CY19" i="37"/>
  <c r="CY11" i="37"/>
  <c r="CY29" i="37"/>
  <c r="CY25" i="37"/>
  <c r="CY21" i="37"/>
  <c r="CY17" i="37"/>
  <c r="CY28" i="37"/>
  <c r="CY24" i="37"/>
  <c r="CY20" i="37"/>
  <c r="CY15" i="37"/>
  <c r="CY14" i="37"/>
  <c r="CY12" i="37"/>
  <c r="CY13" i="37"/>
  <c r="CY16" i="37"/>
  <c r="CN45" i="6"/>
  <c r="BM131" i="29"/>
  <c r="R148" i="5"/>
  <c r="BN45" i="6"/>
  <c r="BO45" i="6"/>
  <c r="BP45" i="6"/>
  <c r="BQ45" i="6"/>
  <c r="BR45" i="6"/>
  <c r="BS45" i="6"/>
  <c r="BT45" i="6"/>
  <c r="BU45" i="6"/>
  <c r="BV45" i="6"/>
  <c r="BW45" i="6"/>
  <c r="BX45" i="6"/>
  <c r="BY45" i="6"/>
  <c r="BZ45" i="6"/>
  <c r="CA45" i="6"/>
  <c r="CB45" i="6"/>
  <c r="CC45" i="6"/>
  <c r="CD45" i="6"/>
  <c r="CE45" i="6"/>
  <c r="CF45" i="6"/>
  <c r="CG45" i="6"/>
  <c r="CH45" i="6"/>
  <c r="CI45" i="6"/>
  <c r="CJ45" i="6"/>
  <c r="CK45" i="6"/>
  <c r="CL45" i="6"/>
  <c r="CM45" i="6"/>
  <c r="CO45" i="6"/>
  <c r="CP45" i="6"/>
  <c r="AH132" i="30" l="1"/>
  <c r="AI132" i="30"/>
  <c r="AJ132" i="30"/>
  <c r="AK132" i="30"/>
  <c r="AL132" i="30"/>
  <c r="AM132" i="30"/>
  <c r="AN132" i="30"/>
  <c r="AO132" i="30"/>
  <c r="AP132" i="30"/>
  <c r="AQ132" i="30"/>
  <c r="AR132" i="30"/>
  <c r="AS132" i="30"/>
  <c r="AT132" i="30"/>
  <c r="AV132" i="30"/>
  <c r="AW132" i="30"/>
  <c r="AX132" i="30"/>
  <c r="AY132" i="30"/>
  <c r="AZ132" i="30"/>
  <c r="BB132" i="30"/>
  <c r="BA132" i="30"/>
  <c r="BG132" i="30"/>
  <c r="BH132" i="30"/>
  <c r="CX132" i="30" s="1"/>
  <c r="BI132" i="30"/>
  <c r="BJ132" i="30"/>
  <c r="BK132" i="30"/>
  <c r="AH12" i="30"/>
  <c r="AI12" i="30"/>
  <c r="AJ12" i="30"/>
  <c r="AK12" i="30"/>
  <c r="AL12" i="30"/>
  <c r="AM12" i="30"/>
  <c r="AN12" i="30"/>
  <c r="AO12" i="30"/>
  <c r="AP12" i="30"/>
  <c r="AQ12" i="30"/>
  <c r="AR12" i="30"/>
  <c r="AS12" i="30"/>
  <c r="AT12" i="30"/>
  <c r="AU12" i="30"/>
  <c r="AV12" i="30"/>
  <c r="AW12" i="30"/>
  <c r="AX12" i="30"/>
  <c r="AY12" i="30"/>
  <c r="AZ12" i="30"/>
  <c r="BB12" i="30"/>
  <c r="BA12" i="30"/>
  <c r="BG12" i="30"/>
  <c r="BH12" i="30"/>
  <c r="CX12" i="30" s="1"/>
  <c r="BI12" i="30"/>
  <c r="BJ12" i="30"/>
  <c r="BK12" i="30"/>
  <c r="AH110" i="30"/>
  <c r="AI110" i="30"/>
  <c r="AJ110" i="30"/>
  <c r="AK110" i="30"/>
  <c r="AL110" i="30"/>
  <c r="AM110" i="30"/>
  <c r="AN110" i="30"/>
  <c r="AO110" i="30"/>
  <c r="AP110" i="30"/>
  <c r="AQ110" i="30"/>
  <c r="AR110" i="30"/>
  <c r="AS110" i="30"/>
  <c r="AT110" i="30"/>
  <c r="AV110" i="30"/>
  <c r="AW110" i="30"/>
  <c r="AX110" i="30"/>
  <c r="AY110" i="30"/>
  <c r="AZ110" i="30"/>
  <c r="BB110" i="30"/>
  <c r="BA110" i="30"/>
  <c r="BG110" i="30"/>
  <c r="BH110" i="30"/>
  <c r="CX110" i="30" s="1"/>
  <c r="BI110" i="30"/>
  <c r="BJ110" i="30"/>
  <c r="BK110" i="30"/>
  <c r="AH27" i="30"/>
  <c r="AI27" i="30"/>
  <c r="AJ27" i="30"/>
  <c r="AK27" i="30"/>
  <c r="AL27" i="30"/>
  <c r="AM27" i="30"/>
  <c r="AN27" i="30"/>
  <c r="AO27" i="30"/>
  <c r="AP27" i="30"/>
  <c r="AQ27" i="30"/>
  <c r="AR27" i="30"/>
  <c r="AS27" i="30"/>
  <c r="AT27" i="30"/>
  <c r="AU27" i="30"/>
  <c r="AV27" i="30"/>
  <c r="AW27" i="30"/>
  <c r="AX27" i="30"/>
  <c r="AY27" i="30"/>
  <c r="AZ27" i="30"/>
  <c r="BB27" i="30"/>
  <c r="BA27" i="30"/>
  <c r="BG27" i="30"/>
  <c r="BH27" i="30"/>
  <c r="CX27" i="30" s="1"/>
  <c r="BI27" i="30"/>
  <c r="BJ27" i="30"/>
  <c r="BK27" i="30"/>
  <c r="AH17" i="30"/>
  <c r="AI17" i="30"/>
  <c r="AJ17" i="30"/>
  <c r="AK17" i="30"/>
  <c r="AL17" i="30"/>
  <c r="AM17" i="30"/>
  <c r="AN17" i="30"/>
  <c r="AO17" i="30"/>
  <c r="AP17" i="30"/>
  <c r="AQ17" i="30"/>
  <c r="AR17" i="30"/>
  <c r="AS17" i="30"/>
  <c r="AT17" i="30"/>
  <c r="AU17" i="30"/>
  <c r="AV17" i="30"/>
  <c r="AW17" i="30"/>
  <c r="AX17" i="30"/>
  <c r="AY17" i="30"/>
  <c r="AZ17" i="30"/>
  <c r="BB17" i="30"/>
  <c r="BA17" i="30"/>
  <c r="BG17" i="30"/>
  <c r="BH17" i="30"/>
  <c r="CX17" i="30" s="1"/>
  <c r="BI17" i="30"/>
  <c r="BJ17" i="30"/>
  <c r="BK17" i="30"/>
  <c r="CV132" i="30" l="1"/>
  <c r="CV110" i="30"/>
  <c r="CV17" i="30"/>
  <c r="CV27" i="30"/>
  <c r="CV12" i="30"/>
  <c r="CW12" i="30"/>
  <c r="CW17" i="30"/>
  <c r="CW27" i="30"/>
  <c r="CW132" i="30"/>
  <c r="CW110" i="30"/>
  <c r="AH136" i="30"/>
  <c r="AI136" i="30"/>
  <c r="AJ136" i="30"/>
  <c r="AK136" i="30"/>
  <c r="AL136" i="30"/>
  <c r="AM136" i="30"/>
  <c r="AN136" i="30"/>
  <c r="AO136" i="30"/>
  <c r="AP136" i="30"/>
  <c r="AQ136" i="30"/>
  <c r="AR136" i="30"/>
  <c r="AS136" i="30"/>
  <c r="AT136" i="30"/>
  <c r="AV136" i="30"/>
  <c r="AW136" i="30"/>
  <c r="AX136" i="30"/>
  <c r="AY136" i="30"/>
  <c r="AZ136" i="30"/>
  <c r="BB136" i="30"/>
  <c r="BA136" i="30"/>
  <c r="BG136" i="30"/>
  <c r="BH136" i="30"/>
  <c r="CX136" i="30" s="1"/>
  <c r="BI136" i="30"/>
  <c r="BJ136" i="30"/>
  <c r="BK136" i="30"/>
  <c r="AH56" i="30"/>
  <c r="AI56" i="30"/>
  <c r="AJ56" i="30"/>
  <c r="AK56" i="30"/>
  <c r="AL56" i="30"/>
  <c r="AM56" i="30"/>
  <c r="AN56" i="30"/>
  <c r="AO56" i="30"/>
  <c r="AP56" i="30"/>
  <c r="AQ56" i="30"/>
  <c r="AR56" i="30"/>
  <c r="AS56" i="30"/>
  <c r="AT56" i="30"/>
  <c r="AU56" i="30"/>
  <c r="AV56" i="30"/>
  <c r="AW56" i="30"/>
  <c r="AX56" i="30"/>
  <c r="AY56" i="30"/>
  <c r="AZ56" i="30"/>
  <c r="BB56" i="30"/>
  <c r="BA56" i="30"/>
  <c r="BG56" i="30"/>
  <c r="BH56" i="30"/>
  <c r="CX56" i="30" s="1"/>
  <c r="BI56" i="30"/>
  <c r="BJ56" i="30"/>
  <c r="BK56" i="30"/>
  <c r="AH61" i="30"/>
  <c r="AI61" i="30"/>
  <c r="AJ61" i="30"/>
  <c r="AK61" i="30"/>
  <c r="AL61" i="30"/>
  <c r="AM61" i="30"/>
  <c r="AN61" i="30"/>
  <c r="AO61" i="30"/>
  <c r="AP61" i="30"/>
  <c r="AQ61" i="30"/>
  <c r="AR61" i="30"/>
  <c r="AS61" i="30"/>
  <c r="AT61" i="30"/>
  <c r="AU61" i="30"/>
  <c r="AV61" i="30"/>
  <c r="AW61" i="30"/>
  <c r="AX61" i="30"/>
  <c r="AY61" i="30"/>
  <c r="AZ61" i="30"/>
  <c r="BB61" i="30"/>
  <c r="BA61" i="30"/>
  <c r="BG61" i="30"/>
  <c r="BH61" i="30"/>
  <c r="CX61" i="30" s="1"/>
  <c r="BI61" i="30"/>
  <c r="BJ61" i="30"/>
  <c r="BK61" i="30"/>
  <c r="AH46" i="30"/>
  <c r="AI46" i="30"/>
  <c r="AJ46" i="30"/>
  <c r="AK46" i="30"/>
  <c r="AL46" i="30"/>
  <c r="AM46" i="30"/>
  <c r="AN46" i="30"/>
  <c r="AO46" i="30"/>
  <c r="AP46" i="30"/>
  <c r="AQ46" i="30"/>
  <c r="AR46" i="30"/>
  <c r="AS46" i="30"/>
  <c r="AT46" i="30"/>
  <c r="AU46" i="30"/>
  <c r="AV46" i="30"/>
  <c r="AW46" i="30"/>
  <c r="AX46" i="30"/>
  <c r="AY46" i="30"/>
  <c r="AZ46" i="30"/>
  <c r="BB46" i="30"/>
  <c r="BA46" i="30"/>
  <c r="BG46" i="30"/>
  <c r="BH46" i="30"/>
  <c r="CX46" i="30" s="1"/>
  <c r="BI46" i="30"/>
  <c r="BJ46" i="30"/>
  <c r="BK46" i="30"/>
  <c r="CV56" i="30" l="1"/>
  <c r="CV136" i="30"/>
  <c r="CV46" i="30"/>
  <c r="CV61" i="30"/>
  <c r="CW61" i="30"/>
  <c r="CW46" i="30"/>
  <c r="CW56" i="30"/>
  <c r="CW136" i="30"/>
  <c r="BB12" i="4"/>
  <c r="BB13" i="4"/>
  <c r="BB14" i="4"/>
  <c r="BB15" i="4"/>
  <c r="BB16" i="4"/>
  <c r="BB17" i="4"/>
  <c r="BB18" i="4"/>
  <c r="BB19" i="4"/>
  <c r="BB20" i="4"/>
  <c r="BB21" i="4"/>
  <c r="BB22" i="4"/>
  <c r="BB23" i="4"/>
  <c r="BB24" i="4"/>
  <c r="BB25" i="4"/>
  <c r="BB26" i="4"/>
  <c r="BB27" i="4"/>
  <c r="BB28" i="4"/>
  <c r="BB29" i="4"/>
  <c r="BB30" i="4"/>
  <c r="BB11" i="4"/>
  <c r="BB16" i="30"/>
  <c r="BB19" i="30"/>
  <c r="BB21" i="30"/>
  <c r="BB23" i="30"/>
  <c r="BB24" i="30"/>
  <c r="BB25" i="30"/>
  <c r="BB26" i="30"/>
  <c r="BB29" i="30"/>
  <c r="BB31" i="30"/>
  <c r="BB32" i="30"/>
  <c r="BB33" i="30"/>
  <c r="BB37" i="30"/>
  <c r="BB40" i="30"/>
  <c r="BB51" i="30"/>
  <c r="BB54" i="30"/>
  <c r="BB57" i="30"/>
  <c r="BB63" i="30"/>
  <c r="BB64" i="30"/>
  <c r="BB67" i="30"/>
  <c r="BB68" i="30"/>
  <c r="BB69" i="30"/>
  <c r="BB70" i="30"/>
  <c r="BB74" i="30"/>
  <c r="BB75" i="30"/>
  <c r="BB76" i="30"/>
  <c r="BB77" i="30"/>
  <c r="BB78" i="30"/>
  <c r="BB79" i="30"/>
  <c r="BB84" i="30"/>
  <c r="BB85" i="30"/>
  <c r="BB86" i="30"/>
  <c r="BB90" i="30"/>
  <c r="BB93" i="30"/>
  <c r="BB98" i="30"/>
  <c r="BB99" i="30"/>
  <c r="BB102" i="30"/>
  <c r="BB108" i="30"/>
  <c r="BB109" i="30"/>
  <c r="BB111" i="30"/>
  <c r="BB112" i="30"/>
  <c r="BB115" i="30"/>
  <c r="BB116" i="30"/>
  <c r="BB118" i="30"/>
  <c r="BB119" i="30"/>
  <c r="BB122" i="30"/>
  <c r="BB125" i="30"/>
  <c r="BB131" i="30"/>
  <c r="BB138" i="30"/>
  <c r="BB142" i="30"/>
  <c r="BB140" i="30"/>
  <c r="BB144" i="30"/>
  <c r="BB152" i="30"/>
  <c r="BB139" i="30"/>
  <c r="BB145" i="30"/>
  <c r="BB147" i="30"/>
  <c r="BB148" i="30"/>
  <c r="BB149" i="30"/>
  <c r="BB150" i="30"/>
  <c r="BB154" i="30"/>
  <c r="BB146" i="30"/>
  <c r="BB153" i="30"/>
  <c r="BB141" i="30"/>
  <c r="BB15" i="30"/>
  <c r="BB143" i="30"/>
  <c r="BB151" i="30"/>
  <c r="BB155" i="30"/>
  <c r="BB11" i="30"/>
  <c r="AH155" i="30" l="1"/>
  <c r="AI155" i="30"/>
  <c r="AJ155" i="30"/>
  <c r="AK155" i="30"/>
  <c r="AL155" i="30"/>
  <c r="AM155" i="30"/>
  <c r="AN155" i="30"/>
  <c r="AO155" i="30"/>
  <c r="AP155" i="30"/>
  <c r="AQ155" i="30"/>
  <c r="AR155" i="30"/>
  <c r="AS155" i="30"/>
  <c r="AT155" i="30"/>
  <c r="AV155" i="30"/>
  <c r="AW155" i="30"/>
  <c r="AX155" i="30"/>
  <c r="AY155" i="30"/>
  <c r="AZ155" i="30"/>
  <c r="BA155" i="30"/>
  <c r="BG155" i="30"/>
  <c r="BH155" i="30"/>
  <c r="CX155" i="30" s="1"/>
  <c r="BI155" i="30"/>
  <c r="BJ155" i="30"/>
  <c r="BK155" i="30"/>
  <c r="CV155" i="30" l="1"/>
  <c r="CW155" i="30"/>
  <c r="AH118" i="30"/>
  <c r="AI118" i="30"/>
  <c r="AJ118" i="30"/>
  <c r="AK118" i="30"/>
  <c r="AL118" i="30"/>
  <c r="AM118" i="30"/>
  <c r="AN118" i="30"/>
  <c r="AO118" i="30"/>
  <c r="AP118" i="30"/>
  <c r="AQ118" i="30"/>
  <c r="AR118" i="30"/>
  <c r="AS118" i="30"/>
  <c r="AT118" i="30"/>
  <c r="AV118" i="30"/>
  <c r="AW118" i="30"/>
  <c r="AX118" i="30"/>
  <c r="AY118" i="30"/>
  <c r="AZ118" i="30"/>
  <c r="BA118" i="30"/>
  <c r="BG118" i="30"/>
  <c r="BH118" i="30"/>
  <c r="CX118" i="30" s="1"/>
  <c r="BI118" i="30"/>
  <c r="BJ118" i="30"/>
  <c r="BK118" i="30"/>
  <c r="AH99" i="30"/>
  <c r="AI99" i="30"/>
  <c r="AJ99" i="30"/>
  <c r="AK99" i="30"/>
  <c r="AL99" i="30"/>
  <c r="AM99" i="30"/>
  <c r="AN99" i="30"/>
  <c r="AO99" i="30"/>
  <c r="AP99" i="30"/>
  <c r="AQ99" i="30"/>
  <c r="AR99" i="30"/>
  <c r="AS99" i="30"/>
  <c r="AT99" i="30"/>
  <c r="AV99" i="30"/>
  <c r="AW99" i="30"/>
  <c r="AX99" i="30"/>
  <c r="AY99" i="30"/>
  <c r="AZ99" i="30"/>
  <c r="BA99" i="30"/>
  <c r="BG99" i="30"/>
  <c r="BH99" i="30"/>
  <c r="CX99" i="30" s="1"/>
  <c r="BI99" i="30"/>
  <c r="BJ99" i="30"/>
  <c r="BK99" i="30"/>
  <c r="AH78" i="30"/>
  <c r="AI78" i="30"/>
  <c r="AJ78" i="30"/>
  <c r="AK78" i="30"/>
  <c r="AL78" i="30"/>
  <c r="AM78" i="30"/>
  <c r="AN78" i="30"/>
  <c r="AO78" i="30"/>
  <c r="AP78" i="30"/>
  <c r="AQ78" i="30"/>
  <c r="AR78" i="30"/>
  <c r="AS78" i="30"/>
  <c r="AT78" i="30"/>
  <c r="AV78" i="30"/>
  <c r="AW78" i="30"/>
  <c r="AX78" i="30"/>
  <c r="AY78" i="30"/>
  <c r="AZ78" i="30"/>
  <c r="BA78" i="30"/>
  <c r="BG78" i="30"/>
  <c r="BH78" i="30"/>
  <c r="CX78" i="30" s="1"/>
  <c r="BI78" i="30"/>
  <c r="BJ78" i="30"/>
  <c r="BK78" i="30"/>
  <c r="CV78" i="30" l="1"/>
  <c r="CV99" i="30"/>
  <c r="CV118" i="30"/>
  <c r="CW78" i="30"/>
  <c r="CW99" i="30"/>
  <c r="CW118" i="30"/>
  <c r="AH79" i="30"/>
  <c r="AI79" i="30"/>
  <c r="AJ79" i="30"/>
  <c r="AK79" i="30"/>
  <c r="AL79" i="30"/>
  <c r="AM79" i="30"/>
  <c r="AN79" i="30"/>
  <c r="AO79" i="30"/>
  <c r="AP79" i="30"/>
  <c r="AQ79" i="30"/>
  <c r="AR79" i="30"/>
  <c r="AS79" i="30"/>
  <c r="AT79" i="30"/>
  <c r="AV79" i="30"/>
  <c r="AW79" i="30"/>
  <c r="AX79" i="30"/>
  <c r="AY79" i="30"/>
  <c r="AZ79" i="30"/>
  <c r="BA79" i="30"/>
  <c r="BG79" i="30"/>
  <c r="BH79" i="30"/>
  <c r="CX79" i="30" s="1"/>
  <c r="BI79" i="30"/>
  <c r="BJ79" i="30"/>
  <c r="BK79" i="30"/>
  <c r="AH75" i="30"/>
  <c r="AI75" i="30"/>
  <c r="AJ75" i="30"/>
  <c r="AK75" i="30"/>
  <c r="AL75" i="30"/>
  <c r="AM75" i="30"/>
  <c r="AN75" i="30"/>
  <c r="AO75" i="30"/>
  <c r="AP75" i="30"/>
  <c r="AQ75" i="30"/>
  <c r="AR75" i="30"/>
  <c r="AS75" i="30"/>
  <c r="AT75" i="30"/>
  <c r="AV75" i="30"/>
  <c r="AW75" i="30"/>
  <c r="AX75" i="30"/>
  <c r="AY75" i="30"/>
  <c r="AZ75" i="30"/>
  <c r="BA75" i="30"/>
  <c r="BG75" i="30"/>
  <c r="BH75" i="30"/>
  <c r="CX75" i="30" s="1"/>
  <c r="BI75" i="30"/>
  <c r="BJ75" i="30"/>
  <c r="BK75" i="30"/>
  <c r="AH67" i="30"/>
  <c r="AI67" i="30"/>
  <c r="AJ67" i="30"/>
  <c r="AK67" i="30"/>
  <c r="AL67" i="30"/>
  <c r="AM67" i="30"/>
  <c r="AN67" i="30"/>
  <c r="AO67" i="30"/>
  <c r="AP67" i="30"/>
  <c r="AQ67" i="30"/>
  <c r="AR67" i="30"/>
  <c r="AS67" i="30"/>
  <c r="AT67" i="30"/>
  <c r="AV67" i="30"/>
  <c r="AW67" i="30"/>
  <c r="AX67" i="30"/>
  <c r="AY67" i="30"/>
  <c r="AZ67" i="30"/>
  <c r="BA67" i="30"/>
  <c r="BG67" i="30"/>
  <c r="BH67" i="30"/>
  <c r="CX67" i="30" s="1"/>
  <c r="BI67" i="30"/>
  <c r="BJ67" i="30"/>
  <c r="BK67" i="30"/>
  <c r="AH24" i="30"/>
  <c r="AI24" i="30"/>
  <c r="AJ24" i="30"/>
  <c r="AK24" i="30"/>
  <c r="AL24" i="30"/>
  <c r="AM24" i="30"/>
  <c r="AN24" i="30"/>
  <c r="AO24" i="30"/>
  <c r="AP24" i="30"/>
  <c r="AQ24" i="30"/>
  <c r="AR24" i="30"/>
  <c r="AS24" i="30"/>
  <c r="AT24" i="30"/>
  <c r="AU24" i="30"/>
  <c r="AV24" i="30"/>
  <c r="AW24" i="30"/>
  <c r="AX24" i="30"/>
  <c r="AY24" i="30"/>
  <c r="AZ24" i="30"/>
  <c r="BA24" i="30"/>
  <c r="BG24" i="30"/>
  <c r="BH24" i="30"/>
  <c r="CX24" i="30" s="1"/>
  <c r="BI24" i="30"/>
  <c r="BJ24" i="30"/>
  <c r="BK24" i="30"/>
  <c r="AH57" i="30"/>
  <c r="AI57" i="30"/>
  <c r="AJ57" i="30"/>
  <c r="AK57" i="30"/>
  <c r="AL57" i="30"/>
  <c r="AM57" i="30"/>
  <c r="AN57" i="30"/>
  <c r="AO57" i="30"/>
  <c r="AP57" i="30"/>
  <c r="AQ57" i="30"/>
  <c r="AR57" i="30"/>
  <c r="AS57" i="30"/>
  <c r="AT57" i="30"/>
  <c r="AU57" i="30"/>
  <c r="AV57" i="30"/>
  <c r="AW57" i="30"/>
  <c r="AX57" i="30"/>
  <c r="AY57" i="30"/>
  <c r="AZ57" i="30"/>
  <c r="BA57" i="30"/>
  <c r="BG57" i="30"/>
  <c r="BH57" i="30"/>
  <c r="CX57" i="30" s="1"/>
  <c r="BI57" i="30"/>
  <c r="BJ57" i="30"/>
  <c r="BK57" i="30"/>
  <c r="AH151" i="30"/>
  <c r="AI151" i="30"/>
  <c r="AJ151" i="30"/>
  <c r="AK151" i="30"/>
  <c r="AL151" i="30"/>
  <c r="AM151" i="30"/>
  <c r="AN151" i="30"/>
  <c r="AO151" i="30"/>
  <c r="AP151" i="30"/>
  <c r="AQ151" i="30"/>
  <c r="AR151" i="30"/>
  <c r="AS151" i="30"/>
  <c r="AT151" i="30"/>
  <c r="AV151" i="30"/>
  <c r="AW151" i="30"/>
  <c r="AX151" i="30"/>
  <c r="AY151" i="30"/>
  <c r="AZ151" i="30"/>
  <c r="BA151" i="30"/>
  <c r="BG151" i="30"/>
  <c r="BH151" i="30"/>
  <c r="CX151" i="30" s="1"/>
  <c r="BI151" i="30"/>
  <c r="BJ151" i="30"/>
  <c r="BK151" i="30"/>
  <c r="AH143" i="30"/>
  <c r="AI143" i="30"/>
  <c r="AJ143" i="30"/>
  <c r="AK143" i="30"/>
  <c r="AL143" i="30"/>
  <c r="AM143" i="30"/>
  <c r="AN143" i="30"/>
  <c r="AO143" i="30"/>
  <c r="AP143" i="30"/>
  <c r="AQ143" i="30"/>
  <c r="AR143" i="30"/>
  <c r="AS143" i="30"/>
  <c r="AT143" i="30"/>
  <c r="AV143" i="30"/>
  <c r="AW143" i="30"/>
  <c r="AX143" i="30"/>
  <c r="AY143" i="30"/>
  <c r="AZ143" i="30"/>
  <c r="BA143" i="30"/>
  <c r="BG143" i="30"/>
  <c r="BH143" i="30"/>
  <c r="CX143" i="30" s="1"/>
  <c r="BI143" i="30"/>
  <c r="BJ143" i="30"/>
  <c r="BK143" i="30"/>
  <c r="AH54" i="30"/>
  <c r="AI54" i="30"/>
  <c r="AJ54" i="30"/>
  <c r="AK54" i="30"/>
  <c r="AL54" i="30"/>
  <c r="AM54" i="30"/>
  <c r="AN54" i="30"/>
  <c r="AO54" i="30"/>
  <c r="AP54" i="30"/>
  <c r="AQ54" i="30"/>
  <c r="AR54" i="30"/>
  <c r="AS54" i="30"/>
  <c r="AT54" i="30"/>
  <c r="AU54" i="30"/>
  <c r="AV54" i="30"/>
  <c r="AW54" i="30"/>
  <c r="AX54" i="30"/>
  <c r="AY54" i="30"/>
  <c r="AZ54" i="30"/>
  <c r="BA54" i="30"/>
  <c r="BG54" i="30"/>
  <c r="BH54" i="30"/>
  <c r="CX54" i="30" s="1"/>
  <c r="BI54" i="30"/>
  <c r="BJ54" i="30"/>
  <c r="BK54" i="30"/>
  <c r="AH37" i="30"/>
  <c r="AI37" i="30"/>
  <c r="AJ37" i="30"/>
  <c r="AK37" i="30"/>
  <c r="AL37" i="30"/>
  <c r="AM37" i="30"/>
  <c r="AN37" i="30"/>
  <c r="AO37" i="30"/>
  <c r="AP37" i="30"/>
  <c r="AQ37" i="30"/>
  <c r="AR37" i="30"/>
  <c r="AS37" i="30"/>
  <c r="AT37" i="30"/>
  <c r="AU37" i="30"/>
  <c r="AV37" i="30"/>
  <c r="AW37" i="30"/>
  <c r="AX37" i="30"/>
  <c r="AY37" i="30"/>
  <c r="AZ37" i="30"/>
  <c r="BA37" i="30"/>
  <c r="BG37" i="30"/>
  <c r="BH37" i="30"/>
  <c r="CX37" i="30" s="1"/>
  <c r="BI37" i="30"/>
  <c r="BJ37" i="30"/>
  <c r="BK37" i="30"/>
  <c r="AH23" i="30"/>
  <c r="AI23" i="30"/>
  <c r="AJ23" i="30"/>
  <c r="AK23" i="30"/>
  <c r="AL23" i="30"/>
  <c r="AM23" i="30"/>
  <c r="AN23" i="30"/>
  <c r="AO23" i="30"/>
  <c r="AP23" i="30"/>
  <c r="AQ23" i="30"/>
  <c r="AR23" i="30"/>
  <c r="AS23" i="30"/>
  <c r="AT23" i="30"/>
  <c r="AU23" i="30"/>
  <c r="AV23" i="30"/>
  <c r="AW23" i="30"/>
  <c r="AX23" i="30"/>
  <c r="AY23" i="30"/>
  <c r="AZ23" i="30"/>
  <c r="BA23" i="30"/>
  <c r="BG23" i="30"/>
  <c r="BH23" i="30"/>
  <c r="CX23" i="30" s="1"/>
  <c r="BI23" i="30"/>
  <c r="BJ23" i="30"/>
  <c r="BK23" i="30"/>
  <c r="AH33" i="30"/>
  <c r="AI33" i="30"/>
  <c r="AJ33" i="30"/>
  <c r="AK33" i="30"/>
  <c r="AL33" i="30"/>
  <c r="AM33" i="30"/>
  <c r="AN33" i="30"/>
  <c r="AO33" i="30"/>
  <c r="AP33" i="30"/>
  <c r="AQ33" i="30"/>
  <c r="AR33" i="30"/>
  <c r="AS33" i="30"/>
  <c r="AT33" i="30"/>
  <c r="AU33" i="30"/>
  <c r="AV33" i="30"/>
  <c r="AW33" i="30"/>
  <c r="AX33" i="30"/>
  <c r="AY33" i="30"/>
  <c r="AZ33" i="30"/>
  <c r="BA33" i="30"/>
  <c r="BG33" i="30"/>
  <c r="BH33" i="30"/>
  <c r="CX33" i="30" s="1"/>
  <c r="BI33" i="30"/>
  <c r="BJ33" i="30"/>
  <c r="BK33" i="30"/>
  <c r="R147" i="5"/>
  <c r="AH32" i="30"/>
  <c r="AI32" i="30"/>
  <c r="AJ32" i="30"/>
  <c r="AK32" i="30"/>
  <c r="AL32" i="30"/>
  <c r="AM32" i="30"/>
  <c r="AN32" i="30"/>
  <c r="AO32" i="30"/>
  <c r="AP32" i="30"/>
  <c r="AQ32" i="30"/>
  <c r="AR32" i="30"/>
  <c r="AS32" i="30"/>
  <c r="AT32" i="30"/>
  <c r="AU32" i="30"/>
  <c r="AV32" i="30"/>
  <c r="AW32" i="30"/>
  <c r="AX32" i="30"/>
  <c r="AY32" i="30"/>
  <c r="AZ32" i="30"/>
  <c r="BA32" i="30"/>
  <c r="BG32" i="30"/>
  <c r="BH32" i="30"/>
  <c r="CX32" i="30" s="1"/>
  <c r="BI32" i="30"/>
  <c r="BJ32" i="30"/>
  <c r="BK32" i="30"/>
  <c r="AH15" i="30"/>
  <c r="AI15" i="30"/>
  <c r="AJ15" i="30"/>
  <c r="AK15" i="30"/>
  <c r="AL15" i="30"/>
  <c r="AM15" i="30"/>
  <c r="AN15" i="30"/>
  <c r="AO15" i="30"/>
  <c r="AP15" i="30"/>
  <c r="AQ15" i="30"/>
  <c r="AR15" i="30"/>
  <c r="AS15" i="30"/>
  <c r="AT15" i="30"/>
  <c r="AV15" i="30"/>
  <c r="AW15" i="30"/>
  <c r="AX15" i="30"/>
  <c r="AY15" i="30"/>
  <c r="AZ15" i="30"/>
  <c r="BA15" i="30"/>
  <c r="BG15" i="30"/>
  <c r="BH15" i="30"/>
  <c r="CX15" i="30" s="1"/>
  <c r="BI15" i="30"/>
  <c r="BJ15" i="30"/>
  <c r="BK15" i="30"/>
  <c r="AH19" i="30"/>
  <c r="AI19" i="30"/>
  <c r="AJ19" i="30"/>
  <c r="AK19" i="30"/>
  <c r="AL19" i="30"/>
  <c r="AM19" i="30"/>
  <c r="AN19" i="30"/>
  <c r="AO19" i="30"/>
  <c r="AP19" i="30"/>
  <c r="AQ19" i="30"/>
  <c r="AR19" i="30"/>
  <c r="AS19" i="30"/>
  <c r="AT19" i="30"/>
  <c r="AU19" i="30"/>
  <c r="AV19" i="30"/>
  <c r="AW19" i="30"/>
  <c r="AX19" i="30"/>
  <c r="AY19" i="30"/>
  <c r="AZ19" i="30"/>
  <c r="BA19" i="30"/>
  <c r="BG19" i="30"/>
  <c r="BH19" i="30"/>
  <c r="CX19" i="30" s="1"/>
  <c r="BI19" i="30"/>
  <c r="BJ19" i="30"/>
  <c r="BK19" i="30"/>
  <c r="AH93" i="30"/>
  <c r="AI93" i="30"/>
  <c r="AJ93" i="30"/>
  <c r="AK93" i="30"/>
  <c r="AL93" i="30"/>
  <c r="AM93" i="30"/>
  <c r="AN93" i="30"/>
  <c r="AO93" i="30"/>
  <c r="AP93" i="30"/>
  <c r="AQ93" i="30"/>
  <c r="AR93" i="30"/>
  <c r="AS93" i="30"/>
  <c r="AT93" i="30"/>
  <c r="AV93" i="30"/>
  <c r="AW93" i="30"/>
  <c r="AX93" i="30"/>
  <c r="AY93" i="30"/>
  <c r="AZ93" i="30"/>
  <c r="BA93" i="30"/>
  <c r="BG93" i="30"/>
  <c r="BH93" i="30"/>
  <c r="CX93" i="30" s="1"/>
  <c r="BI93" i="30"/>
  <c r="BJ93" i="30"/>
  <c r="BK93" i="30"/>
  <c r="AH84" i="30"/>
  <c r="AI84" i="30"/>
  <c r="AJ84" i="30"/>
  <c r="AK84" i="30"/>
  <c r="AL84" i="30"/>
  <c r="AM84" i="30"/>
  <c r="AN84" i="30"/>
  <c r="AO84" i="30"/>
  <c r="AP84" i="30"/>
  <c r="AQ84" i="30"/>
  <c r="AR84" i="30"/>
  <c r="AS84" i="30"/>
  <c r="AT84" i="30"/>
  <c r="AV84" i="30"/>
  <c r="AW84" i="30"/>
  <c r="AX84" i="30"/>
  <c r="AY84" i="30"/>
  <c r="AZ84" i="30"/>
  <c r="BA84" i="30"/>
  <c r="BG84" i="30"/>
  <c r="BH84" i="30"/>
  <c r="CX84" i="30" s="1"/>
  <c r="BI84" i="30"/>
  <c r="BJ84" i="30"/>
  <c r="BK84" i="30"/>
  <c r="AH109" i="30"/>
  <c r="AI109" i="30"/>
  <c r="AJ109" i="30"/>
  <c r="AK109" i="30"/>
  <c r="AL109" i="30"/>
  <c r="AM109" i="30"/>
  <c r="AN109" i="30"/>
  <c r="AO109" i="30"/>
  <c r="AP109" i="30"/>
  <c r="AQ109" i="30"/>
  <c r="AR109" i="30"/>
  <c r="AS109" i="30"/>
  <c r="AT109" i="30"/>
  <c r="AV109" i="30"/>
  <c r="AW109" i="30"/>
  <c r="AX109" i="30"/>
  <c r="AY109" i="30"/>
  <c r="AZ109" i="30"/>
  <c r="BA109" i="30"/>
  <c r="BG109" i="30"/>
  <c r="BH109" i="30"/>
  <c r="CX109" i="30" s="1"/>
  <c r="BI109" i="30"/>
  <c r="BJ109" i="30"/>
  <c r="BK109" i="30"/>
  <c r="AH98" i="30"/>
  <c r="AI98" i="30"/>
  <c r="AJ98" i="30"/>
  <c r="AK98" i="30"/>
  <c r="AL98" i="30"/>
  <c r="AM98" i="30"/>
  <c r="AN98" i="30"/>
  <c r="AO98" i="30"/>
  <c r="AP98" i="30"/>
  <c r="AQ98" i="30"/>
  <c r="AR98" i="30"/>
  <c r="AS98" i="30"/>
  <c r="AT98" i="30"/>
  <c r="AV98" i="30"/>
  <c r="AW98" i="30"/>
  <c r="AX98" i="30"/>
  <c r="AY98" i="30"/>
  <c r="AZ98" i="30"/>
  <c r="BA98" i="30"/>
  <c r="BG98" i="30"/>
  <c r="BH98" i="30"/>
  <c r="CX98" i="30" s="1"/>
  <c r="BI98" i="30"/>
  <c r="BJ98" i="30"/>
  <c r="BK98" i="30"/>
  <c r="AH115" i="30"/>
  <c r="AI115" i="30"/>
  <c r="AJ115" i="30"/>
  <c r="AK115" i="30"/>
  <c r="AL115" i="30"/>
  <c r="AM115" i="30"/>
  <c r="AN115" i="30"/>
  <c r="AO115" i="30"/>
  <c r="AP115" i="30"/>
  <c r="AQ115" i="30"/>
  <c r="AR115" i="30"/>
  <c r="AS115" i="30"/>
  <c r="AT115" i="30"/>
  <c r="AV115" i="30"/>
  <c r="AW115" i="30"/>
  <c r="AX115" i="30"/>
  <c r="AY115" i="30"/>
  <c r="AZ115" i="30"/>
  <c r="BA115" i="30"/>
  <c r="BG115" i="30"/>
  <c r="BH115" i="30"/>
  <c r="CX115" i="30" s="1"/>
  <c r="BI115" i="30"/>
  <c r="BJ115" i="30"/>
  <c r="BK115" i="30"/>
  <c r="AH90" i="30"/>
  <c r="AI90" i="30"/>
  <c r="AJ90" i="30"/>
  <c r="AK90" i="30"/>
  <c r="AL90" i="30"/>
  <c r="AM90" i="30"/>
  <c r="AN90" i="30"/>
  <c r="AO90" i="30"/>
  <c r="AP90" i="30"/>
  <c r="AQ90" i="30"/>
  <c r="AR90" i="30"/>
  <c r="AS90" i="30"/>
  <c r="AT90" i="30"/>
  <c r="AV90" i="30"/>
  <c r="AW90" i="30"/>
  <c r="AX90" i="30"/>
  <c r="AY90" i="30"/>
  <c r="AZ90" i="30"/>
  <c r="BA90" i="30"/>
  <c r="BG90" i="30"/>
  <c r="BH90" i="30"/>
  <c r="CX90" i="30" s="1"/>
  <c r="BI90" i="30"/>
  <c r="BJ90" i="30"/>
  <c r="BK90" i="30"/>
  <c r="AH69" i="30"/>
  <c r="AI69" i="30"/>
  <c r="AJ69" i="30"/>
  <c r="AK69" i="30"/>
  <c r="AL69" i="30"/>
  <c r="AM69" i="30"/>
  <c r="AN69" i="30"/>
  <c r="AO69" i="30"/>
  <c r="AP69" i="30"/>
  <c r="AQ69" i="30"/>
  <c r="AR69" i="30"/>
  <c r="AS69" i="30"/>
  <c r="AT69" i="30"/>
  <c r="AV69" i="30"/>
  <c r="AW69" i="30"/>
  <c r="AX69" i="30"/>
  <c r="AY69" i="30"/>
  <c r="AZ69" i="30"/>
  <c r="BA69" i="30"/>
  <c r="BG69" i="30"/>
  <c r="BH69" i="30"/>
  <c r="CX69" i="30" s="1"/>
  <c r="BI69" i="30"/>
  <c r="BJ69" i="30"/>
  <c r="BK69" i="30"/>
  <c r="AH74" i="30"/>
  <c r="AI74" i="30"/>
  <c r="AJ74" i="30"/>
  <c r="AK74" i="30"/>
  <c r="AL74" i="30"/>
  <c r="AM74" i="30"/>
  <c r="AN74" i="30"/>
  <c r="AO74" i="30"/>
  <c r="AP74" i="30"/>
  <c r="AQ74" i="30"/>
  <c r="AR74" i="30"/>
  <c r="AS74" i="30"/>
  <c r="AT74" i="30"/>
  <c r="AV74" i="30"/>
  <c r="AW74" i="30"/>
  <c r="AX74" i="30"/>
  <c r="AY74" i="30"/>
  <c r="AZ74" i="30"/>
  <c r="BA74" i="30"/>
  <c r="BG74" i="30"/>
  <c r="BH74" i="30"/>
  <c r="CX74" i="30" s="1"/>
  <c r="BI74" i="30"/>
  <c r="BJ74" i="30"/>
  <c r="BK74" i="30"/>
  <c r="AH77" i="30"/>
  <c r="AI77" i="30"/>
  <c r="AJ77" i="30"/>
  <c r="AK77" i="30"/>
  <c r="AL77" i="30"/>
  <c r="AM77" i="30"/>
  <c r="AN77" i="30"/>
  <c r="AO77" i="30"/>
  <c r="AP77" i="30"/>
  <c r="AQ77" i="30"/>
  <c r="AR77" i="30"/>
  <c r="AS77" i="30"/>
  <c r="AT77" i="30"/>
  <c r="AV77" i="30"/>
  <c r="AW77" i="30"/>
  <c r="AX77" i="30"/>
  <c r="AY77" i="30"/>
  <c r="AZ77" i="30"/>
  <c r="BA77" i="30"/>
  <c r="BG77" i="30"/>
  <c r="BH77" i="30"/>
  <c r="CX77" i="30" s="1"/>
  <c r="BI77" i="30"/>
  <c r="BJ77" i="30"/>
  <c r="BK77" i="30"/>
  <c r="AH108" i="30"/>
  <c r="AI108" i="30"/>
  <c r="AJ108" i="30"/>
  <c r="AK108" i="30"/>
  <c r="AL108" i="30"/>
  <c r="AM108" i="30"/>
  <c r="AN108" i="30"/>
  <c r="AO108" i="30"/>
  <c r="AP108" i="30"/>
  <c r="AQ108" i="30"/>
  <c r="AR108" i="30"/>
  <c r="AS108" i="30"/>
  <c r="AT108" i="30"/>
  <c r="AV108" i="30"/>
  <c r="AW108" i="30"/>
  <c r="AX108" i="30"/>
  <c r="AY108" i="30"/>
  <c r="AZ108" i="30"/>
  <c r="BA108" i="30"/>
  <c r="BG108" i="30"/>
  <c r="BH108" i="30"/>
  <c r="CX108" i="30" s="1"/>
  <c r="BI108" i="30"/>
  <c r="BJ108" i="30"/>
  <c r="BK108" i="30"/>
  <c r="B144" i="36" l="1"/>
  <c r="B154" i="37"/>
  <c r="B154" i="31"/>
  <c r="B152" i="36"/>
  <c r="B155" i="37"/>
  <c r="B155" i="31"/>
  <c r="CV24" i="30"/>
  <c r="CV90" i="30"/>
  <c r="CV67" i="30"/>
  <c r="CV75" i="30"/>
  <c r="CV79" i="30"/>
  <c r="CV108" i="30"/>
  <c r="CV74" i="30"/>
  <c r="CV84" i="30"/>
  <c r="CV93" i="30"/>
  <c r="CV33" i="30"/>
  <c r="CV54" i="30"/>
  <c r="CV143" i="30"/>
  <c r="CV151" i="30"/>
  <c r="CV19" i="30"/>
  <c r="CV15" i="30"/>
  <c r="CV23" i="30"/>
  <c r="CV57" i="30"/>
  <c r="CV77" i="30"/>
  <c r="CV69" i="30"/>
  <c r="CV115" i="30"/>
  <c r="CV98" i="30"/>
  <c r="CV109" i="30"/>
  <c r="CV32" i="30"/>
  <c r="CV37" i="30"/>
  <c r="CW19" i="30"/>
  <c r="CW57" i="30"/>
  <c r="CW32" i="30"/>
  <c r="CW37" i="30"/>
  <c r="CW23" i="30"/>
  <c r="CW24" i="30"/>
  <c r="CW15" i="30"/>
  <c r="CW108" i="30"/>
  <c r="CW77" i="30"/>
  <c r="CW74" i="30"/>
  <c r="CW69" i="30"/>
  <c r="CW90" i="30"/>
  <c r="CW115" i="30"/>
  <c r="CW98" i="30"/>
  <c r="CW109" i="30"/>
  <c r="CW84" i="30"/>
  <c r="CW93" i="30"/>
  <c r="CW33" i="30"/>
  <c r="CW54" i="30"/>
  <c r="CW143" i="30"/>
  <c r="CW151" i="30"/>
  <c r="CW67" i="30"/>
  <c r="CW75" i="30"/>
  <c r="CW79" i="30"/>
  <c r="B89" i="39"/>
  <c r="B151" i="30"/>
  <c r="B155" i="30"/>
  <c r="B143" i="30"/>
  <c r="R146" i="5" l="1"/>
  <c r="R145" i="5"/>
  <c r="BA142" i="30"/>
  <c r="BA63" i="30"/>
  <c r="BA64" i="30"/>
  <c r="BA68" i="30"/>
  <c r="BA140" i="30"/>
  <c r="BA102" i="30"/>
  <c r="BA112" i="30"/>
  <c r="BA144" i="30"/>
  <c r="BA125" i="30"/>
  <c r="BA31" i="30"/>
  <c r="BA21" i="30"/>
  <c r="BA138" i="30"/>
  <c r="BA29" i="30"/>
  <c r="BA152" i="30"/>
  <c r="BA139" i="30"/>
  <c r="BA145" i="30"/>
  <c r="BA85" i="30"/>
  <c r="BA147" i="30"/>
  <c r="BA148" i="30"/>
  <c r="BA111" i="30"/>
  <c r="BA149" i="30"/>
  <c r="BA150" i="30"/>
  <c r="BA154" i="30"/>
  <c r="BA51" i="30"/>
  <c r="BA146" i="30"/>
  <c r="BA141" i="30"/>
  <c r="BA131" i="30"/>
  <c r="BA26" i="30"/>
  <c r="BA119" i="30"/>
  <c r="BA153" i="30"/>
  <c r="BA11" i="30"/>
  <c r="BA16" i="30"/>
  <c r="BA76" i="30"/>
  <c r="BA25" i="30"/>
  <c r="BA86" i="30"/>
  <c r="BA70" i="30"/>
  <c r="BA122" i="30"/>
  <c r="BA116" i="30"/>
  <c r="BA40" i="30"/>
  <c r="BA12" i="4"/>
  <c r="BA13" i="4"/>
  <c r="BA14" i="4"/>
  <c r="BA15" i="4"/>
  <c r="BA16" i="4"/>
  <c r="BA17" i="4"/>
  <c r="BA18" i="4"/>
  <c r="BA19" i="4"/>
  <c r="BA20" i="4"/>
  <c r="BA21" i="4"/>
  <c r="BA22" i="4"/>
  <c r="BA23" i="4"/>
  <c r="BA24" i="4"/>
  <c r="BA25" i="4"/>
  <c r="BA26" i="4"/>
  <c r="BA27" i="4"/>
  <c r="BA28" i="4"/>
  <c r="BA29" i="4"/>
  <c r="BA30" i="4"/>
  <c r="BA11" i="4"/>
  <c r="B142" i="36" l="1"/>
  <c r="B141" i="30"/>
  <c r="B152" i="29"/>
  <c r="B152" i="31"/>
  <c r="B152" i="37"/>
  <c r="B147" i="36"/>
  <c r="B150" i="29"/>
  <c r="B150" i="37"/>
  <c r="B146" i="30"/>
  <c r="B150" i="31"/>
  <c r="AH141" i="30"/>
  <c r="AI141" i="30"/>
  <c r="AJ141" i="30"/>
  <c r="AK141" i="30"/>
  <c r="AL141" i="30"/>
  <c r="AM141" i="30"/>
  <c r="AN141" i="30"/>
  <c r="AO141" i="30"/>
  <c r="AP141" i="30"/>
  <c r="AQ141" i="30"/>
  <c r="AR141" i="30"/>
  <c r="AS141" i="30"/>
  <c r="AT141" i="30"/>
  <c r="AV141" i="30"/>
  <c r="AW141" i="30"/>
  <c r="AX141" i="30"/>
  <c r="AY141" i="30"/>
  <c r="AZ141" i="30"/>
  <c r="BG141" i="30"/>
  <c r="BH141" i="30"/>
  <c r="CX141" i="30" s="1"/>
  <c r="BI141" i="30"/>
  <c r="BJ141" i="30"/>
  <c r="BK141" i="30"/>
  <c r="AH131" i="30"/>
  <c r="AI131" i="30"/>
  <c r="AJ131" i="30"/>
  <c r="AK131" i="30"/>
  <c r="AL131" i="30"/>
  <c r="AM131" i="30"/>
  <c r="AN131" i="30"/>
  <c r="AO131" i="30"/>
  <c r="AP131" i="30"/>
  <c r="AQ131" i="30"/>
  <c r="AR131" i="30"/>
  <c r="AS131" i="30"/>
  <c r="AT131" i="30"/>
  <c r="AV131" i="30"/>
  <c r="AW131" i="30"/>
  <c r="AX131" i="30"/>
  <c r="AY131" i="30"/>
  <c r="AZ131" i="30"/>
  <c r="BG131" i="30"/>
  <c r="BH131" i="30"/>
  <c r="CX131" i="30" s="1"/>
  <c r="BI131" i="30"/>
  <c r="BJ131" i="30"/>
  <c r="BK131" i="30"/>
  <c r="AH26" i="30"/>
  <c r="AI26" i="30"/>
  <c r="AJ26" i="30"/>
  <c r="AK26" i="30"/>
  <c r="AL26" i="30"/>
  <c r="AM26" i="30"/>
  <c r="AN26" i="30"/>
  <c r="AO26" i="30"/>
  <c r="AP26" i="30"/>
  <c r="AQ26" i="30"/>
  <c r="AR26" i="30"/>
  <c r="AS26" i="30"/>
  <c r="AT26" i="30"/>
  <c r="AU26" i="30"/>
  <c r="AV26" i="30"/>
  <c r="AW26" i="30"/>
  <c r="AX26" i="30"/>
  <c r="AY26" i="30"/>
  <c r="AZ26" i="30"/>
  <c r="BG26" i="30"/>
  <c r="BH26" i="30"/>
  <c r="CX26" i="30" s="1"/>
  <c r="BI26" i="30"/>
  <c r="BJ26" i="30"/>
  <c r="BK26" i="30"/>
  <c r="AH119" i="30"/>
  <c r="AI119" i="30"/>
  <c r="AJ119" i="30"/>
  <c r="AK119" i="30"/>
  <c r="AL119" i="30"/>
  <c r="AM119" i="30"/>
  <c r="AN119" i="30"/>
  <c r="AO119" i="30"/>
  <c r="AP119" i="30"/>
  <c r="AQ119" i="30"/>
  <c r="AR119" i="30"/>
  <c r="AS119" i="30"/>
  <c r="AT119" i="30"/>
  <c r="AV119" i="30"/>
  <c r="AW119" i="30"/>
  <c r="AX119" i="30"/>
  <c r="AY119" i="30"/>
  <c r="AZ119" i="30"/>
  <c r="BG119" i="30"/>
  <c r="BH119" i="30"/>
  <c r="CX119" i="30" s="1"/>
  <c r="BI119" i="30"/>
  <c r="BJ119" i="30"/>
  <c r="BK119" i="30"/>
  <c r="AH153" i="30"/>
  <c r="AI153" i="30"/>
  <c r="AJ153" i="30"/>
  <c r="AK153" i="30"/>
  <c r="AL153" i="30"/>
  <c r="AM153" i="30"/>
  <c r="AN153" i="30"/>
  <c r="AO153" i="30"/>
  <c r="AP153" i="30"/>
  <c r="AQ153" i="30"/>
  <c r="AR153" i="30"/>
  <c r="AS153" i="30"/>
  <c r="AT153" i="30"/>
  <c r="AV153" i="30"/>
  <c r="AW153" i="30"/>
  <c r="AX153" i="30"/>
  <c r="AY153" i="30"/>
  <c r="AZ153" i="30"/>
  <c r="BG153" i="30"/>
  <c r="BH153" i="30"/>
  <c r="CX153" i="30" s="1"/>
  <c r="BI153" i="30"/>
  <c r="BJ153" i="30"/>
  <c r="BK153" i="30"/>
  <c r="AH11" i="30"/>
  <c r="AI11" i="30"/>
  <c r="AJ11" i="30"/>
  <c r="AK11" i="30"/>
  <c r="AL11" i="30"/>
  <c r="AM11" i="30"/>
  <c r="AN11" i="30"/>
  <c r="AO11" i="30"/>
  <c r="AP11" i="30"/>
  <c r="AQ11" i="30"/>
  <c r="AR11" i="30"/>
  <c r="AS11" i="30"/>
  <c r="AT11" i="30"/>
  <c r="AU11" i="30"/>
  <c r="AV11" i="30"/>
  <c r="AW11" i="30"/>
  <c r="AX11" i="30"/>
  <c r="AY11" i="30"/>
  <c r="AZ11" i="30"/>
  <c r="BG11" i="30"/>
  <c r="BH11" i="30"/>
  <c r="CX11" i="30" s="1"/>
  <c r="BI11" i="30"/>
  <c r="BJ11" i="30"/>
  <c r="BK11" i="30"/>
  <c r="AH16" i="30"/>
  <c r="AI16" i="30"/>
  <c r="AJ16" i="30"/>
  <c r="AK16" i="30"/>
  <c r="AL16" i="30"/>
  <c r="AM16" i="30"/>
  <c r="AN16" i="30"/>
  <c r="AO16" i="30"/>
  <c r="AP16" i="30"/>
  <c r="AQ16" i="30"/>
  <c r="AR16" i="30"/>
  <c r="AS16" i="30"/>
  <c r="AT16" i="30"/>
  <c r="AU16" i="30"/>
  <c r="AV16" i="30"/>
  <c r="AW16" i="30"/>
  <c r="AX16" i="30"/>
  <c r="AY16" i="30"/>
  <c r="AZ16" i="30"/>
  <c r="BG16" i="30"/>
  <c r="BH16" i="30"/>
  <c r="CX16" i="30" s="1"/>
  <c r="BI16" i="30"/>
  <c r="BJ16" i="30"/>
  <c r="BK16" i="30"/>
  <c r="AH76" i="30"/>
  <c r="AI76" i="30"/>
  <c r="AJ76" i="30"/>
  <c r="AK76" i="30"/>
  <c r="AL76" i="30"/>
  <c r="AM76" i="30"/>
  <c r="AN76" i="30"/>
  <c r="AO76" i="30"/>
  <c r="AP76" i="30"/>
  <c r="AQ76" i="30"/>
  <c r="AR76" i="30"/>
  <c r="AS76" i="30"/>
  <c r="AT76" i="30"/>
  <c r="AV76" i="30"/>
  <c r="AW76" i="30"/>
  <c r="AX76" i="30"/>
  <c r="AY76" i="30"/>
  <c r="AZ76" i="30"/>
  <c r="BG76" i="30"/>
  <c r="BH76" i="30"/>
  <c r="CX76" i="30" s="1"/>
  <c r="BI76" i="30"/>
  <c r="BJ76" i="30"/>
  <c r="BK76" i="30"/>
  <c r="AH25" i="30"/>
  <c r="AI25" i="30"/>
  <c r="AJ25" i="30"/>
  <c r="AK25" i="30"/>
  <c r="AL25" i="30"/>
  <c r="AM25" i="30"/>
  <c r="AN25" i="30"/>
  <c r="AO25" i="30"/>
  <c r="AP25" i="30"/>
  <c r="AQ25" i="30"/>
  <c r="AR25" i="30"/>
  <c r="AS25" i="30"/>
  <c r="AT25" i="30"/>
  <c r="AU25" i="30"/>
  <c r="AV25" i="30"/>
  <c r="AW25" i="30"/>
  <c r="AX25" i="30"/>
  <c r="AY25" i="30"/>
  <c r="AZ25" i="30"/>
  <c r="BG25" i="30"/>
  <c r="BH25" i="30"/>
  <c r="CX25" i="30" s="1"/>
  <c r="BI25" i="30"/>
  <c r="BJ25" i="30"/>
  <c r="BK25" i="30"/>
  <c r="AH86" i="30"/>
  <c r="AI86" i="30"/>
  <c r="AJ86" i="30"/>
  <c r="AK86" i="30"/>
  <c r="AL86" i="30"/>
  <c r="AM86" i="30"/>
  <c r="AN86" i="30"/>
  <c r="AO86" i="30"/>
  <c r="AP86" i="30"/>
  <c r="AQ86" i="30"/>
  <c r="AR86" i="30"/>
  <c r="AS86" i="30"/>
  <c r="AT86" i="30"/>
  <c r="AV86" i="30"/>
  <c r="AW86" i="30"/>
  <c r="AX86" i="30"/>
  <c r="AY86" i="30"/>
  <c r="AZ86" i="30"/>
  <c r="BG86" i="30"/>
  <c r="BH86" i="30"/>
  <c r="CX86" i="30" s="1"/>
  <c r="BI86" i="30"/>
  <c r="BJ86" i="30"/>
  <c r="BK86" i="30"/>
  <c r="AH70" i="30"/>
  <c r="AI70" i="30"/>
  <c r="AJ70" i="30"/>
  <c r="AK70" i="30"/>
  <c r="AL70" i="30"/>
  <c r="AM70" i="30"/>
  <c r="AN70" i="30"/>
  <c r="AO70" i="30"/>
  <c r="AP70" i="30"/>
  <c r="AQ70" i="30"/>
  <c r="AR70" i="30"/>
  <c r="AS70" i="30"/>
  <c r="AT70" i="30"/>
  <c r="AV70" i="30"/>
  <c r="AW70" i="30"/>
  <c r="AX70" i="30"/>
  <c r="AY70" i="30"/>
  <c r="AZ70" i="30"/>
  <c r="BG70" i="30"/>
  <c r="BH70" i="30"/>
  <c r="CX70" i="30" s="1"/>
  <c r="BI70" i="30"/>
  <c r="BJ70" i="30"/>
  <c r="BK70" i="30"/>
  <c r="AH51" i="30"/>
  <c r="AI51" i="30"/>
  <c r="AJ51" i="30"/>
  <c r="AK51" i="30"/>
  <c r="AL51" i="30"/>
  <c r="AM51" i="30"/>
  <c r="AN51" i="30"/>
  <c r="AO51" i="30"/>
  <c r="AP51" i="30"/>
  <c r="AQ51" i="30"/>
  <c r="AR51" i="30"/>
  <c r="AS51" i="30"/>
  <c r="AT51" i="30"/>
  <c r="AU51" i="30"/>
  <c r="AV51" i="30"/>
  <c r="AW51" i="30"/>
  <c r="AX51" i="30"/>
  <c r="AY51" i="30"/>
  <c r="AZ51" i="30"/>
  <c r="BG51" i="30"/>
  <c r="BH51" i="30"/>
  <c r="CX51" i="30" s="1"/>
  <c r="BI51" i="30"/>
  <c r="BJ51" i="30"/>
  <c r="BK51" i="30"/>
  <c r="AH146" i="30"/>
  <c r="AI146" i="30"/>
  <c r="AJ146" i="30"/>
  <c r="AK146" i="30"/>
  <c r="AL146" i="30"/>
  <c r="AM146" i="30"/>
  <c r="AN146" i="30"/>
  <c r="AO146" i="30"/>
  <c r="AP146" i="30"/>
  <c r="AQ146" i="30"/>
  <c r="AR146" i="30"/>
  <c r="AS146" i="30"/>
  <c r="AT146" i="30"/>
  <c r="AV146" i="30"/>
  <c r="AW146" i="30"/>
  <c r="AX146" i="30"/>
  <c r="AY146" i="30"/>
  <c r="AZ146" i="30"/>
  <c r="BG146" i="30"/>
  <c r="BH146" i="30"/>
  <c r="CX146" i="30" s="1"/>
  <c r="BI146" i="30"/>
  <c r="BJ146" i="30"/>
  <c r="BK146" i="30"/>
  <c r="AH122" i="30"/>
  <c r="AI122" i="30"/>
  <c r="AJ122" i="30"/>
  <c r="AK122" i="30"/>
  <c r="AL122" i="30"/>
  <c r="AM122" i="30"/>
  <c r="AN122" i="30"/>
  <c r="AO122" i="30"/>
  <c r="AP122" i="30"/>
  <c r="AQ122" i="30"/>
  <c r="AR122" i="30"/>
  <c r="AS122" i="30"/>
  <c r="AT122" i="30"/>
  <c r="AV122" i="30"/>
  <c r="AW122" i="30"/>
  <c r="AX122" i="30"/>
  <c r="AY122" i="30"/>
  <c r="AZ122" i="30"/>
  <c r="BG122" i="30"/>
  <c r="BH122" i="30"/>
  <c r="CX122" i="30" s="1"/>
  <c r="BI122" i="30"/>
  <c r="BJ122" i="30"/>
  <c r="BK122" i="30"/>
  <c r="AH116" i="30"/>
  <c r="AI116" i="30"/>
  <c r="AJ116" i="30"/>
  <c r="AK116" i="30"/>
  <c r="AL116" i="30"/>
  <c r="AM116" i="30"/>
  <c r="AN116" i="30"/>
  <c r="AO116" i="30"/>
  <c r="AP116" i="30"/>
  <c r="AQ116" i="30"/>
  <c r="AR116" i="30"/>
  <c r="AS116" i="30"/>
  <c r="AT116" i="30"/>
  <c r="AV116" i="30"/>
  <c r="AW116" i="30"/>
  <c r="AX116" i="30"/>
  <c r="AY116" i="30"/>
  <c r="AZ116" i="30"/>
  <c r="BG116" i="30"/>
  <c r="BH116" i="30"/>
  <c r="CX116" i="30" s="1"/>
  <c r="BI116" i="30"/>
  <c r="BJ116" i="30"/>
  <c r="BK116" i="30"/>
  <c r="R144" i="5"/>
  <c r="AH149" i="30"/>
  <c r="AI149" i="30"/>
  <c r="AJ149" i="30"/>
  <c r="AK149" i="30"/>
  <c r="AL149" i="30"/>
  <c r="AM149" i="30"/>
  <c r="AN149" i="30"/>
  <c r="AO149" i="30"/>
  <c r="AP149" i="30"/>
  <c r="AQ149" i="30"/>
  <c r="AR149" i="30"/>
  <c r="AS149" i="30"/>
  <c r="AT149" i="30"/>
  <c r="AV149" i="30"/>
  <c r="AW149" i="30"/>
  <c r="AX149" i="30"/>
  <c r="AY149" i="30"/>
  <c r="AZ149" i="30"/>
  <c r="BG149" i="30"/>
  <c r="BH149" i="30"/>
  <c r="CX149" i="30" s="1"/>
  <c r="BI149" i="30"/>
  <c r="BJ149" i="30"/>
  <c r="BK149" i="30"/>
  <c r="AH150" i="30"/>
  <c r="AI150" i="30"/>
  <c r="AJ150" i="30"/>
  <c r="AK150" i="30"/>
  <c r="AL150" i="30"/>
  <c r="AM150" i="30"/>
  <c r="AN150" i="30"/>
  <c r="AO150" i="30"/>
  <c r="AP150" i="30"/>
  <c r="AQ150" i="30"/>
  <c r="AR150" i="30"/>
  <c r="AS150" i="30"/>
  <c r="AT150" i="30"/>
  <c r="AV150" i="30"/>
  <c r="AW150" i="30"/>
  <c r="AX150" i="30"/>
  <c r="AY150" i="30"/>
  <c r="AZ150" i="30"/>
  <c r="BG150" i="30"/>
  <c r="BH150" i="30"/>
  <c r="CX150" i="30" s="1"/>
  <c r="BI150" i="30"/>
  <c r="BJ150" i="30"/>
  <c r="BK150" i="30"/>
  <c r="AH154" i="30"/>
  <c r="AI154" i="30"/>
  <c r="AJ154" i="30"/>
  <c r="AK154" i="30"/>
  <c r="AL154" i="30"/>
  <c r="AM154" i="30"/>
  <c r="AN154" i="30"/>
  <c r="AO154" i="30"/>
  <c r="AP154" i="30"/>
  <c r="AQ154" i="30"/>
  <c r="AR154" i="30"/>
  <c r="AS154" i="30"/>
  <c r="AT154" i="30"/>
  <c r="AV154" i="30"/>
  <c r="AW154" i="30"/>
  <c r="AX154" i="30"/>
  <c r="AY154" i="30"/>
  <c r="AZ154" i="30"/>
  <c r="BG154" i="30"/>
  <c r="BH154" i="30"/>
  <c r="CX154" i="30" s="1"/>
  <c r="BI154" i="30"/>
  <c r="BJ154" i="30"/>
  <c r="BK154" i="30"/>
  <c r="R143" i="5"/>
  <c r="R142" i="5"/>
  <c r="R141" i="5"/>
  <c r="R140" i="5"/>
  <c r="R139" i="5"/>
  <c r="R138" i="5"/>
  <c r="R137" i="5"/>
  <c r="B150" i="36" l="1"/>
  <c r="B149" i="30"/>
  <c r="B147" i="29"/>
  <c r="B147" i="37"/>
  <c r="B147" i="31"/>
  <c r="B148" i="36"/>
  <c r="B145" i="37"/>
  <c r="B147" i="30"/>
  <c r="B145" i="29"/>
  <c r="B145" i="31"/>
  <c r="B151" i="36"/>
  <c r="B148" i="37"/>
  <c r="B150" i="30"/>
  <c r="B148" i="29"/>
  <c r="B148" i="31"/>
  <c r="B149" i="36"/>
  <c r="B146" i="29"/>
  <c r="B146" i="37"/>
  <c r="B148" i="30"/>
  <c r="B146" i="31"/>
  <c r="B155" i="36"/>
  <c r="B149" i="29"/>
  <c r="B149" i="31"/>
  <c r="B154" i="30"/>
  <c r="B149" i="37"/>
  <c r="B146" i="36"/>
  <c r="B144" i="37"/>
  <c r="B144" i="31"/>
  <c r="B145" i="30"/>
  <c r="B144" i="29"/>
  <c r="B140" i="36"/>
  <c r="B143" i="29"/>
  <c r="B143" i="31"/>
  <c r="B139" i="30"/>
  <c r="B143" i="37"/>
  <c r="B154" i="36"/>
  <c r="B142" i="31"/>
  <c r="B142" i="29"/>
  <c r="B142" i="37"/>
  <c r="B152" i="30"/>
  <c r="CV76" i="30"/>
  <c r="CV16" i="30"/>
  <c r="CV11" i="30"/>
  <c r="CV141" i="30"/>
  <c r="CV150" i="30"/>
  <c r="CV86" i="30"/>
  <c r="CV25" i="30"/>
  <c r="CV131" i="30"/>
  <c r="CV154" i="30"/>
  <c r="CV146" i="30"/>
  <c r="CV70" i="30"/>
  <c r="CV119" i="30"/>
  <c r="CV26" i="30"/>
  <c r="CV149" i="30"/>
  <c r="CV116" i="30"/>
  <c r="CV122" i="30"/>
  <c r="CV51" i="30"/>
  <c r="CV153" i="30"/>
  <c r="CW146" i="30"/>
  <c r="CW122" i="30"/>
  <c r="CW51" i="30"/>
  <c r="CW153" i="30"/>
  <c r="CW154" i="30"/>
  <c r="CW70" i="30"/>
  <c r="CW26" i="30"/>
  <c r="CW149" i="30"/>
  <c r="CW116" i="30"/>
  <c r="CW76" i="30"/>
  <c r="CW16" i="30"/>
  <c r="CW11" i="30"/>
  <c r="CW141" i="30"/>
  <c r="CW119" i="30"/>
  <c r="CW150" i="30"/>
  <c r="CW86" i="30"/>
  <c r="CW25" i="30"/>
  <c r="CW131" i="30"/>
  <c r="R135" i="5"/>
  <c r="R134" i="5"/>
  <c r="R133" i="5"/>
  <c r="R132" i="5"/>
  <c r="B141" i="36" l="1"/>
  <c r="B140" i="37"/>
  <c r="B140" i="30"/>
  <c r="B140" i="29"/>
  <c r="B140" i="31"/>
  <c r="B153" i="36"/>
  <c r="B153" i="30"/>
  <c r="B151" i="37"/>
  <c r="B151" i="31"/>
  <c r="B151" i="29"/>
  <c r="B145" i="36"/>
  <c r="B144" i="30"/>
  <c r="B141" i="31"/>
  <c r="B141" i="37"/>
  <c r="B141" i="29"/>
  <c r="B139" i="37"/>
  <c r="B139" i="31"/>
  <c r="B142" i="30"/>
  <c r="B139" i="29"/>
  <c r="B143" i="36"/>
  <c r="BM157" i="31"/>
  <c r="BM50" i="6"/>
  <c r="BM161" i="30"/>
  <c r="BN157" i="37"/>
  <c r="AH11" i="29"/>
  <c r="CV11" i="29" s="1"/>
  <c r="AG9" i="29"/>
  <c r="AF9" i="29"/>
  <c r="AE9" i="29"/>
  <c r="AD9" i="29"/>
  <c r="AC9" i="29"/>
  <c r="AB9" i="29"/>
  <c r="AA9" i="29"/>
  <c r="Z9" i="29"/>
  <c r="Y9" i="29"/>
  <c r="X9" i="29"/>
  <c r="W9" i="29"/>
  <c r="V9" i="29"/>
  <c r="U9" i="29"/>
  <c r="T9" i="29"/>
  <c r="S9" i="29"/>
  <c r="R9" i="29"/>
  <c r="Q9" i="29"/>
  <c r="P9" i="29"/>
  <c r="O9" i="29"/>
  <c r="N9" i="29"/>
  <c r="M9" i="29"/>
  <c r="L9" i="29"/>
  <c r="K9" i="29"/>
  <c r="J9" i="29"/>
  <c r="I9" i="29"/>
  <c r="H9" i="29"/>
  <c r="G9" i="29"/>
  <c r="F9" i="29"/>
  <c r="E9" i="29"/>
  <c r="D9" i="29"/>
  <c r="C9" i="4"/>
  <c r="X32" i="6"/>
  <c r="B1" i="6"/>
  <c r="BH11" i="32"/>
  <c r="CX11" i="32" s="1"/>
  <c r="BH12" i="32"/>
  <c r="CX12" i="32" s="1"/>
  <c r="BH13" i="32"/>
  <c r="CX13" i="32" s="1"/>
  <c r="BH14" i="32"/>
  <c r="CX14" i="32" s="1"/>
  <c r="BH15" i="32"/>
  <c r="CX15" i="32" s="1"/>
  <c r="BH16" i="32"/>
  <c r="CX16" i="32" s="1"/>
  <c r="BH17" i="32"/>
  <c r="CX17" i="32" s="1"/>
  <c r="BH18" i="32"/>
  <c r="CX18" i="32" s="1"/>
  <c r="BH19" i="32"/>
  <c r="CX19" i="32" s="1"/>
  <c r="BH20" i="32"/>
  <c r="CX20" i="32" s="1"/>
  <c r="BH21" i="32"/>
  <c r="CX21" i="32" s="1"/>
  <c r="BH22" i="32"/>
  <c r="CX22" i="32" s="1"/>
  <c r="BH23" i="32"/>
  <c r="CX23" i="32" s="1"/>
  <c r="BH24" i="32"/>
  <c r="CX24" i="32" s="1"/>
  <c r="BH25" i="32"/>
  <c r="CX25" i="32" s="1"/>
  <c r="BH26" i="32"/>
  <c r="CX26" i="32" s="1"/>
  <c r="BH27" i="32"/>
  <c r="CX27" i="32" s="1"/>
  <c r="BH28" i="32"/>
  <c r="CX28" i="32" s="1"/>
  <c r="BH29" i="32"/>
  <c r="CX29" i="32" s="1"/>
  <c r="BH30" i="32"/>
  <c r="CX30" i="32" s="1"/>
  <c r="BH31" i="32"/>
  <c r="CX31" i="32" s="1"/>
  <c r="BH32" i="32"/>
  <c r="CX32" i="32" s="1"/>
  <c r="BH33" i="32"/>
  <c r="CX33" i="32" s="1"/>
  <c r="BH34" i="32"/>
  <c r="CX34" i="32" s="1"/>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I11" i="32"/>
  <c r="AI12" i="32"/>
  <c r="AI13" i="32"/>
  <c r="AI14" i="32"/>
  <c r="AI15" i="32"/>
  <c r="AI16" i="32"/>
  <c r="AI17" i="32"/>
  <c r="AI18" i="32"/>
  <c r="AI19" i="32"/>
  <c r="AI20" i="32"/>
  <c r="AI21" i="32"/>
  <c r="AI22" i="32"/>
  <c r="AI23" i="32"/>
  <c r="AI24" i="32"/>
  <c r="AI25" i="32"/>
  <c r="AI26" i="32"/>
  <c r="AI27" i="32"/>
  <c r="AI28" i="32"/>
  <c r="AI29" i="32"/>
  <c r="AI30" i="32"/>
  <c r="AI31" i="32"/>
  <c r="AI32" i="32"/>
  <c r="AI33" i="32"/>
  <c r="AI34" i="32"/>
  <c r="CX11" i="31"/>
  <c r="BH40" i="30"/>
  <c r="CX40" i="30" s="1"/>
  <c r="BH142" i="30"/>
  <c r="CX142" i="30" s="1"/>
  <c r="BH63" i="30"/>
  <c r="CX63" i="30" s="1"/>
  <c r="BH64" i="30"/>
  <c r="CX64" i="30" s="1"/>
  <c r="BH68" i="30"/>
  <c r="CX68" i="30" s="1"/>
  <c r="BH140" i="30"/>
  <c r="CX140" i="30" s="1"/>
  <c r="BH102" i="30"/>
  <c r="CX102" i="30" s="1"/>
  <c r="BH112" i="30"/>
  <c r="CX112" i="30" s="1"/>
  <c r="BH144" i="30"/>
  <c r="CX144" i="30" s="1"/>
  <c r="BH125" i="30"/>
  <c r="CX125" i="30" s="1"/>
  <c r="BH31" i="30"/>
  <c r="CX31" i="30" s="1"/>
  <c r="BH21" i="30"/>
  <c r="CX21" i="30" s="1"/>
  <c r="BH138" i="30"/>
  <c r="CX138" i="30" s="1"/>
  <c r="BH29" i="30"/>
  <c r="CX29" i="30" s="1"/>
  <c r="BH152" i="30"/>
  <c r="CX152" i="30" s="1"/>
  <c r="BH139" i="30"/>
  <c r="CX139" i="30" s="1"/>
  <c r="BH145" i="30"/>
  <c r="CX145" i="30" s="1"/>
  <c r="BH85" i="30"/>
  <c r="CX85" i="30" s="1"/>
  <c r="BH147" i="30"/>
  <c r="CX147" i="30" s="1"/>
  <c r="BH148" i="30"/>
  <c r="CX148" i="30" s="1"/>
  <c r="BH111" i="30"/>
  <c r="CX111" i="30" s="1"/>
  <c r="AN40" i="30"/>
  <c r="AN142" i="30"/>
  <c r="AN63" i="30"/>
  <c r="AN64" i="30"/>
  <c r="AN68" i="30"/>
  <c r="AN140" i="30"/>
  <c r="AN102" i="30"/>
  <c r="AN112" i="30"/>
  <c r="AN144" i="30"/>
  <c r="AN125" i="30"/>
  <c r="AN31" i="30"/>
  <c r="AN21" i="30"/>
  <c r="AN138" i="30"/>
  <c r="AN29" i="30"/>
  <c r="AN152" i="30"/>
  <c r="AN139" i="30"/>
  <c r="AN145" i="30"/>
  <c r="AN85" i="30"/>
  <c r="AN147" i="30"/>
  <c r="AN148" i="30"/>
  <c r="AN111" i="30"/>
  <c r="AI40" i="30"/>
  <c r="AI142" i="30"/>
  <c r="AI63" i="30"/>
  <c r="AI64" i="30"/>
  <c r="AI68" i="30"/>
  <c r="AI140" i="30"/>
  <c r="AI102" i="30"/>
  <c r="AI112" i="30"/>
  <c r="AI144" i="30"/>
  <c r="AI125" i="30"/>
  <c r="AI31" i="30"/>
  <c r="AI21" i="30"/>
  <c r="AI138" i="30"/>
  <c r="AI29" i="30"/>
  <c r="AI152" i="30"/>
  <c r="AI139" i="30"/>
  <c r="AI145" i="30"/>
  <c r="AI85" i="30"/>
  <c r="AI147" i="30"/>
  <c r="AI148" i="30"/>
  <c r="AI111" i="30"/>
  <c r="BF12" i="28"/>
  <c r="CS12" i="28" s="1"/>
  <c r="BF13" i="28"/>
  <c r="CS13" i="28" s="1"/>
  <c r="BF14" i="28"/>
  <c r="CS14" i="28" s="1"/>
  <c r="BF15" i="28"/>
  <c r="CS15" i="28" s="1"/>
  <c r="BF16" i="28"/>
  <c r="CS16" i="28" s="1"/>
  <c r="BF17" i="28"/>
  <c r="CS17" i="28" s="1"/>
  <c r="BF18" i="28"/>
  <c r="CS18" i="28" s="1"/>
  <c r="BF19" i="28"/>
  <c r="CS19" i="28" s="1"/>
  <c r="BF20" i="28"/>
  <c r="CS20" i="28" s="1"/>
  <c r="BF21" i="28"/>
  <c r="CS21" i="28" s="1"/>
  <c r="BF22" i="28"/>
  <c r="CS22" i="28" s="1"/>
  <c r="BF23" i="28"/>
  <c r="CS23" i="28" s="1"/>
  <c r="BF24" i="28"/>
  <c r="CS24" i="28" s="1"/>
  <c r="BF25" i="28"/>
  <c r="CS25" i="28" s="1"/>
  <c r="BF26" i="28"/>
  <c r="CS26" i="28" s="1"/>
  <c r="BF27" i="28"/>
  <c r="CS27" i="28" s="1"/>
  <c r="BF28" i="28"/>
  <c r="CS28" i="28" s="1"/>
  <c r="BF29" i="28"/>
  <c r="CS29" i="28" s="1"/>
  <c r="BF30" i="28"/>
  <c r="CS30" i="28" s="1"/>
  <c r="BF31" i="28"/>
  <c r="CS31" i="28" s="1"/>
  <c r="BF32" i="28"/>
  <c r="CS32" i="28" s="1"/>
  <c r="BF33" i="28"/>
  <c r="CS33" i="28" s="1"/>
  <c r="BF11" i="28"/>
  <c r="CS11" i="28" s="1"/>
  <c r="BF34" i="28"/>
  <c r="CS34" i="28" s="1"/>
  <c r="AN12" i="28"/>
  <c r="AN13" i="28"/>
  <c r="AN14" i="28"/>
  <c r="AN15" i="28"/>
  <c r="AN16" i="28"/>
  <c r="AN17" i="28"/>
  <c r="AN18" i="28"/>
  <c r="AN19" i="28"/>
  <c r="AN20" i="28"/>
  <c r="AN21" i="28"/>
  <c r="AN22" i="28"/>
  <c r="AN23" i="28"/>
  <c r="AN24" i="28"/>
  <c r="AN25" i="28"/>
  <c r="AN26" i="28"/>
  <c r="AN27" i="28"/>
  <c r="AN28" i="28"/>
  <c r="AN29" i="28"/>
  <c r="AN30" i="28"/>
  <c r="AN31" i="28"/>
  <c r="AN32" i="28"/>
  <c r="AN33" i="28"/>
  <c r="AN11" i="28"/>
  <c r="AN34" i="28"/>
  <c r="AI12" i="28"/>
  <c r="AI13" i="28"/>
  <c r="AI14" i="28"/>
  <c r="AI15" i="28"/>
  <c r="AI16" i="28"/>
  <c r="AI17" i="28"/>
  <c r="AI18" i="28"/>
  <c r="AI19" i="28"/>
  <c r="AI20" i="28"/>
  <c r="AI21" i="28"/>
  <c r="AI22" i="28"/>
  <c r="AI23" i="28"/>
  <c r="AI24" i="28"/>
  <c r="AI25" i="28"/>
  <c r="AI26" i="28"/>
  <c r="AI27" i="28"/>
  <c r="AI28" i="28"/>
  <c r="AI29" i="28"/>
  <c r="AI30" i="28"/>
  <c r="AI31" i="28"/>
  <c r="AI32" i="28"/>
  <c r="AI33" i="28"/>
  <c r="AI11" i="28"/>
  <c r="AI34" i="28"/>
  <c r="BF12" i="27"/>
  <c r="CT12" i="27" s="1"/>
  <c r="BF13" i="27"/>
  <c r="CT13" i="27" s="1"/>
  <c r="BF14" i="27"/>
  <c r="CT14" i="27" s="1"/>
  <c r="BF15" i="27"/>
  <c r="CT15" i="27" s="1"/>
  <c r="BF16" i="27"/>
  <c r="CT16" i="27" s="1"/>
  <c r="BF17" i="27"/>
  <c r="CT17" i="27" s="1"/>
  <c r="BF18" i="27"/>
  <c r="CT18" i="27" s="1"/>
  <c r="BF19" i="27"/>
  <c r="CT19" i="27" s="1"/>
  <c r="BF20" i="27"/>
  <c r="CT20" i="27" s="1"/>
  <c r="BF21" i="27"/>
  <c r="CT21" i="27" s="1"/>
  <c r="BF22" i="27"/>
  <c r="CT22" i="27" s="1"/>
  <c r="BF23" i="27"/>
  <c r="CT23" i="27" s="1"/>
  <c r="BF24" i="27"/>
  <c r="CT24" i="27" s="1"/>
  <c r="BF25" i="27"/>
  <c r="CT25" i="27" s="1"/>
  <c r="BF26" i="27"/>
  <c r="CT26" i="27" s="1"/>
  <c r="BF27" i="27"/>
  <c r="CT27" i="27" s="1"/>
  <c r="BF28" i="27"/>
  <c r="CT28" i="27" s="1"/>
  <c r="BF29" i="27"/>
  <c r="CT29" i="27" s="1"/>
  <c r="BF30" i="27"/>
  <c r="CT30" i="27" s="1"/>
  <c r="BF31" i="27"/>
  <c r="CT31" i="27" s="1"/>
  <c r="BF32" i="27"/>
  <c r="CT32" i="27" s="1"/>
  <c r="BF33" i="27"/>
  <c r="CT33" i="27" s="1"/>
  <c r="BF11" i="27"/>
  <c r="CT11" i="27" s="1"/>
  <c r="BF34" i="27"/>
  <c r="CT34" i="27" s="1"/>
  <c r="AN12" i="27"/>
  <c r="AN13" i="27"/>
  <c r="AN14" i="27"/>
  <c r="AN15" i="27"/>
  <c r="AN16" i="27"/>
  <c r="AN17" i="27"/>
  <c r="AN18" i="27"/>
  <c r="AN19" i="27"/>
  <c r="AN20" i="27"/>
  <c r="AN21" i="27"/>
  <c r="AN22" i="27"/>
  <c r="AN23" i="27"/>
  <c r="AN24" i="27"/>
  <c r="AN25" i="27"/>
  <c r="AN26" i="27"/>
  <c r="AN27" i="27"/>
  <c r="AN28" i="27"/>
  <c r="AN29" i="27"/>
  <c r="AN30" i="27"/>
  <c r="AN31" i="27"/>
  <c r="AN32" i="27"/>
  <c r="AN33" i="27"/>
  <c r="AN11" i="27"/>
  <c r="AN34" i="27"/>
  <c r="AI12" i="27"/>
  <c r="AI13" i="27"/>
  <c r="AI14" i="27"/>
  <c r="AI15" i="27"/>
  <c r="AI16" i="27"/>
  <c r="AI17" i="27"/>
  <c r="AI18" i="27"/>
  <c r="AI19" i="27"/>
  <c r="AI20" i="27"/>
  <c r="AI21" i="27"/>
  <c r="AI22" i="27"/>
  <c r="AI23" i="27"/>
  <c r="AI24" i="27"/>
  <c r="AI25" i="27"/>
  <c r="AI26" i="27"/>
  <c r="AI27" i="27"/>
  <c r="AI28" i="27"/>
  <c r="AI29" i="27"/>
  <c r="AI30" i="27"/>
  <c r="AI31" i="27"/>
  <c r="AI32" i="27"/>
  <c r="AI33" i="27"/>
  <c r="AI11" i="27"/>
  <c r="AI34" i="27"/>
  <c r="C9" i="27"/>
  <c r="D9" i="27"/>
  <c r="E9" i="27"/>
  <c r="F9" i="27"/>
  <c r="G9" i="27"/>
  <c r="H9" i="27"/>
  <c r="I9" i="27"/>
  <c r="J9" i="27"/>
  <c r="K9" i="27"/>
  <c r="L9" i="27"/>
  <c r="M9" i="27"/>
  <c r="N9" i="27"/>
  <c r="O9" i="27"/>
  <c r="P9" i="27"/>
  <c r="Q9" i="27"/>
  <c r="R9" i="27"/>
  <c r="S9" i="27"/>
  <c r="T9" i="27"/>
  <c r="U9" i="27"/>
  <c r="V9" i="27"/>
  <c r="W9" i="27"/>
  <c r="X9" i="27"/>
  <c r="Y9" i="27"/>
  <c r="Z9" i="27"/>
  <c r="AA9" i="27"/>
  <c r="AB9" i="27"/>
  <c r="AC9" i="27"/>
  <c r="AD9" i="27"/>
  <c r="AE9" i="27"/>
  <c r="AF9" i="27"/>
  <c r="C9" i="25"/>
  <c r="D9" i="25"/>
  <c r="E9" i="25"/>
  <c r="F9" i="25"/>
  <c r="G9" i="25"/>
  <c r="H9" i="25"/>
  <c r="I9" i="25"/>
  <c r="J9" i="25"/>
  <c r="K9" i="25"/>
  <c r="L9" i="25"/>
  <c r="M9" i="25"/>
  <c r="N9" i="25"/>
  <c r="O9" i="25"/>
  <c r="P9" i="25"/>
  <c r="Q9" i="25"/>
  <c r="R9" i="25"/>
  <c r="S9" i="25"/>
  <c r="T9" i="25"/>
  <c r="U9" i="25"/>
  <c r="V9" i="25"/>
  <c r="W9" i="25"/>
  <c r="X9" i="25"/>
  <c r="Y9" i="25"/>
  <c r="Z9" i="25"/>
  <c r="AA9" i="25"/>
  <c r="AB9" i="25"/>
  <c r="AC9" i="25"/>
  <c r="AD9" i="25"/>
  <c r="AE9" i="25"/>
  <c r="AF9" i="25"/>
  <c r="BH12" i="4"/>
  <c r="CV12" i="4" s="1"/>
  <c r="BH13" i="4"/>
  <c r="CV13" i="4" s="1"/>
  <c r="BH14" i="4"/>
  <c r="CV14" i="4" s="1"/>
  <c r="BH15" i="4"/>
  <c r="CV15" i="4" s="1"/>
  <c r="BH16" i="4"/>
  <c r="CV16" i="4" s="1"/>
  <c r="BH17" i="4"/>
  <c r="CV17" i="4" s="1"/>
  <c r="BH18" i="4"/>
  <c r="CV18" i="4" s="1"/>
  <c r="BH19" i="4"/>
  <c r="CV19" i="4" s="1"/>
  <c r="BH20" i="4"/>
  <c r="CV20" i="4" s="1"/>
  <c r="BH21" i="4"/>
  <c r="CV21" i="4" s="1"/>
  <c r="BH22" i="4"/>
  <c r="CV22" i="4" s="1"/>
  <c r="BH23" i="4"/>
  <c r="CV23" i="4" s="1"/>
  <c r="BH24" i="4"/>
  <c r="CV24" i="4" s="1"/>
  <c r="BH25" i="4"/>
  <c r="CV25" i="4" s="1"/>
  <c r="BH26" i="4"/>
  <c r="CV26" i="4" s="1"/>
  <c r="BH27" i="4"/>
  <c r="CV27" i="4" s="1"/>
  <c r="BH28" i="4"/>
  <c r="CV28" i="4" s="1"/>
  <c r="BH29" i="4"/>
  <c r="CV29" i="4" s="1"/>
  <c r="BH30" i="4"/>
  <c r="CV30" i="4" s="1"/>
  <c r="BH11" i="4"/>
  <c r="CV11" i="4" s="1"/>
  <c r="AN12" i="4"/>
  <c r="AN13" i="4"/>
  <c r="AN14" i="4"/>
  <c r="AN15" i="4"/>
  <c r="AN16" i="4"/>
  <c r="AN17" i="4"/>
  <c r="AN18" i="4"/>
  <c r="AN19" i="4"/>
  <c r="AN20" i="4"/>
  <c r="AN21" i="4"/>
  <c r="AN22" i="4"/>
  <c r="AN23" i="4"/>
  <c r="AN24" i="4"/>
  <c r="AN25" i="4"/>
  <c r="AN26" i="4"/>
  <c r="AN27" i="4"/>
  <c r="AN28" i="4"/>
  <c r="AN29" i="4"/>
  <c r="AN30" i="4"/>
  <c r="AN11" i="4"/>
  <c r="AI12" i="4"/>
  <c r="AI13" i="4"/>
  <c r="AI14" i="4"/>
  <c r="AI15" i="4"/>
  <c r="AI16" i="4"/>
  <c r="AI17" i="4"/>
  <c r="AI18" i="4"/>
  <c r="AI19" i="4"/>
  <c r="AI20" i="4"/>
  <c r="AI21" i="4"/>
  <c r="AI22" i="4"/>
  <c r="AI23" i="4"/>
  <c r="AI24" i="4"/>
  <c r="AI25" i="4"/>
  <c r="AI26" i="4"/>
  <c r="AI27" i="4"/>
  <c r="AI28" i="4"/>
  <c r="AI29" i="4"/>
  <c r="AI30" i="4"/>
  <c r="AI11" i="4"/>
  <c r="BG12" i="32"/>
  <c r="BG13" i="32"/>
  <c r="BG14" i="32"/>
  <c r="BG15" i="32"/>
  <c r="BG16" i="32"/>
  <c r="BG17" i="32"/>
  <c r="BG18" i="32"/>
  <c r="BG19" i="32"/>
  <c r="BG20" i="32"/>
  <c r="BG21" i="32"/>
  <c r="BG22" i="32"/>
  <c r="BG23" i="32"/>
  <c r="BG24" i="32"/>
  <c r="BG25" i="32"/>
  <c r="BG26" i="32"/>
  <c r="BG27" i="32"/>
  <c r="BG28" i="32"/>
  <c r="BG29" i="32"/>
  <c r="BG30" i="32"/>
  <c r="BG31" i="32"/>
  <c r="BG32" i="32"/>
  <c r="BG33" i="32"/>
  <c r="BG34" i="32"/>
  <c r="BG11" i="32"/>
  <c r="BI11" i="32"/>
  <c r="BI12" i="32"/>
  <c r="BI13" i="32"/>
  <c r="BI14" i="32"/>
  <c r="BI15" i="32"/>
  <c r="BI16" i="32"/>
  <c r="BI17" i="32"/>
  <c r="BI18" i="32"/>
  <c r="BI19" i="32"/>
  <c r="BI20" i="32"/>
  <c r="BI21" i="32"/>
  <c r="BI22" i="32"/>
  <c r="BI23" i="32"/>
  <c r="BI24" i="32"/>
  <c r="BI25" i="32"/>
  <c r="BI26" i="32"/>
  <c r="BI27" i="32"/>
  <c r="BI28" i="32"/>
  <c r="BI29" i="32"/>
  <c r="BI30" i="32"/>
  <c r="BI31" i="32"/>
  <c r="BI32" i="32"/>
  <c r="BI33" i="32"/>
  <c r="BI34" i="32"/>
  <c r="BG142" i="30"/>
  <c r="BG63" i="30"/>
  <c r="BG64" i="30"/>
  <c r="BG68" i="30"/>
  <c r="BG140" i="30"/>
  <c r="BG102" i="30"/>
  <c r="BG112" i="30"/>
  <c r="BG144" i="30"/>
  <c r="BG125" i="30"/>
  <c r="BG31" i="30"/>
  <c r="BG21" i="30"/>
  <c r="BG138" i="30"/>
  <c r="BG29" i="30"/>
  <c r="BG152" i="30"/>
  <c r="BG139" i="30"/>
  <c r="BG145" i="30"/>
  <c r="BG85" i="30"/>
  <c r="BG147" i="30"/>
  <c r="BG148" i="30"/>
  <c r="BG111" i="30"/>
  <c r="BG40" i="30"/>
  <c r="BG12" i="4"/>
  <c r="BG13" i="4"/>
  <c r="BG14" i="4"/>
  <c r="BG15" i="4"/>
  <c r="BG16" i="4"/>
  <c r="BG17" i="4"/>
  <c r="BG18" i="4"/>
  <c r="BG19" i="4"/>
  <c r="BG20" i="4"/>
  <c r="BG21" i="4"/>
  <c r="BG22" i="4"/>
  <c r="BG23" i="4"/>
  <c r="BG24" i="4"/>
  <c r="BG25" i="4"/>
  <c r="BG26" i="4"/>
  <c r="BG27" i="4"/>
  <c r="BG28" i="4"/>
  <c r="BG29" i="4"/>
  <c r="BG30" i="4"/>
  <c r="BG11" i="4"/>
  <c r="BE12" i="27"/>
  <c r="BE13" i="27"/>
  <c r="BE14" i="27"/>
  <c r="BE15" i="27"/>
  <c r="BE16" i="27"/>
  <c r="BE17" i="27"/>
  <c r="BE18" i="27"/>
  <c r="BE19" i="27"/>
  <c r="BE20" i="27"/>
  <c r="BE21" i="27"/>
  <c r="BE22" i="27"/>
  <c r="BE23" i="27"/>
  <c r="BE24" i="27"/>
  <c r="BE25" i="27"/>
  <c r="BE26" i="27"/>
  <c r="BE27" i="27"/>
  <c r="BE28" i="27"/>
  <c r="BE29" i="27"/>
  <c r="BE30" i="27"/>
  <c r="BE31" i="27"/>
  <c r="BE32" i="27"/>
  <c r="BE33" i="27"/>
  <c r="BE34" i="27"/>
  <c r="BE11" i="27"/>
  <c r="BE12" i="28"/>
  <c r="BE13" i="28"/>
  <c r="BE14" i="28"/>
  <c r="BE15" i="28"/>
  <c r="BE16" i="28"/>
  <c r="BE17" i="28"/>
  <c r="BE18" i="28"/>
  <c r="BE19" i="28"/>
  <c r="BE20" i="28"/>
  <c r="BE21" i="28"/>
  <c r="BE22" i="28"/>
  <c r="BE23" i="28"/>
  <c r="BE24" i="28"/>
  <c r="BE25" i="28"/>
  <c r="BE26" i="28"/>
  <c r="BE27" i="28"/>
  <c r="BE28" i="28"/>
  <c r="BE29" i="28"/>
  <c r="BE30" i="28"/>
  <c r="BE31" i="28"/>
  <c r="BE32" i="28"/>
  <c r="BE33" i="28"/>
  <c r="BE34" i="28"/>
  <c r="BE11" i="28"/>
  <c r="AH12" i="4"/>
  <c r="AH13" i="4"/>
  <c r="AH14" i="4"/>
  <c r="AH15" i="4"/>
  <c r="AH16" i="4"/>
  <c r="AH17" i="4"/>
  <c r="AH18" i="4"/>
  <c r="AH19" i="4"/>
  <c r="AH20" i="4"/>
  <c r="AH21" i="4"/>
  <c r="AH22" i="4"/>
  <c r="AH23" i="4"/>
  <c r="AH24" i="4"/>
  <c r="AH25" i="4"/>
  <c r="AH26" i="4"/>
  <c r="AH27" i="4"/>
  <c r="AH28" i="4"/>
  <c r="AH29" i="4"/>
  <c r="AH30" i="4"/>
  <c r="AH11" i="4"/>
  <c r="AG9" i="32"/>
  <c r="AF9" i="32"/>
  <c r="AE9" i="32"/>
  <c r="AD9" i="32"/>
  <c r="AC9" i="32"/>
  <c r="AB9" i="32"/>
  <c r="AA9" i="32"/>
  <c r="Z9" i="32"/>
  <c r="Y9" i="32"/>
  <c r="X9" i="32"/>
  <c r="W9" i="32"/>
  <c r="V9" i="32"/>
  <c r="U9" i="32"/>
  <c r="T9" i="32"/>
  <c r="S9" i="32"/>
  <c r="R9" i="32"/>
  <c r="Q9" i="32"/>
  <c r="P9" i="32"/>
  <c r="O9" i="32"/>
  <c r="N9" i="32"/>
  <c r="M9" i="32"/>
  <c r="L9" i="32"/>
  <c r="K9" i="32"/>
  <c r="J9" i="32"/>
  <c r="I9" i="32"/>
  <c r="H9" i="32"/>
  <c r="G9" i="32"/>
  <c r="F9" i="32"/>
  <c r="E9" i="32"/>
  <c r="D9" i="32"/>
  <c r="C9" i="32"/>
  <c r="BJ12" i="32"/>
  <c r="BK12" i="32"/>
  <c r="BJ13" i="32"/>
  <c r="BK13" i="32"/>
  <c r="BJ14" i="32"/>
  <c r="BK14" i="32"/>
  <c r="BJ15" i="32"/>
  <c r="BK15" i="32"/>
  <c r="BJ16" i="32"/>
  <c r="BK16" i="32"/>
  <c r="BJ17" i="32"/>
  <c r="BK17" i="32"/>
  <c r="BJ18" i="32"/>
  <c r="BK18" i="32"/>
  <c r="BJ19" i="32"/>
  <c r="BK19" i="32"/>
  <c r="BJ20" i="32"/>
  <c r="BK20" i="32"/>
  <c r="BJ21" i="32"/>
  <c r="BK21" i="32"/>
  <c r="BJ22" i="32"/>
  <c r="BK22" i="32"/>
  <c r="BJ23" i="32"/>
  <c r="BK23" i="32"/>
  <c r="BJ24" i="32"/>
  <c r="BK24" i="32"/>
  <c r="BJ25" i="32"/>
  <c r="BK25" i="32"/>
  <c r="BJ26" i="32"/>
  <c r="BK26" i="32"/>
  <c r="BJ27" i="32"/>
  <c r="BK27" i="32"/>
  <c r="BJ28" i="32"/>
  <c r="BK28" i="32"/>
  <c r="BJ29" i="32"/>
  <c r="BK29" i="32"/>
  <c r="BJ30" i="32"/>
  <c r="BK30" i="32"/>
  <c r="BJ31" i="32"/>
  <c r="BK31" i="32"/>
  <c r="BJ32" i="32"/>
  <c r="BK32" i="32"/>
  <c r="BJ33" i="32"/>
  <c r="BK33" i="32"/>
  <c r="BJ34" i="32"/>
  <c r="BK34" i="32"/>
  <c r="BK11" i="32"/>
  <c r="BJ11" i="32"/>
  <c r="AG9" i="31"/>
  <c r="AF9" i="31"/>
  <c r="AE9" i="31"/>
  <c r="AD9" i="31"/>
  <c r="AC9" i="31"/>
  <c r="AB9" i="31"/>
  <c r="AA9" i="31"/>
  <c r="Z9" i="31"/>
  <c r="Y9" i="31"/>
  <c r="X9" i="31"/>
  <c r="W9" i="31"/>
  <c r="V9" i="31"/>
  <c r="U9" i="31"/>
  <c r="T9" i="31"/>
  <c r="S9" i="31"/>
  <c r="R9" i="31"/>
  <c r="Q9" i="31"/>
  <c r="P9" i="31"/>
  <c r="O9" i="31"/>
  <c r="N9" i="31"/>
  <c r="M9" i="31"/>
  <c r="L9" i="31"/>
  <c r="K9" i="31"/>
  <c r="J9" i="31"/>
  <c r="I9" i="31"/>
  <c r="H9" i="31"/>
  <c r="G9" i="31"/>
  <c r="F9" i="31"/>
  <c r="E9" i="31"/>
  <c r="D9" i="31"/>
  <c r="C9" i="31"/>
  <c r="AF9" i="36"/>
  <c r="AE9" i="36"/>
  <c r="AD9" i="36"/>
  <c r="AC9" i="36"/>
  <c r="AB9" i="36"/>
  <c r="AA9" i="36"/>
  <c r="Z9" i="36"/>
  <c r="Y9" i="36"/>
  <c r="X9" i="36"/>
  <c r="W9" i="36"/>
  <c r="V9" i="36"/>
  <c r="U9" i="36"/>
  <c r="T9" i="36"/>
  <c r="S9" i="36"/>
  <c r="R9" i="36"/>
  <c r="Q9" i="36"/>
  <c r="P9" i="36"/>
  <c r="O9" i="36"/>
  <c r="N9" i="36"/>
  <c r="M9" i="36"/>
  <c r="L9" i="36"/>
  <c r="K9" i="36"/>
  <c r="J9" i="36"/>
  <c r="I9" i="36"/>
  <c r="H9" i="36"/>
  <c r="G9" i="36"/>
  <c r="F9" i="36"/>
  <c r="E9" i="36"/>
  <c r="D9" i="36"/>
  <c r="C9" i="36"/>
  <c r="BK40" i="30"/>
  <c r="BK142" i="30"/>
  <c r="BK63" i="30"/>
  <c r="BK64" i="30"/>
  <c r="BK68" i="30"/>
  <c r="BK140" i="30"/>
  <c r="BK102" i="30"/>
  <c r="BK112" i="30"/>
  <c r="BK144" i="30"/>
  <c r="BK125" i="30"/>
  <c r="BK31" i="30"/>
  <c r="BK21" i="30"/>
  <c r="BK138" i="30"/>
  <c r="BK29" i="30"/>
  <c r="BK152" i="30"/>
  <c r="BK139" i="30"/>
  <c r="BK145" i="30"/>
  <c r="BK85" i="30"/>
  <c r="BK147" i="30"/>
  <c r="BK148" i="30"/>
  <c r="BK111" i="30"/>
  <c r="BJ40" i="30"/>
  <c r="BJ142" i="30"/>
  <c r="BJ63" i="30"/>
  <c r="BJ64" i="30"/>
  <c r="BJ68" i="30"/>
  <c r="BJ140" i="30"/>
  <c r="BJ102" i="30"/>
  <c r="BJ112" i="30"/>
  <c r="BJ144" i="30"/>
  <c r="BJ125" i="30"/>
  <c r="BJ31" i="30"/>
  <c r="BJ21" i="30"/>
  <c r="BJ138" i="30"/>
  <c r="BJ29" i="30"/>
  <c r="BJ152" i="30"/>
  <c r="BJ139" i="30"/>
  <c r="BJ145" i="30"/>
  <c r="BJ85" i="30"/>
  <c r="BJ147" i="30"/>
  <c r="BJ148" i="30"/>
  <c r="BJ111" i="30"/>
  <c r="BI40" i="30"/>
  <c r="BI142" i="30"/>
  <c r="BI63" i="30"/>
  <c r="BI64" i="30"/>
  <c r="BI68" i="30"/>
  <c r="BI140" i="30"/>
  <c r="BI102" i="30"/>
  <c r="BI112" i="30"/>
  <c r="BI144" i="30"/>
  <c r="BI125" i="30"/>
  <c r="BI31" i="30"/>
  <c r="BI21" i="30"/>
  <c r="BI138" i="30"/>
  <c r="BI29" i="30"/>
  <c r="BI152" i="30"/>
  <c r="BI139" i="30"/>
  <c r="BI145" i="30"/>
  <c r="BI85" i="30"/>
  <c r="BI147" i="30"/>
  <c r="BI148" i="30"/>
  <c r="BI111" i="30"/>
  <c r="AZ40" i="30"/>
  <c r="AZ142" i="30"/>
  <c r="AZ63" i="30"/>
  <c r="AZ64" i="30"/>
  <c r="AZ68" i="30"/>
  <c r="AZ140" i="30"/>
  <c r="AZ102" i="30"/>
  <c r="AZ112" i="30"/>
  <c r="AZ144" i="30"/>
  <c r="AZ125" i="30"/>
  <c r="AZ31" i="30"/>
  <c r="AZ21" i="30"/>
  <c r="AZ138" i="30"/>
  <c r="AZ29" i="30"/>
  <c r="AZ152" i="30"/>
  <c r="AZ139" i="30"/>
  <c r="AZ145" i="30"/>
  <c r="AZ85" i="30"/>
  <c r="AZ147" i="30"/>
  <c r="AZ148" i="30"/>
  <c r="AZ111" i="30"/>
  <c r="AK40" i="30"/>
  <c r="AJ40" i="30"/>
  <c r="AJ142" i="30"/>
  <c r="AJ63" i="30"/>
  <c r="AJ64" i="30"/>
  <c r="AJ68" i="30"/>
  <c r="AJ140" i="30"/>
  <c r="AJ102" i="30"/>
  <c r="AJ112" i="30"/>
  <c r="AJ144" i="30"/>
  <c r="AJ125" i="30"/>
  <c r="AJ31" i="30"/>
  <c r="AJ21" i="30"/>
  <c r="AJ138" i="30"/>
  <c r="AJ29" i="30"/>
  <c r="AJ152" i="30"/>
  <c r="AJ139" i="30"/>
  <c r="AJ145" i="30"/>
  <c r="AJ85" i="30"/>
  <c r="AJ147" i="30"/>
  <c r="AJ148" i="30"/>
  <c r="AJ111" i="30"/>
  <c r="AG9" i="30"/>
  <c r="AF9" i="30"/>
  <c r="AE9" i="30"/>
  <c r="AD9" i="30"/>
  <c r="AC9" i="30"/>
  <c r="AB9" i="30"/>
  <c r="AA9" i="30"/>
  <c r="Z9" i="30"/>
  <c r="Y9" i="30"/>
  <c r="X9" i="30"/>
  <c r="W9" i="30"/>
  <c r="V9" i="30"/>
  <c r="U9" i="30"/>
  <c r="T9" i="30"/>
  <c r="S9" i="30"/>
  <c r="R9" i="30"/>
  <c r="Q9" i="30"/>
  <c r="P9" i="30"/>
  <c r="O9" i="30"/>
  <c r="N9" i="30"/>
  <c r="M9" i="30"/>
  <c r="L9" i="30"/>
  <c r="K9" i="30"/>
  <c r="J9" i="30"/>
  <c r="I9" i="30"/>
  <c r="H9" i="30"/>
  <c r="G9" i="30"/>
  <c r="F9" i="30"/>
  <c r="E9" i="30"/>
  <c r="D9" i="30"/>
  <c r="C9" i="30"/>
  <c r="C9" i="29"/>
  <c r="AM21" i="28"/>
  <c r="BG12" i="28"/>
  <c r="BH12" i="28"/>
  <c r="BG13" i="28"/>
  <c r="BH13" i="28"/>
  <c r="BG14" i="28"/>
  <c r="BH14" i="28"/>
  <c r="BG15" i="28"/>
  <c r="BH15" i="28"/>
  <c r="BG16" i="28"/>
  <c r="BH16" i="28"/>
  <c r="BG17" i="28"/>
  <c r="BH17" i="28"/>
  <c r="BG18" i="28"/>
  <c r="BH18" i="28"/>
  <c r="BG19" i="28"/>
  <c r="BH19" i="28"/>
  <c r="BG20" i="28"/>
  <c r="BH20" i="28"/>
  <c r="BG21" i="28"/>
  <c r="BH21" i="28"/>
  <c r="BG22" i="28"/>
  <c r="BH22" i="28"/>
  <c r="BG23" i="28"/>
  <c r="BH23" i="28"/>
  <c r="BG24" i="28"/>
  <c r="BH24" i="28"/>
  <c r="BG25" i="28"/>
  <c r="BH25" i="28"/>
  <c r="BG26" i="28"/>
  <c r="BH26" i="28"/>
  <c r="BG27" i="28"/>
  <c r="BH27" i="28"/>
  <c r="BG28" i="28"/>
  <c r="BH28" i="28"/>
  <c r="BG29" i="28"/>
  <c r="BH29" i="28"/>
  <c r="BG30" i="28"/>
  <c r="BH30" i="28"/>
  <c r="BG31" i="28"/>
  <c r="BH31" i="28"/>
  <c r="BG32" i="28"/>
  <c r="BH32" i="28"/>
  <c r="BG33" i="28"/>
  <c r="BH33" i="28"/>
  <c r="BG34" i="28"/>
  <c r="BH34" i="28"/>
  <c r="BH11" i="28"/>
  <c r="BG11" i="28"/>
  <c r="AG9" i="28"/>
  <c r="AF9" i="28"/>
  <c r="AE9" i="28"/>
  <c r="AD9" i="28"/>
  <c r="AC9" i="28"/>
  <c r="AB9" i="28"/>
  <c r="AA9" i="28"/>
  <c r="Z9" i="28"/>
  <c r="Y9" i="28"/>
  <c r="X9" i="28"/>
  <c r="W9" i="28"/>
  <c r="V9" i="28"/>
  <c r="U9" i="28"/>
  <c r="T9" i="28"/>
  <c r="S9" i="28"/>
  <c r="R9" i="28"/>
  <c r="Q9" i="28"/>
  <c r="P9" i="28"/>
  <c r="O9" i="28"/>
  <c r="N9" i="28"/>
  <c r="M9" i="28"/>
  <c r="L9" i="28"/>
  <c r="K9" i="28"/>
  <c r="J9" i="28"/>
  <c r="I9" i="28"/>
  <c r="H9" i="28"/>
  <c r="G9" i="28"/>
  <c r="F9" i="28"/>
  <c r="E9" i="28"/>
  <c r="D9" i="28"/>
  <c r="A9" i="28"/>
  <c r="C9" i="28"/>
  <c r="AF9" i="38"/>
  <c r="AE9" i="38"/>
  <c r="AD9" i="38"/>
  <c r="AC9" i="38"/>
  <c r="AB9" i="38"/>
  <c r="AA9" i="38"/>
  <c r="Z9" i="38"/>
  <c r="Y9" i="38"/>
  <c r="X9" i="38"/>
  <c r="W9" i="38"/>
  <c r="V9" i="38"/>
  <c r="U9" i="38"/>
  <c r="T9" i="38"/>
  <c r="S9" i="38"/>
  <c r="R9" i="38"/>
  <c r="Q9" i="38"/>
  <c r="P9" i="38"/>
  <c r="O9" i="38"/>
  <c r="N9" i="38"/>
  <c r="M9" i="38"/>
  <c r="L9" i="38"/>
  <c r="K9" i="38"/>
  <c r="J9" i="38"/>
  <c r="I9" i="38"/>
  <c r="H9" i="38"/>
  <c r="G9" i="38"/>
  <c r="F9" i="38"/>
  <c r="E9" i="38"/>
  <c r="D9" i="38"/>
  <c r="C9" i="38"/>
  <c r="A9" i="38"/>
  <c r="AH12" i="27"/>
  <c r="AH13" i="27"/>
  <c r="AH14" i="27"/>
  <c r="AH15" i="27"/>
  <c r="AH16" i="27"/>
  <c r="AH17" i="27"/>
  <c r="AH18" i="27"/>
  <c r="AH19" i="27"/>
  <c r="AH20" i="27"/>
  <c r="AH21" i="27"/>
  <c r="AH22" i="27"/>
  <c r="AH23" i="27"/>
  <c r="AH24" i="27"/>
  <c r="AH25" i="27"/>
  <c r="AH26" i="27"/>
  <c r="AH27" i="27"/>
  <c r="AH28" i="27"/>
  <c r="AH29" i="27"/>
  <c r="AH30" i="27"/>
  <c r="AH31" i="27"/>
  <c r="AH32" i="27"/>
  <c r="AH33" i="27"/>
  <c r="AH34" i="27"/>
  <c r="AG9" i="27"/>
  <c r="A9" i="27"/>
  <c r="A9" i="25"/>
  <c r="A9" i="4"/>
  <c r="AG9" i="4"/>
  <c r="AF9" i="4"/>
  <c r="AE9" i="4"/>
  <c r="AD9" i="4"/>
  <c r="AC9" i="4"/>
  <c r="AB9" i="4"/>
  <c r="AA9" i="4"/>
  <c r="Z9" i="4"/>
  <c r="Y9" i="4"/>
  <c r="X9" i="4"/>
  <c r="W9" i="4"/>
  <c r="V9" i="4"/>
  <c r="U9" i="4"/>
  <c r="T9" i="4"/>
  <c r="S9" i="4"/>
  <c r="R9" i="4"/>
  <c r="Q9" i="4"/>
  <c r="P9" i="4"/>
  <c r="O9" i="4"/>
  <c r="N9" i="4"/>
  <c r="M9" i="4"/>
  <c r="L9" i="4"/>
  <c r="K9" i="4"/>
  <c r="J9" i="4"/>
  <c r="I9" i="4"/>
  <c r="H9" i="4"/>
  <c r="G9" i="4"/>
  <c r="F9" i="4"/>
  <c r="E9" i="4"/>
  <c r="D9" i="4"/>
  <c r="BI12" i="4"/>
  <c r="BJ12" i="4"/>
  <c r="BK12" i="4"/>
  <c r="BI13" i="4"/>
  <c r="BJ13" i="4"/>
  <c r="BK13" i="4"/>
  <c r="BI14" i="4"/>
  <c r="BJ14" i="4"/>
  <c r="BK14" i="4"/>
  <c r="BI15" i="4"/>
  <c r="BJ15" i="4"/>
  <c r="BK15" i="4"/>
  <c r="BI16" i="4"/>
  <c r="BJ16" i="4"/>
  <c r="BK16" i="4"/>
  <c r="BI17" i="4"/>
  <c r="BJ17" i="4"/>
  <c r="BK17" i="4"/>
  <c r="BI18" i="4"/>
  <c r="BJ18" i="4"/>
  <c r="BK18" i="4"/>
  <c r="BI19" i="4"/>
  <c r="BJ19" i="4"/>
  <c r="BK19" i="4"/>
  <c r="BI20" i="4"/>
  <c r="BJ20" i="4"/>
  <c r="BK20" i="4"/>
  <c r="BI21" i="4"/>
  <c r="BJ21" i="4"/>
  <c r="BK21" i="4"/>
  <c r="BI22" i="4"/>
  <c r="BJ22" i="4"/>
  <c r="BK22" i="4"/>
  <c r="BI23" i="4"/>
  <c r="BJ23" i="4"/>
  <c r="BK23" i="4"/>
  <c r="BI24" i="4"/>
  <c r="BJ24" i="4"/>
  <c r="BK24" i="4"/>
  <c r="BI25" i="4"/>
  <c r="BJ25" i="4"/>
  <c r="BK25" i="4"/>
  <c r="BI26" i="4"/>
  <c r="BJ26" i="4"/>
  <c r="BK26" i="4"/>
  <c r="BI27" i="4"/>
  <c r="BJ27" i="4"/>
  <c r="BK27" i="4"/>
  <c r="BI28" i="4"/>
  <c r="BJ28" i="4"/>
  <c r="BK28" i="4"/>
  <c r="BI29" i="4"/>
  <c r="BJ29" i="4"/>
  <c r="BK29" i="4"/>
  <c r="BI30" i="4"/>
  <c r="BJ30" i="4"/>
  <c r="BK30" i="4"/>
  <c r="BG12" i="27"/>
  <c r="BH12" i="27"/>
  <c r="BI12" i="27"/>
  <c r="BG13" i="27"/>
  <c r="BH13" i="27"/>
  <c r="BI13" i="27"/>
  <c r="BG14" i="27"/>
  <c r="BH14" i="27"/>
  <c r="BI14" i="27"/>
  <c r="BG15" i="27"/>
  <c r="BH15" i="27"/>
  <c r="BI15" i="27"/>
  <c r="BG16" i="27"/>
  <c r="BH16" i="27"/>
  <c r="BI16" i="27"/>
  <c r="BG17" i="27"/>
  <c r="BH17" i="27"/>
  <c r="BI17" i="27"/>
  <c r="BG18" i="27"/>
  <c r="BH18" i="27"/>
  <c r="BI18" i="27"/>
  <c r="BG19" i="27"/>
  <c r="BH19" i="27"/>
  <c r="BI19" i="27"/>
  <c r="BG20" i="27"/>
  <c r="BH20" i="27"/>
  <c r="BI20" i="27"/>
  <c r="BG21" i="27"/>
  <c r="BH21" i="27"/>
  <c r="BI21" i="27"/>
  <c r="BG22" i="27"/>
  <c r="BH22" i="27"/>
  <c r="BI22" i="27"/>
  <c r="BG23" i="27"/>
  <c r="BH23" i="27"/>
  <c r="BI23" i="27"/>
  <c r="BG24" i="27"/>
  <c r="BH24" i="27"/>
  <c r="BI24" i="27"/>
  <c r="BG25" i="27"/>
  <c r="BH25" i="27"/>
  <c r="BI25" i="27"/>
  <c r="BG26" i="27"/>
  <c r="BH26" i="27"/>
  <c r="BI26" i="27"/>
  <c r="BG27" i="27"/>
  <c r="BH27" i="27"/>
  <c r="BI27" i="27"/>
  <c r="BG28" i="27"/>
  <c r="BH28" i="27"/>
  <c r="BI28" i="27"/>
  <c r="BG29" i="27"/>
  <c r="BH29" i="27"/>
  <c r="BI29" i="27"/>
  <c r="BG30" i="27"/>
  <c r="BH30" i="27"/>
  <c r="BI30" i="27"/>
  <c r="BG31" i="27"/>
  <c r="BH31" i="27"/>
  <c r="BI31" i="27"/>
  <c r="BG32" i="27"/>
  <c r="BH32" i="27"/>
  <c r="BI32" i="27"/>
  <c r="BG33" i="27"/>
  <c r="BH33" i="27"/>
  <c r="BI33" i="27"/>
  <c r="BG34" i="27"/>
  <c r="BH34" i="27"/>
  <c r="BI34" i="27"/>
  <c r="BI11" i="27"/>
  <c r="BH11" i="27"/>
  <c r="BG11" i="27"/>
  <c r="AJ31" i="27"/>
  <c r="AJ32" i="27"/>
  <c r="AJ33" i="27"/>
  <c r="AJ34" i="27"/>
  <c r="AK31" i="27"/>
  <c r="AK32" i="27"/>
  <c r="AK33" i="27"/>
  <c r="AK34" i="27"/>
  <c r="AL31" i="27"/>
  <c r="AL32" i="27"/>
  <c r="AL33" i="27"/>
  <c r="AL34" i="27"/>
  <c r="AM31" i="27"/>
  <c r="AM32" i="27"/>
  <c r="AM33" i="27"/>
  <c r="AM34" i="27"/>
  <c r="AO31" i="27"/>
  <c r="AO32" i="27"/>
  <c r="AO33" i="27"/>
  <c r="AO34" i="27"/>
  <c r="AP31" i="27"/>
  <c r="AP32" i="27"/>
  <c r="AP33" i="27"/>
  <c r="AP34" i="27"/>
  <c r="AQ31" i="27"/>
  <c r="AQ32" i="27"/>
  <c r="AQ33" i="27"/>
  <c r="AQ34" i="27"/>
  <c r="AR31" i="27"/>
  <c r="AR32" i="27"/>
  <c r="AR33" i="27"/>
  <c r="AR34" i="27"/>
  <c r="AS31" i="27"/>
  <c r="AS32" i="27"/>
  <c r="AS33" i="27"/>
  <c r="AS34" i="27"/>
  <c r="AT31" i="27"/>
  <c r="AT32" i="27"/>
  <c r="AT33" i="27"/>
  <c r="AT34" i="27"/>
  <c r="AU31" i="27"/>
  <c r="AU32" i="27"/>
  <c r="AU33" i="27"/>
  <c r="AU34" i="27"/>
  <c r="AV31" i="27"/>
  <c r="AV32" i="27"/>
  <c r="AV33" i="27"/>
  <c r="AV34" i="27"/>
  <c r="AW31" i="27"/>
  <c r="AW32" i="27"/>
  <c r="AW33" i="27"/>
  <c r="AW34" i="27"/>
  <c r="AX31" i="27"/>
  <c r="AX32" i="27"/>
  <c r="AX33" i="27"/>
  <c r="AX34" i="27"/>
  <c r="AY31" i="27"/>
  <c r="AY32" i="27"/>
  <c r="AY33" i="27"/>
  <c r="AY34" i="27"/>
  <c r="AZ31" i="27"/>
  <c r="AZ32" i="27"/>
  <c r="AZ33" i="27"/>
  <c r="AZ34" i="27"/>
  <c r="BK11" i="4"/>
  <c r="BJ11" i="4"/>
  <c r="BI11" i="4"/>
  <c r="B13" i="4"/>
  <c r="B11" i="28"/>
  <c r="B12" i="28"/>
  <c r="B13" i="28"/>
  <c r="AE10" i="6"/>
  <c r="AP40" i="30"/>
  <c r="AL40" i="30"/>
  <c r="AQ12" i="32"/>
  <c r="AR12" i="32"/>
  <c r="AS12" i="32"/>
  <c r="AT12" i="32"/>
  <c r="AU12" i="32"/>
  <c r="AV12" i="32"/>
  <c r="AW12" i="32"/>
  <c r="AX12" i="32"/>
  <c r="AY12" i="32"/>
  <c r="AZ12" i="32"/>
  <c r="AQ13" i="32"/>
  <c r="AR13" i="32"/>
  <c r="AS13" i="32"/>
  <c r="AT13" i="32"/>
  <c r="AU13" i="32"/>
  <c r="AV13" i="32"/>
  <c r="AW13" i="32"/>
  <c r="AX13" i="32"/>
  <c r="AY13" i="32"/>
  <c r="AZ13" i="32"/>
  <c r="AQ14" i="32"/>
  <c r="AR14" i="32"/>
  <c r="AS14" i="32"/>
  <c r="AT14" i="32"/>
  <c r="AU14" i="32"/>
  <c r="AV14" i="32"/>
  <c r="AW14" i="32"/>
  <c r="AX14" i="32"/>
  <c r="AY14" i="32"/>
  <c r="AZ14" i="32"/>
  <c r="AQ15" i="32"/>
  <c r="AR15" i="32"/>
  <c r="AS15" i="32"/>
  <c r="AT15" i="32"/>
  <c r="AU15" i="32"/>
  <c r="AV15" i="32"/>
  <c r="AW15" i="32"/>
  <c r="AX15" i="32"/>
  <c r="AY15" i="32"/>
  <c r="AZ15" i="32"/>
  <c r="AQ16" i="32"/>
  <c r="AR16" i="32"/>
  <c r="AS16" i="32"/>
  <c r="AT16" i="32"/>
  <c r="AU16" i="32"/>
  <c r="AV16" i="32"/>
  <c r="AW16" i="32"/>
  <c r="AX16" i="32"/>
  <c r="AY16" i="32"/>
  <c r="AZ16" i="32"/>
  <c r="AQ17" i="32"/>
  <c r="AR17" i="32"/>
  <c r="AS17" i="32"/>
  <c r="AT17" i="32"/>
  <c r="AU17" i="32"/>
  <c r="AV17" i="32"/>
  <c r="AW17" i="32"/>
  <c r="AX17" i="32"/>
  <c r="AY17" i="32"/>
  <c r="AZ17" i="32"/>
  <c r="AQ18" i="32"/>
  <c r="AR18" i="32"/>
  <c r="AS18" i="32"/>
  <c r="AT18" i="32"/>
  <c r="AU18" i="32"/>
  <c r="AV18" i="32"/>
  <c r="AW18" i="32"/>
  <c r="AX18" i="32"/>
  <c r="AY18" i="32"/>
  <c r="AZ18" i="32"/>
  <c r="AQ19" i="32"/>
  <c r="AR19" i="32"/>
  <c r="AS19" i="32"/>
  <c r="AT19" i="32"/>
  <c r="AU19" i="32"/>
  <c r="AV19" i="32"/>
  <c r="AW19" i="32"/>
  <c r="AX19" i="32"/>
  <c r="AY19" i="32"/>
  <c r="AZ19" i="32"/>
  <c r="AQ20" i="32"/>
  <c r="AR20" i="32"/>
  <c r="AS20" i="32"/>
  <c r="AT20" i="32"/>
  <c r="AU20" i="32"/>
  <c r="AV20" i="32"/>
  <c r="AW20" i="32"/>
  <c r="AX20" i="32"/>
  <c r="AY20" i="32"/>
  <c r="AZ20" i="32"/>
  <c r="AQ21" i="32"/>
  <c r="AR21" i="32"/>
  <c r="AS21" i="32"/>
  <c r="AT21" i="32"/>
  <c r="AU21" i="32"/>
  <c r="AV21" i="32"/>
  <c r="AW21" i="32"/>
  <c r="AX21" i="32"/>
  <c r="AY21" i="32"/>
  <c r="AZ21" i="32"/>
  <c r="AQ22" i="32"/>
  <c r="AR22" i="32"/>
  <c r="AS22" i="32"/>
  <c r="AT22" i="32"/>
  <c r="AU22" i="32"/>
  <c r="AV22" i="32"/>
  <c r="AW22" i="32"/>
  <c r="AX22" i="32"/>
  <c r="AY22" i="32"/>
  <c r="AZ22" i="32"/>
  <c r="AQ23" i="32"/>
  <c r="AR23" i="32"/>
  <c r="AS23" i="32"/>
  <c r="AT23" i="32"/>
  <c r="AU23" i="32"/>
  <c r="AV23" i="32"/>
  <c r="AW23" i="32"/>
  <c r="AX23" i="32"/>
  <c r="AY23" i="32"/>
  <c r="AZ23" i="32"/>
  <c r="AQ24" i="32"/>
  <c r="AR24" i="32"/>
  <c r="AS24" i="32"/>
  <c r="AT24" i="32"/>
  <c r="AU24" i="32"/>
  <c r="AV24" i="32"/>
  <c r="AW24" i="32"/>
  <c r="AX24" i="32"/>
  <c r="AY24" i="32"/>
  <c r="AZ24" i="32"/>
  <c r="AQ25" i="32"/>
  <c r="AR25" i="32"/>
  <c r="AS25" i="32"/>
  <c r="AT25" i="32"/>
  <c r="AU25" i="32"/>
  <c r="AV25" i="32"/>
  <c r="AW25" i="32"/>
  <c r="AX25" i="32"/>
  <c r="AY25" i="32"/>
  <c r="AZ25" i="32"/>
  <c r="AQ26" i="32"/>
  <c r="AR26" i="32"/>
  <c r="AS26" i="32"/>
  <c r="AT26" i="32"/>
  <c r="AU26" i="32"/>
  <c r="AV26" i="32"/>
  <c r="AW26" i="32"/>
  <c r="AX26" i="32"/>
  <c r="AY26" i="32"/>
  <c r="AZ26" i="32"/>
  <c r="AQ27" i="32"/>
  <c r="AR27" i="32"/>
  <c r="AS27" i="32"/>
  <c r="AT27" i="32"/>
  <c r="AU27" i="32"/>
  <c r="AV27" i="32"/>
  <c r="AW27" i="32"/>
  <c r="AX27" i="32"/>
  <c r="AY27" i="32"/>
  <c r="AZ27" i="32"/>
  <c r="AQ28" i="32"/>
  <c r="AR28" i="32"/>
  <c r="AS28" i="32"/>
  <c r="AT28" i="32"/>
  <c r="AU28" i="32"/>
  <c r="AV28" i="32"/>
  <c r="AW28" i="32"/>
  <c r="AX28" i="32"/>
  <c r="AY28" i="32"/>
  <c r="AZ28" i="32"/>
  <c r="AQ29" i="32"/>
  <c r="AR29" i="32"/>
  <c r="AS29" i="32"/>
  <c r="AT29" i="32"/>
  <c r="AU29" i="32"/>
  <c r="AV29" i="32"/>
  <c r="AW29" i="32"/>
  <c r="AX29" i="32"/>
  <c r="AY29" i="32"/>
  <c r="AZ29" i="32"/>
  <c r="AQ30" i="32"/>
  <c r="AR30" i="32"/>
  <c r="AS30" i="32"/>
  <c r="AT30" i="32"/>
  <c r="AU30" i="32"/>
  <c r="AV30" i="32"/>
  <c r="AW30" i="32"/>
  <c r="AX30" i="32"/>
  <c r="AY30" i="32"/>
  <c r="AZ30" i="32"/>
  <c r="AQ31" i="32"/>
  <c r="AR31" i="32"/>
  <c r="AS31" i="32"/>
  <c r="AT31" i="32"/>
  <c r="AU31" i="32"/>
  <c r="AV31" i="32"/>
  <c r="AW31" i="32"/>
  <c r="AX31" i="32"/>
  <c r="AY31" i="32"/>
  <c r="AZ31" i="32"/>
  <c r="AQ32" i="32"/>
  <c r="AR32" i="32"/>
  <c r="AS32" i="32"/>
  <c r="AT32" i="32"/>
  <c r="AU32" i="32"/>
  <c r="AV32" i="32"/>
  <c r="AW32" i="32"/>
  <c r="AX32" i="32"/>
  <c r="AY32" i="32"/>
  <c r="AZ32" i="32"/>
  <c r="AQ33" i="32"/>
  <c r="AR33" i="32"/>
  <c r="AS33" i="32"/>
  <c r="AT33" i="32"/>
  <c r="AU33" i="32"/>
  <c r="AV33" i="32"/>
  <c r="AW33" i="32"/>
  <c r="AX33" i="32"/>
  <c r="AY33" i="32"/>
  <c r="AZ33" i="32"/>
  <c r="AQ34" i="32"/>
  <c r="AR34" i="32"/>
  <c r="AS34" i="32"/>
  <c r="AT34" i="32"/>
  <c r="AU34" i="32"/>
  <c r="AV34" i="32"/>
  <c r="AW34" i="32"/>
  <c r="AX34" i="32"/>
  <c r="AY34" i="32"/>
  <c r="AZ34" i="32"/>
  <c r="AZ11" i="32"/>
  <c r="AY11" i="32"/>
  <c r="AX11" i="32"/>
  <c r="AW11" i="32"/>
  <c r="AV11" i="32"/>
  <c r="AU11" i="32"/>
  <c r="AT11" i="32"/>
  <c r="AS11" i="32"/>
  <c r="AR11" i="32"/>
  <c r="AQ11" i="32"/>
  <c r="AQ142" i="30"/>
  <c r="AR142" i="30"/>
  <c r="AS142" i="30"/>
  <c r="AT142" i="30"/>
  <c r="AV142" i="30"/>
  <c r="AW142" i="30"/>
  <c r="AX142" i="30"/>
  <c r="AY142" i="30"/>
  <c r="AQ63" i="30"/>
  <c r="AR63" i="30"/>
  <c r="AS63" i="30"/>
  <c r="AT63" i="30"/>
  <c r="AU63" i="30"/>
  <c r="AV63" i="30"/>
  <c r="AW63" i="30"/>
  <c r="AX63" i="30"/>
  <c r="AY63" i="30"/>
  <c r="AQ64" i="30"/>
  <c r="AR64" i="30"/>
  <c r="AS64" i="30"/>
  <c r="AT64" i="30"/>
  <c r="AV64" i="30"/>
  <c r="AW64" i="30"/>
  <c r="AX64" i="30"/>
  <c r="AY64" i="30"/>
  <c r="AQ68" i="30"/>
  <c r="AR68" i="30"/>
  <c r="AS68" i="30"/>
  <c r="AT68" i="30"/>
  <c r="AV68" i="30"/>
  <c r="AW68" i="30"/>
  <c r="AX68" i="30"/>
  <c r="AY68" i="30"/>
  <c r="AQ140" i="30"/>
  <c r="AR140" i="30"/>
  <c r="AS140" i="30"/>
  <c r="AT140" i="30"/>
  <c r="AV140" i="30"/>
  <c r="AW140" i="30"/>
  <c r="AX140" i="30"/>
  <c r="AY140" i="30"/>
  <c r="AQ102" i="30"/>
  <c r="AR102" i="30"/>
  <c r="AS102" i="30"/>
  <c r="AT102" i="30"/>
  <c r="AV102" i="30"/>
  <c r="AW102" i="30"/>
  <c r="AX102" i="30"/>
  <c r="AY102" i="30"/>
  <c r="AQ112" i="30"/>
  <c r="AR112" i="30"/>
  <c r="AS112" i="30"/>
  <c r="AT112" i="30"/>
  <c r="AV112" i="30"/>
  <c r="AW112" i="30"/>
  <c r="AX112" i="30"/>
  <c r="AY112" i="30"/>
  <c r="AQ144" i="30"/>
  <c r="AR144" i="30"/>
  <c r="AS144" i="30"/>
  <c r="AT144" i="30"/>
  <c r="AV144" i="30"/>
  <c r="AW144" i="30"/>
  <c r="AX144" i="30"/>
  <c r="AY144" i="30"/>
  <c r="AQ125" i="30"/>
  <c r="AR125" i="30"/>
  <c r="AS125" i="30"/>
  <c r="AT125" i="30"/>
  <c r="AV125" i="30"/>
  <c r="AW125" i="30"/>
  <c r="AX125" i="30"/>
  <c r="AY125" i="30"/>
  <c r="AQ31" i="30"/>
  <c r="AR31" i="30"/>
  <c r="AS31" i="30"/>
  <c r="AT31" i="30"/>
  <c r="AU31" i="30"/>
  <c r="AV31" i="30"/>
  <c r="AW31" i="30"/>
  <c r="AX31" i="30"/>
  <c r="AY31" i="30"/>
  <c r="AQ21" i="30"/>
  <c r="AR21" i="30"/>
  <c r="AS21" i="30"/>
  <c r="AT21" i="30"/>
  <c r="AU21" i="30"/>
  <c r="AV21" i="30"/>
  <c r="AW21" i="30"/>
  <c r="AX21" i="30"/>
  <c r="AY21" i="30"/>
  <c r="AQ138" i="30"/>
  <c r="AR138" i="30"/>
  <c r="AS138" i="30"/>
  <c r="AT138" i="30"/>
  <c r="AV138" i="30"/>
  <c r="AW138" i="30"/>
  <c r="AX138" i="30"/>
  <c r="AY138" i="30"/>
  <c r="AQ29" i="30"/>
  <c r="AR29" i="30"/>
  <c r="AS29" i="30"/>
  <c r="AT29" i="30"/>
  <c r="AU29" i="30"/>
  <c r="AV29" i="30"/>
  <c r="AW29" i="30"/>
  <c r="AX29" i="30"/>
  <c r="AY29" i="30"/>
  <c r="AQ152" i="30"/>
  <c r="AR152" i="30"/>
  <c r="AS152" i="30"/>
  <c r="AT152" i="30"/>
  <c r="AV152" i="30"/>
  <c r="AW152" i="30"/>
  <c r="AX152" i="30"/>
  <c r="AY152" i="30"/>
  <c r="AQ139" i="30"/>
  <c r="AR139" i="30"/>
  <c r="AS139" i="30"/>
  <c r="AT139" i="30"/>
  <c r="AV139" i="30"/>
  <c r="AW139" i="30"/>
  <c r="AX139" i="30"/>
  <c r="AY139" i="30"/>
  <c r="AQ145" i="30"/>
  <c r="AR145" i="30"/>
  <c r="AS145" i="30"/>
  <c r="AT145" i="30"/>
  <c r="AV145" i="30"/>
  <c r="AW145" i="30"/>
  <c r="AX145" i="30"/>
  <c r="AY145" i="30"/>
  <c r="AQ85" i="30"/>
  <c r="AR85" i="30"/>
  <c r="AS85" i="30"/>
  <c r="AT85" i="30"/>
  <c r="AV85" i="30"/>
  <c r="AW85" i="30"/>
  <c r="AX85" i="30"/>
  <c r="AY85" i="30"/>
  <c r="AQ147" i="30"/>
  <c r="AR147" i="30"/>
  <c r="AS147" i="30"/>
  <c r="AT147" i="30"/>
  <c r="AV147" i="30"/>
  <c r="AW147" i="30"/>
  <c r="AX147" i="30"/>
  <c r="AY147" i="30"/>
  <c r="AQ148" i="30"/>
  <c r="AR148" i="30"/>
  <c r="AS148" i="30"/>
  <c r="AT148" i="30"/>
  <c r="AV148" i="30"/>
  <c r="AW148" i="30"/>
  <c r="AX148" i="30"/>
  <c r="AY148" i="30"/>
  <c r="AQ111" i="30"/>
  <c r="AR111" i="30"/>
  <c r="AS111" i="30"/>
  <c r="AT111" i="30"/>
  <c r="AV111" i="30"/>
  <c r="AW111" i="30"/>
  <c r="AX111" i="30"/>
  <c r="AY111" i="30"/>
  <c r="AY40" i="30"/>
  <c r="AX40" i="30"/>
  <c r="AW40" i="30"/>
  <c r="AV40" i="30"/>
  <c r="AU40" i="30"/>
  <c r="AT40" i="30"/>
  <c r="AS40" i="30"/>
  <c r="AR40" i="30"/>
  <c r="AQ40" i="30"/>
  <c r="AQ12" i="28"/>
  <c r="AR12" i="28"/>
  <c r="AS12" i="28"/>
  <c r="AT12" i="28"/>
  <c r="AU12" i="28"/>
  <c r="AV12" i="28"/>
  <c r="AW12" i="28"/>
  <c r="AX12" i="28"/>
  <c r="AY12" i="28"/>
  <c r="AZ12" i="28"/>
  <c r="AQ13" i="28"/>
  <c r="AR13" i="28"/>
  <c r="AS13" i="28"/>
  <c r="AT13" i="28"/>
  <c r="AU13" i="28"/>
  <c r="AV13" i="28"/>
  <c r="AW13" i="28"/>
  <c r="AX13" i="28"/>
  <c r="AY13" i="28"/>
  <c r="AZ13" i="28"/>
  <c r="AQ14" i="28"/>
  <c r="AR14" i="28"/>
  <c r="AS14" i="28"/>
  <c r="AT14" i="28"/>
  <c r="AU14" i="28"/>
  <c r="AV14" i="28"/>
  <c r="AW14" i="28"/>
  <c r="AX14" i="28"/>
  <c r="AY14" i="28"/>
  <c r="AZ14" i="28"/>
  <c r="AQ15" i="28"/>
  <c r="AR15" i="28"/>
  <c r="AS15" i="28"/>
  <c r="AT15" i="28"/>
  <c r="AU15" i="28"/>
  <c r="AV15" i="28"/>
  <c r="AW15" i="28"/>
  <c r="AX15" i="28"/>
  <c r="AY15" i="28"/>
  <c r="AZ15" i="28"/>
  <c r="AQ16" i="28"/>
  <c r="AR16" i="28"/>
  <c r="AS16" i="28"/>
  <c r="AT16" i="28"/>
  <c r="AU16" i="28"/>
  <c r="AV16" i="28"/>
  <c r="AW16" i="28"/>
  <c r="AX16" i="28"/>
  <c r="AY16" i="28"/>
  <c r="AZ16" i="28"/>
  <c r="AQ17" i="28"/>
  <c r="AR17" i="28"/>
  <c r="AS17" i="28"/>
  <c r="AT17" i="28"/>
  <c r="AU17" i="28"/>
  <c r="AV17" i="28"/>
  <c r="AW17" i="28"/>
  <c r="AX17" i="28"/>
  <c r="AY17" i="28"/>
  <c r="AZ17" i="28"/>
  <c r="AQ18" i="28"/>
  <c r="AR18" i="28"/>
  <c r="AS18" i="28"/>
  <c r="AT18" i="28"/>
  <c r="AU18" i="28"/>
  <c r="AV18" i="28"/>
  <c r="AW18" i="28"/>
  <c r="AX18" i="28"/>
  <c r="AY18" i="28"/>
  <c r="AZ18" i="28"/>
  <c r="AQ19" i="28"/>
  <c r="AR19" i="28"/>
  <c r="AS19" i="28"/>
  <c r="AT19" i="28"/>
  <c r="AU19" i="28"/>
  <c r="AV19" i="28"/>
  <c r="AW19" i="28"/>
  <c r="AX19" i="28"/>
  <c r="AY19" i="28"/>
  <c r="AZ19" i="28"/>
  <c r="AQ20" i="28"/>
  <c r="AR20" i="28"/>
  <c r="AS20" i="28"/>
  <c r="AT20" i="28"/>
  <c r="AU20" i="28"/>
  <c r="AV20" i="28"/>
  <c r="AW20" i="28"/>
  <c r="AX20" i="28"/>
  <c r="AY20" i="28"/>
  <c r="AZ20" i="28"/>
  <c r="AQ21" i="28"/>
  <c r="AR21" i="28"/>
  <c r="AS21" i="28"/>
  <c r="AT21" i="28"/>
  <c r="AU21" i="28"/>
  <c r="AV21" i="28"/>
  <c r="AW21" i="28"/>
  <c r="AX21" i="28"/>
  <c r="AY21" i="28"/>
  <c r="AZ21" i="28"/>
  <c r="AQ22" i="28"/>
  <c r="AR22" i="28"/>
  <c r="AS22" i="28"/>
  <c r="AT22" i="28"/>
  <c r="AU22" i="28"/>
  <c r="AV22" i="28"/>
  <c r="AW22" i="28"/>
  <c r="AX22" i="28"/>
  <c r="AY22" i="28"/>
  <c r="AZ22" i="28"/>
  <c r="AQ23" i="28"/>
  <c r="AR23" i="28"/>
  <c r="AS23" i="28"/>
  <c r="AT23" i="28"/>
  <c r="AU23" i="28"/>
  <c r="AV23" i="28"/>
  <c r="AW23" i="28"/>
  <c r="AX23" i="28"/>
  <c r="AY23" i="28"/>
  <c r="AZ23" i="28"/>
  <c r="AQ24" i="28"/>
  <c r="AR24" i="28"/>
  <c r="AS24" i="28"/>
  <c r="AT24" i="28"/>
  <c r="AU24" i="28"/>
  <c r="AV24" i="28"/>
  <c r="AW24" i="28"/>
  <c r="AX24" i="28"/>
  <c r="AY24" i="28"/>
  <c r="AZ24" i="28"/>
  <c r="AQ25" i="28"/>
  <c r="AR25" i="28"/>
  <c r="AS25" i="28"/>
  <c r="AT25" i="28"/>
  <c r="AU25" i="28"/>
  <c r="AV25" i="28"/>
  <c r="AW25" i="28"/>
  <c r="AX25" i="28"/>
  <c r="AY25" i="28"/>
  <c r="AZ25" i="28"/>
  <c r="AQ26" i="28"/>
  <c r="AR26" i="28"/>
  <c r="AS26" i="28"/>
  <c r="AT26" i="28"/>
  <c r="AU26" i="28"/>
  <c r="AV26" i="28"/>
  <c r="AW26" i="28"/>
  <c r="AX26" i="28"/>
  <c r="AY26" i="28"/>
  <c r="AZ26" i="28"/>
  <c r="AQ27" i="28"/>
  <c r="AR27" i="28"/>
  <c r="AS27" i="28"/>
  <c r="AT27" i="28"/>
  <c r="AU27" i="28"/>
  <c r="AV27" i="28"/>
  <c r="AW27" i="28"/>
  <c r="AX27" i="28"/>
  <c r="AY27" i="28"/>
  <c r="AZ27" i="28"/>
  <c r="AQ28" i="28"/>
  <c r="AR28" i="28"/>
  <c r="AS28" i="28"/>
  <c r="AT28" i="28"/>
  <c r="AU28" i="28"/>
  <c r="AV28" i="28"/>
  <c r="AW28" i="28"/>
  <c r="AX28" i="28"/>
  <c r="AY28" i="28"/>
  <c r="AZ28" i="28"/>
  <c r="AQ29" i="28"/>
  <c r="AR29" i="28"/>
  <c r="AS29" i="28"/>
  <c r="AT29" i="28"/>
  <c r="AU29" i="28"/>
  <c r="AV29" i="28"/>
  <c r="AW29" i="28"/>
  <c r="AX29" i="28"/>
  <c r="AY29" i="28"/>
  <c r="AZ29" i="28"/>
  <c r="AQ30" i="28"/>
  <c r="AR30" i="28"/>
  <c r="AS30" i="28"/>
  <c r="AT30" i="28"/>
  <c r="AU30" i="28"/>
  <c r="AV30" i="28"/>
  <c r="AW30" i="28"/>
  <c r="AX30" i="28"/>
  <c r="AY30" i="28"/>
  <c r="AZ30" i="28"/>
  <c r="AQ31" i="28"/>
  <c r="AR31" i="28"/>
  <c r="AS31" i="28"/>
  <c r="AT31" i="28"/>
  <c r="AU31" i="28"/>
  <c r="AV31" i="28"/>
  <c r="AW31" i="28"/>
  <c r="AX31" i="28"/>
  <c r="AY31" i="28"/>
  <c r="AZ31" i="28"/>
  <c r="AQ32" i="28"/>
  <c r="AR32" i="28"/>
  <c r="AS32" i="28"/>
  <c r="AT32" i="28"/>
  <c r="AU32" i="28"/>
  <c r="AV32" i="28"/>
  <c r="AW32" i="28"/>
  <c r="AX32" i="28"/>
  <c r="AY32" i="28"/>
  <c r="AZ32" i="28"/>
  <c r="AQ33" i="28"/>
  <c r="AR33" i="28"/>
  <c r="AS33" i="28"/>
  <c r="AT33" i="28"/>
  <c r="AU33" i="28"/>
  <c r="AV33" i="28"/>
  <c r="AW33" i="28"/>
  <c r="AX33" i="28"/>
  <c r="AY33" i="28"/>
  <c r="AZ33" i="28"/>
  <c r="AQ34" i="28"/>
  <c r="AR34" i="28"/>
  <c r="AS34" i="28"/>
  <c r="AT34" i="28"/>
  <c r="AU34" i="28"/>
  <c r="AV34" i="28"/>
  <c r="AW34" i="28"/>
  <c r="AX34" i="28"/>
  <c r="AY34" i="28"/>
  <c r="AZ34" i="28"/>
  <c r="AZ11" i="28"/>
  <c r="AY11" i="28"/>
  <c r="AX11" i="28"/>
  <c r="AW11" i="28"/>
  <c r="AV11" i="28"/>
  <c r="AU11" i="28"/>
  <c r="AT11" i="28"/>
  <c r="AS11" i="28"/>
  <c r="AR11" i="28"/>
  <c r="AQ11" i="28"/>
  <c r="AQ12" i="27"/>
  <c r="AR12" i="27"/>
  <c r="AS12" i="27"/>
  <c r="AT12" i="27"/>
  <c r="AU12" i="27"/>
  <c r="AV12" i="27"/>
  <c r="AW12" i="27"/>
  <c r="AX12" i="27"/>
  <c r="AY12" i="27"/>
  <c r="AZ12" i="27"/>
  <c r="AQ13" i="27"/>
  <c r="AR13" i="27"/>
  <c r="AS13" i="27"/>
  <c r="AT13" i="27"/>
  <c r="AU13" i="27"/>
  <c r="AV13" i="27"/>
  <c r="AW13" i="27"/>
  <c r="AX13" i="27"/>
  <c r="AY13" i="27"/>
  <c r="AZ13" i="27"/>
  <c r="AQ14" i="27"/>
  <c r="AR14" i="27"/>
  <c r="AS14" i="27"/>
  <c r="AT14" i="27"/>
  <c r="AU14" i="27"/>
  <c r="AV14" i="27"/>
  <c r="AW14" i="27"/>
  <c r="AX14" i="27"/>
  <c r="AY14" i="27"/>
  <c r="AZ14" i="27"/>
  <c r="AQ15" i="27"/>
  <c r="AR15" i="27"/>
  <c r="AS15" i="27"/>
  <c r="AT15" i="27"/>
  <c r="AU15" i="27"/>
  <c r="AV15" i="27"/>
  <c r="AW15" i="27"/>
  <c r="AX15" i="27"/>
  <c r="AY15" i="27"/>
  <c r="AZ15" i="27"/>
  <c r="AQ16" i="27"/>
  <c r="AR16" i="27"/>
  <c r="AS16" i="27"/>
  <c r="AT16" i="27"/>
  <c r="AU16" i="27"/>
  <c r="AV16" i="27"/>
  <c r="AW16" i="27"/>
  <c r="AX16" i="27"/>
  <c r="AY16" i="27"/>
  <c r="AZ16" i="27"/>
  <c r="AQ17" i="27"/>
  <c r="AR17" i="27"/>
  <c r="AS17" i="27"/>
  <c r="AT17" i="27"/>
  <c r="AU17" i="27"/>
  <c r="AV17" i="27"/>
  <c r="AW17" i="27"/>
  <c r="AX17" i="27"/>
  <c r="AY17" i="27"/>
  <c r="AZ17" i="27"/>
  <c r="AQ18" i="27"/>
  <c r="AR18" i="27"/>
  <c r="AS18" i="27"/>
  <c r="AT18" i="27"/>
  <c r="AU18" i="27"/>
  <c r="AV18" i="27"/>
  <c r="AW18" i="27"/>
  <c r="AX18" i="27"/>
  <c r="AY18" i="27"/>
  <c r="AZ18" i="27"/>
  <c r="AQ19" i="27"/>
  <c r="AR19" i="27"/>
  <c r="AS19" i="27"/>
  <c r="AT19" i="27"/>
  <c r="AU19" i="27"/>
  <c r="AV19" i="27"/>
  <c r="AW19" i="27"/>
  <c r="AX19" i="27"/>
  <c r="AY19" i="27"/>
  <c r="AZ19" i="27"/>
  <c r="AQ20" i="27"/>
  <c r="AR20" i="27"/>
  <c r="AS20" i="27"/>
  <c r="AT20" i="27"/>
  <c r="AU20" i="27"/>
  <c r="AV20" i="27"/>
  <c r="AW20" i="27"/>
  <c r="AX20" i="27"/>
  <c r="AY20" i="27"/>
  <c r="AZ20" i="27"/>
  <c r="AQ21" i="27"/>
  <c r="AR21" i="27"/>
  <c r="AS21" i="27"/>
  <c r="AT21" i="27"/>
  <c r="AU21" i="27"/>
  <c r="AV21" i="27"/>
  <c r="AW21" i="27"/>
  <c r="AX21" i="27"/>
  <c r="AY21" i="27"/>
  <c r="AZ21" i="27"/>
  <c r="AQ22" i="27"/>
  <c r="AR22" i="27"/>
  <c r="AS22" i="27"/>
  <c r="AT22" i="27"/>
  <c r="AU22" i="27"/>
  <c r="AV22" i="27"/>
  <c r="AW22" i="27"/>
  <c r="AX22" i="27"/>
  <c r="AY22" i="27"/>
  <c r="AZ22" i="27"/>
  <c r="AQ23" i="27"/>
  <c r="AR23" i="27"/>
  <c r="AS23" i="27"/>
  <c r="AT23" i="27"/>
  <c r="AU23" i="27"/>
  <c r="AV23" i="27"/>
  <c r="AW23" i="27"/>
  <c r="AX23" i="27"/>
  <c r="AY23" i="27"/>
  <c r="AZ23" i="27"/>
  <c r="AQ24" i="27"/>
  <c r="AR24" i="27"/>
  <c r="AS24" i="27"/>
  <c r="AT24" i="27"/>
  <c r="AU24" i="27"/>
  <c r="AV24" i="27"/>
  <c r="AW24" i="27"/>
  <c r="AX24" i="27"/>
  <c r="AY24" i="27"/>
  <c r="AZ24" i="27"/>
  <c r="AQ25" i="27"/>
  <c r="AR25" i="27"/>
  <c r="AS25" i="27"/>
  <c r="AT25" i="27"/>
  <c r="AU25" i="27"/>
  <c r="AV25" i="27"/>
  <c r="AW25" i="27"/>
  <c r="AX25" i="27"/>
  <c r="AY25" i="27"/>
  <c r="AZ25" i="27"/>
  <c r="AQ26" i="27"/>
  <c r="AR26" i="27"/>
  <c r="AS26" i="27"/>
  <c r="AT26" i="27"/>
  <c r="AU26" i="27"/>
  <c r="AV26" i="27"/>
  <c r="AW26" i="27"/>
  <c r="AX26" i="27"/>
  <c r="AY26" i="27"/>
  <c r="AZ26" i="27"/>
  <c r="AQ27" i="27"/>
  <c r="AR27" i="27"/>
  <c r="AS27" i="27"/>
  <c r="AT27" i="27"/>
  <c r="AU27" i="27"/>
  <c r="AV27" i="27"/>
  <c r="AW27" i="27"/>
  <c r="AX27" i="27"/>
  <c r="AY27" i="27"/>
  <c r="AZ27" i="27"/>
  <c r="AQ28" i="27"/>
  <c r="AR28" i="27"/>
  <c r="AS28" i="27"/>
  <c r="AT28" i="27"/>
  <c r="AU28" i="27"/>
  <c r="AV28" i="27"/>
  <c r="AW28" i="27"/>
  <c r="AX28" i="27"/>
  <c r="AY28" i="27"/>
  <c r="AZ28" i="27"/>
  <c r="AQ29" i="27"/>
  <c r="AR29" i="27"/>
  <c r="AS29" i="27"/>
  <c r="AT29" i="27"/>
  <c r="AU29" i="27"/>
  <c r="AV29" i="27"/>
  <c r="AW29" i="27"/>
  <c r="AX29" i="27"/>
  <c r="AY29" i="27"/>
  <c r="AZ29" i="27"/>
  <c r="AQ30" i="27"/>
  <c r="AR30" i="27"/>
  <c r="AS30" i="27"/>
  <c r="AT30" i="27"/>
  <c r="AU30" i="27"/>
  <c r="AV30" i="27"/>
  <c r="AW30" i="27"/>
  <c r="AX30" i="27"/>
  <c r="AY30" i="27"/>
  <c r="AZ30" i="27"/>
  <c r="AZ11" i="27"/>
  <c r="AY11" i="27"/>
  <c r="AX11" i="27"/>
  <c r="AW11" i="27"/>
  <c r="AV11" i="27"/>
  <c r="AU11" i="27"/>
  <c r="AT11" i="27"/>
  <c r="AS11" i="27"/>
  <c r="AR11" i="27"/>
  <c r="AQ11" i="27"/>
  <c r="AZ12" i="4"/>
  <c r="AZ13" i="4"/>
  <c r="AZ14" i="4"/>
  <c r="AZ15" i="4"/>
  <c r="AZ16" i="4"/>
  <c r="AZ17" i="4"/>
  <c r="AZ18" i="4"/>
  <c r="AZ19" i="4"/>
  <c r="AZ20" i="4"/>
  <c r="AZ21" i="4"/>
  <c r="AZ22" i="4"/>
  <c r="AZ23" i="4"/>
  <c r="AZ24" i="4"/>
  <c r="AZ25" i="4"/>
  <c r="AZ26" i="4"/>
  <c r="AZ27" i="4"/>
  <c r="AZ28" i="4"/>
  <c r="AZ29" i="4"/>
  <c r="AZ30" i="4"/>
  <c r="AY12" i="4"/>
  <c r="AY13" i="4"/>
  <c r="AY14" i="4"/>
  <c r="AY15" i="4"/>
  <c r="AY16" i="4"/>
  <c r="AY17" i="4"/>
  <c r="AY18" i="4"/>
  <c r="AY19" i="4"/>
  <c r="AY20" i="4"/>
  <c r="AY21" i="4"/>
  <c r="AY22" i="4"/>
  <c r="AY23" i="4"/>
  <c r="AY24" i="4"/>
  <c r="AY25" i="4"/>
  <c r="AY26" i="4"/>
  <c r="AY27" i="4"/>
  <c r="AY28" i="4"/>
  <c r="AY29" i="4"/>
  <c r="AY30" i="4"/>
  <c r="AX12" i="4"/>
  <c r="AX13" i="4"/>
  <c r="AX14" i="4"/>
  <c r="AX15" i="4"/>
  <c r="AX16" i="4"/>
  <c r="AX17" i="4"/>
  <c r="AX18" i="4"/>
  <c r="AX19" i="4"/>
  <c r="AX20" i="4"/>
  <c r="AX21" i="4"/>
  <c r="AX22" i="4"/>
  <c r="AX23" i="4"/>
  <c r="AX24" i="4"/>
  <c r="AX25" i="4"/>
  <c r="AX26" i="4"/>
  <c r="AX27" i="4"/>
  <c r="AX28" i="4"/>
  <c r="AX29" i="4"/>
  <c r="AX30" i="4"/>
  <c r="AW12" i="4"/>
  <c r="AW13" i="4"/>
  <c r="AW14" i="4"/>
  <c r="AW15" i="4"/>
  <c r="AW16" i="4"/>
  <c r="AW17" i="4"/>
  <c r="AW18" i="4"/>
  <c r="AW19" i="4"/>
  <c r="AW20" i="4"/>
  <c r="AW21" i="4"/>
  <c r="AW22" i="4"/>
  <c r="AW23" i="4"/>
  <c r="AW24" i="4"/>
  <c r="AW25" i="4"/>
  <c r="AW26" i="4"/>
  <c r="AW27" i="4"/>
  <c r="AW28" i="4"/>
  <c r="AW29" i="4"/>
  <c r="AW30" i="4"/>
  <c r="AV12" i="4"/>
  <c r="AV13" i="4"/>
  <c r="AV14" i="4"/>
  <c r="AV15" i="4"/>
  <c r="AV16" i="4"/>
  <c r="AV17" i="4"/>
  <c r="AV18" i="4"/>
  <c r="AV19" i="4"/>
  <c r="AV20" i="4"/>
  <c r="AV21" i="4"/>
  <c r="AV22" i="4"/>
  <c r="AV23" i="4"/>
  <c r="AV24" i="4"/>
  <c r="AV25" i="4"/>
  <c r="AV26" i="4"/>
  <c r="AV27" i="4"/>
  <c r="AV28" i="4"/>
  <c r="AV29" i="4"/>
  <c r="AV30" i="4"/>
  <c r="AU12" i="4"/>
  <c r="AU13" i="4"/>
  <c r="AU14" i="4"/>
  <c r="AU15" i="4"/>
  <c r="AU16" i="4"/>
  <c r="AU17" i="4"/>
  <c r="AU18" i="4"/>
  <c r="AU19" i="4"/>
  <c r="AU20" i="4"/>
  <c r="AU21" i="4"/>
  <c r="AU22" i="4"/>
  <c r="AU23" i="4"/>
  <c r="AU24" i="4"/>
  <c r="AU25" i="4"/>
  <c r="AU26" i="4"/>
  <c r="AU27" i="4"/>
  <c r="AU28" i="4"/>
  <c r="AU29" i="4"/>
  <c r="AU30" i="4"/>
  <c r="AT12" i="4"/>
  <c r="AT13" i="4"/>
  <c r="AT14" i="4"/>
  <c r="AT15" i="4"/>
  <c r="AT16" i="4"/>
  <c r="AT17" i="4"/>
  <c r="AT18" i="4"/>
  <c r="AT19" i="4"/>
  <c r="AT20" i="4"/>
  <c r="AT21" i="4"/>
  <c r="AT22" i="4"/>
  <c r="AT23" i="4"/>
  <c r="AT24" i="4"/>
  <c r="AT25" i="4"/>
  <c r="AT26" i="4"/>
  <c r="AT27" i="4"/>
  <c r="AT28" i="4"/>
  <c r="AT29" i="4"/>
  <c r="AT30" i="4"/>
  <c r="AS12" i="4"/>
  <c r="AS13" i="4"/>
  <c r="AS14" i="4"/>
  <c r="AS15" i="4"/>
  <c r="AS16" i="4"/>
  <c r="AS17" i="4"/>
  <c r="AS18" i="4"/>
  <c r="AS19" i="4"/>
  <c r="AS20" i="4"/>
  <c r="AS21" i="4"/>
  <c r="AS22" i="4"/>
  <c r="AS23" i="4"/>
  <c r="AS24" i="4"/>
  <c r="AS25" i="4"/>
  <c r="AS26" i="4"/>
  <c r="AS27" i="4"/>
  <c r="AS28" i="4"/>
  <c r="AS29" i="4"/>
  <c r="AS30" i="4"/>
  <c r="AR12" i="4"/>
  <c r="AR13" i="4"/>
  <c r="AR14" i="4"/>
  <c r="AR15" i="4"/>
  <c r="AR16" i="4"/>
  <c r="AR17" i="4"/>
  <c r="AR18" i="4"/>
  <c r="AR19" i="4"/>
  <c r="AR20" i="4"/>
  <c r="AR21" i="4"/>
  <c r="AR22" i="4"/>
  <c r="AR23" i="4"/>
  <c r="AR24" i="4"/>
  <c r="AR25" i="4"/>
  <c r="AR26" i="4"/>
  <c r="AR27" i="4"/>
  <c r="AR28" i="4"/>
  <c r="AR29" i="4"/>
  <c r="AR30" i="4"/>
  <c r="AZ11" i="4"/>
  <c r="AY11" i="4"/>
  <c r="AX11" i="4"/>
  <c r="AW11" i="4"/>
  <c r="AV11" i="4"/>
  <c r="AU11" i="4"/>
  <c r="AT11" i="4"/>
  <c r="AS11" i="4"/>
  <c r="AR11" i="4"/>
  <c r="AP30" i="4"/>
  <c r="AP29" i="4"/>
  <c r="AP28" i="4"/>
  <c r="AP27" i="4"/>
  <c r="AP26" i="4"/>
  <c r="AP25" i="4"/>
  <c r="AP24" i="4"/>
  <c r="AP23" i="4"/>
  <c r="AP22" i="4"/>
  <c r="AP21" i="4"/>
  <c r="AP20" i="4"/>
  <c r="AP19" i="4"/>
  <c r="AP18" i="4"/>
  <c r="AP17" i="4"/>
  <c r="AP16" i="4"/>
  <c r="AP15" i="4"/>
  <c r="AP14" i="4"/>
  <c r="AP13" i="4"/>
  <c r="AP12" i="4"/>
  <c r="AP11" i="4"/>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AG40" i="6"/>
  <c r="AF40" i="6"/>
  <c r="AE40" i="6"/>
  <c r="AD40" i="6"/>
  <c r="AC40" i="6"/>
  <c r="AB40" i="6"/>
  <c r="AA40" i="6"/>
  <c r="Z40" i="6"/>
  <c r="Y40" i="6"/>
  <c r="X40" i="6"/>
  <c r="W40" i="6"/>
  <c r="V40" i="6"/>
  <c r="U40" i="6"/>
  <c r="T40" i="6"/>
  <c r="S40" i="6"/>
  <c r="R40" i="6"/>
  <c r="Q40" i="6"/>
  <c r="P40" i="6"/>
  <c r="O40" i="6"/>
  <c r="N40" i="6"/>
  <c r="M40" i="6"/>
  <c r="L40" i="6"/>
  <c r="K40" i="6"/>
  <c r="J40" i="6"/>
  <c r="I40" i="6"/>
  <c r="H40" i="6"/>
  <c r="G40" i="6"/>
  <c r="F40" i="6"/>
  <c r="E40" i="6"/>
  <c r="D40" i="6"/>
  <c r="C40" i="6"/>
  <c r="AH11" i="32"/>
  <c r="AH12" i="32"/>
  <c r="AJ11" i="32"/>
  <c r="AK11" i="32"/>
  <c r="AL11" i="32"/>
  <c r="AM11" i="32"/>
  <c r="AO11" i="32"/>
  <c r="AP11" i="32"/>
  <c r="AJ12" i="32"/>
  <c r="AK12" i="32"/>
  <c r="AL12" i="32"/>
  <c r="AM12" i="32"/>
  <c r="AO12" i="32"/>
  <c r="AP12" i="32"/>
  <c r="AH13" i="32"/>
  <c r="AJ13" i="32"/>
  <c r="AK13" i="32"/>
  <c r="AL13" i="32"/>
  <c r="AM13" i="32"/>
  <c r="AO13" i="32"/>
  <c r="AP13" i="32"/>
  <c r="AH14" i="32"/>
  <c r="AJ14" i="32"/>
  <c r="AK14" i="32"/>
  <c r="AL14" i="32"/>
  <c r="AM14" i="32"/>
  <c r="AO14" i="32"/>
  <c r="AP14" i="32"/>
  <c r="AH15" i="32"/>
  <c r="AJ15" i="32"/>
  <c r="AK15" i="32"/>
  <c r="AL15" i="32"/>
  <c r="AM15" i="32"/>
  <c r="AO15" i="32"/>
  <c r="AP15" i="32"/>
  <c r="AH16" i="32"/>
  <c r="AJ16" i="32"/>
  <c r="AK16" i="32"/>
  <c r="AL16" i="32"/>
  <c r="AM16" i="32"/>
  <c r="AO16" i="32"/>
  <c r="AP16" i="32"/>
  <c r="AH17" i="32"/>
  <c r="AJ17" i="32"/>
  <c r="AK17" i="32"/>
  <c r="AL17" i="32"/>
  <c r="AM17" i="32"/>
  <c r="AO17" i="32"/>
  <c r="AP17" i="32"/>
  <c r="AH18" i="32"/>
  <c r="AJ18" i="32"/>
  <c r="AK18" i="32"/>
  <c r="AL18" i="32"/>
  <c r="AM18" i="32"/>
  <c r="AO18" i="32"/>
  <c r="AP18" i="32"/>
  <c r="AH19" i="32"/>
  <c r="AJ19" i="32"/>
  <c r="AK19" i="32"/>
  <c r="AL19" i="32"/>
  <c r="AM19" i="32"/>
  <c r="AO19" i="32"/>
  <c r="AP19" i="32"/>
  <c r="AH20" i="32"/>
  <c r="AJ20" i="32"/>
  <c r="AK20" i="32"/>
  <c r="AL20" i="32"/>
  <c r="AM20" i="32"/>
  <c r="AO20" i="32"/>
  <c r="AP20" i="32"/>
  <c r="AH21" i="32"/>
  <c r="AJ21" i="32"/>
  <c r="AK21" i="32"/>
  <c r="AL21" i="32"/>
  <c r="AM21" i="32"/>
  <c r="AO21" i="32"/>
  <c r="AP21" i="32"/>
  <c r="AH22" i="32"/>
  <c r="AJ22" i="32"/>
  <c r="AK22" i="32"/>
  <c r="AL22" i="32"/>
  <c r="AM22" i="32"/>
  <c r="AO22" i="32"/>
  <c r="AP22" i="32"/>
  <c r="AH23" i="32"/>
  <c r="AJ23" i="32"/>
  <c r="AK23" i="32"/>
  <c r="AL23" i="32"/>
  <c r="AM23" i="32"/>
  <c r="AO23" i="32"/>
  <c r="AP23" i="32"/>
  <c r="AH24" i="32"/>
  <c r="AJ24" i="32"/>
  <c r="AK24" i="32"/>
  <c r="AL24" i="32"/>
  <c r="AM24" i="32"/>
  <c r="AO24" i="32"/>
  <c r="AP24" i="32"/>
  <c r="AH25" i="32"/>
  <c r="AJ25" i="32"/>
  <c r="AK25" i="32"/>
  <c r="AL25" i="32"/>
  <c r="AM25" i="32"/>
  <c r="AO25" i="32"/>
  <c r="AP25" i="32"/>
  <c r="AH26" i="32"/>
  <c r="AJ26" i="32"/>
  <c r="AK26" i="32"/>
  <c r="AL26" i="32"/>
  <c r="AM26" i="32"/>
  <c r="AO26" i="32"/>
  <c r="AP26" i="32"/>
  <c r="AH27" i="32"/>
  <c r="AJ27" i="32"/>
  <c r="AK27" i="32"/>
  <c r="AL27" i="32"/>
  <c r="AM27" i="32"/>
  <c r="AO27" i="32"/>
  <c r="AP27" i="32"/>
  <c r="AH28" i="32"/>
  <c r="AJ28" i="32"/>
  <c r="AK28" i="32"/>
  <c r="AL28" i="32"/>
  <c r="AM28" i="32"/>
  <c r="AO28" i="32"/>
  <c r="AP28" i="32"/>
  <c r="AH29" i="32"/>
  <c r="AJ29" i="32"/>
  <c r="AK29" i="32"/>
  <c r="AL29" i="32"/>
  <c r="AM29" i="32"/>
  <c r="AO29" i="32"/>
  <c r="AP29" i="32"/>
  <c r="AH30" i="32"/>
  <c r="AJ30" i="32"/>
  <c r="AK30" i="32"/>
  <c r="AL30" i="32"/>
  <c r="AM30" i="32"/>
  <c r="AO30" i="32"/>
  <c r="AP30" i="32"/>
  <c r="AH31" i="32"/>
  <c r="AJ31" i="32"/>
  <c r="AK31" i="32"/>
  <c r="AL31" i="32"/>
  <c r="AM31" i="32"/>
  <c r="AO31" i="32"/>
  <c r="AP31" i="32"/>
  <c r="AH32" i="32"/>
  <c r="AJ32" i="32"/>
  <c r="AK32" i="32"/>
  <c r="AL32" i="32"/>
  <c r="AM32" i="32"/>
  <c r="AO32" i="32"/>
  <c r="AP32" i="32"/>
  <c r="AH33" i="32"/>
  <c r="AJ33" i="32"/>
  <c r="AK33" i="32"/>
  <c r="AL33" i="32"/>
  <c r="AM33" i="32"/>
  <c r="AO33" i="32"/>
  <c r="AP33" i="32"/>
  <c r="AJ34" i="32"/>
  <c r="AK34" i="32"/>
  <c r="AL34" i="32"/>
  <c r="AM34" i="32"/>
  <c r="AO34" i="32"/>
  <c r="AP34" i="32"/>
  <c r="B14" i="28"/>
  <c r="B15" i="28"/>
  <c r="B16" i="28"/>
  <c r="B17" i="28"/>
  <c r="B18" i="28"/>
  <c r="B19" i="28"/>
  <c r="B20" i="28"/>
  <c r="B21" i="28"/>
  <c r="B22" i="28"/>
  <c r="B23" i="28"/>
  <c r="B24" i="28"/>
  <c r="B25" i="28"/>
  <c r="B26" i="28"/>
  <c r="B27" i="28"/>
  <c r="B28" i="28"/>
  <c r="B29" i="28"/>
  <c r="B30" i="28"/>
  <c r="B31" i="28"/>
  <c r="B32" i="28"/>
  <c r="B33" i="28"/>
  <c r="B34" i="28"/>
  <c r="AH64" i="30"/>
  <c r="AK64" i="30"/>
  <c r="AL64" i="30"/>
  <c r="AM64" i="30"/>
  <c r="AO64" i="30"/>
  <c r="AP64" i="30"/>
  <c r="AH68" i="30"/>
  <c r="AK68" i="30"/>
  <c r="AL68" i="30"/>
  <c r="AM68" i="30"/>
  <c r="AO68" i="30"/>
  <c r="AP68" i="30"/>
  <c r="AH140" i="30"/>
  <c r="AK140" i="30"/>
  <c r="AL140" i="30"/>
  <c r="AM140" i="30"/>
  <c r="AO140" i="30"/>
  <c r="AP140" i="30"/>
  <c r="AH102" i="30"/>
  <c r="AK102" i="30"/>
  <c r="AL102" i="30"/>
  <c r="AM102" i="30"/>
  <c r="AO102" i="30"/>
  <c r="AP102" i="30"/>
  <c r="AH112" i="30"/>
  <c r="AK112" i="30"/>
  <c r="AL112" i="30"/>
  <c r="AM112" i="30"/>
  <c r="AO112" i="30"/>
  <c r="AP112" i="30"/>
  <c r="AH144" i="30"/>
  <c r="AK144" i="30"/>
  <c r="AL144" i="30"/>
  <c r="AM144" i="30"/>
  <c r="AO144" i="30"/>
  <c r="AP144" i="30"/>
  <c r="AH125" i="30"/>
  <c r="AK125" i="30"/>
  <c r="AL125" i="30"/>
  <c r="AM125" i="30"/>
  <c r="AO125" i="30"/>
  <c r="AP125" i="30"/>
  <c r="AH31" i="30"/>
  <c r="AK31" i="30"/>
  <c r="AL31" i="30"/>
  <c r="AM31" i="30"/>
  <c r="AO31" i="30"/>
  <c r="AP31" i="30"/>
  <c r="AH21" i="30"/>
  <c r="AK21" i="30"/>
  <c r="AL21" i="30"/>
  <c r="AM21" i="30"/>
  <c r="AO21" i="30"/>
  <c r="AP21" i="30"/>
  <c r="AH138" i="30"/>
  <c r="AK138" i="30"/>
  <c r="AL138" i="30"/>
  <c r="AM138" i="30"/>
  <c r="AO138" i="30"/>
  <c r="AP138" i="30"/>
  <c r="AH29" i="30"/>
  <c r="AK29" i="30"/>
  <c r="AL29" i="30"/>
  <c r="AM29" i="30"/>
  <c r="AO29" i="30"/>
  <c r="AP29" i="30"/>
  <c r="AH152" i="30"/>
  <c r="AK152" i="30"/>
  <c r="AL152" i="30"/>
  <c r="AM152" i="30"/>
  <c r="AO152" i="30"/>
  <c r="AP152" i="30"/>
  <c r="AH139" i="30"/>
  <c r="AK139" i="30"/>
  <c r="AL139" i="30"/>
  <c r="AM139" i="30"/>
  <c r="AO139" i="30"/>
  <c r="AP139" i="30"/>
  <c r="AH145" i="30"/>
  <c r="AK145" i="30"/>
  <c r="AL145" i="30"/>
  <c r="AM145" i="30"/>
  <c r="AO145" i="30"/>
  <c r="AP145" i="30"/>
  <c r="AH85" i="30"/>
  <c r="AK85" i="30"/>
  <c r="AL85" i="30"/>
  <c r="AM85" i="30"/>
  <c r="AO85" i="30"/>
  <c r="AP85" i="30"/>
  <c r="AH147" i="30"/>
  <c r="AK147" i="30"/>
  <c r="AL147" i="30"/>
  <c r="AM147" i="30"/>
  <c r="AO147" i="30"/>
  <c r="AP147" i="30"/>
  <c r="AH148" i="30"/>
  <c r="AK148" i="30"/>
  <c r="AL148" i="30"/>
  <c r="AM148" i="30"/>
  <c r="AO148" i="30"/>
  <c r="AP148" i="30"/>
  <c r="AH14" i="28"/>
  <c r="AJ14" i="28"/>
  <c r="AK14" i="28"/>
  <c r="AL14" i="28"/>
  <c r="AM14" i="28"/>
  <c r="AO14" i="28"/>
  <c r="AP14" i="28"/>
  <c r="AH15" i="28"/>
  <c r="AJ15" i="28"/>
  <c r="AK15" i="28"/>
  <c r="AL15" i="28"/>
  <c r="AM15" i="28"/>
  <c r="AO15" i="28"/>
  <c r="AP15" i="28"/>
  <c r="AH16" i="28"/>
  <c r="AJ16" i="28"/>
  <c r="AK16" i="28"/>
  <c r="AL16" i="28"/>
  <c r="AM16" i="28"/>
  <c r="AO16" i="28"/>
  <c r="AP16" i="28"/>
  <c r="AH17" i="28"/>
  <c r="AJ17" i="28"/>
  <c r="AK17" i="28"/>
  <c r="AL17" i="28"/>
  <c r="AM17" i="28"/>
  <c r="AO17" i="28"/>
  <c r="AP17" i="28"/>
  <c r="AH18" i="28"/>
  <c r="AJ18" i="28"/>
  <c r="AK18" i="28"/>
  <c r="AL18" i="28"/>
  <c r="AM18" i="28"/>
  <c r="AO18" i="28"/>
  <c r="AP18" i="28"/>
  <c r="AH19" i="28"/>
  <c r="AJ19" i="28"/>
  <c r="AK19" i="28"/>
  <c r="AL19" i="28"/>
  <c r="AM19" i="28"/>
  <c r="AO19" i="28"/>
  <c r="AP19" i="28"/>
  <c r="AH20" i="28"/>
  <c r="AJ20" i="28"/>
  <c r="AK20" i="28"/>
  <c r="AL20" i="28"/>
  <c r="AM20" i="28"/>
  <c r="AO20" i="28"/>
  <c r="AP20" i="28"/>
  <c r="AH21" i="28"/>
  <c r="AJ21" i="28"/>
  <c r="AK21" i="28"/>
  <c r="AL21" i="28"/>
  <c r="AO21" i="28"/>
  <c r="AP21" i="28"/>
  <c r="AH22" i="28"/>
  <c r="AJ22" i="28"/>
  <c r="AK22" i="28"/>
  <c r="AL22" i="28"/>
  <c r="AM22" i="28"/>
  <c r="AO22" i="28"/>
  <c r="AP22" i="28"/>
  <c r="AH23" i="28"/>
  <c r="AJ23" i="28"/>
  <c r="AK23" i="28"/>
  <c r="AL23" i="28"/>
  <c r="AM23" i="28"/>
  <c r="AO23" i="28"/>
  <c r="AP23" i="28"/>
  <c r="AH24" i="28"/>
  <c r="AJ24" i="28"/>
  <c r="AK24" i="28"/>
  <c r="AL24" i="28"/>
  <c r="AM24" i="28"/>
  <c r="AO24" i="28"/>
  <c r="AP24" i="28"/>
  <c r="AH25" i="28"/>
  <c r="AJ25" i="28"/>
  <c r="AK25" i="28"/>
  <c r="AL25" i="28"/>
  <c r="AM25" i="28"/>
  <c r="AO25" i="28"/>
  <c r="AP25" i="28"/>
  <c r="AH26" i="28"/>
  <c r="AJ26" i="28"/>
  <c r="AK26" i="28"/>
  <c r="AL26" i="28"/>
  <c r="AM26" i="28"/>
  <c r="AO26" i="28"/>
  <c r="AP26" i="28"/>
  <c r="AH27" i="28"/>
  <c r="AJ27" i="28"/>
  <c r="AK27" i="28"/>
  <c r="AL27" i="28"/>
  <c r="AM27" i="28"/>
  <c r="AO27" i="28"/>
  <c r="AP27" i="28"/>
  <c r="AH28" i="28"/>
  <c r="AJ28" i="28"/>
  <c r="AK28" i="28"/>
  <c r="AL28" i="28"/>
  <c r="AM28" i="28"/>
  <c r="AO28" i="28"/>
  <c r="AP28" i="28"/>
  <c r="AH29" i="28"/>
  <c r="AJ29" i="28"/>
  <c r="AK29" i="28"/>
  <c r="AL29" i="28"/>
  <c r="AM29" i="28"/>
  <c r="AO29" i="28"/>
  <c r="AP29" i="28"/>
  <c r="AH30" i="28"/>
  <c r="AJ30" i="28"/>
  <c r="AK30" i="28"/>
  <c r="AL30" i="28"/>
  <c r="AM30" i="28"/>
  <c r="AO30" i="28"/>
  <c r="AP30" i="28"/>
  <c r="AH31" i="28"/>
  <c r="AJ31" i="28"/>
  <c r="AK31" i="28"/>
  <c r="AL31" i="28"/>
  <c r="AM31" i="28"/>
  <c r="AO31" i="28"/>
  <c r="AP31" i="28"/>
  <c r="AH32" i="28"/>
  <c r="AJ32" i="28"/>
  <c r="AK32" i="28"/>
  <c r="AL32" i="28"/>
  <c r="AM32" i="28"/>
  <c r="AO32" i="28"/>
  <c r="AP32" i="28"/>
  <c r="AJ15" i="27"/>
  <c r="AK15" i="27"/>
  <c r="AL15" i="27"/>
  <c r="AM15" i="27"/>
  <c r="AO15" i="27"/>
  <c r="AP15" i="27"/>
  <c r="AJ16" i="27"/>
  <c r="AK16" i="27"/>
  <c r="AL16" i="27"/>
  <c r="AM16" i="27"/>
  <c r="AO16" i="27"/>
  <c r="AP16" i="27"/>
  <c r="AJ17" i="27"/>
  <c r="AK17" i="27"/>
  <c r="AL17" i="27"/>
  <c r="AM17" i="27"/>
  <c r="AO17" i="27"/>
  <c r="AP17" i="27"/>
  <c r="AJ18" i="27"/>
  <c r="AK18" i="27"/>
  <c r="AL18" i="27"/>
  <c r="AM18" i="27"/>
  <c r="AO18" i="27"/>
  <c r="AP18" i="27"/>
  <c r="AJ19" i="27"/>
  <c r="AK19" i="27"/>
  <c r="AL19" i="27"/>
  <c r="AM19" i="27"/>
  <c r="AO19" i="27"/>
  <c r="AP19" i="27"/>
  <c r="AJ20" i="27"/>
  <c r="AK20" i="27"/>
  <c r="AL20" i="27"/>
  <c r="AM20" i="27"/>
  <c r="AO20" i="27"/>
  <c r="AP20" i="27"/>
  <c r="AJ21" i="27"/>
  <c r="AK21" i="27"/>
  <c r="AL21" i="27"/>
  <c r="AM21" i="27"/>
  <c r="AO21" i="27"/>
  <c r="AP21" i="27"/>
  <c r="AJ22" i="27"/>
  <c r="AK22" i="27"/>
  <c r="AL22" i="27"/>
  <c r="AM22" i="27"/>
  <c r="AO22" i="27"/>
  <c r="AP22" i="27"/>
  <c r="AJ23" i="27"/>
  <c r="AK23" i="27"/>
  <c r="AL23" i="27"/>
  <c r="AM23" i="27"/>
  <c r="AO23" i="27"/>
  <c r="AP23" i="27"/>
  <c r="AJ24" i="27"/>
  <c r="AK24" i="27"/>
  <c r="AL24" i="27"/>
  <c r="AM24" i="27"/>
  <c r="AO24" i="27"/>
  <c r="AP24" i="27"/>
  <c r="AJ25" i="27"/>
  <c r="AK25" i="27"/>
  <c r="AL25" i="27"/>
  <c r="AM25" i="27"/>
  <c r="AO25" i="27"/>
  <c r="AP25" i="27"/>
  <c r="AJ26" i="27"/>
  <c r="AK26" i="27"/>
  <c r="AL26" i="27"/>
  <c r="AM26" i="27"/>
  <c r="AO26" i="27"/>
  <c r="AP26" i="27"/>
  <c r="AJ27" i="27"/>
  <c r="AK27" i="27"/>
  <c r="AL27" i="27"/>
  <c r="AM27" i="27"/>
  <c r="AO27" i="27"/>
  <c r="AP27" i="27"/>
  <c r="AJ28" i="27"/>
  <c r="AK28" i="27"/>
  <c r="AL28" i="27"/>
  <c r="AM28" i="27"/>
  <c r="AO28" i="27"/>
  <c r="AP28" i="27"/>
  <c r="AJ29" i="27"/>
  <c r="AK29" i="27"/>
  <c r="AL29" i="27"/>
  <c r="AM29" i="27"/>
  <c r="AO29" i="27"/>
  <c r="AP29" i="27"/>
  <c r="B24" i="4"/>
  <c r="AJ24" i="4"/>
  <c r="AK24" i="4"/>
  <c r="AL24" i="4"/>
  <c r="AM24" i="4"/>
  <c r="AO24" i="4"/>
  <c r="B25" i="4"/>
  <c r="AJ25" i="4"/>
  <c r="AK25" i="4"/>
  <c r="AL25" i="4"/>
  <c r="AM25" i="4"/>
  <c r="AO25" i="4"/>
  <c r="B26" i="4"/>
  <c r="AJ26" i="4"/>
  <c r="AK26" i="4"/>
  <c r="AL26" i="4"/>
  <c r="AM26" i="4"/>
  <c r="AO26" i="4"/>
  <c r="B27" i="4"/>
  <c r="AJ27" i="4"/>
  <c r="AK27" i="4"/>
  <c r="AL27" i="4"/>
  <c r="AM27" i="4"/>
  <c r="AO27" i="4"/>
  <c r="B28" i="4"/>
  <c r="AJ28" i="4"/>
  <c r="AK28" i="4"/>
  <c r="AL28" i="4"/>
  <c r="AM28" i="4"/>
  <c r="AO28" i="4"/>
  <c r="B19" i="4"/>
  <c r="AJ19" i="4"/>
  <c r="AK19" i="4"/>
  <c r="AL19" i="4"/>
  <c r="AM19" i="4"/>
  <c r="AO19" i="4"/>
  <c r="B20" i="4"/>
  <c r="AJ20" i="4"/>
  <c r="AK20" i="4"/>
  <c r="AL20" i="4"/>
  <c r="AM20" i="4"/>
  <c r="AO20" i="4"/>
  <c r="B21" i="4"/>
  <c r="AJ21" i="4"/>
  <c r="AK21" i="4"/>
  <c r="AL21" i="4"/>
  <c r="AM21" i="4"/>
  <c r="AO21" i="4"/>
  <c r="B22" i="4"/>
  <c r="AJ22" i="4"/>
  <c r="AK22" i="4"/>
  <c r="AL22" i="4"/>
  <c r="AM22" i="4"/>
  <c r="AO22" i="4"/>
  <c r="B15" i="4"/>
  <c r="AJ15" i="4"/>
  <c r="AK15" i="4"/>
  <c r="AL15" i="4"/>
  <c r="AM15" i="4"/>
  <c r="AO15" i="4"/>
  <c r="B16" i="4"/>
  <c r="AJ16" i="4"/>
  <c r="AK16" i="4"/>
  <c r="AL16" i="4"/>
  <c r="AM16" i="4"/>
  <c r="AO16" i="4"/>
  <c r="B17" i="4"/>
  <c r="AJ17" i="4"/>
  <c r="AK17" i="4"/>
  <c r="AL17" i="4"/>
  <c r="AM17" i="4"/>
  <c r="AO17" i="4"/>
  <c r="B18" i="4"/>
  <c r="AJ18" i="4"/>
  <c r="AK18" i="4"/>
  <c r="AL18" i="4"/>
  <c r="AM18" i="4"/>
  <c r="AO18" i="4"/>
  <c r="B23" i="4"/>
  <c r="AJ23" i="4"/>
  <c r="AK23" i="4"/>
  <c r="AL23" i="4"/>
  <c r="AM23" i="4"/>
  <c r="AO23" i="4"/>
  <c r="B29" i="4"/>
  <c r="AJ29" i="4"/>
  <c r="AK29" i="4"/>
  <c r="AL29" i="4"/>
  <c r="AM29" i="4"/>
  <c r="AO29" i="4"/>
  <c r="R9" i="5"/>
  <c r="B16" i="31" s="1"/>
  <c r="R10" i="5"/>
  <c r="B17" i="37" s="1"/>
  <c r="R11" i="5"/>
  <c r="B18" i="31" s="1"/>
  <c r="R12" i="5"/>
  <c r="B19" i="31" s="1"/>
  <c r="R13" i="5"/>
  <c r="R14" i="5"/>
  <c r="B21" i="31" s="1"/>
  <c r="R15" i="5"/>
  <c r="B22" i="31" s="1"/>
  <c r="R16" i="5"/>
  <c r="B23" i="31" s="1"/>
  <c r="R17" i="5"/>
  <c r="R18" i="5"/>
  <c r="B25" i="31" s="1"/>
  <c r="R19" i="5"/>
  <c r="B26" i="31" s="1"/>
  <c r="R20" i="5"/>
  <c r="B27" i="31" s="1"/>
  <c r="R21" i="5"/>
  <c r="R22" i="5"/>
  <c r="B29" i="31" s="1"/>
  <c r="R23" i="5"/>
  <c r="B30" i="31" s="1"/>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B73" i="39" s="1"/>
  <c r="R67" i="5"/>
  <c r="R68" i="5"/>
  <c r="B75" i="39" s="1"/>
  <c r="R69" i="5"/>
  <c r="R70" i="5"/>
  <c r="R71" i="5"/>
  <c r="R72" i="5"/>
  <c r="R73" i="5"/>
  <c r="R74" i="5"/>
  <c r="B81" i="39" s="1"/>
  <c r="R75" i="5"/>
  <c r="R76" i="5"/>
  <c r="R77" i="5"/>
  <c r="R78" i="5"/>
  <c r="B85" i="39" s="1"/>
  <c r="R79" i="5"/>
  <c r="R80" i="5"/>
  <c r="R81"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AF38" i="6"/>
  <c r="AE38" i="6"/>
  <c r="AD38" i="6"/>
  <c r="AC38" i="6"/>
  <c r="AB38" i="6"/>
  <c r="AA38" i="6"/>
  <c r="Z38" i="6"/>
  <c r="Y38" i="6"/>
  <c r="X38" i="6"/>
  <c r="W38" i="6"/>
  <c r="V38" i="6"/>
  <c r="U38" i="6"/>
  <c r="T38" i="6"/>
  <c r="S38" i="6"/>
  <c r="R38" i="6"/>
  <c r="Q38" i="6"/>
  <c r="P38" i="6"/>
  <c r="O38" i="6"/>
  <c r="N38" i="6"/>
  <c r="M38" i="6"/>
  <c r="L38" i="6"/>
  <c r="K38" i="6"/>
  <c r="J38" i="6"/>
  <c r="I38" i="6"/>
  <c r="H38" i="6"/>
  <c r="G38" i="6"/>
  <c r="F38" i="6"/>
  <c r="E38" i="6"/>
  <c r="D38" i="6"/>
  <c r="AG36" i="6"/>
  <c r="AF36" i="6"/>
  <c r="AE36" i="6"/>
  <c r="AC36" i="6"/>
  <c r="AB36" i="6"/>
  <c r="AA36" i="6"/>
  <c r="Z36" i="6"/>
  <c r="Y36" i="6"/>
  <c r="X36" i="6"/>
  <c r="W36" i="6"/>
  <c r="V36" i="6"/>
  <c r="U36" i="6"/>
  <c r="T36" i="6"/>
  <c r="S36" i="6"/>
  <c r="R36" i="6"/>
  <c r="Q36" i="6"/>
  <c r="P36" i="6"/>
  <c r="O36" i="6"/>
  <c r="N36" i="6"/>
  <c r="M36" i="6"/>
  <c r="L36" i="6"/>
  <c r="K36" i="6"/>
  <c r="J36" i="6"/>
  <c r="I36" i="6"/>
  <c r="H36" i="6"/>
  <c r="G36" i="6"/>
  <c r="F36" i="6"/>
  <c r="E36" i="6"/>
  <c r="D36"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AG32" i="6"/>
  <c r="AF32" i="6"/>
  <c r="AE32" i="6"/>
  <c r="AD32" i="6"/>
  <c r="AC32" i="6"/>
  <c r="AB32" i="6"/>
  <c r="AA32" i="6"/>
  <c r="W32" i="6"/>
  <c r="V32" i="6"/>
  <c r="U32" i="6"/>
  <c r="T32" i="6"/>
  <c r="S32" i="6"/>
  <c r="R32" i="6"/>
  <c r="Q32" i="6"/>
  <c r="P32" i="6"/>
  <c r="O32" i="6"/>
  <c r="N32" i="6"/>
  <c r="M32" i="6"/>
  <c r="L32" i="6"/>
  <c r="K32" i="6"/>
  <c r="J32" i="6"/>
  <c r="I32" i="6"/>
  <c r="H32" i="6"/>
  <c r="G32" i="6"/>
  <c r="E32" i="6"/>
  <c r="AG30" i="6"/>
  <c r="AF30" i="6"/>
  <c r="AE30"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AG42" i="6"/>
  <c r="AG38" i="6"/>
  <c r="AE34" i="6"/>
  <c r="AF34" i="6"/>
  <c r="AG34" i="6"/>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F26" i="6"/>
  <c r="D26" i="6"/>
  <c r="E26" i="6"/>
  <c r="C42" i="6"/>
  <c r="C38" i="6"/>
  <c r="C36" i="6"/>
  <c r="C34" i="6"/>
  <c r="C32" i="6"/>
  <c r="C30" i="6"/>
  <c r="C26" i="6"/>
  <c r="A9" i="32"/>
  <c r="A9" i="31"/>
  <c r="A9" i="30"/>
  <c r="AP111" i="30"/>
  <c r="AO111" i="30"/>
  <c r="AM111" i="30"/>
  <c r="AL111" i="30"/>
  <c r="AK111" i="30"/>
  <c r="AH111" i="30"/>
  <c r="AP63" i="30"/>
  <c r="AO63" i="30"/>
  <c r="AM63" i="30"/>
  <c r="AL63" i="30"/>
  <c r="AK63" i="30"/>
  <c r="AH63" i="30"/>
  <c r="AP142" i="30"/>
  <c r="AO142" i="30"/>
  <c r="AM142" i="30"/>
  <c r="AL142" i="30"/>
  <c r="AK142" i="30"/>
  <c r="AH142" i="30"/>
  <c r="AO40" i="30"/>
  <c r="AM40" i="30"/>
  <c r="AH40" i="30"/>
  <c r="A9" i="29"/>
  <c r="AP34" i="28"/>
  <c r="AO34" i="28"/>
  <c r="AM34" i="28"/>
  <c r="AL34" i="28"/>
  <c r="AK34" i="28"/>
  <c r="AJ34" i="28"/>
  <c r="AH34" i="28"/>
  <c r="AP33" i="28"/>
  <c r="AO33" i="28"/>
  <c r="AM33" i="28"/>
  <c r="AL33" i="28"/>
  <c r="AK33" i="28"/>
  <c r="AJ33" i="28"/>
  <c r="AH33" i="28"/>
  <c r="AP13" i="28"/>
  <c r="AO13" i="28"/>
  <c r="AM13" i="28"/>
  <c r="AL13" i="28"/>
  <c r="AK13" i="28"/>
  <c r="AJ13" i="28"/>
  <c r="AH13" i="28"/>
  <c r="AP12" i="28"/>
  <c r="AO12" i="28"/>
  <c r="AM12" i="28"/>
  <c r="AL12" i="28"/>
  <c r="AK12" i="28"/>
  <c r="AJ12" i="28"/>
  <c r="AH12" i="28"/>
  <c r="AP11" i="28"/>
  <c r="AO11" i="28"/>
  <c r="AM11" i="28"/>
  <c r="AK11" i="28"/>
  <c r="AJ11" i="28"/>
  <c r="AH11" i="28"/>
  <c r="AP30" i="27"/>
  <c r="AO30" i="27"/>
  <c r="AM30" i="27"/>
  <c r="AL30" i="27"/>
  <c r="AK30" i="27"/>
  <c r="AJ30" i="27"/>
  <c r="AP14" i="27"/>
  <c r="AO14" i="27"/>
  <c r="AM14" i="27"/>
  <c r="AL14" i="27"/>
  <c r="AK14" i="27"/>
  <c r="AJ14" i="27"/>
  <c r="AP13" i="27"/>
  <c r="AO13" i="27"/>
  <c r="AM13" i="27"/>
  <c r="AL13" i="27"/>
  <c r="AK13" i="27"/>
  <c r="AJ13" i="27"/>
  <c r="AP12" i="27"/>
  <c r="AO12" i="27"/>
  <c r="AM12" i="27"/>
  <c r="AL12" i="27"/>
  <c r="AK12" i="27"/>
  <c r="AJ12" i="27"/>
  <c r="AP11" i="27"/>
  <c r="AO11" i="27"/>
  <c r="AM11" i="27"/>
  <c r="AL11" i="27"/>
  <c r="AK11" i="27"/>
  <c r="AJ11" i="27"/>
  <c r="AH11" i="27"/>
  <c r="A9" i="36"/>
  <c r="AM11" i="4"/>
  <c r="AM12" i="4"/>
  <c r="AM13" i="4"/>
  <c r="AM14" i="4"/>
  <c r="AM30" i="4"/>
  <c r="R5" i="5"/>
  <c r="R6" i="5"/>
  <c r="B13" i="31" s="1"/>
  <c r="R7" i="5"/>
  <c r="B14" i="31" s="1"/>
  <c r="R8" i="5"/>
  <c r="B15" i="31" s="1"/>
  <c r="R4" i="5"/>
  <c r="B11" i="29" s="1"/>
  <c r="B14" i="4"/>
  <c r="AJ30" i="4"/>
  <c r="AL30" i="4"/>
  <c r="AL11" i="4"/>
  <c r="AL12" i="4"/>
  <c r="AL13" i="4"/>
  <c r="AL14" i="4"/>
  <c r="AJ11" i="4"/>
  <c r="AJ12" i="4"/>
  <c r="AJ13" i="4"/>
  <c r="AJ14" i="4"/>
  <c r="K6" i="6"/>
  <c r="B6" i="6"/>
  <c r="B10" i="6"/>
  <c r="W10" i="6"/>
  <c r="K10" i="6"/>
  <c r="AE8" i="6"/>
  <c r="W8" i="6"/>
  <c r="K8" i="6"/>
  <c r="B8" i="6"/>
  <c r="AE6" i="6"/>
  <c r="W6" i="6"/>
  <c r="P4" i="6"/>
  <c r="AK30" i="4"/>
  <c r="AK13" i="4"/>
  <c r="AK12" i="4"/>
  <c r="AK14" i="4"/>
  <c r="AK11" i="4"/>
  <c r="AO14" i="4"/>
  <c r="AO12" i="4"/>
  <c r="AO13" i="4"/>
  <c r="AO11" i="4"/>
  <c r="AO30" i="4"/>
  <c r="AQ21" i="4"/>
  <c r="AQ24" i="4"/>
  <c r="AQ17" i="4"/>
  <c r="AQ19" i="4"/>
  <c r="AQ12" i="4"/>
  <c r="AQ25" i="4"/>
  <c r="AQ18" i="4"/>
  <c r="AQ11" i="4"/>
  <c r="AQ22" i="4"/>
  <c r="AQ27" i="4"/>
  <c r="AQ23" i="4"/>
  <c r="AQ30" i="4"/>
  <c r="AQ28" i="4"/>
  <c r="AQ26" i="4"/>
  <c r="AQ16" i="4"/>
  <c r="AQ20" i="4"/>
  <c r="AQ14" i="4"/>
  <c r="AQ29" i="4"/>
  <c r="AQ13" i="4"/>
  <c r="AQ15" i="4"/>
  <c r="CW33" i="32" l="1"/>
  <c r="CW25" i="32"/>
  <c r="CY32" i="32"/>
  <c r="CY28" i="32"/>
  <c r="CY24" i="32"/>
  <c r="CY20" i="32"/>
  <c r="CY16" i="32"/>
  <c r="CY12" i="32"/>
  <c r="CW29" i="32"/>
  <c r="CW21" i="32"/>
  <c r="CY31" i="32"/>
  <c r="CY27" i="32"/>
  <c r="CY23" i="32"/>
  <c r="CY19" i="32"/>
  <c r="CY15" i="32"/>
  <c r="CY34" i="32"/>
  <c r="CY30" i="32"/>
  <c r="CY26" i="32"/>
  <c r="CY22" i="32"/>
  <c r="CY18" i="32"/>
  <c r="CY14" i="32"/>
  <c r="CY33" i="32"/>
  <c r="CY29" i="32"/>
  <c r="CY25" i="32"/>
  <c r="CY21" i="32"/>
  <c r="CY17" i="32"/>
  <c r="CY13" i="32"/>
  <c r="CV32" i="32"/>
  <c r="CV28" i="32"/>
  <c r="CV24" i="32"/>
  <c r="CV20" i="32"/>
  <c r="CW17" i="32"/>
  <c r="CV16" i="32"/>
  <c r="CW13" i="32"/>
  <c r="CW34" i="32"/>
  <c r="CW30" i="32"/>
  <c r="CW26" i="32"/>
  <c r="CW22" i="32"/>
  <c r="CW18" i="32"/>
  <c r="CW14" i="32"/>
  <c r="CW31" i="32"/>
  <c r="CW27" i="32"/>
  <c r="CW23" i="32"/>
  <c r="CW19" i="32"/>
  <c r="CW15" i="32"/>
  <c r="CW32" i="32"/>
  <c r="CW28" i="32"/>
  <c r="CW24" i="32"/>
  <c r="CW20" i="32"/>
  <c r="CW16" i="32"/>
  <c r="CW12" i="32"/>
  <c r="CV33" i="32"/>
  <c r="CV29" i="32"/>
  <c r="CV25" i="32"/>
  <c r="CV21" i="32"/>
  <c r="CV17" i="32"/>
  <c r="CV13" i="32"/>
  <c r="CV34" i="32"/>
  <c r="CV30" i="32"/>
  <c r="CV26" i="32"/>
  <c r="CV22" i="32"/>
  <c r="CV18" i="32"/>
  <c r="CV14" i="32"/>
  <c r="CV12" i="32"/>
  <c r="CV31" i="32"/>
  <c r="CV27" i="32"/>
  <c r="CV23" i="32"/>
  <c r="CV19" i="32"/>
  <c r="CV15" i="32"/>
  <c r="B138" i="36"/>
  <c r="B137" i="29"/>
  <c r="B137" i="30"/>
  <c r="B137" i="37"/>
  <c r="B137" i="31"/>
  <c r="B130" i="29"/>
  <c r="B134" i="36"/>
  <c r="B133" i="30"/>
  <c r="B133" i="37"/>
  <c r="B133" i="29"/>
  <c r="B133" i="31"/>
  <c r="B129" i="36"/>
  <c r="B129" i="29"/>
  <c r="B129" i="37"/>
  <c r="B129" i="30"/>
  <c r="B129" i="31"/>
  <c r="B125" i="36"/>
  <c r="B125" i="30"/>
  <c r="B125" i="37"/>
  <c r="B125" i="29"/>
  <c r="B125" i="31"/>
  <c r="B118" i="29"/>
  <c r="B121" i="36"/>
  <c r="B121" i="30"/>
  <c r="B121" i="37"/>
  <c r="B121" i="31"/>
  <c r="B117" i="36"/>
  <c r="B117" i="30"/>
  <c r="B117" i="29"/>
  <c r="B117" i="37"/>
  <c r="B117" i="31"/>
  <c r="B113" i="36"/>
  <c r="B113" i="30"/>
  <c r="B113" i="29"/>
  <c r="B113" i="37"/>
  <c r="B113" i="31"/>
  <c r="B109" i="36"/>
  <c r="B109" i="37"/>
  <c r="B109" i="31"/>
  <c r="B105" i="36"/>
  <c r="B105" i="30"/>
  <c r="B105" i="37"/>
  <c r="B105" i="31"/>
  <c r="B101" i="36"/>
  <c r="B101" i="30"/>
  <c r="B101" i="37"/>
  <c r="B101" i="31"/>
  <c r="B97" i="36"/>
  <c r="B97" i="30"/>
  <c r="B97" i="37"/>
  <c r="B97" i="31"/>
  <c r="B93" i="37"/>
  <c r="B93" i="31"/>
  <c r="B88" i="30"/>
  <c r="B88" i="29"/>
  <c r="B88" i="37"/>
  <c r="B88" i="31"/>
  <c r="B88" i="39"/>
  <c r="B84" i="36"/>
  <c r="B84" i="29"/>
  <c r="B84" i="37"/>
  <c r="B84" i="31"/>
  <c r="B84" i="39"/>
  <c r="B80" i="30"/>
  <c r="B80" i="37"/>
  <c r="B80" i="31"/>
  <c r="B80" i="39"/>
  <c r="B76" i="36"/>
  <c r="B76" i="29"/>
  <c r="B76" i="37"/>
  <c r="B76" i="31"/>
  <c r="B76" i="39"/>
  <c r="B72" i="36"/>
  <c r="B72" i="29"/>
  <c r="B72" i="30"/>
  <c r="B72" i="37"/>
  <c r="B72" i="31"/>
  <c r="B68" i="29"/>
  <c r="B68" i="37"/>
  <c r="B68" i="31"/>
  <c r="B64" i="36"/>
  <c r="B64" i="37"/>
  <c r="B64" i="31"/>
  <c r="B60" i="30"/>
  <c r="B60" i="37"/>
  <c r="B60" i="31"/>
  <c r="B56" i="36"/>
  <c r="B56" i="37"/>
  <c r="B56" i="31"/>
  <c r="B52" i="29"/>
  <c r="B52" i="36"/>
  <c r="B52" i="30"/>
  <c r="B52" i="37"/>
  <c r="B52" i="31"/>
  <c r="B48" i="36"/>
  <c r="B48" i="29"/>
  <c r="B48" i="30"/>
  <c r="B48" i="37"/>
  <c r="B48" i="31"/>
  <c r="B44" i="29"/>
  <c r="B44" i="36"/>
  <c r="B44" i="30"/>
  <c r="B44" i="37"/>
  <c r="B44" i="31"/>
  <c r="B40" i="36"/>
  <c r="B40" i="37"/>
  <c r="B40" i="31"/>
  <c r="B36" i="29"/>
  <c r="B36" i="36"/>
  <c r="B36" i="30"/>
  <c r="B36" i="37"/>
  <c r="B36" i="31"/>
  <c r="B32" i="36"/>
  <c r="B32" i="31"/>
  <c r="B32" i="37"/>
  <c r="B28" i="36"/>
  <c r="B28" i="30"/>
  <c r="B28" i="29"/>
  <c r="B28" i="37"/>
  <c r="B24" i="36"/>
  <c r="B24" i="29"/>
  <c r="B24" i="37"/>
  <c r="B20" i="36"/>
  <c r="B20" i="30"/>
  <c r="B20" i="29"/>
  <c r="B20" i="37"/>
  <c r="B12" i="39"/>
  <c r="B12" i="36"/>
  <c r="B12" i="29"/>
  <c r="B136" i="30"/>
  <c r="B136" i="37"/>
  <c r="B136" i="29"/>
  <c r="B136" i="31"/>
  <c r="B133" i="36"/>
  <c r="B132" i="37"/>
  <c r="B132" i="30"/>
  <c r="B132" i="31"/>
  <c r="B132" i="29"/>
  <c r="B128" i="36"/>
  <c r="B128" i="29"/>
  <c r="B128" i="30"/>
  <c r="B128" i="37"/>
  <c r="B128" i="31"/>
  <c r="B121" i="29"/>
  <c r="B124" i="36"/>
  <c r="B124" i="37"/>
  <c r="B124" i="29"/>
  <c r="B124" i="30"/>
  <c r="B124" i="31"/>
  <c r="B120" i="36"/>
  <c r="B120" i="37"/>
  <c r="B120" i="30"/>
  <c r="B120" i="31"/>
  <c r="B116" i="36"/>
  <c r="B116" i="37"/>
  <c r="B116" i="31"/>
  <c r="B112" i="37"/>
  <c r="B112" i="31"/>
  <c r="B108" i="36"/>
  <c r="B108" i="37"/>
  <c r="B108" i="31"/>
  <c r="B101" i="29"/>
  <c r="B104" i="36"/>
  <c r="B104" i="29"/>
  <c r="B104" i="30"/>
  <c r="B104" i="37"/>
  <c r="B104" i="31"/>
  <c r="B100" i="36"/>
  <c r="B100" i="29"/>
  <c r="B100" i="37"/>
  <c r="B100" i="31"/>
  <c r="B96" i="30"/>
  <c r="B96" i="37"/>
  <c r="B96" i="31"/>
  <c r="B89" i="29"/>
  <c r="B92" i="36"/>
  <c r="B92" i="30"/>
  <c r="B92" i="37"/>
  <c r="B92" i="29"/>
  <c r="B92" i="31"/>
  <c r="B87" i="36"/>
  <c r="B87" i="30"/>
  <c r="B87" i="37"/>
  <c r="B87" i="31"/>
  <c r="B87" i="39"/>
  <c r="B83" i="36"/>
  <c r="B83" i="29"/>
  <c r="B83" i="37"/>
  <c r="B83" i="31"/>
  <c r="B83" i="39"/>
  <c r="B79" i="36"/>
  <c r="B79" i="29"/>
  <c r="B79" i="37"/>
  <c r="B79" i="31"/>
  <c r="B79" i="39"/>
  <c r="B75" i="29"/>
  <c r="B75" i="37"/>
  <c r="B75" i="31"/>
  <c r="B71" i="36"/>
  <c r="B71" i="30"/>
  <c r="B71" i="37"/>
  <c r="B71" i="31"/>
  <c r="B67" i="36"/>
  <c r="B67" i="37"/>
  <c r="B67" i="31"/>
  <c r="B63" i="36"/>
  <c r="B63" i="37"/>
  <c r="B63" i="29"/>
  <c r="B63" i="31"/>
  <c r="B59" i="30"/>
  <c r="B59" i="37"/>
  <c r="B59" i="31"/>
  <c r="B55" i="36"/>
  <c r="B55" i="30"/>
  <c r="B55" i="29"/>
  <c r="B55" i="37"/>
  <c r="B55" i="31"/>
  <c r="B51" i="36"/>
  <c r="B51" i="29"/>
  <c r="B51" i="37"/>
  <c r="B51" i="31"/>
  <c r="B47" i="29"/>
  <c r="B47" i="36"/>
  <c r="B47" i="30"/>
  <c r="B47" i="37"/>
  <c r="B47" i="31"/>
  <c r="B43" i="29"/>
  <c r="B43" i="36"/>
  <c r="B43" i="37"/>
  <c r="B43" i="30"/>
  <c r="B43" i="31"/>
  <c r="B39" i="29"/>
  <c r="B39" i="36"/>
  <c r="B39" i="37"/>
  <c r="B39" i="30"/>
  <c r="B39" i="31"/>
  <c r="B35" i="36"/>
  <c r="B35" i="37"/>
  <c r="B35" i="31"/>
  <c r="B31" i="36"/>
  <c r="B31" i="31"/>
  <c r="B31" i="37"/>
  <c r="B27" i="36"/>
  <c r="B27" i="29"/>
  <c r="B27" i="37"/>
  <c r="B23" i="36"/>
  <c r="B23" i="29"/>
  <c r="B23" i="37"/>
  <c r="B19" i="36"/>
  <c r="B19" i="37"/>
  <c r="B14" i="36"/>
  <c r="B14" i="30"/>
  <c r="B14" i="29"/>
  <c r="B136" i="36"/>
  <c r="B135" i="30"/>
  <c r="B135" i="37"/>
  <c r="B135" i="29"/>
  <c r="B135" i="31"/>
  <c r="B132" i="36"/>
  <c r="B131" i="36"/>
  <c r="B131" i="37"/>
  <c r="B131" i="30"/>
  <c r="B131" i="31"/>
  <c r="B131" i="29"/>
  <c r="B127" i="36"/>
  <c r="B127" i="37"/>
  <c r="B127" i="30"/>
  <c r="B127" i="31"/>
  <c r="B120" i="29"/>
  <c r="B123" i="36"/>
  <c r="B123" i="37"/>
  <c r="B123" i="29"/>
  <c r="B123" i="30"/>
  <c r="B123" i="31"/>
  <c r="B119" i="36"/>
  <c r="B119" i="37"/>
  <c r="B119" i="31"/>
  <c r="B115" i="37"/>
  <c r="B115" i="31"/>
  <c r="B111" i="36"/>
  <c r="B111" i="37"/>
  <c r="B111" i="31"/>
  <c r="B107" i="36"/>
  <c r="B107" i="30"/>
  <c r="B107" i="37"/>
  <c r="B107" i="31"/>
  <c r="B103" i="36"/>
  <c r="B103" i="30"/>
  <c r="B103" i="37"/>
  <c r="B103" i="31"/>
  <c r="B99" i="36"/>
  <c r="B99" i="37"/>
  <c r="B99" i="31"/>
  <c r="B95" i="36"/>
  <c r="B95" i="30"/>
  <c r="B95" i="37"/>
  <c r="B95" i="29"/>
  <c r="B95" i="31"/>
  <c r="B91" i="30"/>
  <c r="B91" i="36"/>
  <c r="B91" i="37"/>
  <c r="B91" i="29"/>
  <c r="B91" i="31"/>
  <c r="B86" i="36"/>
  <c r="B86" i="37"/>
  <c r="B86" i="31"/>
  <c r="B86" i="39"/>
  <c r="B82" i="36"/>
  <c r="B82" i="30"/>
  <c r="B82" i="37"/>
  <c r="B82" i="31"/>
  <c r="B82" i="39"/>
  <c r="B78" i="36"/>
  <c r="B78" i="37"/>
  <c r="B78" i="31"/>
  <c r="B78" i="39"/>
  <c r="B74" i="36"/>
  <c r="B74" i="37"/>
  <c r="B74" i="31"/>
  <c r="B70" i="36"/>
  <c r="B70" i="37"/>
  <c r="B70" i="31"/>
  <c r="B66" i="37"/>
  <c r="B66" i="31"/>
  <c r="B62" i="36"/>
  <c r="B62" i="30"/>
  <c r="B62" i="37"/>
  <c r="B62" i="29"/>
  <c r="B62" i="31"/>
  <c r="B58" i="36"/>
  <c r="B58" i="30"/>
  <c r="B58" i="37"/>
  <c r="B58" i="29"/>
  <c r="B58" i="31"/>
  <c r="B54" i="36"/>
  <c r="B54" i="37"/>
  <c r="B54" i="31"/>
  <c r="B50" i="29"/>
  <c r="B50" i="36"/>
  <c r="B50" i="37"/>
  <c r="B50" i="30"/>
  <c r="B50" i="31"/>
  <c r="B46" i="37"/>
  <c r="B46" i="29"/>
  <c r="B46" i="31"/>
  <c r="B42" i="36"/>
  <c r="B42" i="37"/>
  <c r="B42" i="29"/>
  <c r="B42" i="30"/>
  <c r="B42" i="31"/>
  <c r="B38" i="29"/>
  <c r="B38" i="36"/>
  <c r="B38" i="37"/>
  <c r="B38" i="30"/>
  <c r="B38" i="31"/>
  <c r="B34" i="37"/>
  <c r="B34" i="30"/>
  <c r="B34" i="31"/>
  <c r="B30" i="36"/>
  <c r="B30" i="30"/>
  <c r="B30" i="29"/>
  <c r="B30" i="37"/>
  <c r="B26" i="36"/>
  <c r="B26" i="37"/>
  <c r="B22" i="30"/>
  <c r="B22" i="37"/>
  <c r="B18" i="30"/>
  <c r="B18" i="36"/>
  <c r="B18" i="29"/>
  <c r="B18" i="37"/>
  <c r="B17" i="31"/>
  <c r="B12" i="31"/>
  <c r="B11" i="31"/>
  <c r="B13" i="36"/>
  <c r="B13" i="30"/>
  <c r="B13" i="29"/>
  <c r="B139" i="36"/>
  <c r="B138" i="30"/>
  <c r="B138" i="29"/>
  <c r="B138" i="37"/>
  <c r="B138" i="31"/>
  <c r="B135" i="36"/>
  <c r="B134" i="29"/>
  <c r="B134" i="37"/>
  <c r="B134" i="31"/>
  <c r="B127" i="29"/>
  <c r="B130" i="36"/>
  <c r="B130" i="30"/>
  <c r="B130" i="37"/>
  <c r="B130" i="31"/>
  <c r="B126" i="36"/>
  <c r="B126" i="29"/>
  <c r="B126" i="30"/>
  <c r="B126" i="37"/>
  <c r="B126" i="31"/>
  <c r="B122" i="36"/>
  <c r="B122" i="29"/>
  <c r="B122" i="30"/>
  <c r="B122" i="37"/>
  <c r="B122" i="31"/>
  <c r="B118" i="36"/>
  <c r="B118" i="37"/>
  <c r="B118" i="31"/>
  <c r="B114" i="36"/>
  <c r="B114" i="29"/>
  <c r="B114" i="37"/>
  <c r="B114" i="31"/>
  <c r="B110" i="29"/>
  <c r="B110" i="37"/>
  <c r="B110" i="31"/>
  <c r="B103" i="29"/>
  <c r="B106" i="36"/>
  <c r="B106" i="30"/>
  <c r="B106" i="37"/>
  <c r="B106" i="31"/>
  <c r="B102" i="36"/>
  <c r="B102" i="29"/>
  <c r="B102" i="37"/>
  <c r="B102" i="31"/>
  <c r="B98" i="29"/>
  <c r="B98" i="37"/>
  <c r="B98" i="31"/>
  <c r="B94" i="36"/>
  <c r="B94" i="30"/>
  <c r="B94" i="29"/>
  <c r="B94" i="37"/>
  <c r="B94" i="31"/>
  <c r="B90" i="37"/>
  <c r="B90" i="31"/>
  <c r="B85" i="36"/>
  <c r="B85" i="29"/>
  <c r="B85" i="37"/>
  <c r="B85" i="31"/>
  <c r="B81" i="36"/>
  <c r="B81" i="29"/>
  <c r="B81" i="37"/>
  <c r="B81" i="31"/>
  <c r="B77" i="36"/>
  <c r="B77" i="37"/>
  <c r="B77" i="31"/>
  <c r="B77" i="39"/>
  <c r="B70" i="29"/>
  <c r="B73" i="36"/>
  <c r="B73" i="30"/>
  <c r="B73" i="37"/>
  <c r="B73" i="31"/>
  <c r="B69" i="36"/>
  <c r="B69" i="29"/>
  <c r="B69" i="37"/>
  <c r="B69" i="31"/>
  <c r="B65" i="36"/>
  <c r="B65" i="30"/>
  <c r="B65" i="37"/>
  <c r="B65" i="31"/>
  <c r="B61" i="36"/>
  <c r="B61" i="29"/>
  <c r="B61" i="37"/>
  <c r="B61" i="31"/>
  <c r="B57" i="36"/>
  <c r="B57" i="29"/>
  <c r="B57" i="37"/>
  <c r="B57" i="31"/>
  <c r="B53" i="29"/>
  <c r="B53" i="36"/>
  <c r="B53" i="30"/>
  <c r="B53" i="37"/>
  <c r="B53" i="31"/>
  <c r="B49" i="36"/>
  <c r="B49" i="29"/>
  <c r="B49" i="30"/>
  <c r="B49" i="37"/>
  <c r="B49" i="31"/>
  <c r="B45" i="29"/>
  <c r="B45" i="36"/>
  <c r="B45" i="30"/>
  <c r="B45" i="37"/>
  <c r="B45" i="31"/>
  <c r="B41" i="30"/>
  <c r="B41" i="37"/>
  <c r="B41" i="31"/>
  <c r="B37" i="36"/>
  <c r="B37" i="29"/>
  <c r="B37" i="37"/>
  <c r="B37" i="31"/>
  <c r="B33" i="36"/>
  <c r="B33" i="29"/>
  <c r="B33" i="31"/>
  <c r="B33" i="37"/>
  <c r="B29" i="36"/>
  <c r="B29" i="37"/>
  <c r="B25" i="36"/>
  <c r="B25" i="37"/>
  <c r="B21" i="36"/>
  <c r="B21" i="29"/>
  <c r="B21" i="37"/>
  <c r="B28" i="31"/>
  <c r="B24" i="31"/>
  <c r="B20" i="31"/>
  <c r="B74" i="39"/>
  <c r="CV63" i="30"/>
  <c r="CV147" i="30"/>
  <c r="CV145" i="30"/>
  <c r="CV152" i="30"/>
  <c r="CV138" i="30"/>
  <c r="CV31" i="30"/>
  <c r="CV144" i="30"/>
  <c r="CV102" i="30"/>
  <c r="CV68" i="30"/>
  <c r="CV142" i="30"/>
  <c r="CV111" i="30"/>
  <c r="CY111" i="30" s="1"/>
  <c r="CV148" i="30"/>
  <c r="CY148" i="30" s="1"/>
  <c r="CV85" i="30"/>
  <c r="CV139" i="30"/>
  <c r="CV29" i="30"/>
  <c r="CV21" i="30"/>
  <c r="CV125" i="30"/>
  <c r="CV112" i="30"/>
  <c r="CV140" i="30"/>
  <c r="CV64" i="30"/>
  <c r="CV40" i="30"/>
  <c r="CW152" i="30"/>
  <c r="CW63" i="30"/>
  <c r="CW85" i="30"/>
  <c r="CW29" i="30"/>
  <c r="CW125" i="30"/>
  <c r="CW140" i="30"/>
  <c r="CW142" i="30"/>
  <c r="CW102" i="30"/>
  <c r="CW111" i="30"/>
  <c r="CW145" i="30"/>
  <c r="CW138" i="30"/>
  <c r="CW144" i="30"/>
  <c r="CW68" i="30"/>
  <c r="CW40" i="30"/>
  <c r="CW147" i="30"/>
  <c r="CW31" i="30"/>
  <c r="CW148" i="30"/>
  <c r="CW139" i="30"/>
  <c r="CW21" i="30"/>
  <c r="CW112" i="30"/>
  <c r="CW64" i="30"/>
  <c r="B15" i="36"/>
  <c r="B15" i="29"/>
  <c r="B90" i="36"/>
  <c r="B87" i="29"/>
  <c r="B11" i="30"/>
  <c r="BL43" i="6"/>
  <c r="BL33" i="6"/>
  <c r="BL39" i="6"/>
  <c r="BL25" i="6"/>
  <c r="BL35" i="6"/>
  <c r="BL29" i="6"/>
  <c r="BL37" i="6"/>
  <c r="BL31" i="6"/>
  <c r="BL41" i="6"/>
  <c r="BK33" i="6"/>
  <c r="BL21" i="6"/>
  <c r="BK39" i="6"/>
  <c r="BK25" i="6"/>
  <c r="BK35" i="6"/>
  <c r="BK29" i="6"/>
  <c r="BK37" i="6"/>
  <c r="BK31" i="6"/>
  <c r="BK41" i="6"/>
  <c r="BK43" i="6"/>
  <c r="BK21" i="6"/>
  <c r="BJ33" i="6"/>
  <c r="BJ39" i="6"/>
  <c r="BJ25" i="6"/>
  <c r="BJ35" i="6"/>
  <c r="BJ29" i="6"/>
  <c r="BJ37" i="6"/>
  <c r="BJ31" i="6"/>
  <c r="BJ41" i="6"/>
  <c r="BJ43" i="6"/>
  <c r="BI33" i="6"/>
  <c r="BJ21" i="6"/>
  <c r="BI39" i="6"/>
  <c r="BI25" i="6"/>
  <c r="BI35" i="6"/>
  <c r="BI29" i="6"/>
  <c r="BI37" i="6"/>
  <c r="BI31" i="6"/>
  <c r="BI41" i="6"/>
  <c r="BI43" i="6"/>
  <c r="BI21" i="6"/>
  <c r="BH33" i="6"/>
  <c r="BH39" i="6"/>
  <c r="BH25" i="6"/>
  <c r="BH35" i="6"/>
  <c r="BH29" i="6"/>
  <c r="BH37" i="6"/>
  <c r="BH31" i="6"/>
  <c r="BH41" i="6"/>
  <c r="BH43" i="6"/>
  <c r="BG25" i="6"/>
  <c r="BG35" i="6"/>
  <c r="BG43" i="6"/>
  <c r="BH21" i="6"/>
  <c r="BG33" i="6"/>
  <c r="BG39" i="6"/>
  <c r="BG29" i="6"/>
  <c r="BG37" i="6"/>
  <c r="BG31" i="6"/>
  <c r="BG41" i="6"/>
  <c r="BG21" i="6"/>
  <c r="BF35" i="6"/>
  <c r="BF29" i="6"/>
  <c r="BF37" i="6"/>
  <c r="BF43" i="6"/>
  <c r="BF33" i="6"/>
  <c r="BF39" i="6"/>
  <c r="BF25" i="6"/>
  <c r="BF31" i="6"/>
  <c r="BF41" i="6"/>
  <c r="BF21" i="6"/>
  <c r="BE33" i="6"/>
  <c r="BE39" i="6"/>
  <c r="BE25" i="6"/>
  <c r="BE35" i="6"/>
  <c r="BE29" i="6"/>
  <c r="BE37" i="6"/>
  <c r="BE31" i="6"/>
  <c r="BE41" i="6"/>
  <c r="BE43" i="6"/>
  <c r="BE21" i="6"/>
  <c r="BD33" i="6"/>
  <c r="BD39" i="6"/>
  <c r="BD25" i="6"/>
  <c r="BD35" i="6"/>
  <c r="BD29" i="6"/>
  <c r="BD37" i="6"/>
  <c r="BD31" i="6"/>
  <c r="BD41" i="6"/>
  <c r="BD43" i="6"/>
  <c r="BD21" i="6"/>
  <c r="BC33" i="6"/>
  <c r="BC39" i="6"/>
  <c r="BC25" i="6"/>
  <c r="BC35" i="6"/>
  <c r="BC29" i="6"/>
  <c r="BC37" i="6"/>
  <c r="BC31" i="6"/>
  <c r="BC41" i="6"/>
  <c r="BC43" i="6"/>
  <c r="BC21" i="6"/>
  <c r="BB33" i="6"/>
  <c r="BB39" i="6"/>
  <c r="BB25" i="6"/>
  <c r="BB35" i="6"/>
  <c r="BB29" i="6"/>
  <c r="BB37" i="6"/>
  <c r="BB31" i="6"/>
  <c r="BB41" i="6"/>
  <c r="BB43" i="6"/>
  <c r="BB21" i="6"/>
  <c r="BA29" i="6"/>
  <c r="BA37" i="6"/>
  <c r="BA33" i="6"/>
  <c r="BA39" i="6"/>
  <c r="BA25" i="6"/>
  <c r="BA35" i="6"/>
  <c r="BA31" i="6"/>
  <c r="BA41" i="6"/>
  <c r="BA43" i="6"/>
  <c r="AZ33" i="6"/>
  <c r="BA21" i="6"/>
  <c r="AZ39" i="6"/>
  <c r="AZ25" i="6"/>
  <c r="AZ35" i="6"/>
  <c r="AZ29" i="6"/>
  <c r="AZ37" i="6"/>
  <c r="AZ31" i="6"/>
  <c r="AZ41" i="6"/>
  <c r="AZ43" i="6"/>
  <c r="AZ21" i="6"/>
  <c r="AY33" i="6"/>
  <c r="AY39" i="6"/>
  <c r="AY25" i="6"/>
  <c r="AY35" i="6"/>
  <c r="AY29" i="6"/>
  <c r="AY37" i="6"/>
  <c r="AY31" i="6"/>
  <c r="AY41" i="6"/>
  <c r="AY43" i="6"/>
  <c r="AY21" i="6"/>
  <c r="AX33" i="6"/>
  <c r="AX39" i="6"/>
  <c r="AX25" i="6"/>
  <c r="AX35" i="6"/>
  <c r="AX29" i="6"/>
  <c r="AX37" i="6"/>
  <c r="AX31" i="6"/>
  <c r="AX41" i="6"/>
  <c r="AX43" i="6"/>
  <c r="AW33" i="6"/>
  <c r="AX21" i="6"/>
  <c r="AW39" i="6"/>
  <c r="AW25" i="6"/>
  <c r="AW35" i="6"/>
  <c r="AW29" i="6"/>
  <c r="AW37" i="6"/>
  <c r="AW31" i="6"/>
  <c r="AW41" i="6"/>
  <c r="AW43" i="6"/>
  <c r="AW21" i="6"/>
  <c r="AV33" i="6"/>
  <c r="AV39" i="6"/>
  <c r="AV25" i="6"/>
  <c r="AV35" i="6"/>
  <c r="AU29" i="6"/>
  <c r="AV29" i="6"/>
  <c r="AU37" i="6"/>
  <c r="AV37" i="6"/>
  <c r="AV31" i="6"/>
  <c r="AV41" i="6"/>
  <c r="AU43" i="6"/>
  <c r="AV43" i="6"/>
  <c r="AV21" i="6"/>
  <c r="AU33" i="6"/>
  <c r="AU39" i="6"/>
  <c r="AU25" i="6"/>
  <c r="AU35" i="6"/>
  <c r="AU31" i="6"/>
  <c r="AU41" i="6"/>
  <c r="AU21" i="6"/>
  <c r="AT43" i="6"/>
  <c r="AT35" i="6"/>
  <c r="AT41" i="6"/>
  <c r="AT39" i="6"/>
  <c r="AT37" i="6"/>
  <c r="AT33" i="6"/>
  <c r="AT31" i="6"/>
  <c r="AT29" i="6"/>
  <c r="AS33" i="6"/>
  <c r="AS25" i="6"/>
  <c r="AT25" i="6"/>
  <c r="AS35" i="6"/>
  <c r="AS43" i="6"/>
  <c r="AS39" i="6"/>
  <c r="AS29" i="6"/>
  <c r="AS37" i="6"/>
  <c r="AS31" i="6"/>
  <c r="AS41" i="6"/>
  <c r="AT21" i="6"/>
  <c r="AS21" i="6"/>
  <c r="AR33" i="6"/>
  <c r="AR39" i="6"/>
  <c r="AR25" i="6"/>
  <c r="AR35" i="6"/>
  <c r="AR29" i="6"/>
  <c r="AR37" i="6"/>
  <c r="AR31" i="6"/>
  <c r="AR41" i="6"/>
  <c r="AR43" i="6"/>
  <c r="AQ25" i="6"/>
  <c r="AQ35" i="6"/>
  <c r="AR21" i="6"/>
  <c r="AQ33" i="6"/>
  <c r="AQ39" i="6"/>
  <c r="AQ29" i="6"/>
  <c r="AQ37" i="6"/>
  <c r="AQ31" i="6"/>
  <c r="AQ41" i="6"/>
  <c r="AQ43" i="6"/>
  <c r="AP35" i="6"/>
  <c r="AP43" i="6"/>
  <c r="AQ21" i="6"/>
  <c r="AP29" i="6"/>
  <c r="AP37" i="6"/>
  <c r="AP33" i="6"/>
  <c r="AP39" i="6"/>
  <c r="AP25" i="6"/>
  <c r="AP31" i="6"/>
  <c r="AP41" i="6"/>
  <c r="AO35" i="6"/>
  <c r="AP21" i="6"/>
  <c r="AO25" i="6"/>
  <c r="AO33" i="6"/>
  <c r="AO39" i="6"/>
  <c r="AO29" i="6"/>
  <c r="AO37" i="6"/>
  <c r="AO31" i="6"/>
  <c r="AO41" i="6"/>
  <c r="AO43" i="6"/>
  <c r="AO21" i="6"/>
  <c r="AN33" i="6"/>
  <c r="AN39" i="6"/>
  <c r="AN25" i="6"/>
  <c r="AN35" i="6"/>
  <c r="AN29" i="6"/>
  <c r="AN37" i="6"/>
  <c r="AN31" i="6"/>
  <c r="AN41" i="6"/>
  <c r="AN43" i="6"/>
  <c r="AM33" i="6"/>
  <c r="AM39" i="6"/>
  <c r="AN21" i="6"/>
  <c r="AM25" i="6"/>
  <c r="AM35" i="6"/>
  <c r="AM29" i="6"/>
  <c r="AM37" i="6"/>
  <c r="AM31" i="6"/>
  <c r="AM41" i="6"/>
  <c r="AM43" i="6"/>
  <c r="AM21" i="6"/>
  <c r="AL39" i="6"/>
  <c r="AL33" i="6"/>
  <c r="AL25" i="6"/>
  <c r="AL35" i="6"/>
  <c r="AL29" i="6"/>
  <c r="AL37" i="6"/>
  <c r="AL31" i="6"/>
  <c r="AL41" i="6"/>
  <c r="AL43" i="6"/>
  <c r="AL21" i="6"/>
  <c r="AK33" i="6"/>
  <c r="AK39" i="6"/>
  <c r="AK35" i="6"/>
  <c r="AK25" i="6"/>
  <c r="AK29" i="6"/>
  <c r="AK37" i="6"/>
  <c r="AK31" i="6"/>
  <c r="AK41" i="6"/>
  <c r="AK43" i="6"/>
  <c r="AK21" i="6"/>
  <c r="AJ33" i="6"/>
  <c r="AJ39" i="6"/>
  <c r="AJ25" i="6"/>
  <c r="AJ29" i="6"/>
  <c r="AJ37" i="6"/>
  <c r="AJ35" i="6"/>
  <c r="AJ31" i="6"/>
  <c r="AJ41" i="6"/>
  <c r="AJ43" i="6"/>
  <c r="AJ21" i="6"/>
  <c r="AI33" i="6"/>
  <c r="AI39" i="6"/>
  <c r="AI25" i="6"/>
  <c r="AI35" i="6"/>
  <c r="AI37" i="6"/>
  <c r="AI29" i="6"/>
  <c r="AI31" i="6"/>
  <c r="AI41" i="6"/>
  <c r="AI43" i="6"/>
  <c r="AH31" i="6"/>
  <c r="AH41" i="6"/>
  <c r="AI21" i="6"/>
  <c r="AH39" i="6"/>
  <c r="AH25" i="6"/>
  <c r="AH33" i="6"/>
  <c r="AH35" i="6"/>
  <c r="AH29" i="6"/>
  <c r="AH37" i="6"/>
  <c r="AH43" i="6"/>
  <c r="AH21" i="6"/>
  <c r="B60" i="29"/>
  <c r="B60" i="36"/>
  <c r="CW26" i="31"/>
  <c r="CW14" i="31"/>
  <c r="CW33" i="31"/>
  <c r="CW29" i="31"/>
  <c r="CW25" i="31"/>
  <c r="CW21" i="31"/>
  <c r="CW17" i="31"/>
  <c r="CW13" i="31"/>
  <c r="CW22" i="31"/>
  <c r="CW32" i="31"/>
  <c r="CW28" i="31"/>
  <c r="CW24" i="31"/>
  <c r="CW20" i="31"/>
  <c r="CW16" i="31"/>
  <c r="CW12" i="31"/>
  <c r="CW30" i="31"/>
  <c r="CW18" i="31"/>
  <c r="CW31" i="31"/>
  <c r="CW27" i="31"/>
  <c r="CW23" i="31"/>
  <c r="CW19" i="31"/>
  <c r="CW15" i="31"/>
  <c r="CV25" i="31"/>
  <c r="CV13" i="31"/>
  <c r="CV32" i="31"/>
  <c r="CV28" i="31"/>
  <c r="CV24" i="31"/>
  <c r="CV20" i="31"/>
  <c r="CV16" i="31"/>
  <c r="CV12" i="31"/>
  <c r="CV33" i="31"/>
  <c r="CV21" i="31"/>
  <c r="CV31" i="31"/>
  <c r="CV27" i="31"/>
  <c r="CV23" i="31"/>
  <c r="CV19" i="31"/>
  <c r="CV15" i="31"/>
  <c r="CV29" i="31"/>
  <c r="CV17" i="31"/>
  <c r="CV30" i="31"/>
  <c r="CV26" i="31"/>
  <c r="CV22" i="31"/>
  <c r="CV18" i="31"/>
  <c r="CV14" i="31"/>
  <c r="B22" i="29"/>
  <c r="B22" i="36"/>
  <c r="B41" i="29"/>
  <c r="B41" i="36"/>
  <c r="CU27" i="4"/>
  <c r="CU23" i="4"/>
  <c r="CU19" i="4"/>
  <c r="CU15" i="4"/>
  <c r="CU30" i="4"/>
  <c r="CU26" i="4"/>
  <c r="CU22" i="4"/>
  <c r="CU18" i="4"/>
  <c r="CU14" i="4"/>
  <c r="CU29" i="4"/>
  <c r="CU25" i="4"/>
  <c r="CU21" i="4"/>
  <c r="CU17" i="4"/>
  <c r="CU13" i="4"/>
  <c r="CU28" i="4"/>
  <c r="CU24" i="4"/>
  <c r="CU20" i="4"/>
  <c r="CU16" i="4"/>
  <c r="CU12" i="4"/>
  <c r="CU11" i="4"/>
  <c r="CT27" i="4"/>
  <c r="CT23" i="4"/>
  <c r="CT19" i="4"/>
  <c r="CT15" i="4"/>
  <c r="CT30" i="4"/>
  <c r="CT26" i="4"/>
  <c r="CT22" i="4"/>
  <c r="CT18" i="4"/>
  <c r="CT14" i="4"/>
  <c r="CT29" i="4"/>
  <c r="CT25" i="4"/>
  <c r="CT21" i="4"/>
  <c r="CT17" i="4"/>
  <c r="CT13" i="4"/>
  <c r="CT28" i="4"/>
  <c r="CT24" i="4"/>
  <c r="CT20" i="4"/>
  <c r="CT16" i="4"/>
  <c r="CT12" i="4"/>
  <c r="CT11" i="4"/>
  <c r="B93" i="29"/>
  <c r="B96" i="36"/>
  <c r="B66" i="30"/>
  <c r="B66" i="36"/>
  <c r="B11" i="39"/>
  <c r="B34" i="29"/>
  <c r="B34" i="36"/>
  <c r="B37" i="39"/>
  <c r="B68" i="36"/>
  <c r="CW11" i="32"/>
  <c r="CQ13" i="28"/>
  <c r="CQ32" i="28"/>
  <c r="CT32" i="28" s="1"/>
  <c r="CQ28" i="28"/>
  <c r="CQ12" i="28"/>
  <c r="B137" i="36"/>
  <c r="B58" i="39"/>
  <c r="B112" i="36"/>
  <c r="B88" i="36"/>
  <c r="B77" i="29"/>
  <c r="B80" i="36"/>
  <c r="B13" i="39"/>
  <c r="B16" i="36"/>
  <c r="B115" i="36"/>
  <c r="B59" i="29"/>
  <c r="B59" i="36"/>
  <c r="B50" i="39"/>
  <c r="B93" i="36"/>
  <c r="B14" i="39"/>
  <c r="B17" i="36"/>
  <c r="B75" i="36"/>
  <c r="B51" i="39"/>
  <c r="B98" i="36"/>
  <c r="B46" i="36"/>
  <c r="CQ29" i="28"/>
  <c r="CQ25" i="28"/>
  <c r="CQ18" i="28"/>
  <c r="CQ14" i="28"/>
  <c r="CV11" i="32"/>
  <c r="CR33" i="27"/>
  <c r="CU33" i="27" s="1"/>
  <c r="CR29" i="27"/>
  <c r="CR25" i="27"/>
  <c r="CR21" i="27"/>
  <c r="CR17" i="27"/>
  <c r="CQ34" i="28"/>
  <c r="CQ26" i="28"/>
  <c r="CQ22" i="28"/>
  <c r="CQ19" i="28"/>
  <c r="CQ15" i="28"/>
  <c r="CQ30" i="28"/>
  <c r="CQ11" i="28"/>
  <c r="CQ33" i="28"/>
  <c r="CT33" i="28" s="1"/>
  <c r="CQ31" i="28"/>
  <c r="CQ27" i="28"/>
  <c r="CQ23" i="28"/>
  <c r="CQ20" i="28"/>
  <c r="CQ16" i="28"/>
  <c r="CQ24" i="28"/>
  <c r="CQ21" i="28"/>
  <c r="CQ17" i="28"/>
  <c r="CR34" i="27"/>
  <c r="CR30" i="27"/>
  <c r="CR26" i="27"/>
  <c r="CR22" i="27"/>
  <c r="CR18" i="27"/>
  <c r="CR14" i="27"/>
  <c r="CR13" i="27"/>
  <c r="CR32" i="27"/>
  <c r="CU32" i="27" s="1"/>
  <c r="CR28" i="27"/>
  <c r="CR24" i="27"/>
  <c r="CR20" i="27"/>
  <c r="CR16" i="27"/>
  <c r="CR12" i="27"/>
  <c r="CR11" i="27"/>
  <c r="CR31" i="27"/>
  <c r="CR27" i="27"/>
  <c r="CR23" i="27"/>
  <c r="CR19" i="27"/>
  <c r="CR15" i="27"/>
  <c r="CV11" i="31"/>
  <c r="B36" i="39"/>
  <c r="CR33" i="28"/>
  <c r="CR29" i="28"/>
  <c r="CR25" i="28"/>
  <c r="CR21" i="28"/>
  <c r="CR17" i="28"/>
  <c r="CR13" i="28"/>
  <c r="CR34" i="28"/>
  <c r="CR31" i="28"/>
  <c r="CR27" i="28"/>
  <c r="CR23" i="28"/>
  <c r="CR19" i="28"/>
  <c r="CR15" i="28"/>
  <c r="CR32" i="28"/>
  <c r="CR28" i="28"/>
  <c r="CR24" i="28"/>
  <c r="CR20" i="28"/>
  <c r="CR16" i="28"/>
  <c r="CR12" i="28"/>
  <c r="CR30" i="28"/>
  <c r="CR26" i="28"/>
  <c r="CR22" i="28"/>
  <c r="CR18" i="28"/>
  <c r="CR14" i="28"/>
  <c r="CR11" i="28"/>
  <c r="CS33" i="27"/>
  <c r="CS29" i="27"/>
  <c r="CS25" i="27"/>
  <c r="CS21" i="27"/>
  <c r="CS17" i="27"/>
  <c r="CS13" i="27"/>
  <c r="CS32" i="27"/>
  <c r="CS28" i="27"/>
  <c r="CS24" i="27"/>
  <c r="CS20" i="27"/>
  <c r="CS16" i="27"/>
  <c r="CS12" i="27"/>
  <c r="CS34" i="27"/>
  <c r="CS31" i="27"/>
  <c r="CS27" i="27"/>
  <c r="CS23" i="27"/>
  <c r="CS19" i="27"/>
  <c r="CS15" i="27"/>
  <c r="CS11" i="27"/>
  <c r="CS30" i="27"/>
  <c r="CS26" i="27"/>
  <c r="CS22" i="27"/>
  <c r="CS18" i="27"/>
  <c r="CS14" i="27"/>
  <c r="CW11" i="31"/>
  <c r="CY108" i="36"/>
  <c r="CY111" i="36"/>
  <c r="B26" i="39"/>
  <c r="B30" i="39"/>
  <c r="B65" i="39"/>
  <c r="B57" i="39"/>
  <c r="B52" i="39"/>
  <c r="B21" i="39"/>
  <c r="B15" i="39"/>
  <c r="B67" i="39"/>
  <c r="B60" i="39"/>
  <c r="B54" i="39"/>
  <c r="B42" i="39"/>
  <c r="B64" i="39"/>
  <c r="B47" i="39"/>
  <c r="B43" i="39"/>
  <c r="B38" i="39"/>
  <c r="B33" i="39"/>
  <c r="B32" i="39"/>
  <c r="B25" i="39"/>
  <c r="B19" i="39"/>
  <c r="B55" i="39"/>
  <c r="B22" i="39"/>
  <c r="B16" i="39"/>
  <c r="B66" i="39"/>
  <c r="B62" i="39"/>
  <c r="B45" i="39"/>
  <c r="B29" i="39"/>
  <c r="B63" i="39"/>
  <c r="B61" i="39"/>
  <c r="B15" i="30"/>
  <c r="B14" i="37"/>
  <c r="B97" i="29"/>
  <c r="B100" i="30"/>
  <c r="B46" i="39"/>
  <c r="B35" i="39"/>
  <c r="B31" i="39"/>
  <c r="B27" i="39"/>
  <c r="B24" i="39"/>
  <c r="B18" i="39"/>
  <c r="B69" i="39"/>
  <c r="B78" i="29"/>
  <c r="B81" i="30"/>
  <c r="B59" i="39"/>
  <c r="B80" i="29"/>
  <c r="B83" i="30"/>
  <c r="B41" i="39"/>
  <c r="B34" i="39"/>
  <c r="B35" i="29"/>
  <c r="B35" i="30"/>
  <c r="B23" i="39"/>
  <c r="B17" i="39"/>
  <c r="B68" i="39"/>
  <c r="B72" i="39"/>
  <c r="B111" i="29"/>
  <c r="B114" i="30"/>
  <c r="B56" i="39"/>
  <c r="B53" i="39"/>
  <c r="B49" i="39"/>
  <c r="B48" i="39"/>
  <c r="B44" i="39"/>
  <c r="B40" i="39"/>
  <c r="B39" i="39"/>
  <c r="B28" i="39"/>
  <c r="B20" i="39"/>
  <c r="B70" i="39"/>
  <c r="B71" i="39"/>
  <c r="B110" i="36"/>
  <c r="B79" i="30"/>
  <c r="B75" i="30"/>
  <c r="B67" i="30"/>
  <c r="B63" i="30"/>
  <c r="B27" i="30"/>
  <c r="B23" i="30"/>
  <c r="B98" i="30"/>
  <c r="B86" i="30"/>
  <c r="B78" i="30"/>
  <c r="B46" i="30"/>
  <c r="B57" i="30"/>
  <c r="B37" i="30"/>
  <c r="B33" i="30"/>
  <c r="B12" i="30"/>
  <c r="B16" i="37"/>
  <c r="B15" i="37"/>
  <c r="B116" i="30"/>
  <c r="B84" i="30"/>
  <c r="B11" i="37"/>
  <c r="B24" i="30"/>
  <c r="B16" i="29"/>
  <c r="B61" i="30"/>
  <c r="B21" i="30"/>
  <c r="B51" i="30"/>
  <c r="B116" i="29"/>
  <c r="B12" i="37"/>
  <c r="B119" i="29"/>
  <c r="B13" i="37"/>
  <c r="B112" i="30"/>
  <c r="B109" i="29"/>
  <c r="B108" i="30"/>
  <c r="B105" i="29"/>
  <c r="B56" i="29"/>
  <c r="B56" i="30"/>
  <c r="B76" i="30"/>
  <c r="B73" i="29"/>
  <c r="B68" i="30"/>
  <c r="B65" i="29"/>
  <c r="B64" i="29"/>
  <c r="B32" i="30"/>
  <c r="B32" i="29"/>
  <c r="B115" i="30"/>
  <c r="B112" i="29"/>
  <c r="B111" i="30"/>
  <c r="B108" i="29"/>
  <c r="B99" i="30"/>
  <c r="B96" i="29"/>
  <c r="B31" i="30"/>
  <c r="B31" i="29"/>
  <c r="B19" i="30"/>
  <c r="B19" i="29"/>
  <c r="B40" i="30"/>
  <c r="B40" i="29"/>
  <c r="B118" i="30"/>
  <c r="B115" i="29"/>
  <c r="B107" i="29"/>
  <c r="B110" i="30"/>
  <c r="B102" i="30"/>
  <c r="B99" i="29"/>
  <c r="B90" i="30"/>
  <c r="B74" i="30"/>
  <c r="B71" i="29"/>
  <c r="B70" i="30"/>
  <c r="B67" i="29"/>
  <c r="B54" i="30"/>
  <c r="B54" i="29"/>
  <c r="B26" i="30"/>
  <c r="B26" i="29"/>
  <c r="B109" i="30"/>
  <c r="B106" i="29"/>
  <c r="B93" i="30"/>
  <c r="B90" i="29"/>
  <c r="B85" i="30"/>
  <c r="B82" i="29"/>
  <c r="B77" i="30"/>
  <c r="B74" i="29"/>
  <c r="B69" i="30"/>
  <c r="B66" i="29"/>
  <c r="B29" i="30"/>
  <c r="B29" i="29"/>
  <c r="B25" i="30"/>
  <c r="B25" i="29"/>
  <c r="B17" i="29"/>
  <c r="B17" i="30"/>
  <c r="CY38" i="29"/>
  <c r="BM45" i="6"/>
  <c r="B119" i="30"/>
  <c r="B11" i="32"/>
  <c r="B16" i="30"/>
  <c r="CY35" i="29"/>
  <c r="CY50" i="29"/>
  <c r="CY44" i="29"/>
  <c r="CY36" i="29"/>
  <c r="CY39" i="29"/>
  <c r="CY26" i="29"/>
  <c r="CY17" i="29"/>
  <c r="CY139" i="30"/>
  <c r="CY21" i="30"/>
  <c r="CY112" i="30"/>
  <c r="CY152" i="30"/>
  <c r="CY31" i="30"/>
  <c r="CY144" i="30"/>
  <c r="CY68" i="30"/>
  <c r="CY85" i="30"/>
  <c r="CY29" i="30"/>
  <c r="CY102" i="30"/>
  <c r="CY63" i="30"/>
  <c r="CY145" i="30"/>
  <c r="CY138" i="30"/>
  <c r="CY125" i="30"/>
  <c r="CY140" i="30"/>
  <c r="CY142" i="30"/>
  <c r="CW30" i="4"/>
  <c r="CY31" i="29"/>
  <c r="CY22" i="29"/>
  <c r="CY43" i="29"/>
  <c r="CY32" i="29"/>
  <c r="CY40" i="29"/>
  <c r="CY29" i="29"/>
  <c r="CY47" i="29"/>
  <c r="CY41" i="29"/>
  <c r="CY15" i="29"/>
  <c r="CY19" i="29"/>
  <c r="CY11" i="29"/>
  <c r="CY25" i="29"/>
  <c r="CY16" i="29"/>
  <c r="CY64" i="30"/>
  <c r="CT26" i="28"/>
  <c r="CY40" i="30"/>
  <c r="CY110" i="36"/>
  <c r="CT15" i="28"/>
  <c r="CY25" i="36"/>
  <c r="CY11" i="32"/>
  <c r="CT19" i="28"/>
  <c r="CT13" i="28"/>
  <c r="CY80" i="36"/>
  <c r="CY75" i="36"/>
  <c r="CY11" i="31"/>
  <c r="D4" i="6"/>
  <c r="B64" i="30"/>
  <c r="CW25" i="4"/>
  <c r="CT20" i="28"/>
  <c r="CT12" i="28"/>
  <c r="CY33" i="36"/>
  <c r="CY88" i="36"/>
  <c r="CU11" i="27"/>
  <c r="CU23" i="27"/>
  <c r="CW24" i="4"/>
  <c r="CW20" i="4"/>
  <c r="CT11" i="28"/>
  <c r="CT29" i="28"/>
  <c r="CT27" i="28"/>
  <c r="CT25" i="28"/>
  <c r="CT17" i="28"/>
  <c r="CY29" i="36"/>
  <c r="CY19" i="36"/>
  <c r="CY128" i="36"/>
  <c r="CY69" i="36"/>
  <c r="CY74" i="36"/>
  <c r="CU15" i="27"/>
  <c r="CT28" i="28"/>
  <c r="CT18" i="28"/>
  <c r="CU27" i="27"/>
  <c r="CU19" i="27"/>
  <c r="CW28" i="4"/>
  <c r="CW16" i="4"/>
  <c r="CW12" i="4"/>
  <c r="CT23" i="28"/>
  <c r="CT21" i="28"/>
  <c r="CT30" i="28"/>
  <c r="CT24" i="28"/>
  <c r="CT22" i="28"/>
  <c r="CT16" i="28"/>
  <c r="CT14" i="28"/>
  <c r="CY35" i="36"/>
  <c r="CY40" i="36"/>
  <c r="CY16" i="36"/>
  <c r="CY15" i="36"/>
  <c r="CY147" i="36"/>
  <c r="CY63" i="36"/>
  <c r="CY46" i="36"/>
  <c r="CY115" i="36"/>
  <c r="CW11" i="4"/>
  <c r="CU30" i="27"/>
  <c r="CU29" i="27"/>
  <c r="CU28" i="27"/>
  <c r="CU25" i="27"/>
  <c r="CU24" i="27"/>
  <c r="CU22" i="27"/>
  <c r="CU20" i="27"/>
  <c r="CU17" i="27"/>
  <c r="CU16" i="27"/>
  <c r="CU14" i="27"/>
  <c r="CU13" i="27"/>
  <c r="CU12" i="27"/>
  <c r="CW29" i="4"/>
  <c r="CW27" i="4"/>
  <c r="CW26" i="4"/>
  <c r="CW22" i="4"/>
  <c r="CW21" i="4"/>
  <c r="CW19" i="4"/>
  <c r="CW18" i="4"/>
  <c r="CW17" i="4"/>
  <c r="CW13" i="4"/>
  <c r="CU21" i="27"/>
  <c r="CW14" i="4"/>
  <c r="CU26" i="27"/>
  <c r="CU18" i="27"/>
  <c r="CW23" i="4"/>
  <c r="CW15" i="4"/>
  <c r="CY34" i="29"/>
  <c r="CV43" i="6" l="1"/>
  <c r="CV33" i="6"/>
  <c r="CV41" i="6"/>
  <c r="CV37" i="6"/>
  <c r="CV25" i="6"/>
  <c r="CV31" i="6"/>
  <c r="CV29" i="6"/>
  <c r="CV39" i="6"/>
  <c r="CV35" i="6"/>
  <c r="CW29" i="6"/>
  <c r="CW35" i="6"/>
  <c r="CW25" i="6"/>
  <c r="CW37" i="6"/>
  <c r="CW39" i="6"/>
  <c r="CW33" i="6"/>
  <c r="CW41" i="6"/>
  <c r="CW31" i="6"/>
  <c r="CW43" i="6"/>
  <c r="CW21" i="6"/>
  <c r="CV21" i="6"/>
  <c r="CX31" i="6"/>
  <c r="CX25" i="6"/>
  <c r="CX43" i="6"/>
  <c r="CX35" i="6"/>
  <c r="CX29" i="6"/>
  <c r="CX39" i="6"/>
  <c r="CX41" i="6"/>
  <c r="CX33" i="6"/>
  <c r="CX37" i="6"/>
  <c r="CX21" i="6"/>
  <c r="CY31" i="6"/>
  <c r="CY35" i="6"/>
  <c r="CY41" i="6"/>
  <c r="CY37" i="6"/>
  <c r="CY33" i="6"/>
  <c r="CY29" i="6"/>
  <c r="CY39" i="6"/>
  <c r="CY25" i="6"/>
  <c r="CY43" i="6"/>
  <c r="CY21" i="6"/>
  <c r="H28" i="6"/>
  <c r="W28" i="6"/>
  <c r="Z28" i="6"/>
  <c r="X28" i="6"/>
  <c r="J28" i="6"/>
  <c r="AF28" i="6"/>
  <c r="N28" i="6"/>
  <c r="O28" i="6"/>
  <c r="AG28" i="6"/>
  <c r="C28" i="6"/>
  <c r="F28" i="6"/>
  <c r="T28" i="6"/>
  <c r="Q28" i="6"/>
  <c r="L28" i="6"/>
  <c r="P28" i="6"/>
  <c r="R28" i="6"/>
  <c r="E28" i="6"/>
  <c r="K28" i="6"/>
  <c r="AC28" i="6"/>
  <c r="G28" i="6"/>
  <c r="V28" i="6"/>
  <c r="AA28" i="6"/>
  <c r="U28" i="6"/>
  <c r="AB28" i="6"/>
  <c r="AE28" i="6"/>
  <c r="S28" i="6"/>
  <c r="Y28" i="6"/>
  <c r="M28" i="6"/>
  <c r="I28" i="6"/>
  <c r="AD28" i="6"/>
  <c r="D28" i="6"/>
  <c r="BL27" i="6" l="1"/>
  <c r="BK27" i="6"/>
  <c r="BJ27" i="6"/>
  <c r="BI27" i="6"/>
  <c r="BH27" i="6"/>
  <c r="BG27" i="6"/>
  <c r="BF27" i="6"/>
  <c r="BE27" i="6"/>
  <c r="BD27" i="6"/>
  <c r="BC27" i="6"/>
  <c r="BB27" i="6"/>
  <c r="BA27" i="6"/>
  <c r="AZ27" i="6"/>
  <c r="AY27" i="6"/>
  <c r="AX27" i="6"/>
  <c r="AW27" i="6"/>
  <c r="AV27" i="6"/>
  <c r="AU27" i="6"/>
  <c r="AT27" i="6"/>
  <c r="AS27" i="6"/>
  <c r="AR27" i="6"/>
  <c r="AQ27" i="6"/>
  <c r="AP27" i="6"/>
  <c r="AO27" i="6"/>
  <c r="AN27" i="6"/>
  <c r="AM27" i="6"/>
  <c r="AL27" i="6"/>
  <c r="AK27" i="6"/>
  <c r="AJ27" i="6"/>
  <c r="AI27" i="6"/>
  <c r="AH27" i="6"/>
  <c r="CV27" i="6" l="1"/>
  <c r="CW27" i="6"/>
  <c r="CX27" i="6"/>
  <c r="CY27" i="6"/>
  <c r="K24" i="6"/>
  <c r="H24" i="6"/>
  <c r="Z24" i="6"/>
  <c r="AD24" i="6"/>
  <c r="T24" i="6"/>
  <c r="AB24" i="6"/>
  <c r="R24" i="6"/>
  <c r="I24" i="6"/>
  <c r="Y24" i="6"/>
  <c r="M24" i="6"/>
  <c r="V24" i="6"/>
  <c r="G24" i="6"/>
  <c r="U24" i="6"/>
  <c r="AE24" i="6"/>
  <c r="S24" i="6"/>
  <c r="AC24" i="6"/>
  <c r="J24" i="6"/>
  <c r="AF24" i="6"/>
  <c r="Q24" i="6"/>
  <c r="AA24" i="6"/>
  <c r="C24" i="6"/>
  <c r="O24" i="6"/>
  <c r="X24" i="6"/>
  <c r="N24" i="6"/>
  <c r="AG24" i="6"/>
  <c r="P24" i="6"/>
  <c r="W24" i="6"/>
  <c r="E24" i="6"/>
  <c r="F24" i="6"/>
  <c r="L24" i="6"/>
  <c r="D24" i="6"/>
  <c r="BL23" i="6" l="1"/>
  <c r="BL45" i="6" s="1"/>
  <c r="BK23" i="6"/>
  <c r="BJ23" i="6"/>
  <c r="BI23" i="6"/>
  <c r="BI45" i="6" s="1"/>
  <c r="BH23" i="6"/>
  <c r="BG23" i="6"/>
  <c r="BG45" i="6" s="1"/>
  <c r="BF23" i="6"/>
  <c r="BF45" i="6" s="1"/>
  <c r="BE23" i="6"/>
  <c r="BE45" i="6" s="1"/>
  <c r="BD23" i="6"/>
  <c r="BD45" i="6" s="1"/>
  <c r="BC23" i="6"/>
  <c r="BC45" i="6" s="1"/>
  <c r="BB23" i="6"/>
  <c r="BB45" i="6" s="1"/>
  <c r="BA23" i="6"/>
  <c r="AZ23" i="6"/>
  <c r="AZ45" i="6" s="1"/>
  <c r="AY23" i="6"/>
  <c r="AX23" i="6"/>
  <c r="AX45" i="6" s="1"/>
  <c r="AW23" i="6"/>
  <c r="AV23" i="6"/>
  <c r="AV45" i="6" s="1"/>
  <c r="AU23" i="6"/>
  <c r="AT23" i="6"/>
  <c r="AS23" i="6"/>
  <c r="AS45" i="6" s="1"/>
  <c r="AR23" i="6"/>
  <c r="AR45" i="6" s="1"/>
  <c r="AQ23" i="6"/>
  <c r="AQ45" i="6" s="1"/>
  <c r="AP23" i="6"/>
  <c r="AP45" i="6" s="1"/>
  <c r="AO23" i="6"/>
  <c r="AO45" i="6" s="1"/>
  <c r="AN23" i="6"/>
  <c r="AM23" i="6"/>
  <c r="AL23" i="6"/>
  <c r="AL45" i="6" s="1"/>
  <c r="AK23" i="6"/>
  <c r="AK45" i="6" s="1"/>
  <c r="AJ23" i="6"/>
  <c r="AJ45" i="6" s="1"/>
  <c r="AI23" i="6"/>
  <c r="AH23" i="6"/>
  <c r="BK45" i="6"/>
  <c r="CV23" i="6" l="1"/>
  <c r="CW23" i="6"/>
  <c r="AH45" i="6"/>
  <c r="BH45" i="6" s="1"/>
  <c r="CX23" i="6"/>
  <c r="CX45" i="6" s="1"/>
  <c r="AN45" i="6"/>
  <c r="AI45" i="6"/>
  <c r="BJ45" i="6"/>
  <c r="CY23" i="6"/>
  <c r="CY45" i="6" s="1"/>
  <c r="AM45" i="6"/>
  <c r="AW45" i="6" l="1"/>
  <c r="AY45" i="6"/>
  <c r="AT45" i="6"/>
  <c r="AU45" i="6"/>
  <c r="CW45" i="6"/>
  <c r="CV45" i="6"/>
  <c r="CU45" i="6"/>
  <c r="AU12" i="25"/>
  <c r="AK12" i="25"/>
  <c r="AQ12" i="25"/>
  <c r="AT12" i="25"/>
  <c r="AP12" i="25"/>
  <c r="AZ12" i="25"/>
  <c r="AO12" i="25"/>
  <c r="BB12" i="25"/>
  <c r="AJ12" i="25"/>
  <c r="AM12" i="25"/>
  <c r="AS12" i="25"/>
  <c r="AR12" i="25"/>
  <c r="AY12" i="25"/>
  <c r="AI12" i="25"/>
  <c r="BH12" i="25"/>
  <c r="BA12" i="25"/>
  <c r="AL12" i="25"/>
  <c r="AV12" i="25"/>
  <c r="BC12" i="25"/>
  <c r="AX12" i="25"/>
  <c r="AW12" i="25"/>
  <c r="BD12" i="25"/>
  <c r="BG12" i="25"/>
  <c r="AJ16" i="25"/>
  <c r="AX16" i="25"/>
  <c r="AR16" i="25"/>
  <c r="AL16" i="25"/>
  <c r="BA16" i="25"/>
  <c r="BC16" i="25"/>
  <c r="AI16" i="25"/>
  <c r="AV16" i="25"/>
  <c r="AS16" i="25"/>
  <c r="AZ16" i="25"/>
  <c r="AT16" i="25"/>
  <c r="BH16" i="25"/>
  <c r="BD16" i="25"/>
  <c r="AU16" i="25"/>
  <c r="BB16" i="25"/>
  <c r="AM16" i="25"/>
  <c r="AY16" i="25"/>
  <c r="AW16" i="25"/>
  <c r="BG16" i="25"/>
  <c r="AQ16" i="25"/>
  <c r="AO16" i="25"/>
  <c r="AP16" i="25"/>
  <c r="AK16" i="25"/>
  <c r="AM20" i="25"/>
  <c r="BA20" i="25"/>
  <c r="AV20" i="25"/>
  <c r="AS20" i="25"/>
  <c r="AU20" i="25"/>
  <c r="BH20" i="25"/>
  <c r="AP20" i="25"/>
  <c r="AR20" i="25"/>
  <c r="AX20" i="25"/>
  <c r="AW20" i="25"/>
  <c r="BD20" i="25"/>
  <c r="AL20" i="25"/>
  <c r="AO20" i="25"/>
  <c r="BB20" i="25"/>
  <c r="AT20" i="25"/>
  <c r="AJ20" i="25"/>
  <c r="BC20" i="25"/>
  <c r="AY20" i="25"/>
  <c r="AI20" i="25"/>
  <c r="AZ20" i="25"/>
  <c r="BG20" i="25"/>
  <c r="AK20" i="25"/>
  <c r="AQ20" i="25"/>
  <c r="AK24" i="25"/>
  <c r="AS24" i="25"/>
  <c r="AO24" i="25"/>
  <c r="BD24" i="25"/>
  <c r="AP24" i="25"/>
  <c r="AI24" i="25"/>
  <c r="BH24" i="25"/>
  <c r="AJ24" i="25"/>
  <c r="BG24" i="25"/>
  <c r="AV24" i="25"/>
  <c r="BB24" i="25"/>
  <c r="BC24" i="25"/>
  <c r="AX24" i="25"/>
  <c r="AR24" i="25"/>
  <c r="AU24" i="25"/>
  <c r="AQ24" i="25"/>
  <c r="AZ24" i="25"/>
  <c r="BA24" i="25"/>
  <c r="AY24" i="25"/>
  <c r="AT24" i="25"/>
  <c r="AW24" i="25"/>
  <c r="AL24" i="25"/>
  <c r="AM24" i="25"/>
  <c r="BH28" i="25"/>
  <c r="AW28" i="25"/>
  <c r="BA28" i="25"/>
  <c r="AO28" i="25"/>
  <c r="AX28" i="25"/>
  <c r="AY28" i="25"/>
  <c r="AL28" i="25"/>
  <c r="BD28" i="25"/>
  <c r="BG28" i="25"/>
  <c r="AM28" i="25"/>
  <c r="AI28" i="25"/>
  <c r="AQ28" i="25"/>
  <c r="AU28" i="25"/>
  <c r="AK28" i="25"/>
  <c r="AS28" i="25"/>
  <c r="AP28" i="25"/>
  <c r="AJ28" i="25"/>
  <c r="BB28" i="25"/>
  <c r="AZ28" i="25"/>
  <c r="AV28" i="25"/>
  <c r="AR28" i="25"/>
  <c r="AT28" i="25"/>
  <c r="BC28" i="25"/>
  <c r="AT32" i="25"/>
  <c r="AJ32" i="25"/>
  <c r="AM32" i="25"/>
  <c r="BC32" i="25"/>
  <c r="BG32" i="25"/>
  <c r="AK32" i="25"/>
  <c r="AV32" i="25"/>
  <c r="AS32" i="25"/>
  <c r="AZ32" i="25"/>
  <c r="BA32" i="25"/>
  <c r="BH32" i="25"/>
  <c r="BB32" i="25"/>
  <c r="BD32" i="25"/>
  <c r="AU32" i="25"/>
  <c r="AX32" i="25"/>
  <c r="AR32" i="25"/>
  <c r="AI32" i="25"/>
  <c r="BF32" i="25"/>
  <c r="AL32" i="25"/>
  <c r="AW32" i="25"/>
  <c r="AY32" i="25"/>
  <c r="AO32" i="25"/>
  <c r="AQ32" i="25"/>
  <c r="AT13" i="25"/>
  <c r="BH13" i="25"/>
  <c r="AJ13" i="25"/>
  <c r="AZ13" i="25"/>
  <c r="BD13" i="25"/>
  <c r="AS13" i="25"/>
  <c r="BG13" i="25"/>
  <c r="AK13" i="25"/>
  <c r="AR13" i="25"/>
  <c r="AO13" i="25"/>
  <c r="BB13" i="25"/>
  <c r="AU13" i="25"/>
  <c r="AQ13" i="25"/>
  <c r="BA13" i="25"/>
  <c r="AP13" i="25"/>
  <c r="AI13" i="25"/>
  <c r="AW13" i="25"/>
  <c r="AY13" i="25"/>
  <c r="AL13" i="25"/>
  <c r="AM13" i="25"/>
  <c r="BC13" i="25"/>
  <c r="AV13" i="25"/>
  <c r="AX13" i="25"/>
  <c r="AI17" i="25"/>
  <c r="BC17" i="25"/>
  <c r="AL17" i="25"/>
  <c r="AK17" i="25"/>
  <c r="AY17" i="25"/>
  <c r="AW17" i="25"/>
  <c r="AT17" i="25"/>
  <c r="BA17" i="25"/>
  <c r="AS17" i="25"/>
  <c r="AR17" i="25"/>
  <c r="AX17" i="25"/>
  <c r="AQ17" i="25"/>
  <c r="BB17" i="25"/>
  <c r="AO17" i="25"/>
  <c r="BG17" i="25"/>
  <c r="AJ17" i="25"/>
  <c r="BD17" i="25"/>
  <c r="BH17" i="25"/>
  <c r="AM17" i="25"/>
  <c r="AP17" i="25"/>
  <c r="AZ17" i="25"/>
  <c r="AV17" i="25"/>
  <c r="AU17" i="25"/>
  <c r="AU21" i="25"/>
  <c r="AS21" i="25"/>
  <c r="AY21" i="25"/>
  <c r="AQ21" i="25"/>
  <c r="BB21" i="25"/>
  <c r="BH21" i="25"/>
  <c r="BA21" i="25"/>
  <c r="AR21" i="25"/>
  <c r="BD21" i="25"/>
  <c r="AW21" i="25"/>
  <c r="AV21" i="25"/>
  <c r="AI21" i="25"/>
  <c r="AJ21" i="25"/>
  <c r="AZ21" i="25"/>
  <c r="AO21" i="25"/>
  <c r="AP21" i="25"/>
  <c r="BC21" i="25"/>
  <c r="AL21" i="25"/>
  <c r="AT21" i="25"/>
  <c r="BG21" i="25"/>
  <c r="AM21" i="25"/>
  <c r="AX21" i="25"/>
  <c r="AK21" i="25"/>
  <c r="AS25" i="25"/>
  <c r="AO25" i="25"/>
  <c r="AJ25" i="25"/>
  <c r="AX25" i="25"/>
  <c r="AT25" i="25"/>
  <c r="AM25" i="25"/>
  <c r="BA25" i="25"/>
  <c r="AY25" i="25"/>
  <c r="AI25" i="25"/>
  <c r="AR25" i="25"/>
  <c r="BC25" i="25"/>
  <c r="AQ25" i="25"/>
  <c r="AL25" i="25"/>
  <c r="AW25" i="25"/>
  <c r="AV25" i="25"/>
  <c r="AZ25" i="25"/>
  <c r="AU25" i="25"/>
  <c r="BD25" i="25"/>
  <c r="BH25" i="25"/>
  <c r="AK25" i="25"/>
  <c r="AP25" i="25"/>
  <c r="BB25" i="25"/>
  <c r="BG25" i="25"/>
  <c r="AR29" i="25"/>
  <c r="AP29" i="25"/>
  <c r="BD29" i="25"/>
  <c r="AY29" i="25"/>
  <c r="AV29" i="25"/>
  <c r="AJ29" i="25"/>
  <c r="AK29" i="25"/>
  <c r="AL29" i="25"/>
  <c r="BC29" i="25"/>
  <c r="AU29" i="25"/>
  <c r="BH29" i="25"/>
  <c r="AS29" i="25"/>
  <c r="AT29" i="25"/>
  <c r="BB29" i="25"/>
  <c r="AI29" i="25"/>
  <c r="BG29" i="25"/>
  <c r="AX29" i="25"/>
  <c r="AW29" i="25"/>
  <c r="AQ29" i="25"/>
  <c r="AO29" i="25"/>
  <c r="AZ29" i="25"/>
  <c r="AM29" i="25"/>
  <c r="BA29" i="25"/>
  <c r="AW33" i="25"/>
  <c r="BD33" i="25"/>
  <c r="AR33" i="25"/>
  <c r="AX33" i="25"/>
  <c r="BC33" i="25"/>
  <c r="AI33" i="25"/>
  <c r="AU33" i="25"/>
  <c r="BB33" i="25"/>
  <c r="BE33" i="25"/>
  <c r="BF33" i="25"/>
  <c r="AS33" i="25"/>
  <c r="BA33" i="25"/>
  <c r="AY33" i="25"/>
  <c r="AT33" i="25"/>
  <c r="AL33" i="25"/>
  <c r="AJ33" i="25"/>
  <c r="AM33" i="25"/>
  <c r="AZ33" i="25"/>
  <c r="BG33" i="25"/>
  <c r="AQ33" i="25"/>
  <c r="AK33" i="25"/>
  <c r="AO33" i="25"/>
  <c r="BH33" i="25"/>
  <c r="AV33" i="25"/>
  <c r="AT14" i="25"/>
  <c r="AU14" i="25"/>
  <c r="AK14" i="25"/>
  <c r="AV14" i="25"/>
  <c r="AO14" i="25"/>
  <c r="AM14" i="25"/>
  <c r="AJ14" i="25"/>
  <c r="BG14" i="25"/>
  <c r="BA14" i="25"/>
  <c r="AQ14" i="25"/>
  <c r="AI14" i="25"/>
  <c r="BB14" i="25"/>
  <c r="AL14" i="25"/>
  <c r="AZ14" i="25"/>
  <c r="AW14" i="25"/>
  <c r="BC14" i="25"/>
  <c r="AX14" i="25"/>
  <c r="AS14" i="25"/>
  <c r="AR14" i="25"/>
  <c r="BD14" i="25"/>
  <c r="BH14" i="25"/>
  <c r="AY14" i="25"/>
  <c r="AP14" i="25"/>
  <c r="AO18" i="25"/>
  <c r="AL18" i="25"/>
  <c r="BA18" i="25"/>
  <c r="AQ18" i="25"/>
  <c r="BB18" i="25"/>
  <c r="AU18" i="25"/>
  <c r="AT18" i="25"/>
  <c r="AZ18" i="25"/>
  <c r="AR18" i="25"/>
  <c r="AM18" i="25"/>
  <c r="AY18" i="25"/>
  <c r="AX18" i="25"/>
  <c r="AS18" i="25"/>
  <c r="BG18" i="25"/>
  <c r="BD18" i="25"/>
  <c r="AI18" i="25"/>
  <c r="BH18" i="25"/>
  <c r="BC18" i="25"/>
  <c r="AP18" i="25"/>
  <c r="AW18" i="25"/>
  <c r="AV18" i="25"/>
  <c r="AK18" i="25"/>
  <c r="AJ18" i="25"/>
  <c r="BA22" i="25"/>
  <c r="BD22" i="25"/>
  <c r="AV22" i="25"/>
  <c r="AI22" i="25"/>
  <c r="AU22" i="25"/>
  <c r="BB22" i="25"/>
  <c r="AR22" i="25"/>
  <c r="AK22" i="25"/>
  <c r="AO22" i="25"/>
  <c r="AQ22" i="25"/>
  <c r="BG22" i="25"/>
  <c r="AX22" i="25"/>
  <c r="AS22" i="25"/>
  <c r="AZ22" i="25"/>
  <c r="AW22" i="25"/>
  <c r="AP22" i="25"/>
  <c r="AY22" i="25"/>
  <c r="AT22" i="25"/>
  <c r="AJ22" i="25"/>
  <c r="BC22" i="25"/>
  <c r="BH22" i="25"/>
  <c r="AL22" i="25"/>
  <c r="AM22" i="25"/>
  <c r="AU26" i="25"/>
  <c r="AX26" i="25"/>
  <c r="AY26" i="25"/>
  <c r="AO26" i="25"/>
  <c r="AM26" i="25"/>
  <c r="AZ26" i="25"/>
  <c r="AP26" i="25"/>
  <c r="AQ26" i="25"/>
  <c r="BD26" i="25"/>
  <c r="BG26" i="25"/>
  <c r="AS26" i="25"/>
  <c r="AI26" i="25"/>
  <c r="AJ26" i="25"/>
  <c r="BH26" i="25"/>
  <c r="AW26" i="25"/>
  <c r="AL26" i="25"/>
  <c r="AT26" i="25"/>
  <c r="AV26" i="25"/>
  <c r="BA26" i="25"/>
  <c r="AK26" i="25"/>
  <c r="BB26" i="25"/>
  <c r="BC26" i="25"/>
  <c r="AR26" i="25"/>
  <c r="AO30" i="25"/>
  <c r="BB30" i="25"/>
  <c r="BA30" i="25"/>
  <c r="AI30" i="25"/>
  <c r="BC30" i="25"/>
  <c r="AZ30" i="25"/>
  <c r="AX30" i="25"/>
  <c r="AK30" i="25"/>
  <c r="AQ30" i="25"/>
  <c r="AW30" i="25"/>
  <c r="AP30" i="25"/>
  <c r="AT30" i="25"/>
  <c r="AV30" i="25"/>
  <c r="AS30" i="25"/>
  <c r="BD30" i="25"/>
  <c r="AJ30" i="25"/>
  <c r="AU30" i="25"/>
  <c r="AM30" i="25"/>
  <c r="BG30" i="25"/>
  <c r="AR30" i="25"/>
  <c r="BH30" i="25"/>
  <c r="AL30" i="25"/>
  <c r="AY30" i="25"/>
  <c r="AY15" i="25"/>
  <c r="AP15" i="25"/>
  <c r="AM15" i="25"/>
  <c r="AT15" i="25"/>
  <c r="AL15" i="25"/>
  <c r="BB15" i="25"/>
  <c r="AJ15" i="25"/>
  <c r="AV15" i="25"/>
  <c r="AO15" i="25"/>
  <c r="AQ15" i="25"/>
  <c r="AX15" i="25"/>
  <c r="BC15" i="25"/>
  <c r="BH15" i="25"/>
  <c r="AS15" i="25"/>
  <c r="AR15" i="25"/>
  <c r="BD15" i="25"/>
  <c r="AW15" i="25"/>
  <c r="BA15" i="25"/>
  <c r="AK15" i="25"/>
  <c r="AZ15" i="25"/>
  <c r="BG15" i="25"/>
  <c r="AU15" i="25"/>
  <c r="AI15" i="25"/>
  <c r="AP19" i="25"/>
  <c r="AI19" i="25"/>
  <c r="BC19" i="25"/>
  <c r="BB19" i="25"/>
  <c r="BD19" i="25"/>
  <c r="AS19" i="25"/>
  <c r="AX19" i="25"/>
  <c r="BH19" i="25"/>
  <c r="AJ19" i="25"/>
  <c r="AU19" i="25"/>
  <c r="AL19" i="25"/>
  <c r="BA19" i="25"/>
  <c r="AZ19" i="25"/>
  <c r="BG19" i="25"/>
  <c r="AV19" i="25"/>
  <c r="AK19" i="25"/>
  <c r="AW19" i="25"/>
  <c r="AQ19" i="25"/>
  <c r="AY19" i="25"/>
  <c r="AO19" i="25"/>
  <c r="AR19" i="25"/>
  <c r="AM19" i="25"/>
  <c r="AT19" i="25"/>
  <c r="AP23" i="25"/>
  <c r="BA23" i="25"/>
  <c r="AS23" i="25"/>
  <c r="AX23" i="25"/>
  <c r="AM23" i="25"/>
  <c r="BD23" i="25"/>
  <c r="BH23" i="25"/>
  <c r="AK23" i="25"/>
  <c r="BB23" i="25"/>
  <c r="AW23" i="25"/>
  <c r="AZ23" i="25"/>
  <c r="AT23" i="25"/>
  <c r="AU23" i="25"/>
  <c r="AO23" i="25"/>
  <c r="AV23" i="25"/>
  <c r="AI23" i="25"/>
  <c r="AJ23" i="25"/>
  <c r="AQ23" i="25"/>
  <c r="AL23" i="25"/>
  <c r="BG23" i="25"/>
  <c r="BC23" i="25"/>
  <c r="AR23" i="25"/>
  <c r="AY23" i="25"/>
  <c r="AZ27" i="25"/>
  <c r="BD27" i="25"/>
  <c r="AQ27" i="25"/>
  <c r="AK27" i="25"/>
  <c r="AY27" i="25"/>
  <c r="BH27" i="25"/>
  <c r="AO27" i="25"/>
  <c r="AR27" i="25"/>
  <c r="BC27" i="25"/>
  <c r="BG27" i="25"/>
  <c r="AV27" i="25"/>
  <c r="AM27" i="25"/>
  <c r="AW27" i="25"/>
  <c r="AL27" i="25"/>
  <c r="AU27" i="25"/>
  <c r="AX27" i="25"/>
  <c r="AI27" i="25"/>
  <c r="BB27" i="25"/>
  <c r="AT27" i="25"/>
  <c r="BA27" i="25"/>
  <c r="AJ27" i="25"/>
  <c r="AS27" i="25"/>
  <c r="AP27" i="25"/>
  <c r="AV31" i="25"/>
  <c r="AU31" i="25"/>
  <c r="AP31" i="25"/>
  <c r="AJ31" i="25"/>
  <c r="AZ31" i="25"/>
  <c r="AL31" i="25"/>
  <c r="AK31" i="25"/>
  <c r="AO31" i="25"/>
  <c r="AT31" i="25"/>
  <c r="BF31" i="25"/>
  <c r="AR31" i="25"/>
  <c r="BB31" i="25"/>
  <c r="AY31" i="25"/>
  <c r="BC31" i="25"/>
  <c r="AW31" i="25"/>
  <c r="BA31" i="25"/>
  <c r="BH31" i="25"/>
  <c r="AM31" i="25"/>
  <c r="AI31" i="25"/>
  <c r="BG31" i="25"/>
  <c r="AS31" i="25"/>
  <c r="AQ31" i="25"/>
  <c r="AX31" i="25"/>
  <c r="BD31" i="25"/>
  <c r="AS11" i="38"/>
  <c r="AU11" i="38"/>
  <c r="AP11" i="38"/>
  <c r="AO11" i="38"/>
  <c r="AZ11" i="38"/>
  <c r="AT11" i="38"/>
  <c r="AM11" i="38"/>
  <c r="AI11" i="38"/>
  <c r="BH11" i="38"/>
  <c r="AV11" i="38"/>
  <c r="AX11" i="38"/>
  <c r="AY11" i="38"/>
  <c r="AQ11" i="38"/>
  <c r="BD11" i="38"/>
  <c r="AR11" i="38"/>
  <c r="BG11" i="38"/>
  <c r="AW11" i="38"/>
  <c r="AJ11" i="38"/>
  <c r="BB11" i="38"/>
  <c r="AL11" i="38"/>
  <c r="BC11" i="38"/>
  <c r="BA11" i="38"/>
  <c r="BA15" i="38"/>
  <c r="AU15" i="38"/>
  <c r="AV15" i="38"/>
  <c r="AO15" i="38"/>
  <c r="BC15" i="38"/>
  <c r="AP15" i="38"/>
  <c r="BG15" i="38"/>
  <c r="AR15" i="38"/>
  <c r="BH15" i="38"/>
  <c r="AL15" i="38"/>
  <c r="AW15" i="38"/>
  <c r="AS15" i="38"/>
  <c r="AJ15" i="38"/>
  <c r="BD15" i="38"/>
  <c r="AQ15" i="38"/>
  <c r="AX15" i="38"/>
  <c r="AK15" i="38"/>
  <c r="AI15" i="38"/>
  <c r="AT15" i="38"/>
  <c r="AZ15" i="38"/>
  <c r="AY15" i="38"/>
  <c r="BB15" i="38"/>
  <c r="AM15" i="38"/>
  <c r="BB19" i="38"/>
  <c r="AJ19" i="38"/>
  <c r="AP19" i="38"/>
  <c r="AI19" i="38"/>
  <c r="AU19" i="38"/>
  <c r="AT19" i="38"/>
  <c r="AY19" i="38"/>
  <c r="AV19" i="38"/>
  <c r="BH19" i="38"/>
  <c r="BC19" i="38"/>
  <c r="AR19" i="38"/>
  <c r="AO19" i="38"/>
  <c r="AZ19" i="38"/>
  <c r="BA19" i="38"/>
  <c r="AL19" i="38"/>
  <c r="AM19" i="38"/>
  <c r="AX19" i="38"/>
  <c r="BD19" i="38"/>
  <c r="BG19" i="38"/>
  <c r="AS19" i="38"/>
  <c r="AQ19" i="38"/>
  <c r="AW19" i="38"/>
  <c r="AK19" i="38"/>
  <c r="BD23" i="38"/>
  <c r="AP23" i="38"/>
  <c r="AI23" i="38"/>
  <c r="AW23" i="38"/>
  <c r="BG23" i="38"/>
  <c r="AZ23" i="38"/>
  <c r="AY23" i="38"/>
  <c r="AQ23" i="38"/>
  <c r="AV23" i="38"/>
  <c r="AJ23" i="38"/>
  <c r="BC23" i="38"/>
  <c r="AX23" i="38"/>
  <c r="AL23" i="38"/>
  <c r="AR23" i="38"/>
  <c r="BA23" i="38"/>
  <c r="BH23" i="38"/>
  <c r="AU23" i="38"/>
  <c r="BB23" i="38"/>
  <c r="AM23" i="38"/>
  <c r="AS23" i="38"/>
  <c r="AO23" i="38"/>
  <c r="AT23" i="38"/>
  <c r="AK23" i="38"/>
  <c r="AK27" i="38"/>
  <c r="AI27" i="38"/>
  <c r="AJ27" i="38"/>
  <c r="AT27" i="38"/>
  <c r="BC27" i="38"/>
  <c r="AL27" i="38"/>
  <c r="AY27" i="38"/>
  <c r="BG27" i="38"/>
  <c r="AW27" i="38"/>
  <c r="AO27" i="38"/>
  <c r="BB27" i="38"/>
  <c r="AX27" i="38"/>
  <c r="BH27" i="38"/>
  <c r="AR27" i="38"/>
  <c r="AU27" i="38"/>
  <c r="BA27" i="38"/>
  <c r="BD27" i="38"/>
  <c r="AP27" i="38"/>
  <c r="AM27" i="38"/>
  <c r="AZ27" i="38"/>
  <c r="AV27" i="38"/>
  <c r="AS27" i="38"/>
  <c r="AQ27" i="38"/>
  <c r="AU31" i="38"/>
  <c r="AT31" i="38"/>
  <c r="BH31" i="38"/>
  <c r="BF31" i="38"/>
  <c r="AM31" i="38"/>
  <c r="AL31" i="38"/>
  <c r="AO31" i="38"/>
  <c r="AI31" i="38"/>
  <c r="AQ31" i="38"/>
  <c r="AK31" i="38"/>
  <c r="BA31" i="38"/>
  <c r="AZ31" i="38"/>
  <c r="AY31" i="38"/>
  <c r="BD31" i="38"/>
  <c r="BC31" i="38"/>
  <c r="AS31" i="38"/>
  <c r="AX31" i="38"/>
  <c r="AV31" i="38"/>
  <c r="AR31" i="38"/>
  <c r="BB31" i="38"/>
  <c r="BG31" i="38"/>
  <c r="AP31" i="38"/>
  <c r="AW31" i="38"/>
  <c r="AJ31" i="38"/>
  <c r="AW35" i="38"/>
  <c r="BG35" i="38"/>
  <c r="BC35" i="38"/>
  <c r="AR35" i="38"/>
  <c r="BB35" i="38"/>
  <c r="AJ35" i="38"/>
  <c r="AK35" i="38"/>
  <c r="AM35" i="38"/>
  <c r="AO35" i="38"/>
  <c r="AP35" i="38"/>
  <c r="AS35" i="38"/>
  <c r="AI35" i="38"/>
  <c r="BD35" i="38"/>
  <c r="BA35" i="38"/>
  <c r="AL35" i="38"/>
  <c r="AU35" i="38"/>
  <c r="BH35" i="38"/>
  <c r="AQ35" i="38"/>
  <c r="BF35" i="38"/>
  <c r="AV35" i="38"/>
  <c r="AX35" i="38"/>
  <c r="AY35" i="38"/>
  <c r="AT35" i="38"/>
  <c r="AZ35" i="38"/>
  <c r="AP12" i="38"/>
  <c r="AY12" i="38"/>
  <c r="AT12" i="38"/>
  <c r="AO12" i="38"/>
  <c r="BB12" i="38"/>
  <c r="AX12" i="38"/>
  <c r="BC12" i="38"/>
  <c r="AI12" i="38"/>
  <c r="BD12" i="38"/>
  <c r="AQ12" i="38"/>
  <c r="AW12" i="38"/>
  <c r="AZ12" i="38"/>
  <c r="AV12" i="38"/>
  <c r="BH12" i="38"/>
  <c r="AS12" i="38"/>
  <c r="AL12" i="38"/>
  <c r="AJ12" i="38"/>
  <c r="BA12" i="38"/>
  <c r="BG12" i="38"/>
  <c r="AR12" i="38"/>
  <c r="AM12" i="38"/>
  <c r="AK12" i="38"/>
  <c r="AU12" i="38"/>
  <c r="AI16" i="38"/>
  <c r="AP16" i="38"/>
  <c r="AV16" i="38"/>
  <c r="AJ16" i="38"/>
  <c r="AM16" i="38"/>
  <c r="AL16" i="38"/>
  <c r="BH16" i="38"/>
  <c r="AQ16" i="38"/>
  <c r="AZ16" i="38"/>
  <c r="BG16" i="38"/>
  <c r="BA16" i="38"/>
  <c r="AO16" i="38"/>
  <c r="BB16" i="38"/>
  <c r="AX16" i="38"/>
  <c r="AU16" i="38"/>
  <c r="AR16" i="38"/>
  <c r="BC16" i="38"/>
  <c r="AK16" i="38"/>
  <c r="AT16" i="38"/>
  <c r="AW16" i="38"/>
  <c r="AS16" i="38"/>
  <c r="BD16" i="38"/>
  <c r="AY16" i="38"/>
  <c r="AQ20" i="38"/>
  <c r="BG20" i="38"/>
  <c r="AW20" i="38"/>
  <c r="AK20" i="38"/>
  <c r="AL20" i="38"/>
  <c r="AT20" i="38"/>
  <c r="BC20" i="38"/>
  <c r="AV20" i="38"/>
  <c r="AS20" i="38"/>
  <c r="AY20" i="38"/>
  <c r="BA20" i="38"/>
  <c r="AI20" i="38"/>
  <c r="AX20" i="38"/>
  <c r="AO20" i="38"/>
  <c r="AZ20" i="38"/>
  <c r="AR20" i="38"/>
  <c r="BB20" i="38"/>
  <c r="AJ20" i="38"/>
  <c r="AU20" i="38"/>
  <c r="AP20" i="38"/>
  <c r="BH20" i="38"/>
  <c r="BD20" i="38"/>
  <c r="AM20" i="38"/>
  <c r="BD24" i="38"/>
  <c r="AR24" i="38"/>
  <c r="BG24" i="38"/>
  <c r="BA24" i="38"/>
  <c r="AP24" i="38"/>
  <c r="BC24" i="38"/>
  <c r="AI24" i="38"/>
  <c r="AW24" i="38"/>
  <c r="AO24" i="38"/>
  <c r="AL24" i="38"/>
  <c r="AT24" i="38"/>
  <c r="AS24" i="38"/>
  <c r="AM24" i="38"/>
  <c r="AQ24" i="38"/>
  <c r="AV24" i="38"/>
  <c r="AZ24" i="38"/>
  <c r="AX24" i="38"/>
  <c r="AY24" i="38"/>
  <c r="AU24" i="38"/>
  <c r="BH24" i="38"/>
  <c r="BB24" i="38"/>
  <c r="AK24" i="38"/>
  <c r="AJ24" i="38"/>
  <c r="AS28" i="38"/>
  <c r="AQ28" i="38"/>
  <c r="BC28" i="38"/>
  <c r="AM28" i="38"/>
  <c r="BD28" i="38"/>
  <c r="AL28" i="38"/>
  <c r="BG28" i="38"/>
  <c r="AX28" i="38"/>
  <c r="AZ28" i="38"/>
  <c r="AI28" i="38"/>
  <c r="BB28" i="38"/>
  <c r="AO28" i="38"/>
  <c r="AK28" i="38"/>
  <c r="AU28" i="38"/>
  <c r="AJ28" i="38"/>
  <c r="AT28" i="38"/>
  <c r="BH28" i="38"/>
  <c r="AV28" i="38"/>
  <c r="BA28" i="38"/>
  <c r="AP28" i="38"/>
  <c r="AW28" i="38"/>
  <c r="AR28" i="38"/>
  <c r="AY28" i="38"/>
  <c r="AQ32" i="38"/>
  <c r="AS32" i="38"/>
  <c r="AL32" i="38"/>
  <c r="AX32" i="38"/>
  <c r="BG32" i="38"/>
  <c r="AI32" i="38"/>
  <c r="AW32" i="38"/>
  <c r="BA32" i="38"/>
  <c r="AO32" i="38"/>
  <c r="AK32" i="38"/>
  <c r="AM32" i="38"/>
  <c r="AZ32" i="38"/>
  <c r="BH32" i="38"/>
  <c r="AJ32" i="38"/>
  <c r="AY32" i="38"/>
  <c r="AT32" i="38"/>
  <c r="BC32" i="38"/>
  <c r="AR32" i="38"/>
  <c r="BD32" i="38"/>
  <c r="BF32" i="38"/>
  <c r="BB32" i="38"/>
  <c r="AV32" i="38"/>
  <c r="AU32" i="38"/>
  <c r="AP13" i="38"/>
  <c r="AX13" i="38"/>
  <c r="AZ13" i="38"/>
  <c r="BH13" i="38"/>
  <c r="BB13" i="38"/>
  <c r="AS13" i="38"/>
  <c r="AO13" i="38"/>
  <c r="AY13" i="38"/>
  <c r="AW13" i="38"/>
  <c r="AR13" i="38"/>
  <c r="AQ13" i="38"/>
  <c r="AM13" i="38"/>
  <c r="AV13" i="38"/>
  <c r="AI13" i="38"/>
  <c r="AL13" i="38"/>
  <c r="BA13" i="38"/>
  <c r="AJ13" i="38"/>
  <c r="AT13" i="38"/>
  <c r="AU13" i="38"/>
  <c r="BG13" i="38"/>
  <c r="BC13" i="38"/>
  <c r="AK13" i="38"/>
  <c r="BD13" i="38"/>
  <c r="AW17" i="38"/>
  <c r="BB17" i="38"/>
  <c r="AX17" i="38"/>
  <c r="BA17" i="38"/>
  <c r="AQ17" i="38"/>
  <c r="AM17" i="38"/>
  <c r="AP17" i="38"/>
  <c r="AV17" i="38"/>
  <c r="AS17" i="38"/>
  <c r="AL17" i="38"/>
  <c r="AK17" i="38"/>
  <c r="AY17" i="38"/>
  <c r="BG17" i="38"/>
  <c r="BH17" i="38"/>
  <c r="AR17" i="38"/>
  <c r="AO17" i="38"/>
  <c r="AJ17" i="38"/>
  <c r="AI17" i="38"/>
  <c r="AU17" i="38"/>
  <c r="BD17" i="38"/>
  <c r="AZ17" i="38"/>
  <c r="AT17" i="38"/>
  <c r="BC17" i="38"/>
  <c r="AS21" i="38"/>
  <c r="AZ21" i="38"/>
  <c r="AT21" i="38"/>
  <c r="BD21" i="38"/>
  <c r="AO21" i="38"/>
  <c r="BH21" i="38"/>
  <c r="AY21" i="38"/>
  <c r="AI21" i="38"/>
  <c r="AL21" i="38"/>
  <c r="AW21" i="38"/>
  <c r="BC21" i="38"/>
  <c r="AJ21" i="38"/>
  <c r="AU21" i="38"/>
  <c r="AX21" i="38"/>
  <c r="AP21" i="38"/>
  <c r="AR21" i="38"/>
  <c r="AM21" i="38"/>
  <c r="BB21" i="38"/>
  <c r="BG21" i="38"/>
  <c r="AK21" i="38"/>
  <c r="AV21" i="38"/>
  <c r="BA21" i="38"/>
  <c r="AQ21" i="38"/>
  <c r="AP25" i="38"/>
  <c r="AS25" i="38"/>
  <c r="AI25" i="38"/>
  <c r="AK25" i="38"/>
  <c r="AX25" i="38"/>
  <c r="BB25" i="38"/>
  <c r="AR25" i="38"/>
  <c r="AV25" i="38"/>
  <c r="BC25" i="38"/>
  <c r="BG25" i="38"/>
  <c r="AJ25" i="38"/>
  <c r="AQ25" i="38"/>
  <c r="AZ25" i="38"/>
  <c r="AL25" i="38"/>
  <c r="AM25" i="38"/>
  <c r="BA25" i="38"/>
  <c r="AT25" i="38"/>
  <c r="AW25" i="38"/>
  <c r="BD25" i="38"/>
  <c r="BH25" i="38"/>
  <c r="AY25" i="38"/>
  <c r="AO25" i="38"/>
  <c r="AU25" i="38"/>
  <c r="AR29" i="38"/>
  <c r="AI29" i="38"/>
  <c r="AU29" i="38"/>
  <c r="BH29" i="38"/>
  <c r="AO29" i="38"/>
  <c r="AS29" i="38"/>
  <c r="AP29" i="38"/>
  <c r="AT29" i="38"/>
  <c r="BA29" i="38"/>
  <c r="AJ29" i="38"/>
  <c r="AM29" i="38"/>
  <c r="AW29" i="38"/>
  <c r="AK29" i="38"/>
  <c r="AV29" i="38"/>
  <c r="AQ29" i="38"/>
  <c r="BG29" i="38"/>
  <c r="AX29" i="38"/>
  <c r="BB29" i="38"/>
  <c r="BD29" i="38"/>
  <c r="AY29" i="38"/>
  <c r="AL29" i="38"/>
  <c r="AZ29" i="38"/>
  <c r="BC29" i="38"/>
  <c r="BG33" i="38"/>
  <c r="BA33" i="38"/>
  <c r="AY33" i="38"/>
  <c r="AV33" i="38"/>
  <c r="AL33" i="38"/>
  <c r="AJ33" i="38"/>
  <c r="BB33" i="38"/>
  <c r="BD33" i="38"/>
  <c r="AI33" i="38"/>
  <c r="AZ33" i="38"/>
  <c r="AO33" i="38"/>
  <c r="AQ33" i="38"/>
  <c r="AU33" i="38"/>
  <c r="BH33" i="38"/>
  <c r="AT33" i="38"/>
  <c r="AX33" i="38"/>
  <c r="AW33" i="38"/>
  <c r="AR33" i="38"/>
  <c r="AM33" i="38"/>
  <c r="BC33" i="38"/>
  <c r="AK33" i="38"/>
  <c r="BF33" i="38"/>
  <c r="AS33" i="38"/>
  <c r="BA14" i="38"/>
  <c r="AT14" i="38"/>
  <c r="AO14" i="38"/>
  <c r="AP14" i="38"/>
  <c r="AQ14" i="38"/>
  <c r="AZ14" i="38"/>
  <c r="BC14" i="38"/>
  <c r="AM14" i="38"/>
  <c r="AX14" i="38"/>
  <c r="AV14" i="38"/>
  <c r="AW14" i="38"/>
  <c r="AJ14" i="38"/>
  <c r="AY14" i="38"/>
  <c r="AR14" i="38"/>
  <c r="AS14" i="38"/>
  <c r="BD14" i="38"/>
  <c r="AK14" i="38"/>
  <c r="AU14" i="38"/>
  <c r="BH14" i="38"/>
  <c r="BG14" i="38"/>
  <c r="AI14" i="38"/>
  <c r="BB14" i="38"/>
  <c r="AL14" i="38"/>
  <c r="AI18" i="38"/>
  <c r="BC18" i="38"/>
  <c r="AX18" i="38"/>
  <c r="BD18" i="38"/>
  <c r="AO18" i="38"/>
  <c r="AM18" i="38"/>
  <c r="AY18" i="38"/>
  <c r="BA18" i="38"/>
  <c r="AV18" i="38"/>
  <c r="AJ18" i="38"/>
  <c r="BH18" i="38"/>
  <c r="AZ18" i="38"/>
  <c r="AR18" i="38"/>
  <c r="AW18" i="38"/>
  <c r="AL18" i="38"/>
  <c r="AT18" i="38"/>
  <c r="AU18" i="38"/>
  <c r="BG18" i="38"/>
  <c r="AQ18" i="38"/>
  <c r="BB18" i="38"/>
  <c r="AP18" i="38"/>
  <c r="AK18" i="38"/>
  <c r="AS18" i="38"/>
  <c r="AJ22" i="38"/>
  <c r="AZ22" i="38"/>
  <c r="AO22" i="38"/>
  <c r="AR22" i="38"/>
  <c r="AI22" i="38"/>
  <c r="BB22" i="38"/>
  <c r="AY22" i="38"/>
  <c r="AW22" i="38"/>
  <c r="BD22" i="38"/>
  <c r="BC22" i="38"/>
  <c r="BH22" i="38"/>
  <c r="BG22" i="38"/>
  <c r="AL22" i="38"/>
  <c r="AX22" i="38"/>
  <c r="BA22" i="38"/>
  <c r="AM22" i="38"/>
  <c r="AQ22" i="38"/>
  <c r="AT22" i="38"/>
  <c r="AS22" i="38"/>
  <c r="AU22" i="38"/>
  <c r="AV22" i="38"/>
  <c r="AK22" i="38"/>
  <c r="AP22" i="38"/>
  <c r="AO30" i="38"/>
  <c r="AY30" i="38"/>
  <c r="AR30" i="38"/>
  <c r="BH30" i="38"/>
  <c r="BA30" i="38"/>
  <c r="AI30" i="38"/>
  <c r="AQ30" i="38"/>
  <c r="AW30" i="38"/>
  <c r="AZ30" i="38"/>
  <c r="AV30" i="38"/>
  <c r="AJ30" i="38"/>
  <c r="AT30" i="38"/>
  <c r="BD30" i="38"/>
  <c r="BC30" i="38"/>
  <c r="AM30" i="38"/>
  <c r="AK30" i="38"/>
  <c r="BB30" i="38"/>
  <c r="AU30" i="38"/>
  <c r="AL30" i="38"/>
  <c r="AX30" i="38"/>
  <c r="AP30" i="38"/>
  <c r="BG30" i="38"/>
  <c r="AS30" i="38"/>
  <c r="AL34" i="38"/>
  <c r="BC34" i="38"/>
  <c r="AP34" i="38"/>
  <c r="AI34" i="38"/>
  <c r="AX34" i="38"/>
  <c r="BB34" i="38"/>
  <c r="AQ34" i="38"/>
  <c r="AZ34" i="38"/>
  <c r="AJ34" i="38"/>
  <c r="AV34" i="38"/>
  <c r="AU34" i="38"/>
  <c r="AS34" i="38"/>
  <c r="BH34" i="38"/>
  <c r="BG34" i="38"/>
  <c r="AR34" i="38"/>
  <c r="AY34" i="38"/>
  <c r="BF34" i="38"/>
  <c r="AM34" i="38"/>
  <c r="BD34" i="38"/>
  <c r="BA34" i="38"/>
  <c r="AO34" i="38"/>
  <c r="AW34" i="38"/>
  <c r="AK34" i="38"/>
  <c r="AT34" i="38"/>
  <c r="AM11" i="25"/>
  <c r="AJ11" i="25"/>
  <c r="AS11" i="25"/>
  <c r="AT11" i="25"/>
  <c r="BA11" i="25"/>
  <c r="BG11" i="25"/>
  <c r="BD11" i="25"/>
  <c r="AX11" i="25"/>
  <c r="AY11" i="25"/>
  <c r="AU11" i="25"/>
  <c r="BC11" i="25"/>
  <c r="AW11" i="25"/>
  <c r="AQ11" i="25"/>
  <c r="AV11" i="25"/>
  <c r="AZ11" i="25"/>
  <c r="BH11" i="25"/>
  <c r="AP11" i="25"/>
  <c r="BB11" i="25"/>
  <c r="AO11" i="25"/>
  <c r="AR11" i="25"/>
  <c r="AI11" i="25"/>
  <c r="AK11" i="25"/>
  <c r="AL11" i="25"/>
  <c r="AQ26" i="38"/>
  <c r="AL26" i="38"/>
  <c r="AP26" i="38"/>
  <c r="BA26" i="38"/>
  <c r="AS26" i="38"/>
  <c r="BB26" i="38"/>
  <c r="BD26" i="38"/>
  <c r="AT26" i="38"/>
  <c r="AV26" i="38"/>
  <c r="BH26" i="38"/>
  <c r="AX26" i="38"/>
  <c r="AY26" i="38"/>
  <c r="AO26" i="38"/>
  <c r="BG26" i="38"/>
  <c r="AW26" i="38"/>
  <c r="AR26" i="38"/>
  <c r="AU26" i="38"/>
  <c r="AI26" i="38"/>
  <c r="AZ26" i="38"/>
  <c r="AK26" i="38"/>
  <c r="AJ26" i="38"/>
  <c r="BC26" i="38"/>
  <c r="AM26" i="38"/>
  <c r="BF20" i="25"/>
  <c r="CT20" i="25"/>
  <c r="CS27" i="6"/>
  <c r="AH18" i="38"/>
  <c r="CQ18" i="38"/>
  <c r="AN32" i="25"/>
  <c r="CR32" i="25"/>
  <c r="AH30" i="38"/>
  <c r="CQ30" i="38"/>
  <c r="CQ27" i="6"/>
  <c r="BF30" i="38"/>
  <c r="CT30" i="38"/>
  <c r="AN21" i="38"/>
  <c r="CR21" i="38"/>
  <c r="BF24" i="38"/>
  <c r="CT24" i="38"/>
  <c r="AN13" i="25"/>
  <c r="CR13" i="25"/>
  <c r="BF18" i="38"/>
  <c r="CT18" i="38"/>
  <c r="AH17" i="25"/>
  <c r="CQ17" i="25"/>
  <c r="BE24" i="25"/>
  <c r="CS24" i="25"/>
  <c r="AH15" i="38"/>
  <c r="CQ15" i="38"/>
  <c r="AH28" i="38"/>
  <c r="CQ28" i="38"/>
  <c r="BE19" i="25"/>
  <c r="CS19" i="25"/>
  <c r="AN31" i="25"/>
  <c r="CR31" i="25"/>
  <c r="CQ45" i="6"/>
  <c r="CT23" i="6"/>
  <c r="BE31" i="38"/>
  <c r="CS31" i="38"/>
  <c r="AH24" i="25"/>
  <c r="CQ24" i="25"/>
  <c r="BE20" i="25"/>
  <c r="CS20" i="25"/>
  <c r="AH20" i="25"/>
  <c r="CQ20" i="25"/>
  <c r="AP33" i="38"/>
  <c r="CT33" i="38"/>
  <c r="AH16" i="25"/>
  <c r="CQ16" i="25"/>
  <c r="BF16" i="38"/>
  <c r="CT16" i="38"/>
  <c r="AH29" i="25"/>
  <c r="CQ29" i="25"/>
  <c r="BE23" i="38"/>
  <c r="CS23" i="38"/>
  <c r="AN30" i="25"/>
  <c r="CR30" i="25"/>
  <c r="BF15" i="25"/>
  <c r="CT15" i="25"/>
  <c r="BE31" i="25"/>
  <c r="CS31" i="25"/>
  <c r="AH15" i="25"/>
  <c r="CQ15" i="25"/>
  <c r="BE23" i="25"/>
  <c r="CS23" i="25"/>
  <c r="AN14" i="38"/>
  <c r="CR14" i="38"/>
  <c r="AH35" i="38"/>
  <c r="CQ35" i="38"/>
  <c r="AN18" i="38"/>
  <c r="CR18" i="38"/>
  <c r="BF14" i="38"/>
  <c r="CT14" i="38"/>
  <c r="BE27" i="25"/>
  <c r="CS27" i="25"/>
  <c r="AH13" i="38"/>
  <c r="CQ13" i="38"/>
  <c r="AH17" i="38"/>
  <c r="CQ17" i="38"/>
  <c r="BF30" i="25"/>
  <c r="CT30" i="25"/>
  <c r="AH16" i="38"/>
  <c r="CQ16" i="38"/>
  <c r="AN11" i="38"/>
  <c r="CR11" i="38"/>
  <c r="AN19" i="25"/>
  <c r="CR19" i="25"/>
  <c r="AN31" i="38"/>
  <c r="CR31" i="38"/>
  <c r="BE34" i="38"/>
  <c r="CS34" i="38"/>
  <c r="AN33" i="38"/>
  <c r="CR33" i="38"/>
  <c r="BE30" i="38"/>
  <c r="CS30" i="38"/>
  <c r="BE32" i="25"/>
  <c r="CS32" i="25"/>
  <c r="BE17" i="25"/>
  <c r="CS17" i="25"/>
  <c r="AH22" i="25"/>
  <c r="CQ22" i="25"/>
  <c r="AN25" i="38"/>
  <c r="CR25" i="38"/>
  <c r="BF28" i="38"/>
  <c r="CT28" i="38"/>
  <c r="AH20" i="38"/>
  <c r="CQ20" i="38"/>
  <c r="BE17" i="38"/>
  <c r="CS17" i="38"/>
  <c r="BF14" i="25"/>
  <c r="CT14" i="25"/>
  <c r="AH19" i="25"/>
  <c r="CQ19" i="25"/>
  <c r="BE29" i="25"/>
  <c r="CS29" i="25"/>
  <c r="AH11" i="25"/>
  <c r="CQ11" i="25"/>
  <c r="AH14" i="38"/>
  <c r="CQ14" i="38"/>
  <c r="AN27" i="38"/>
  <c r="CR27" i="38"/>
  <c r="BE16" i="25"/>
  <c r="CS16" i="25"/>
  <c r="AN15" i="38"/>
  <c r="CR15" i="38"/>
  <c r="BF13" i="25"/>
  <c r="CT13" i="25"/>
  <c r="BE13" i="25"/>
  <c r="CS13" i="25"/>
  <c r="AH24" i="38"/>
  <c r="CQ24" i="38"/>
  <c r="AN21" i="25"/>
  <c r="CR21" i="25"/>
  <c r="AH26" i="38"/>
  <c r="CQ26" i="38"/>
  <c r="AN23" i="38"/>
  <c r="CR23" i="38"/>
  <c r="BF12" i="25"/>
  <c r="CT12" i="25"/>
  <c r="BF17" i="25"/>
  <c r="CT17" i="25"/>
  <c r="BE19" i="38"/>
  <c r="CS19" i="38"/>
  <c r="BE32" i="38"/>
  <c r="CS32" i="38"/>
  <c r="AN27" i="25"/>
  <c r="CR27" i="25"/>
  <c r="AH11" i="38"/>
  <c r="CQ11" i="38"/>
  <c r="BF25" i="25"/>
  <c r="CT25" i="25"/>
  <c r="CR27" i="6"/>
  <c r="AN22" i="38"/>
  <c r="CR22" i="38"/>
  <c r="BE27" i="38"/>
  <c r="CS27" i="38"/>
  <c r="BE29" i="38"/>
  <c r="CS29" i="38"/>
  <c r="AN33" i="25"/>
  <c r="CR33" i="25"/>
  <c r="BF24" i="25"/>
  <c r="CT24" i="25"/>
  <c r="BF13" i="38"/>
  <c r="CT13" i="38"/>
  <c r="BF21" i="25"/>
  <c r="CT21" i="25"/>
  <c r="AN15" i="25"/>
  <c r="CR15" i="25"/>
  <c r="BF23" i="25"/>
  <c r="CT23" i="25"/>
  <c r="BF11" i="38"/>
  <c r="CT11" i="38"/>
  <c r="BE15" i="38"/>
  <c r="CS15" i="38"/>
  <c r="AN24" i="38"/>
  <c r="CR24" i="38"/>
  <c r="CR45" i="6"/>
  <c r="AH34" i="38"/>
  <c r="CQ34" i="38"/>
  <c r="AN17" i="38"/>
  <c r="CR17" i="38"/>
  <c r="AN26" i="38"/>
  <c r="CR26" i="38"/>
  <c r="AN12" i="25"/>
  <c r="CR12" i="25"/>
  <c r="CR23" i="6"/>
  <c r="BF11" i="25"/>
  <c r="CT11" i="25"/>
  <c r="BE33" i="38"/>
  <c r="CS33" i="38"/>
  <c r="BE11" i="25"/>
  <c r="CS11" i="25"/>
  <c r="AN28" i="38"/>
  <c r="CR28" i="38"/>
  <c r="AN20" i="38"/>
  <c r="CR20" i="38"/>
  <c r="AN13" i="38"/>
  <c r="CR13" i="38"/>
  <c r="AN28" i="25"/>
  <c r="CR28" i="25"/>
  <c r="AH14" i="25"/>
  <c r="CQ14" i="25"/>
  <c r="AG17" i="25"/>
  <c r="AN17" i="25"/>
  <c r="CR17" i="25"/>
  <c r="BE12" i="25"/>
  <c r="CS12" i="25"/>
  <c r="CS23" i="6"/>
  <c r="CS45" i="6"/>
  <c r="AN35" i="38"/>
  <c r="CR35" i="38"/>
  <c r="AH18" i="25"/>
  <c r="CQ18" i="25"/>
  <c r="BF29" i="38"/>
  <c r="CT29" i="38"/>
  <c r="BF22" i="38"/>
  <c r="CT22" i="38"/>
  <c r="AG19" i="25"/>
  <c r="BF19" i="25"/>
  <c r="CT19" i="25"/>
  <c r="AG30" i="38"/>
  <c r="AN30" i="38"/>
  <c r="CR30" i="38"/>
  <c r="AN18" i="25"/>
  <c r="CR18" i="25"/>
  <c r="AP32" i="25"/>
  <c r="CT32" i="25"/>
  <c r="AH27" i="38"/>
  <c r="CQ27" i="38"/>
  <c r="BE22" i="38"/>
  <c r="CS22" i="38"/>
  <c r="AH21" i="25"/>
  <c r="CQ21" i="25"/>
  <c r="BE25" i="25"/>
  <c r="CS25" i="25"/>
  <c r="BF19" i="38"/>
  <c r="CT19" i="38"/>
  <c r="AG20" i="25"/>
  <c r="AN20" i="25"/>
  <c r="CR20" i="25"/>
  <c r="AN19" i="38"/>
  <c r="CR19" i="38"/>
  <c r="AG15" i="25"/>
  <c r="BE15" i="25"/>
  <c r="CS15" i="25"/>
  <c r="AG28" i="38"/>
  <c r="BE28" i="38"/>
  <c r="CS28" i="38"/>
  <c r="AG13" i="38"/>
  <c r="BE13" i="38"/>
  <c r="CS13" i="38"/>
  <c r="AN26" i="25"/>
  <c r="CR26" i="25"/>
  <c r="AH25" i="25"/>
  <c r="CQ25" i="25"/>
  <c r="AH29" i="38"/>
  <c r="CQ29" i="38"/>
  <c r="BE30" i="25"/>
  <c r="CS30" i="25"/>
  <c r="AH33" i="25"/>
  <c r="CQ33" i="25"/>
  <c r="BF26" i="38"/>
  <c r="CT26" i="38"/>
  <c r="AG33" i="38"/>
  <c r="AH33" i="38"/>
  <c r="CQ33" i="38"/>
  <c r="AN23" i="25"/>
  <c r="CR23" i="25"/>
  <c r="AG23" i="25"/>
  <c r="AH23" i="25"/>
  <c r="CQ23" i="25"/>
  <c r="BF18" i="25"/>
  <c r="CT18" i="25"/>
  <c r="AG22" i="38"/>
  <c r="AH22" i="38"/>
  <c r="CQ22" i="38"/>
  <c r="AG11" i="38"/>
  <c r="BE11" i="38"/>
  <c r="CS11" i="38"/>
  <c r="AN22" i="25"/>
  <c r="CR22" i="25"/>
  <c r="BE26" i="25"/>
  <c r="CS26" i="25"/>
  <c r="BE14" i="25"/>
  <c r="CS14" i="25"/>
  <c r="AG30" i="25"/>
  <c r="AH30" i="25"/>
  <c r="CQ30" i="25"/>
  <c r="BE28" i="25"/>
  <c r="CS28" i="25"/>
  <c r="CQ23" i="6"/>
  <c r="AG24" i="25"/>
  <c r="AN24" i="25"/>
  <c r="CR24" i="25"/>
  <c r="BF16" i="25"/>
  <c r="CT16" i="25"/>
  <c r="AG16" i="25"/>
  <c r="AN16" i="25"/>
  <c r="CR16" i="25"/>
  <c r="BF29" i="25"/>
  <c r="CT29" i="25"/>
  <c r="AG14" i="25"/>
  <c r="AN14" i="25"/>
  <c r="CR14" i="25"/>
  <c r="BF20" i="38"/>
  <c r="CT20" i="38"/>
  <c r="AG11" i="25"/>
  <c r="AN11" i="25"/>
  <c r="CR11" i="25"/>
  <c r="AH21" i="38"/>
  <c r="CQ21" i="38"/>
  <c r="AG20" i="38"/>
  <c r="BE20" i="38"/>
  <c r="CS20" i="38"/>
  <c r="AP32" i="38"/>
  <c r="CT32" i="38"/>
  <c r="BE16" i="38"/>
  <c r="CS16" i="38"/>
  <c r="BF28" i="25"/>
  <c r="CT28" i="25"/>
  <c r="AG16" i="38"/>
  <c r="AN16" i="38"/>
  <c r="CR16" i="38"/>
  <c r="BF21" i="38"/>
  <c r="CT21" i="38"/>
  <c r="AG21" i="25"/>
  <c r="BE21" i="25"/>
  <c r="CS21" i="25"/>
  <c r="AG18" i="38"/>
  <c r="BE18" i="38"/>
  <c r="CS18" i="38"/>
  <c r="AG29" i="25"/>
  <c r="AN29" i="25"/>
  <c r="CR29" i="25"/>
  <c r="AH12" i="38"/>
  <c r="CQ12" i="38"/>
  <c r="AG32" i="25"/>
  <c r="AH32" i="25"/>
  <c r="CQ32" i="25"/>
  <c r="AN12" i="38"/>
  <c r="CR12" i="38"/>
  <c r="AG33" i="25"/>
  <c r="AP33" i="25"/>
  <c r="CT33" i="25"/>
  <c r="BF22" i="25"/>
  <c r="CT22" i="25"/>
  <c r="AG34" i="38"/>
  <c r="AN34" i="38"/>
  <c r="CR34" i="38"/>
  <c r="AH32" i="38"/>
  <c r="CQ32" i="38"/>
  <c r="AG28" i="25"/>
  <c r="AH28" i="25"/>
  <c r="CQ28" i="25"/>
  <c r="BF27" i="25"/>
  <c r="CT27" i="25"/>
  <c r="AG26" i="38"/>
  <c r="BE26" i="38"/>
  <c r="CS26" i="38"/>
  <c r="AG24" i="38"/>
  <c r="BE24" i="38"/>
  <c r="CS24" i="38"/>
  <c r="AG22" i="25"/>
  <c r="BE22" i="25"/>
  <c r="CS22" i="25"/>
  <c r="AG17" i="38"/>
  <c r="BF17" i="38"/>
  <c r="CT17" i="38"/>
  <c r="AG27" i="38"/>
  <c r="BF27" i="38"/>
  <c r="CT27" i="38"/>
  <c r="AG18" i="25"/>
  <c r="BE18" i="25"/>
  <c r="CS18" i="25"/>
  <c r="AG19" i="38"/>
  <c r="AH19" i="38"/>
  <c r="CQ19" i="38"/>
  <c r="AG29" i="38"/>
  <c r="AN29" i="38"/>
  <c r="CR29" i="38"/>
  <c r="BF23" i="38"/>
  <c r="CT23" i="38"/>
  <c r="BF26" i="25"/>
  <c r="CT26" i="25"/>
  <c r="BF25" i="38"/>
  <c r="CT25" i="38"/>
  <c r="AG15" i="38"/>
  <c r="BF15" i="38"/>
  <c r="CT15" i="38"/>
  <c r="BF12" i="38"/>
  <c r="CT12" i="38"/>
  <c r="CT27" i="6"/>
  <c r="AG31" i="38"/>
  <c r="AH31" i="38"/>
  <c r="CQ31" i="38"/>
  <c r="AG12" i="38"/>
  <c r="BE12" i="38"/>
  <c r="CS12" i="38"/>
  <c r="AH25" i="38"/>
  <c r="CQ25" i="38"/>
  <c r="AG26" i="25"/>
  <c r="AH26" i="25"/>
  <c r="CQ26" i="25"/>
  <c r="AG14" i="38"/>
  <c r="BE14" i="38"/>
  <c r="CS14" i="38"/>
  <c r="AG12" i="25"/>
  <c r="AH12" i="25"/>
  <c r="CQ12" i="25"/>
  <c r="AG31" i="25"/>
  <c r="AH31" i="25"/>
  <c r="CQ31" i="25"/>
  <c r="AG25" i="25"/>
  <c r="AN25" i="25"/>
  <c r="CR25" i="25"/>
  <c r="AG13" i="25"/>
  <c r="AH13" i="25"/>
  <c r="CQ13" i="25"/>
  <c r="AG25" i="38"/>
  <c r="BE25" i="38"/>
  <c r="CS25" i="38"/>
  <c r="AG27" i="25"/>
  <c r="AH27" i="25"/>
  <c r="CQ27" i="25"/>
  <c r="AG35" i="38"/>
  <c r="BE35" i="38"/>
  <c r="CS35" i="38"/>
  <c r="AG32" i="38"/>
  <c r="AN32" i="38"/>
  <c r="CR32" i="38"/>
  <c r="AG21" i="38"/>
  <c r="BE21" i="38"/>
  <c r="CS21" i="38"/>
  <c r="AG23" i="38"/>
  <c r="AH23" i="38"/>
  <c r="CQ23" i="38"/>
</calcChain>
</file>

<file path=xl/sharedStrings.xml><?xml version="1.0" encoding="utf-8"?>
<sst xmlns="http://schemas.openxmlformats.org/spreadsheetml/2006/main" count="5057" uniqueCount="656">
  <si>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</si>
  <si>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</si>
  <si>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</si>
  <si>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</si>
  <si>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</si>
  <si>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</si>
  <si>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</si>
  <si>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</si>
  <si>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</si>
  <si>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</si>
  <si>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</si>
  <si>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</si>
  <si>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</si>
  <si>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</si>
  <si>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</si>
  <si>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</si>
  <si>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</si>
  <si>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</si>
  <si>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</si>
  <si>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</si>
  <si>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</si>
  <si>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</si>
  <si>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</si>
  <si>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</si>
  <si>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</si>
  <si>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</si>
  <si>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</si>
  <si>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</si>
  <si>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</si>
  <si>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</si>
  <si>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</si>
  <si>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Prénom de l’élève</t>
  </si>
  <si>
    <t>Nom de l’élève</t>
  </si>
  <si>
    <t>Référence</t>
  </si>
  <si>
    <t>Nom de l’élève</t>
  </si>
  <si>
    <t>E</t>
  </si>
  <si>
    <t>Total</t>
  </si>
  <si>
    <t>Sexe</t>
  </si>
  <si>
    <t>Date de naissance</t>
  </si>
  <si>
    <t>École</t>
  </si>
  <si>
    <t>Note</t>
  </si>
  <si>
    <t>Enseignant</t>
  </si>
  <si>
    <t>Salle</t>
  </si>
  <si>
    <t>Relation</t>
  </si>
  <si>
    <t>Téléphone (bureau)</t>
  </si>
  <si>
    <t>Téléphone (domicile)</t>
  </si>
  <si>
    <t>Contact en cas d’urgence</t>
  </si>
  <si>
    <t>Lien de parenté du contact en cas d’urgence</t>
  </si>
  <si>
    <t>Téléphone du contact en cas d’urgence (bureau)</t>
  </si>
  <si>
    <t>Téléphone du contact en cas d’urgence (domicile)</t>
  </si>
  <si>
    <t>Août</t>
  </si>
  <si>
    <t>Septembre</t>
  </si>
  <si>
    <t>Octobre</t>
  </si>
  <si>
    <t>Novembre</t>
  </si>
  <si>
    <t>Décembre</t>
  </si>
  <si>
    <t>Janvier</t>
  </si>
  <si>
    <t>Février</t>
  </si>
  <si>
    <t>Mars</t>
  </si>
  <si>
    <t>Avril</t>
  </si>
  <si>
    <t>Mai</t>
  </si>
  <si>
    <t>Juin</t>
  </si>
  <si>
    <t>Juillet</t>
  </si>
  <si>
    <t>Parent ou responsable 1</t>
  </si>
  <si>
    <t>Lien de parenté du parent/responsable 1</t>
  </si>
  <si>
    <t>Téléphone du parent/responsable 1 (domicile)</t>
  </si>
  <si>
    <t>Lien de parenté du parent/responsable 2</t>
  </si>
  <si>
    <t>Téléphone du parent/responsable 2 (bureau)</t>
  </si>
  <si>
    <t>Téléphone du parent/responsable 2 (domicile)</t>
  </si>
  <si>
    <t>Parent/responsable 2</t>
  </si>
  <si>
    <t>Nom du parent ou responsable 1</t>
  </si>
  <si>
    <t>Nom du parent ou responsable 2</t>
  </si>
  <si>
    <t>E001</t>
  </si>
  <si>
    <t>E002</t>
  </si>
  <si>
    <t>E003</t>
  </si>
  <si>
    <t>E004</t>
  </si>
  <si>
    <t>E005</t>
  </si>
  <si>
    <t xml:space="preserve">● </t>
  </si>
  <si>
    <t>1.</t>
  </si>
  <si>
    <t>2.</t>
  </si>
  <si>
    <t>3.</t>
  </si>
  <si>
    <t>Une fois vos élèves inscrits sur la feuille Liste des élèves, vous pouvez commencer le suivi de leur présence durant l’année scolaire en procédant comme suit :</t>
  </si>
  <si>
    <t>PAR OÙ COMMENCER ?</t>
  </si>
  <si>
    <t>J’AI AJOUTÉ MES ÉLÈVES. QUE DOIS-JE FAIRE MAINTENANT ?</t>
  </si>
  <si>
    <t>COMMENT AJOUTER DAVANTAGE D’ÉLÈVES À UNE FICHE DE PRÉSENCE MENSUELLE ?</t>
  </si>
  <si>
    <t>PUIS-JE VOIR LES INFORMATIONS DE PRÉSENCE D’UN ÉLÈVE POUR TOUTE L’ANNÉE SCOLAIRE ?</t>
  </si>
  <si>
    <t>Vous devez effectuer quelques étapes avant de pouvoir assurer le suivi de présence des élèves :</t>
  </si>
  <si>
    <t xml:space="preserve">CODE DE COULEURS </t>
  </si>
  <si>
    <t>Si le tableau ne possède pas de ligne Total, commencez à taper sous le tableau. Ce dernier se développe automatiquement lorsque vous appuyez sur la touche Entrée ou Tab.</t>
  </si>
  <si>
    <t>Dans l’angle inférieur droit du tableau, placez votre souris sur la poignée de redimensionnement du tableau, puis faites-la glisser vers le bas pour augmenter le nombre de lignes disponibles dans le tableau.</t>
  </si>
  <si>
    <t>Téléphone du parent/responsable 1 (bureau)</t>
  </si>
  <si>
    <t>COMMENT UTILISER CE MODÈLE</t>
  </si>
  <si>
    <t>Personnaliser un thème de document.</t>
  </si>
  <si>
    <r>
      <rPr>
        <b/>
        <sz val="10"/>
        <color theme="4" tint="-0.499984740745262"/>
        <rFont val="Century Gothic"/>
        <family val="2"/>
        <scheme val="minor"/>
      </rPr>
      <t>Modifiez l’année scolaire :</t>
    </r>
    <r>
      <rPr>
        <sz val="10"/>
        <color theme="4" tint="-0.499984740745262"/>
        <rFont val="Century Gothic"/>
        <family val="2"/>
        <scheme val="minor"/>
      </rPr>
      <t xml:space="preserve"> </t>
    </r>
    <r>
      <rPr>
        <sz val="10"/>
        <color theme="1"/>
        <rFont val="Century Gothic"/>
        <family val="2"/>
        <scheme val="minor"/>
      </rPr>
      <t xml:space="preserve">dans la feuille </t>
    </r>
    <r>
      <rPr>
        <b/>
        <sz val="10"/>
        <color theme="1"/>
        <rFont val="Century Gothic"/>
        <family val="2"/>
        <scheme val="minor"/>
      </rPr>
      <t>Août</t>
    </r>
    <r>
      <rPr>
        <sz val="10"/>
        <color theme="1"/>
        <rFont val="Century Gothic"/>
        <family val="2"/>
        <scheme val="minor"/>
      </rPr>
      <t xml:space="preserve"> relative aux informations de présence, cliquez sur le compteur situé à l’extrémité droite du titre afin de mettre à jour l’année scolaire. Cette modification entraîne la mise à jour du titre sur toutes les fiches de présence mensuelles de ce classeur. (Notez que le compteur n’est pas imprimé.)</t>
    </r>
    <phoneticPr fontId="42" type="noConversion"/>
  </si>
  <si>
    <r>
      <rPr>
        <b/>
        <i/>
        <sz val="10"/>
        <color theme="4" tint="-0.499984740745262"/>
        <rFont val="Century Gothic"/>
        <family val="2"/>
        <scheme val="minor"/>
      </rPr>
      <t>(Facultatif)</t>
    </r>
    <r>
      <rPr>
        <b/>
        <sz val="10"/>
        <color theme="4" tint="-0.499984740745262"/>
        <rFont val="Century Gothic"/>
        <family val="2"/>
        <scheme val="minor"/>
      </rPr>
      <t xml:space="preserve"> Modifiez les couleurs du classeur :</t>
    </r>
    <r>
      <rPr>
        <b/>
        <sz val="10"/>
        <color theme="1"/>
        <rFont val="Century Gothic"/>
        <family val="2"/>
        <scheme val="minor"/>
      </rPr>
      <t xml:space="preserve"> </t>
    </r>
    <r>
      <rPr>
        <sz val="10"/>
        <color theme="1"/>
        <rFont val="Century Gothic"/>
        <family val="2"/>
        <scheme val="minor"/>
      </rPr>
      <t xml:space="preserve"> accédez tout d’abord à la dernière feuille </t>
    </r>
    <r>
      <rPr>
        <b/>
        <sz val="10"/>
        <color theme="1"/>
        <rFont val="Century Gothic"/>
        <family val="2"/>
        <scheme val="minor"/>
      </rPr>
      <t>Rapport de présence des élèves</t>
    </r>
    <r>
      <rPr>
        <sz val="10"/>
        <color theme="1"/>
        <rFont val="Century Gothic"/>
        <family val="2"/>
        <scheme val="minor"/>
      </rPr>
      <t xml:space="preserve"> puis sous l’onglet </t>
    </r>
    <r>
      <rPr>
        <b/>
        <sz val="10"/>
        <color theme="1"/>
        <rFont val="Century Gothic"/>
        <family val="2"/>
        <scheme val="minor"/>
      </rPr>
      <t>Révision</t>
    </r>
    <r>
      <rPr>
        <sz val="10"/>
        <color theme="1"/>
        <rFont val="Century Gothic"/>
        <family val="2"/>
        <scheme val="minor"/>
      </rPr>
      <t xml:space="preserve"> dans le groupe </t>
    </r>
    <r>
      <rPr>
        <b/>
        <sz val="10"/>
        <color theme="1"/>
        <rFont val="Century Gothic"/>
        <family val="2"/>
        <scheme val="minor"/>
      </rPr>
      <t>Modifications</t>
    </r>
    <r>
      <rPr>
        <sz val="10"/>
        <color theme="1"/>
        <rFont val="Century Gothic"/>
        <family val="2"/>
        <scheme val="minor"/>
      </rPr>
      <t xml:space="preserve"> cliquez sur </t>
    </r>
    <r>
      <rPr>
        <b/>
        <sz val="10"/>
        <color theme="1"/>
        <rFont val="Century Gothic"/>
        <family val="2"/>
        <scheme val="minor"/>
      </rPr>
      <t>Ôter la protection de la feuille</t>
    </r>
    <r>
      <rPr>
        <sz val="10"/>
        <color theme="1"/>
        <rFont val="Century Gothic"/>
        <family val="2"/>
        <scheme val="minor"/>
      </rPr>
      <t xml:space="preserve">. Sous l’onglet </t>
    </r>
    <r>
      <rPr>
        <b/>
        <sz val="10"/>
        <color theme="1"/>
        <rFont val="Century Gothic"/>
        <family val="2"/>
        <scheme val="minor"/>
      </rPr>
      <t>Mise en page</t>
    </r>
    <r>
      <rPr>
        <sz val="10"/>
        <color theme="1"/>
        <rFont val="Century Gothic"/>
        <family val="2"/>
        <scheme val="minor"/>
      </rPr>
      <t xml:space="preserve"> dans le groupe </t>
    </r>
    <r>
      <rPr>
        <b/>
        <sz val="10"/>
        <color theme="1"/>
        <rFont val="Century Gothic"/>
        <family val="2"/>
        <scheme val="minor"/>
      </rPr>
      <t>Thèmes</t>
    </r>
    <r>
      <rPr>
        <sz val="10"/>
        <color theme="1"/>
        <rFont val="Century Gothic"/>
        <family val="2"/>
        <scheme val="minor"/>
      </rPr>
      <t xml:space="preserve"> cliquez sur </t>
    </r>
    <r>
      <rPr>
        <b/>
        <sz val="10"/>
        <color theme="1"/>
        <rFont val="Century Gothic"/>
        <family val="2"/>
        <scheme val="minor"/>
      </rPr>
      <t>Couleurs</t>
    </r>
    <r>
      <rPr>
        <sz val="10"/>
        <color theme="1"/>
        <rFont val="Century Gothic"/>
        <family val="2"/>
        <scheme val="minor"/>
      </rPr>
      <t xml:space="preserve"> et sélectionnez un autre ensemble de couleurs de thème à partir de la galerie de couleurs. Une fois que vous avez effectué vos modifications de couleurs et autres modifications liées au thème, revenez à la feuille </t>
    </r>
    <r>
      <rPr>
        <b/>
        <sz val="10"/>
        <color theme="1"/>
        <rFont val="Century Gothic"/>
        <family val="2"/>
        <scheme val="minor"/>
      </rPr>
      <t>Rapport de présence des élèves</t>
    </r>
    <r>
      <rPr>
        <sz val="10"/>
        <color theme="1"/>
        <rFont val="Century Gothic"/>
        <family val="2"/>
        <scheme val="minor"/>
      </rPr>
      <t xml:space="preserve">  du classeur. Sous l’onglet </t>
    </r>
    <r>
      <rPr>
        <b/>
        <sz val="10"/>
        <color theme="1"/>
        <rFont val="Century Gothic"/>
        <family val="2"/>
        <scheme val="minor"/>
      </rPr>
      <t>Révision</t>
    </r>
    <r>
      <rPr>
        <sz val="10"/>
        <color theme="1"/>
        <rFont val="Century Gothic"/>
        <family val="2"/>
        <scheme val="minor"/>
      </rPr>
      <t xml:space="preserve"> dans le groupe </t>
    </r>
    <r>
      <rPr>
        <b/>
        <sz val="10"/>
        <color theme="1"/>
        <rFont val="Century Gothic"/>
        <family val="2"/>
        <scheme val="minor"/>
      </rPr>
      <t>Modifications</t>
    </r>
    <r>
      <rPr>
        <sz val="10"/>
        <color theme="1"/>
        <rFont val="Century Gothic"/>
        <family val="2"/>
        <scheme val="minor"/>
      </rPr>
      <t xml:space="preserve"> cliquez sur</t>
    </r>
    <r>
      <rPr>
        <b/>
        <sz val="10"/>
        <color theme="1"/>
        <rFont val="Century Gothic"/>
        <family val="2"/>
        <scheme val="minor"/>
      </rPr>
      <t xml:space="preserve"> Protéger la feuille</t>
    </r>
    <r>
      <rPr>
        <sz val="10"/>
        <color theme="1"/>
        <rFont val="Century Gothic"/>
        <family val="2"/>
        <scheme val="minor"/>
      </rPr>
      <t xml:space="preserve">, puis sur </t>
    </r>
    <r>
      <rPr>
        <b/>
        <sz val="10"/>
        <color theme="1"/>
        <rFont val="Century Gothic"/>
        <family val="2"/>
        <scheme val="minor"/>
      </rPr>
      <t>OK.</t>
    </r>
    <phoneticPr fontId="42" type="noConversion"/>
  </si>
  <si>
    <r>
      <rPr>
        <b/>
        <sz val="10"/>
        <color theme="1"/>
        <rFont val="Century Gothic"/>
        <family val="2"/>
        <scheme val="minor"/>
      </rPr>
      <t>Conseil :</t>
    </r>
    <r>
      <rPr>
        <sz val="10"/>
        <color theme="1"/>
        <rFont val="Century Gothic"/>
        <family val="2"/>
        <scheme val="minor"/>
      </rPr>
      <t xml:space="preserve"> créez un ensemble de couleurs de thème personnalisé aux couleurs de votre école. Pour ce faire, sous l’onglet </t>
    </r>
    <r>
      <rPr>
        <b/>
        <sz val="10"/>
        <color theme="1"/>
        <rFont val="Century Gothic"/>
        <family val="2"/>
        <scheme val="minor"/>
      </rPr>
      <t>Mise en page</t>
    </r>
    <r>
      <rPr>
        <sz val="10"/>
        <color theme="1"/>
        <rFont val="Century Gothic"/>
        <family val="2"/>
        <scheme val="minor"/>
      </rPr>
      <t xml:space="preserve"> dans le groupe </t>
    </r>
    <r>
      <rPr>
        <b/>
        <sz val="10"/>
        <color theme="1"/>
        <rFont val="Century Gothic"/>
        <family val="2"/>
        <scheme val="minor"/>
      </rPr>
      <t>Thèmes</t>
    </r>
    <r>
      <rPr>
        <sz val="10"/>
        <color theme="1"/>
        <rFont val="Century Gothic"/>
        <family val="2"/>
        <scheme val="minor"/>
      </rPr>
      <t xml:space="preserve"> cliquez sur </t>
    </r>
    <r>
      <rPr>
        <b/>
        <sz val="10"/>
        <color theme="1"/>
        <rFont val="Century Gothic"/>
        <family val="2"/>
        <scheme val="minor"/>
      </rPr>
      <t>Couleurs</t>
    </r>
    <r>
      <rPr>
        <sz val="10"/>
        <color theme="1"/>
        <rFont val="Century Gothic"/>
        <family val="2"/>
        <scheme val="minor"/>
      </rPr>
      <t xml:space="preserve"> et, vers le bas de la galerie de couleurs, cliquez sur </t>
    </r>
    <r>
      <rPr>
        <b/>
        <sz val="10"/>
        <color theme="1"/>
        <rFont val="Century Gothic"/>
        <family val="2"/>
        <scheme val="minor"/>
      </rPr>
      <t>Nouvelles couleurs de thème</t>
    </r>
    <r>
      <rPr>
        <sz val="10"/>
        <color theme="1"/>
        <rFont val="Century Gothic"/>
        <family val="2"/>
        <scheme val="minor"/>
      </rPr>
      <t xml:space="preserve">. Pour plus d’informations sur la création d’un ensemble de couleurs personnalisé, voir la rubrique d’aide suivante : </t>
    </r>
    <phoneticPr fontId="42" type="noConversion"/>
  </si>
  <si>
    <r>
      <t xml:space="preserve">Pour ajouter un élève à une fiche de présence, cliquez dans une cellule sous la colonne </t>
    </r>
    <r>
      <rPr>
        <b/>
        <sz val="10"/>
        <color theme="1"/>
        <rFont val="Century Gothic"/>
        <family val="2"/>
        <scheme val="minor"/>
      </rPr>
      <t>Référence</t>
    </r>
    <r>
      <rPr>
        <sz val="10"/>
        <color theme="1"/>
        <rFont val="Century Gothic"/>
        <family val="2"/>
        <scheme val="minor"/>
      </rPr>
      <t xml:space="preserve"> et sélectionnez une référence dans la liste. Le nom de l’élève s’affiche automatiquement dès qu’une référence est sélectionnée. </t>
    </r>
    <phoneticPr fontId="42" type="noConversion"/>
  </si>
  <si>
    <r>
      <rPr>
        <b/>
        <sz val="10"/>
        <color theme="1"/>
        <rFont val="Century Gothic"/>
        <family val="2"/>
        <scheme val="minor"/>
      </rPr>
      <t xml:space="preserve">Conseil : </t>
    </r>
    <r>
      <rPr>
        <sz val="10"/>
        <color theme="1"/>
        <rFont val="Century Gothic"/>
        <family val="2"/>
        <scheme val="minor"/>
      </rPr>
      <t xml:space="preserve">évitez de devoir recommencer certaines étapes relatives à l’entrée de données. Une fois que vous avez ajouté vos élèves pour un mois, sélectionnez les références de ces élèves, copiez-les, puis collez-les dans la colonne </t>
    </r>
    <r>
      <rPr>
        <b/>
        <sz val="10"/>
        <color theme="1"/>
        <rFont val="Century Gothic"/>
        <family val="2"/>
        <scheme val="minor"/>
      </rPr>
      <t>Référence</t>
    </r>
    <r>
      <rPr>
        <sz val="10"/>
        <color theme="1"/>
        <rFont val="Century Gothic"/>
        <family val="2"/>
        <scheme val="minor"/>
      </rPr>
      <t xml:space="preserve"> des mois restants. </t>
    </r>
    <phoneticPr fontId="42" type="noConversion"/>
  </si>
  <si>
    <t>Entrez ensuite les informations de présence appropriées pour chaque jour du mois en utilisant les types d’information de présence indiqués dans Code de couleurs. L’assiduité des élèves est calculée automatiquement en fonction du type d’information de présence de chaque élève dans la colonne Total. Le total des absences quotidiennes est automatiquement calculé au bas du tableau dans la ligne de total.</t>
    <phoneticPr fontId="42" type="noConversion"/>
  </si>
  <si>
    <t>Les feuilles des fiches de présence mensuelles et la liste des élèves sont des tableaux Excel. Pour ajouter de nouvelles lignes à un tableau Excel, effectuez l’une des opérations suivantes :</t>
    <phoneticPr fontId="42" type="noConversion"/>
  </si>
  <si>
    <r>
      <t xml:space="preserve">La dernière feuille de ce classeur, Rapport de présence des élèves, permet d’effectuer le suivi de présence annuel à ce jour. Pour afficher un rapport spécifique à un élève, cliquez dans la cellule située sous </t>
    </r>
    <r>
      <rPr>
        <b/>
        <sz val="10"/>
        <color theme="1"/>
        <rFont val="Century Gothic"/>
        <family val="2"/>
        <scheme val="minor"/>
      </rPr>
      <t>Référence</t>
    </r>
    <r>
      <rPr>
        <sz val="10"/>
        <color theme="1"/>
        <rFont val="Century Gothic"/>
        <family val="2"/>
        <scheme val="minor"/>
      </rPr>
      <t xml:space="preserve"> et sélectionnez une référence dans la liste déroulante. Les informations que vous avez entrées 
précédemment dans la feuille Liste des élèves pour l’élève sélectionné s’affichent automatiquement. Notez que la première fois que vous utilisez la feuille Rapport de présence des élèves, vous devez entrer les informations relatives à l’école, au niveau, à l’enseignant et à la salle. Ces informations ne changent pas si vous sélectionnez un autre élève. </t>
    </r>
    <phoneticPr fontId="42" type="noConversion"/>
  </si>
  <si>
    <r>
      <t xml:space="preserve">Cliquez avec le bouton droit sur le tableau. Dans le menu contextuel, pointez sur </t>
    </r>
    <r>
      <rPr>
        <b/>
        <sz val="10"/>
        <color theme="1"/>
        <rFont val="Century Gothic"/>
        <family val="2"/>
        <scheme val="minor"/>
      </rPr>
      <t>Insérer</t>
    </r>
    <r>
      <rPr>
        <sz val="10"/>
        <color theme="1"/>
        <rFont val="Century Gothic"/>
        <family val="2"/>
        <scheme val="minor"/>
      </rPr>
      <t xml:space="preserve"> , puis cliquez sur </t>
    </r>
    <r>
      <rPr>
        <b/>
        <sz val="10"/>
        <color theme="1"/>
        <rFont val="Century Gothic"/>
        <family val="2"/>
        <scheme val="minor"/>
      </rPr>
      <t>Lignes de tableau en haut</t>
    </r>
    <r>
      <rPr>
        <sz val="10"/>
        <color theme="1"/>
        <rFont val="Century Gothic"/>
        <family val="2"/>
        <scheme val="minor"/>
      </rPr>
      <t xml:space="preserve"> ou </t>
    </r>
    <r>
      <rPr>
        <b/>
        <sz val="10"/>
        <color theme="1"/>
        <rFont val="Century Gothic"/>
        <family val="2"/>
        <scheme val="minor"/>
      </rPr>
      <t>Lignes de tableau en dessous</t>
    </r>
    <r>
      <rPr>
        <sz val="10"/>
        <color theme="1"/>
        <rFont val="Century Gothic"/>
        <family val="2"/>
        <scheme val="minor"/>
      </rPr>
      <t xml:space="preserve">. </t>
    </r>
    <phoneticPr fontId="42" type="noConversion"/>
  </si>
  <si>
    <t>Placez votre pointeur de cellule dans la dernière cellule située au-dessus de la ligne de total, par exemple la cellule Jours d’absence du dernier élève, puis appuyez sur la touche Tab.</t>
    <phoneticPr fontId="42" type="noConversion"/>
  </si>
  <si>
    <t>Nom complet de 
l’élève</t>
    <phoneticPr fontId="42" type="noConversion"/>
  </si>
  <si>
    <r>
      <rPr>
        <b/>
        <sz val="10"/>
        <color theme="4" tint="-0.499984740745262"/>
        <rFont val="Century Gothic"/>
        <family val="2"/>
        <scheme val="minor"/>
      </rPr>
      <t>Ajoutez vos élèves</t>
    </r>
    <r>
      <rPr>
        <b/>
        <sz val="10"/>
        <color theme="1"/>
        <rFont val="Century Gothic"/>
        <family val="2"/>
        <scheme val="minor"/>
      </rPr>
      <t> :</t>
    </r>
    <r>
      <rPr>
        <sz val="10"/>
        <color theme="1"/>
        <rFont val="Century Gothic"/>
        <family val="2"/>
        <scheme val="minor"/>
      </rPr>
      <t xml:space="preserve"> dans la feuille </t>
    </r>
    <r>
      <rPr>
        <b/>
        <sz val="10"/>
        <color theme="1"/>
        <rFont val="Century Gothic"/>
        <family val="2"/>
        <scheme val="minor"/>
      </rPr>
      <t>Liste des élèves</t>
    </r>
    <r>
      <rPr>
        <sz val="10"/>
        <color theme="1"/>
        <rFont val="Century Gothic"/>
        <family val="2"/>
        <scheme val="minor"/>
      </rPr>
      <t xml:space="preserve"> du classeur, entrez les informations relatives à chaque élève, par exemple les noms des parents/responsables et les données de contacts. La référence est une entrée importante, car elle fournit un identifiant unique pour chaque élève et est utilisée dans le classeur au sein des diverses listes déroulantes Référence dans le but de faciliter l’entrée des données. Les informations entrées dans la feuille Liste des élèves sont également utilisées dans d’autres feuilles, par exemple le Rapport de présence des élèves et les fiches de présence mensuelles.</t>
    </r>
  </si>
  <si>
    <t>A</t>
  </si>
  <si>
    <t>B</t>
  </si>
  <si>
    <t>C</t>
  </si>
  <si>
    <t>D</t>
  </si>
  <si>
    <t>F</t>
  </si>
  <si>
    <t>G</t>
  </si>
  <si>
    <t>Absence (total)</t>
  </si>
  <si>
    <t>Début de l’année scolaire :2017</t>
  </si>
  <si>
    <t>LISTE DES ÉLÈVES1</t>
  </si>
  <si>
    <t>ABDESSEMED</t>
  </si>
  <si>
    <t>ABOSI</t>
  </si>
  <si>
    <t>AFKIR</t>
  </si>
  <si>
    <t>AFRICA</t>
  </si>
  <si>
    <t xml:space="preserve">AINAUD </t>
  </si>
  <si>
    <t>AIT CHALALET</t>
  </si>
  <si>
    <t>AJINCA</t>
  </si>
  <si>
    <t>ALBINA</t>
  </si>
  <si>
    <t>ALCHEK</t>
  </si>
  <si>
    <t>ALLOUCH</t>
  </si>
  <si>
    <t>ANCELE-VALCIN</t>
  </si>
  <si>
    <t>ANDRE</t>
  </si>
  <si>
    <t>ANGRE</t>
  </si>
  <si>
    <t>BAESSA</t>
  </si>
  <si>
    <t xml:space="preserve">BARREIROS </t>
  </si>
  <si>
    <t>BASTARDIE</t>
  </si>
  <si>
    <t>BAUDET</t>
  </si>
  <si>
    <t>BENOIST</t>
  </si>
  <si>
    <t>BENOUARETH</t>
  </si>
  <si>
    <t>BERNARD</t>
  </si>
  <si>
    <t>BESTEL</t>
  </si>
  <si>
    <t xml:space="preserve">BLOT </t>
  </si>
  <si>
    <t>BOISSELET</t>
  </si>
  <si>
    <t xml:space="preserve">BOUCAUD </t>
  </si>
  <si>
    <t>BOUKHARAZ</t>
  </si>
  <si>
    <t>BOUTILLIER</t>
  </si>
  <si>
    <t>BRIAND</t>
  </si>
  <si>
    <t>BRITES TRACA</t>
  </si>
  <si>
    <t xml:space="preserve">BRONZE </t>
  </si>
  <si>
    <t>CAMISON</t>
  </si>
  <si>
    <t>CEBIN</t>
  </si>
  <si>
    <t>CHARPAGNE</t>
  </si>
  <si>
    <t>CIRACI</t>
  </si>
  <si>
    <t>CLARY</t>
  </si>
  <si>
    <t>CLAUDIN</t>
  </si>
  <si>
    <t>CORDEREIX</t>
  </si>
  <si>
    <t xml:space="preserve">CORNELIS </t>
  </si>
  <si>
    <t>COULIBALY</t>
  </si>
  <si>
    <t>DAGNET</t>
  </si>
  <si>
    <t>DAHMANI</t>
  </si>
  <si>
    <t>DALI</t>
  </si>
  <si>
    <t>DANION</t>
  </si>
  <si>
    <t>DE LUISE</t>
  </si>
  <si>
    <t>DIAOUNE</t>
  </si>
  <si>
    <t>DOS SANTOS SILVA</t>
  </si>
  <si>
    <t>DOSSOU</t>
  </si>
  <si>
    <t>DUFFO</t>
  </si>
  <si>
    <t>EDERY</t>
  </si>
  <si>
    <t>EL MAZGHI</t>
  </si>
  <si>
    <t>ELIE</t>
  </si>
  <si>
    <t>ETIENNE</t>
  </si>
  <si>
    <t>FIRPION</t>
  </si>
  <si>
    <t xml:space="preserve">GARGIULO </t>
  </si>
  <si>
    <t>GASQUET</t>
  </si>
  <si>
    <t>GATIBELZA</t>
  </si>
  <si>
    <t>GOMES SEMEDO</t>
  </si>
  <si>
    <t xml:space="preserve">GORDON </t>
  </si>
  <si>
    <t>GRANCHON-RIOLZIR</t>
  </si>
  <si>
    <t>GROEVIUS</t>
  </si>
  <si>
    <t>GUECHI</t>
  </si>
  <si>
    <t>HASSANI</t>
  </si>
  <si>
    <t xml:space="preserve">HERMANN-MANETTE </t>
  </si>
  <si>
    <t>HOSTI</t>
  </si>
  <si>
    <t>ITSOTSO</t>
  </si>
  <si>
    <t xml:space="preserve">JACQUIN </t>
  </si>
  <si>
    <t>JOSEPH</t>
  </si>
  <si>
    <t>JUAN</t>
  </si>
  <si>
    <t>KABOL</t>
  </si>
  <si>
    <t>KANTE</t>
  </si>
  <si>
    <t>KERMESH</t>
  </si>
  <si>
    <t>KESSIE</t>
  </si>
  <si>
    <t>KIFIA ALI</t>
  </si>
  <si>
    <t>KONATE</t>
  </si>
  <si>
    <t>KRIR</t>
  </si>
  <si>
    <t>LACROIX</t>
  </si>
  <si>
    <t>LADERVAL</t>
  </si>
  <si>
    <t>LALARDIE</t>
  </si>
  <si>
    <t>LALLEMAND</t>
  </si>
  <si>
    <t>LAMETTE</t>
  </si>
  <si>
    <t>LAMGHARI / DAHAN</t>
  </si>
  <si>
    <t>LAURENT</t>
  </si>
  <si>
    <t>LEMAIRE</t>
  </si>
  <si>
    <t>L'HERMITTE</t>
  </si>
  <si>
    <t>LIBON</t>
  </si>
  <si>
    <t>LIGER</t>
  </si>
  <si>
    <t>MARCHAL</t>
  </si>
  <si>
    <t>MARIE-ANAIS</t>
  </si>
  <si>
    <t>MATEUS</t>
  </si>
  <si>
    <t xml:space="preserve">MAWETE </t>
  </si>
  <si>
    <t>MAZIERS</t>
  </si>
  <si>
    <t>MENDES CORREIA</t>
  </si>
  <si>
    <t>MITRAN</t>
  </si>
  <si>
    <t>MOREAU</t>
  </si>
  <si>
    <t>MOUNIER</t>
  </si>
  <si>
    <t>NGAMFULANGOMA</t>
  </si>
  <si>
    <t>NGO BONJE</t>
  </si>
  <si>
    <t>NIRDE</t>
  </si>
  <si>
    <t>NOBIAL</t>
  </si>
  <si>
    <t>OUSSENI-COMBO</t>
  </si>
  <si>
    <t>PAPAIL</t>
  </si>
  <si>
    <t>PICARDET</t>
  </si>
  <si>
    <t>PIRES</t>
  </si>
  <si>
    <t>PITKIAYE MPOUTOU</t>
  </si>
  <si>
    <t>QUINTAIS</t>
  </si>
  <si>
    <t>RAMOS</t>
  </si>
  <si>
    <t>REMIR</t>
  </si>
  <si>
    <t>RODRIGUES AFONSO</t>
  </si>
  <si>
    <t>SARAOUI</t>
  </si>
  <si>
    <t>SAUBER</t>
  </si>
  <si>
    <t>SCHUTZ</t>
  </si>
  <si>
    <t xml:space="preserve">SEHIMI </t>
  </si>
  <si>
    <t>SEINGUERLET</t>
  </si>
  <si>
    <t>SERVENT</t>
  </si>
  <si>
    <t>SHEIKBOUDOU</t>
  </si>
  <si>
    <t>SILVERE</t>
  </si>
  <si>
    <t>SOUQUERE</t>
  </si>
  <si>
    <t>TABUDI</t>
  </si>
  <si>
    <t>TAKERKART</t>
  </si>
  <si>
    <t>THENARD</t>
  </si>
  <si>
    <t>TOTO</t>
  </si>
  <si>
    <t>TOUAZI</t>
  </si>
  <si>
    <t>TOUIDJINE</t>
  </si>
  <si>
    <t>TOURE</t>
  </si>
  <si>
    <t>TRIPET</t>
  </si>
  <si>
    <t>UGOLIN</t>
  </si>
  <si>
    <t>VERKEST</t>
  </si>
  <si>
    <t>VIRIN</t>
  </si>
  <si>
    <t>MOUNIA</t>
  </si>
  <si>
    <t>MAIWENN</t>
  </si>
  <si>
    <t>SOUMIA</t>
  </si>
  <si>
    <t>NADINE</t>
  </si>
  <si>
    <t>MATHILDE</t>
  </si>
  <si>
    <t>SELENA</t>
  </si>
  <si>
    <t>NATHAN</t>
  </si>
  <si>
    <t>IONA</t>
  </si>
  <si>
    <t>MONA</t>
  </si>
  <si>
    <t>EINAT</t>
  </si>
  <si>
    <t>KATIANA</t>
  </si>
  <si>
    <t>ORNELLA</t>
  </si>
  <si>
    <t>GRACE</t>
  </si>
  <si>
    <t>ELISA</t>
  </si>
  <si>
    <t>KATIE</t>
  </si>
  <si>
    <t>JULIEN</t>
  </si>
  <si>
    <t>M0RGANE</t>
  </si>
  <si>
    <t>SANDY</t>
  </si>
  <si>
    <t>NAWEL</t>
  </si>
  <si>
    <t>LUDOVIC</t>
  </si>
  <si>
    <t>AGATHE</t>
  </si>
  <si>
    <t>WENDY</t>
  </si>
  <si>
    <t>CHRISTELLE</t>
  </si>
  <si>
    <t>CHRISTINE</t>
  </si>
  <si>
    <t>MARINA</t>
  </si>
  <si>
    <t>LAETITIA</t>
  </si>
  <si>
    <t>OCEANE</t>
  </si>
  <si>
    <t>ELODIE</t>
  </si>
  <si>
    <t>MARINE</t>
  </si>
  <si>
    <t>VICTORIA</t>
  </si>
  <si>
    <t>AMANDINE</t>
  </si>
  <si>
    <t>MORGANE</t>
  </si>
  <si>
    <t>AYLA</t>
  </si>
  <si>
    <t>VERONIQUE</t>
  </si>
  <si>
    <t>LAURENE</t>
  </si>
  <si>
    <t>MARIE</t>
  </si>
  <si>
    <t>ESTELLE</t>
  </si>
  <si>
    <t>COLLO</t>
  </si>
  <si>
    <t>ANNAH</t>
  </si>
  <si>
    <t>LUANA</t>
  </si>
  <si>
    <t>SOUAD</t>
  </si>
  <si>
    <t>LUCIE</t>
  </si>
  <si>
    <t>STELLA</t>
  </si>
  <si>
    <t>MAJULA</t>
  </si>
  <si>
    <t>CELIA</t>
  </si>
  <si>
    <t>FELIX</t>
  </si>
  <si>
    <t>JULINE</t>
  </si>
  <si>
    <t>JEFFREY</t>
  </si>
  <si>
    <t>GHITA</t>
  </si>
  <si>
    <t>ODILE</t>
  </si>
  <si>
    <t>MYLENE</t>
  </si>
  <si>
    <t>ALLISON</t>
  </si>
  <si>
    <t>ANTOINE</t>
  </si>
  <si>
    <t>LESLEY</t>
  </si>
  <si>
    <t>LUCY</t>
  </si>
  <si>
    <t>MAIVA</t>
  </si>
  <si>
    <t>DOROTHEE</t>
  </si>
  <si>
    <t>EMILIE</t>
  </si>
  <si>
    <t>DOUNIA</t>
  </si>
  <si>
    <t>CHERINE</t>
  </si>
  <si>
    <t>CORALIE</t>
  </si>
  <si>
    <t>MATHIAS</t>
  </si>
  <si>
    <t>MEGGIE</t>
  </si>
  <si>
    <t>PALOUNA</t>
  </si>
  <si>
    <t>DORINE</t>
  </si>
  <si>
    <t>HELENA</t>
  </si>
  <si>
    <t>TIGUIDA</t>
  </si>
  <si>
    <t>NELLY</t>
  </si>
  <si>
    <t>INES</t>
  </si>
  <si>
    <t>HILDA</t>
  </si>
  <si>
    <t>FATOUMATA</t>
  </si>
  <si>
    <t>DINA</t>
  </si>
  <si>
    <t>LORRY</t>
  </si>
  <si>
    <t>TATIANA</t>
  </si>
  <si>
    <t>EMMANUELLE</t>
  </si>
  <si>
    <t>LARISSA</t>
  </si>
  <si>
    <t>JENNYFER</t>
  </si>
  <si>
    <t>BOUCHRA</t>
  </si>
  <si>
    <t>GUILLAUME</t>
  </si>
  <si>
    <t>SHANONE</t>
  </si>
  <si>
    <t>ROMAIN</t>
  </si>
  <si>
    <t>ADRIANA</t>
  </si>
  <si>
    <t>MARION</t>
  </si>
  <si>
    <t>RAPHAEL</t>
  </si>
  <si>
    <t>OLIVIER</t>
  </si>
  <si>
    <t>ANDREA</t>
  </si>
  <si>
    <t>JESSICA</t>
  </si>
  <si>
    <t>LAURENCE</t>
  </si>
  <si>
    <t>GLADYS</t>
  </si>
  <si>
    <t>IONELA</t>
  </si>
  <si>
    <t>NOEMIE</t>
  </si>
  <si>
    <t>JEANNE</t>
  </si>
  <si>
    <t>ALEXANDRINE</t>
  </si>
  <si>
    <t>ERNESTINE</t>
  </si>
  <si>
    <t>NICOLAS</t>
  </si>
  <si>
    <t>FABIENNE</t>
  </si>
  <si>
    <t>ROMINAH</t>
  </si>
  <si>
    <t>SIMON</t>
  </si>
  <si>
    <t>LISSANNDRA</t>
  </si>
  <si>
    <t>KEVIN</t>
  </si>
  <si>
    <t>ALEXANDRE</t>
  </si>
  <si>
    <t>REBECCA</t>
  </si>
  <si>
    <t>CHARLOTTE</t>
  </si>
  <si>
    <t>KATIA</t>
  </si>
  <si>
    <t>SEBASTIEN</t>
  </si>
  <si>
    <t>LAURA</t>
  </si>
  <si>
    <t>CONSTANCE</t>
  </si>
  <si>
    <t>MACILIA</t>
  </si>
  <si>
    <t>SHERLEY</t>
  </si>
  <si>
    <t>LAURANA</t>
  </si>
  <si>
    <t>DARLENE</t>
  </si>
  <si>
    <t>SIRINE</t>
  </si>
  <si>
    <t>FLORENCE</t>
  </si>
  <si>
    <t>EMMA</t>
  </si>
  <si>
    <t>SIPA</t>
  </si>
  <si>
    <t>MARIE-ROSE</t>
  </si>
  <si>
    <t>LEA</t>
  </si>
  <si>
    <t>E006</t>
  </si>
  <si>
    <t>E007</t>
  </si>
  <si>
    <t>E008</t>
  </si>
  <si>
    <t>E009</t>
  </si>
  <si>
    <t>E010</t>
  </si>
  <si>
    <t>E011</t>
  </si>
  <si>
    <t>E012</t>
  </si>
  <si>
    <t>E013</t>
  </si>
  <si>
    <t>E014</t>
  </si>
  <si>
    <t>E015</t>
  </si>
  <si>
    <t>E016</t>
  </si>
  <si>
    <t>E017</t>
  </si>
  <si>
    <t>E018</t>
  </si>
  <si>
    <t>E019</t>
  </si>
  <si>
    <t>E020</t>
  </si>
  <si>
    <t>E021</t>
  </si>
  <si>
    <t>E022</t>
  </si>
  <si>
    <t>E023</t>
  </si>
  <si>
    <t>E024</t>
  </si>
  <si>
    <t>E025</t>
  </si>
  <si>
    <t>E026</t>
  </si>
  <si>
    <t>E027</t>
  </si>
  <si>
    <t>E028</t>
  </si>
  <si>
    <t>E029</t>
  </si>
  <si>
    <t>E030</t>
  </si>
  <si>
    <t>E031</t>
  </si>
  <si>
    <t>E032</t>
  </si>
  <si>
    <t>E033</t>
  </si>
  <si>
    <t>E034</t>
  </si>
  <si>
    <t>E035</t>
  </si>
  <si>
    <t>E036</t>
  </si>
  <si>
    <t>E037</t>
  </si>
  <si>
    <t>E038</t>
  </si>
  <si>
    <t>E039</t>
  </si>
  <si>
    <t>E040</t>
  </si>
  <si>
    <t>E041</t>
  </si>
  <si>
    <t>E042</t>
  </si>
  <si>
    <t>E043</t>
  </si>
  <si>
    <t>E044</t>
  </si>
  <si>
    <t>E045</t>
  </si>
  <si>
    <t>E046</t>
  </si>
  <si>
    <t>E047</t>
  </si>
  <si>
    <t>E048</t>
  </si>
  <si>
    <t>E049</t>
  </si>
  <si>
    <t>E050</t>
  </si>
  <si>
    <t>E051</t>
  </si>
  <si>
    <t>E052</t>
  </si>
  <si>
    <t>E053</t>
  </si>
  <si>
    <t>E054</t>
  </si>
  <si>
    <t>E055</t>
  </si>
  <si>
    <t>E056</t>
  </si>
  <si>
    <t>E057</t>
  </si>
  <si>
    <t>E058</t>
  </si>
  <si>
    <t>E059</t>
  </si>
  <si>
    <t>E060</t>
  </si>
  <si>
    <t>E061</t>
  </si>
  <si>
    <t>E062</t>
  </si>
  <si>
    <t>E063</t>
  </si>
  <si>
    <t>E064</t>
  </si>
  <si>
    <t>E065</t>
  </si>
  <si>
    <t>E066</t>
  </si>
  <si>
    <t>E067</t>
  </si>
  <si>
    <t>E068</t>
  </si>
  <si>
    <t>E069</t>
  </si>
  <si>
    <t>E070</t>
  </si>
  <si>
    <t>E071</t>
  </si>
  <si>
    <t>E072</t>
  </si>
  <si>
    <t>E073</t>
  </si>
  <si>
    <t>E074</t>
  </si>
  <si>
    <t>E075</t>
  </si>
  <si>
    <t>E076</t>
  </si>
  <si>
    <t>E077</t>
  </si>
  <si>
    <t>E078</t>
  </si>
  <si>
    <t>E079</t>
  </si>
  <si>
    <t>E080</t>
  </si>
  <si>
    <t>E081</t>
  </si>
  <si>
    <t>E082</t>
  </si>
  <si>
    <t>E083</t>
  </si>
  <si>
    <t>E084</t>
  </si>
  <si>
    <t>E085</t>
  </si>
  <si>
    <t>E086</t>
  </si>
  <si>
    <t>E087</t>
  </si>
  <si>
    <t>E088</t>
  </si>
  <si>
    <t>E089</t>
  </si>
  <si>
    <t>E090</t>
  </si>
  <si>
    <t>E091</t>
  </si>
  <si>
    <t>E092</t>
  </si>
  <si>
    <t>E093</t>
  </si>
  <si>
    <t>E094</t>
  </si>
  <si>
    <t>E095</t>
  </si>
  <si>
    <t>E096</t>
  </si>
  <si>
    <t>E097</t>
  </si>
  <si>
    <t>E098</t>
  </si>
  <si>
    <t>E099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</si>
  <si>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</si>
  <si>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</si>
  <si>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</si>
  <si>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</si>
  <si>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</si>
  <si>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</si>
  <si>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</si>
  <si>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</si>
  <si>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</si>
  <si>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</si>
  <si>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</si>
  <si>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</si>
  <si>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</si>
  <si>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</si>
  <si>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</si>
  <si>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</si>
  <si>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</si>
  <si>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</si>
  <si>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</si>
  <si>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</si>
  <si>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</si>
  <si>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</si>
  <si>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</si>
  <si>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</si>
  <si>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</si>
  <si>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</si>
  <si>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</si>
  <si>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</si>
  <si>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</si>
  <si>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FICHE D'ABSENCE SCOLAIRE 2018</t>
  </si>
  <si>
    <t>nombre d'heure d’absence CM</t>
  </si>
  <si>
    <t>nombre d'heure d’absence TD</t>
  </si>
  <si>
    <t>H</t>
  </si>
  <si>
    <t>I</t>
  </si>
  <si>
    <t>J</t>
  </si>
  <si>
    <t>K</t>
  </si>
  <si>
    <t>L</t>
  </si>
  <si>
    <t>M</t>
  </si>
  <si>
    <t>S</t>
  </si>
  <si>
    <t>T</t>
  </si>
  <si>
    <t>U</t>
  </si>
  <si>
    <t>V</t>
  </si>
  <si>
    <t>M2</t>
  </si>
  <si>
    <t>heure d’absence TD</t>
  </si>
  <si>
    <t>d'heure d’absence CM</t>
  </si>
  <si>
    <t>St1</t>
  </si>
  <si>
    <t>St2</t>
  </si>
  <si>
    <t>St3</t>
  </si>
  <si>
    <t>7h</t>
  </si>
  <si>
    <t>10h</t>
  </si>
  <si>
    <t>12h</t>
  </si>
  <si>
    <t>d'heure d’absence Stage</t>
  </si>
  <si>
    <t xml:space="preserve"> FICHE D'ABSENCE</t>
  </si>
  <si>
    <t xml:space="preserve">FICHE D'ABSENCE </t>
  </si>
  <si>
    <t>FICHE D'ABSENCE</t>
  </si>
  <si>
    <t>FICHE D'ABSENCE ANNUELLE</t>
  </si>
  <si>
    <t>W</t>
  </si>
  <si>
    <t>TD 2h+CM2h</t>
  </si>
  <si>
    <t>w</t>
  </si>
  <si>
    <t>Td2h+Cm5H</t>
  </si>
  <si>
    <t>Td3h+Cm4h</t>
  </si>
  <si>
    <t>Td4h+Cm3h</t>
  </si>
  <si>
    <t>Td5h+Cm2h</t>
  </si>
  <si>
    <t>Td=1h</t>
  </si>
  <si>
    <t>Td=2h</t>
  </si>
  <si>
    <t>Td=3h</t>
  </si>
  <si>
    <t>Td=4h</t>
  </si>
  <si>
    <t>Td=5H</t>
  </si>
  <si>
    <t>Cm=2h</t>
  </si>
  <si>
    <t>Cm=3h</t>
  </si>
  <si>
    <t>Cm=4h</t>
  </si>
  <si>
    <t>Cm=5H</t>
  </si>
  <si>
    <t>Cm=6H</t>
  </si>
  <si>
    <t>Cm=7h</t>
  </si>
  <si>
    <t>Td=7h</t>
  </si>
  <si>
    <t>Td=6H</t>
  </si>
  <si>
    <t>A1</t>
  </si>
  <si>
    <t>Td=1h30</t>
  </si>
  <si>
    <t>E1</t>
  </si>
  <si>
    <t>Cm=1h</t>
  </si>
  <si>
    <t>SP</t>
  </si>
  <si>
    <t>2H</t>
  </si>
  <si>
    <t>Suivi pédagogique</t>
  </si>
  <si>
    <t>Début de l’année scolaire :2018</t>
  </si>
  <si>
    <t>code couleur</t>
  </si>
  <si>
    <t>Suivi Pédago</t>
  </si>
  <si>
    <t>Sp</t>
  </si>
  <si>
    <t>Suivi pédago</t>
  </si>
  <si>
    <t>Sp2</t>
  </si>
  <si>
    <t>Suivi Pedago</t>
  </si>
  <si>
    <t>Code couleur</t>
  </si>
  <si>
    <t>2,1</t>
  </si>
  <si>
    <t>2,2</t>
  </si>
  <si>
    <t>1,1</t>
  </si>
  <si>
    <t>1,2</t>
  </si>
  <si>
    <t>1,3</t>
  </si>
  <si>
    <t>2,3</t>
  </si>
  <si>
    <t>2,4</t>
  </si>
  <si>
    <t>2,5</t>
  </si>
  <si>
    <t>2,6</t>
  </si>
  <si>
    <t>2,7</t>
  </si>
  <si>
    <t>2,8</t>
  </si>
  <si>
    <t>2,9</t>
  </si>
  <si>
    <t>2,11</t>
  </si>
  <si>
    <t>3,1</t>
  </si>
  <si>
    <t>3,2</t>
  </si>
  <si>
    <t>3,4</t>
  </si>
  <si>
    <t>3,3</t>
  </si>
  <si>
    <t>3,5</t>
  </si>
  <si>
    <t>4,1</t>
  </si>
  <si>
    <t>4,2</t>
  </si>
  <si>
    <t>4,3</t>
  </si>
  <si>
    <t>4,4</t>
  </si>
  <si>
    <t>4,5</t>
  </si>
  <si>
    <t>4,6</t>
  </si>
  <si>
    <t>4,7</t>
  </si>
  <si>
    <t>4,8</t>
  </si>
  <si>
    <t>5,1</t>
  </si>
  <si>
    <t>5,2</t>
  </si>
  <si>
    <t>5,3</t>
  </si>
  <si>
    <t>5,4</t>
  </si>
  <si>
    <t>5,5</t>
  </si>
  <si>
    <t>5,7</t>
  </si>
  <si>
    <t>2,10</t>
  </si>
  <si>
    <t>UE  TD</t>
  </si>
  <si>
    <t>d'heure d’absence TD</t>
  </si>
  <si>
    <t>st1</t>
  </si>
  <si>
    <t>E129</t>
  </si>
  <si>
    <t>E130</t>
  </si>
  <si>
    <t>ATSE</t>
  </si>
  <si>
    <t>KIMBERLEY</t>
  </si>
  <si>
    <t>E131</t>
  </si>
  <si>
    <t>FERGUENE</t>
  </si>
  <si>
    <t>E132</t>
  </si>
  <si>
    <t>E133</t>
  </si>
  <si>
    <t>ASSOUMANI</t>
  </si>
  <si>
    <t>ASMINA</t>
  </si>
  <si>
    <t>E134</t>
  </si>
  <si>
    <t>HAMEAU</t>
  </si>
  <si>
    <t>E135</t>
  </si>
  <si>
    <t>LESUEUR</t>
  </si>
  <si>
    <t>GERALDINE</t>
  </si>
  <si>
    <t>E136</t>
  </si>
  <si>
    <t>LOVE</t>
  </si>
  <si>
    <t>SAMUEL</t>
  </si>
  <si>
    <t>E137</t>
  </si>
  <si>
    <t>LOVELY</t>
  </si>
  <si>
    <t>JOSELITA</t>
  </si>
  <si>
    <t>E138</t>
  </si>
  <si>
    <t>MALULU</t>
  </si>
  <si>
    <t>INGRID</t>
  </si>
  <si>
    <t>E139</t>
  </si>
  <si>
    <t>ZAKHOUR</t>
  </si>
  <si>
    <t>V1</t>
  </si>
  <si>
    <t>cm3h+td2h</t>
  </si>
  <si>
    <t>E140</t>
  </si>
  <si>
    <t>KIOLO</t>
  </si>
  <si>
    <t>E141</t>
  </si>
  <si>
    <t>E142</t>
  </si>
  <si>
    <t>cm4h+td2h</t>
  </si>
  <si>
    <t>APP</t>
  </si>
  <si>
    <t>v1</t>
  </si>
  <si>
    <t>E143</t>
  </si>
  <si>
    <t>E144</t>
  </si>
  <si>
    <t>COLLADO</t>
  </si>
  <si>
    <t>ALICIA</t>
  </si>
  <si>
    <t>E145</t>
  </si>
  <si>
    <t>NGOME BEKOMBO</t>
  </si>
  <si>
    <t>CASIMIR</t>
  </si>
  <si>
    <t>V2</t>
  </si>
  <si>
    <t>cm1h+td3h</t>
  </si>
  <si>
    <t>E146</t>
  </si>
  <si>
    <t>greve</t>
  </si>
  <si>
    <t>e147</t>
  </si>
  <si>
    <t>UE</t>
  </si>
  <si>
    <t>TD</t>
  </si>
  <si>
    <t>V3</t>
  </si>
  <si>
    <t>cm5h+td2h</t>
  </si>
  <si>
    <t>Colonne1</t>
  </si>
  <si>
    <t>1H</t>
  </si>
  <si>
    <t>V4</t>
  </si>
  <si>
    <t>Td2h+cm1h</t>
  </si>
  <si>
    <t>3h</t>
  </si>
  <si>
    <t>SP1</t>
  </si>
  <si>
    <t>blot medecine travaille matin</t>
  </si>
  <si>
    <t>Absences justifiées</t>
  </si>
  <si>
    <t>V5</t>
  </si>
  <si>
    <t>TD3h+Cm2h</t>
  </si>
  <si>
    <t>V6</t>
  </si>
  <si>
    <t>TD3h+Cm3h</t>
  </si>
  <si>
    <t>DUPUY</t>
  </si>
  <si>
    <t>6,2</t>
  </si>
  <si>
    <t>LALLEMAND Larissa</t>
  </si>
  <si>
    <t>ST1</t>
  </si>
  <si>
    <t xml:space="preserve">LALLEMAND </t>
  </si>
  <si>
    <t xml:space="preserve">BOLINGO </t>
  </si>
  <si>
    <t>Malise</t>
  </si>
  <si>
    <t>CAPAROS</t>
  </si>
  <si>
    <t>Maia</t>
  </si>
  <si>
    <t>Chaineze</t>
  </si>
  <si>
    <t>Carine Laure</t>
  </si>
  <si>
    <t xml:space="preserve">SAINTRAY </t>
  </si>
  <si>
    <t>Dorian</t>
  </si>
  <si>
    <t>SISSOKO</t>
  </si>
  <si>
    <t>Samantha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</si>
</sst>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mm/dd/yy;@"/>
    <numFmt numFmtId="166" formatCode="[&lt;=9999999]###\-####;\(###\)\ ###\-####"/>
    <numFmt numFmtId="167" formatCode="0;0;;@"/>
    <numFmt numFmtId="168" formatCode="_)@"/>
    <numFmt numFmtId="169" formatCode="m/d/yyyy;@"/>
    <numFmt numFmtId="170" formatCode="[$-40C]mmm\-yy"/>
    <numFmt numFmtId="171" formatCode="m/d/yyyy"/>
    <numFmt numFmtId="172" formatCode="0.0"/>
  </numFmts>
  <fonts count="57">
    <font>
      <sz val="10"/>
      <color theme="1"/>
      <name val="Century Gothic"/>
      <family val="2"/>
      <scheme val="minor"/>
    </font>
    <font>
      <sz val="11"/>
      <color theme="1"/>
      <name val="Century Gothic"/>
      <family val="2"/>
      <scheme val="minor"/>
    </font>
    <font>
      <sz val="11"/>
      <color theme="1"/>
      <name val="Century Gothic"/>
      <family val="2"/>
      <scheme val="minor"/>
    </font>
    <font>
      <sz val="10"/>
      <name val="Century Gothic"/>
      <family val="2"/>
    </font>
    <font>
      <b/>
      <sz val="12"/>
      <name val="Arial"/>
      <family val="2"/>
    </font>
    <font>
      <sz val="9"/>
      <name val="Century Gothic"/>
      <family val="2"/>
    </font>
    <font>
      <b/>
      <sz val="20"/>
      <name val="Century Gothic"/>
      <family val="1"/>
      <scheme val="major"/>
    </font>
    <font>
      <sz val="16"/>
      <name val="Century Gothic"/>
      <family val="1"/>
      <scheme val="major"/>
    </font>
    <font>
      <b/>
      <sz val="8"/>
      <color theme="1" tint="0.14996795556505021"/>
      <name val="Century Gothic"/>
      <family val="1"/>
      <scheme val="minor"/>
    </font>
    <font>
      <sz val="8"/>
      <name val="Century Gothic"/>
      <family val="1"/>
      <scheme val="minor"/>
    </font>
    <font>
      <b/>
      <sz val="8"/>
      <color theme="1" tint="0.14996795556505021"/>
      <name val="Century Gothic"/>
      <family val="2"/>
      <scheme val="minor"/>
    </font>
    <font>
      <sz val="8"/>
      <name val="Century Gothic"/>
      <family val="2"/>
      <scheme val="minor"/>
    </font>
    <font>
      <sz val="9"/>
      <name val="Century Gothic"/>
      <family val="1"/>
      <scheme val="major"/>
    </font>
    <font>
      <b/>
      <sz val="8"/>
      <color theme="0"/>
      <name val="Century Gothic"/>
      <family val="1"/>
      <scheme val="major"/>
    </font>
    <font>
      <sz val="9"/>
      <color theme="0"/>
      <name val="Century Gothic"/>
      <family val="1"/>
      <scheme val="major"/>
    </font>
    <font>
      <b/>
      <sz val="9"/>
      <color theme="0"/>
      <name val="Century Gothic"/>
      <family val="1"/>
      <scheme val="major"/>
    </font>
    <font>
      <sz val="10"/>
      <name val="Century Gothic"/>
      <family val="2"/>
      <scheme val="minor"/>
    </font>
    <font>
      <b/>
      <sz val="22"/>
      <color theme="0"/>
      <name val="Century Gothic"/>
      <family val="2"/>
      <scheme val="major"/>
    </font>
    <font>
      <b/>
      <sz val="16"/>
      <color theme="0"/>
      <name val="Century Gothic"/>
      <family val="2"/>
      <scheme val="minor"/>
    </font>
    <font>
      <sz val="9"/>
      <name val="Century Gothic"/>
      <family val="2"/>
      <scheme val="minor"/>
    </font>
    <font>
      <b/>
      <sz val="10"/>
      <color theme="1"/>
      <name val="Century Gothic"/>
      <family val="2"/>
      <scheme val="minor"/>
    </font>
    <font>
      <b/>
      <sz val="11"/>
      <color indexed="9"/>
      <name val="Century Gothic"/>
      <family val="1"/>
      <scheme val="major"/>
    </font>
    <font>
      <sz val="9"/>
      <color theme="1"/>
      <name val="Century Gothic"/>
      <family val="2"/>
      <scheme val="minor"/>
    </font>
    <font>
      <b/>
      <sz val="18"/>
      <color theme="0"/>
      <name val="Century Gothic"/>
      <family val="2"/>
      <scheme val="minor"/>
    </font>
    <font>
      <b/>
      <sz val="16"/>
      <color theme="0"/>
      <name val="Century Gothic"/>
      <family val="1"/>
      <scheme val="major"/>
    </font>
    <font>
      <sz val="8"/>
      <color theme="1"/>
      <name val="Century Gothic"/>
      <family val="2"/>
      <scheme val="minor"/>
    </font>
    <font>
      <b/>
      <sz val="16"/>
      <color theme="0"/>
      <name val="Century Gothic"/>
      <family val="2"/>
      <scheme val="major"/>
    </font>
    <font>
      <b/>
      <i/>
      <sz val="14"/>
      <color theme="0"/>
      <name val="Century Gothic"/>
      <family val="2"/>
      <scheme val="major"/>
    </font>
    <font>
      <sz val="12"/>
      <color theme="3"/>
      <name val="Century Gothic"/>
      <family val="2"/>
      <scheme val="minor"/>
    </font>
    <font>
      <sz val="10"/>
      <color theme="4" tint="-0.499984740745262"/>
      <name val="Century Gothic"/>
      <family val="2"/>
      <scheme val="minor"/>
    </font>
    <font>
      <u/>
      <sz val="10"/>
      <color theme="10"/>
      <name val="Arial"/>
      <family val="2"/>
    </font>
    <font>
      <b/>
      <sz val="10"/>
      <color theme="4" tint="-0.499984740745262"/>
      <name val="Century Gothic"/>
      <family val="2"/>
      <scheme val="minor"/>
    </font>
    <font>
      <b/>
      <i/>
      <sz val="10"/>
      <color theme="4" tint="-0.499984740745262"/>
      <name val="Century Gothic"/>
      <family val="2"/>
      <scheme val="minor"/>
    </font>
    <font>
      <b/>
      <sz val="9"/>
      <color theme="4" tint="-0.499984740745262"/>
      <name val="Century Gothic"/>
      <family val="1"/>
      <scheme val="major"/>
    </font>
    <font>
      <sz val="9"/>
      <name val="Century Gothic"/>
      <family val="1"/>
      <scheme val="minor"/>
    </font>
    <font>
      <b/>
      <sz val="9"/>
      <color theme="1" tint="0.14996795556505021"/>
      <name val="Century Gothic"/>
      <family val="1"/>
      <scheme val="major"/>
    </font>
    <font>
      <sz val="9"/>
      <color theme="3" tint="-0.249977111117893"/>
      <name val="Century Gothic"/>
      <family val="1"/>
      <scheme val="major"/>
    </font>
    <font>
      <b/>
      <sz val="9"/>
      <color theme="3" tint="-0.249977111117893"/>
      <name val="Century Gothic"/>
      <family val="1"/>
      <scheme val="major"/>
    </font>
    <font>
      <sz val="9"/>
      <color theme="3" tint="-0.249977111117893"/>
      <name val="Century Gothic"/>
      <family val="1"/>
      <scheme val="minor"/>
    </font>
    <font>
      <sz val="9"/>
      <color theme="1"/>
      <name val="Century Gothic"/>
      <family val="1"/>
      <scheme val="minor"/>
    </font>
    <font>
      <b/>
      <sz val="9"/>
      <color theme="1" tint="0.14996795556505021"/>
      <name val="Century Gothic"/>
      <family val="1"/>
      <scheme val="minor"/>
    </font>
    <font>
      <b/>
      <sz val="8"/>
      <name val="Century Gothic"/>
      <family val="2"/>
      <scheme val="major"/>
    </font>
    <font>
      <sz val="9"/>
      <name val="Century Gothic"/>
      <family val="3"/>
      <charset val="136"/>
      <scheme val="minor"/>
    </font>
    <font>
      <sz val="10"/>
      <color theme="1"/>
      <name val="Century Gothic"/>
      <family val="2"/>
      <scheme val="minor"/>
    </font>
    <font>
      <condense/>
      <extend/>
      <outline/>
      <shadow/>
      <sz val="10"/>
      <color theme="1"/>
      <name val="Century Gothic"/>
      <family val="2"/>
      <scheme val="minor"/>
    </font>
    <font>
      <sz val="8"/>
      <color theme="1"/>
      <name val="Century Gothic"/>
      <family val="2"/>
      <scheme val="major"/>
    </font>
    <font>
      <b/>
      <sz val="8"/>
      <name val="Century Gothic"/>
      <family val="2"/>
      <scheme val="minor"/>
    </font>
    <font>
      <sz val="8"/>
      <name val="Century Gothic"/>
      <family val="2"/>
    </font>
    <font>
      <b/>
      <sz val="8"/>
      <color rgb="FFFF0000"/>
      <name val="Century Gothic"/>
      <family val="2"/>
      <scheme val="minor"/>
    </font>
    <font>
      <b/>
      <sz val="8"/>
      <color rgb="FFFF0000"/>
      <name val="Century Gothic"/>
      <family val="2"/>
    </font>
    <font>
      <b/>
      <sz val="12"/>
      <color theme="1"/>
      <name val="Century Gothic"/>
      <family val="2"/>
      <scheme val="minor"/>
    </font>
    <font>
      <sz val="10"/>
      <color theme="1"/>
      <name val="Century Gothic"/>
      <family val="2"/>
      <scheme val="minor"/>
    </font>
    <font>
      <condense/>
      <extend/>
      <outline/>
      <shadow/>
      <sz val="10"/>
      <color theme="1"/>
      <name val="Century Gothic"/>
      <family val="2"/>
      <scheme val="minor"/>
    </font>
    <font>
      <b/>
      <sz val="10"/>
      <name val="Century Gothic"/>
      <family val="2"/>
    </font>
    <font>
      <condense/>
      <extend/>
      <outline/>
      <shadow/>
      <sz val="10"/>
      <color theme="1"/>
      <name val="Century Gothic"/>
      <scheme val="minor"/>
    </font>
    <font>
      <sz val="10"/>
      <color theme="1"/>
      <name val="Century Gothic"/>
      <scheme val="minor"/>
    </font>
    <font>
      <sz val="10"/>
      <color rgb="FFFF0000"/>
      <name val="Century Gothic"/>
      <family val="2"/>
      <scheme val="minor"/>
    </font>
  </fonts>
  <fills count="64">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patternFill>
    </fill>
    <fill>
      <patternFill patternType="lightUp">
        <fgColor theme="0" tint="-0.34998626667073579"/>
        <bgColor indexed="65"/>
      </patternFill>
    </fill>
    <fill>
      <patternFill patternType="solid">
        <fgColor theme="4"/>
        <bgColor indexed="64"/>
      </patternFill>
    </fill>
    <fill>
      <patternFill patternType="solid">
        <fgColor theme="6"/>
        <bgColor indexed="64"/>
      </patternFill>
    </fill>
    <fill>
      <patternFill patternType="solid">
        <fgColor theme="5"/>
        <bgColor indexed="64"/>
      </patternFill>
    </fill>
    <fill>
      <patternFill patternType="solid">
        <fgColor theme="8" tint="0.79998168889431442"/>
        <bgColor indexed="64"/>
      </patternFill>
    </fill>
    <fill>
      <patternFill patternType="solid">
        <fgColor theme="7"/>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B050"/>
        <bgColor indexed="64"/>
      </patternFill>
    </fill>
    <fill>
      <patternFill patternType="solid">
        <fgColor rgb="FF0070C0"/>
        <bgColor indexed="64"/>
      </patternFill>
    </fill>
    <fill>
      <patternFill patternType="solid">
        <fgColor rgb="FFFFCC00"/>
        <bgColor indexed="64"/>
      </patternFill>
    </fill>
    <fill>
      <patternFill patternType="solid">
        <fgColor rgb="FF666633"/>
        <bgColor indexed="64"/>
      </patternFill>
    </fill>
    <fill>
      <patternFill patternType="solid">
        <fgColor rgb="FFCC00CC"/>
        <bgColor indexed="64"/>
      </patternFill>
    </fill>
    <fill>
      <patternFill patternType="solid">
        <fgColor rgb="FFFF33CC"/>
        <bgColor indexed="64"/>
      </patternFill>
    </fill>
    <fill>
      <patternFill patternType="solid">
        <fgColor rgb="FFCC9900"/>
        <bgColor indexed="64"/>
      </patternFill>
    </fill>
    <fill>
      <patternFill patternType="solid">
        <fgColor rgb="FF00FF00"/>
        <bgColor indexed="64"/>
      </patternFill>
    </fill>
    <fill>
      <patternFill patternType="solid">
        <fgColor rgb="FFFF3300"/>
        <bgColor indexed="64"/>
      </patternFill>
    </fill>
    <fill>
      <patternFill patternType="solid">
        <fgColor rgb="FFFF66FF"/>
        <bgColor indexed="64"/>
      </patternFill>
    </fill>
    <fill>
      <patternFill patternType="solid">
        <fgColor rgb="FF00FFFF"/>
        <bgColor indexed="64"/>
      </patternFill>
    </fill>
    <fill>
      <patternFill patternType="solid">
        <fgColor rgb="FF6666FF"/>
        <bgColor indexed="64"/>
      </patternFill>
    </fill>
    <fill>
      <patternFill patternType="solid">
        <fgColor rgb="FF53CD6A"/>
        <bgColor indexed="64"/>
      </patternFill>
    </fill>
    <fill>
      <patternFill patternType="solid">
        <fgColor rgb="FF669900"/>
        <bgColor indexed="64"/>
      </patternFill>
    </fill>
    <fill>
      <patternFill patternType="solid">
        <fgColor theme="9" tint="-0.249977111117893"/>
        <bgColor indexed="64"/>
      </patternFill>
    </fill>
    <fill>
      <patternFill patternType="solid">
        <fgColor rgb="FFA47D00"/>
        <bgColor indexed="64"/>
      </patternFill>
    </fill>
    <fill>
      <patternFill patternType="solid">
        <fgColor rgb="FFA88000"/>
        <bgColor indexed="64"/>
      </patternFill>
    </fill>
    <fill>
      <patternFill patternType="solid">
        <fgColor rgb="FFC00000"/>
        <bgColor indexed="64"/>
      </patternFill>
    </fill>
    <fill>
      <patternFill patternType="solid">
        <fgColor rgb="FF00C057"/>
        <bgColor indexed="64"/>
      </patternFill>
    </fill>
    <fill>
      <patternFill patternType="solid">
        <fgColor rgb="FF996633"/>
        <bgColor indexed="64"/>
      </patternFill>
    </fill>
    <fill>
      <patternFill patternType="solid">
        <fgColor rgb="FF808000"/>
        <bgColor indexed="64"/>
      </patternFill>
    </fill>
    <fill>
      <patternFill patternType="solid">
        <fgColor rgb="FFFF9900"/>
        <bgColor indexed="64"/>
      </patternFill>
    </fill>
    <fill>
      <patternFill patternType="solid">
        <fgColor rgb="FFFFFF99"/>
        <bgColor indexed="64"/>
      </patternFill>
    </fill>
    <fill>
      <patternFill patternType="solid">
        <fgColor theme="3"/>
        <bgColor indexed="64"/>
      </patternFill>
    </fill>
    <fill>
      <patternFill patternType="solid">
        <fgColor theme="0" tint="-0.34998626667073579"/>
        <bgColor indexed="64"/>
      </patternFill>
    </fill>
    <fill>
      <patternFill patternType="solid">
        <fgColor rgb="FF0000FF"/>
        <bgColor indexed="64"/>
      </patternFill>
    </fill>
    <fill>
      <patternFill patternType="solid">
        <fgColor rgb="FFCCFFCC"/>
        <bgColor indexed="64"/>
      </patternFill>
    </fill>
    <fill>
      <patternFill patternType="solid">
        <fgColor rgb="FFFFC000"/>
        <bgColor indexed="64"/>
      </patternFill>
    </fill>
    <fill>
      <patternFill patternType="solid">
        <fgColor rgb="FFCC3399"/>
        <bgColor indexed="64"/>
      </patternFill>
    </fill>
    <fill>
      <patternFill patternType="solid">
        <fgColor rgb="FF4D4D4D"/>
        <bgColor indexed="64"/>
      </patternFill>
    </fill>
    <fill>
      <patternFill patternType="solid">
        <fgColor rgb="FFF226CB"/>
        <bgColor indexed="64"/>
      </patternFill>
    </fill>
    <fill>
      <patternFill patternType="solid">
        <fgColor rgb="FFFF3399"/>
        <bgColor indexed="64"/>
      </patternFill>
    </fill>
    <fill>
      <patternFill patternType="solid">
        <fgColor theme="1" tint="0.249977111117893"/>
        <bgColor indexed="64"/>
      </patternFill>
    </fill>
    <fill>
      <patternFill patternType="solid">
        <fgColor rgb="FFCCFF66"/>
        <bgColor indexed="64"/>
      </patternFill>
    </fill>
    <fill>
      <patternFill patternType="solid">
        <fgColor rgb="FFFF00FF"/>
        <bgColor indexed="64"/>
      </patternFill>
    </fill>
    <fill>
      <patternFill patternType="solid">
        <fgColor theme="1" tint="0.34998626667073579"/>
        <bgColor indexed="64"/>
      </patternFill>
    </fill>
    <fill>
      <patternFill patternType="solid">
        <fgColor rgb="FF00B0F0"/>
        <bgColor indexed="64"/>
      </patternFill>
    </fill>
    <fill>
      <patternFill patternType="solid">
        <fgColor theme="5" tint="0.39997558519241921"/>
        <bgColor indexed="64"/>
      </patternFill>
    </fill>
    <fill>
      <patternFill patternType="solid">
        <fgColor rgb="FFEFFF53"/>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theme="9"/>
        <bgColor indexed="64"/>
      </patternFill>
    </fill>
    <fill>
      <patternFill patternType="solid">
        <fgColor rgb="FFFF00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rgb="FF95D47E"/>
        <bgColor indexed="64"/>
      </patternFill>
    </fill>
  </fills>
  <borders count="156">
    <border>
      <left/>
      <right/>
      <top/>
      <bottom/>
      <diagonal/>
    </border>
    <border>
      <left style="thin">
        <color theme="3"/>
      </left>
      <right style="thin">
        <color theme="3"/>
      </right>
      <top style="thin">
        <color theme="3"/>
      </top>
      <bottom style="thin">
        <color theme="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bottom style="medium">
        <color theme="4" tint="-0.499984740745262"/>
      </bottom>
      <diagonal/>
    </border>
    <border>
      <left style="thin">
        <color theme="3" tint="0.59996337778862885"/>
      </left>
      <right style="thin">
        <color theme="3" tint="0.59996337778862885"/>
      </right>
      <top/>
      <bottom style="thin">
        <color theme="3" tint="0.59996337778862885"/>
      </bottom>
      <diagonal/>
    </border>
    <border>
      <left style="thin">
        <color theme="0" tint="-0.34998626667073579"/>
      </left>
      <right style="thin">
        <color theme="0" tint="-0.34998626667073579"/>
      </right>
      <top/>
      <bottom style="medium">
        <color theme="4" tint="-0.499984740745262"/>
      </bottom>
      <diagonal/>
    </border>
    <border>
      <left style="thin">
        <color theme="3" tint="0.59996337778862885"/>
      </left>
      <right style="thin">
        <color theme="3" tint="0.59996337778862885"/>
      </right>
      <top style="thin">
        <color theme="3" tint="0.59996337778862885"/>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theme="3"/>
      </left>
      <right style="thin">
        <color theme="3"/>
      </right>
      <top style="medium">
        <color theme="3"/>
      </top>
      <bottom style="thin">
        <color theme="3"/>
      </bottom>
      <diagonal/>
    </border>
    <border>
      <left/>
      <right style="thick">
        <color indexed="64"/>
      </right>
      <top style="thin">
        <color theme="3"/>
      </top>
      <bottom/>
      <diagonal/>
    </border>
    <border>
      <left style="thin">
        <color theme="3"/>
      </left>
      <right style="thick">
        <color indexed="64"/>
      </right>
      <top style="thin">
        <color theme="3"/>
      </top>
      <bottom style="thin">
        <color theme="3"/>
      </bottom>
      <diagonal/>
    </border>
    <border>
      <left/>
      <right style="thick">
        <color indexed="64"/>
      </right>
      <top/>
      <bottom/>
      <diagonal/>
    </border>
    <border>
      <left style="thin">
        <color theme="3" tint="0.59996337778862885"/>
      </left>
      <right style="thick">
        <color indexed="64"/>
      </right>
      <top style="thin">
        <color theme="3" tint="0.59996337778862885"/>
      </top>
      <bottom style="thin">
        <color theme="3" tint="0.59996337778862885"/>
      </bottom>
      <diagonal/>
    </border>
    <border>
      <left/>
      <right style="thick">
        <color indexed="64"/>
      </right>
      <top/>
      <bottom style="thick">
        <color indexed="64"/>
      </bottom>
      <diagonal/>
    </border>
    <border>
      <left/>
      <right/>
      <top/>
      <bottom style="thick">
        <color indexed="64"/>
      </bottom>
      <diagonal/>
    </border>
    <border>
      <left style="thin">
        <color theme="3" tint="0.59996337778862885"/>
      </left>
      <right style="thin">
        <color theme="3" tint="0.59996337778862885"/>
      </right>
      <top style="thin">
        <color theme="3" tint="0.59996337778862885"/>
      </top>
      <bottom style="thick">
        <color indexed="64"/>
      </bottom>
      <diagonal/>
    </border>
    <border>
      <left/>
      <right style="thick">
        <color indexed="64"/>
      </right>
      <top style="thin">
        <color theme="3"/>
      </top>
      <bottom style="thin">
        <color theme="3"/>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theme="3" tint="0.59996337778862885"/>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theme="3"/>
      </left>
      <right style="thick">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bottom/>
      <diagonal/>
    </border>
    <border>
      <left style="thin">
        <color indexed="64"/>
      </left>
      <right style="thin">
        <color indexed="64"/>
      </right>
      <top style="thick">
        <color indexed="64"/>
      </top>
      <bottom style="thick">
        <color indexed="64"/>
      </bottom>
      <diagonal/>
    </border>
    <border>
      <left style="thick">
        <color indexed="64"/>
      </left>
      <right style="thin">
        <color theme="0" tint="-0.34998626667073579"/>
      </right>
      <top/>
      <bottom style="medium">
        <color theme="4" tint="-0.499984740745262"/>
      </bottom>
      <diagonal/>
    </border>
    <border>
      <left style="thin">
        <color indexed="64"/>
      </left>
      <right/>
      <top style="thick">
        <color indexed="64"/>
      </top>
      <bottom/>
      <diagonal/>
    </border>
    <border>
      <left/>
      <right/>
      <top style="thick">
        <color indexed="64"/>
      </top>
      <bottom/>
      <diagonal/>
    </border>
    <border>
      <left/>
      <right/>
      <top style="thick">
        <color indexed="64"/>
      </top>
      <bottom style="thin">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ck">
        <color indexed="64"/>
      </right>
      <top/>
      <bottom style="thick">
        <color indexed="64"/>
      </bottom>
      <diagonal/>
    </border>
    <border>
      <left/>
      <right style="thick">
        <color indexed="64"/>
      </right>
      <top style="thick">
        <color indexed="64"/>
      </top>
      <bottom/>
      <diagonal/>
    </border>
    <border>
      <left/>
      <right/>
      <top style="thin">
        <color indexed="64"/>
      </top>
      <bottom style="thick">
        <color indexed="64"/>
      </bottom>
      <diagonal/>
    </border>
    <border>
      <left/>
      <right style="thin">
        <color indexed="64"/>
      </right>
      <top/>
      <bottom style="thick">
        <color indexed="64"/>
      </bottom>
      <diagonal/>
    </border>
    <border>
      <left style="thin">
        <color indexed="64"/>
      </left>
      <right style="thin">
        <color theme="3"/>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style="thick">
        <color indexed="64"/>
      </top>
      <bottom style="thin">
        <color indexed="64"/>
      </bottom>
      <diagonal/>
    </border>
    <border>
      <left style="thin">
        <color theme="0" tint="-0.34998626667073579"/>
      </left>
      <right style="thin">
        <color theme="0" tint="-0.34998626667073579"/>
      </right>
      <top/>
      <bottom/>
      <diagonal/>
    </border>
    <border>
      <left/>
      <right/>
      <top style="thin">
        <color theme="3" tint="0.59996337778862885"/>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style="medium">
        <color indexed="64"/>
      </top>
      <bottom/>
      <diagonal/>
    </border>
    <border>
      <left style="thin">
        <color theme="1"/>
      </left>
      <right style="thin">
        <color theme="1"/>
      </right>
      <top/>
      <bottom/>
      <diagonal/>
    </border>
    <border>
      <left style="thin">
        <color theme="1"/>
      </left>
      <right style="thin">
        <color theme="1"/>
      </right>
      <top style="medium">
        <color theme="4" tint="-0.499984740745262"/>
      </top>
      <bottom/>
      <diagonal/>
    </border>
    <border>
      <left style="thin">
        <color theme="1"/>
      </left>
      <right style="thin">
        <color theme="1"/>
      </right>
      <top style="thin">
        <color theme="4"/>
      </top>
      <bottom/>
      <diagonal/>
    </border>
    <border>
      <left style="thin">
        <color theme="3"/>
      </left>
      <right style="thin">
        <color theme="3"/>
      </right>
      <top style="medium">
        <color theme="3"/>
      </top>
      <bottom/>
      <diagonal/>
    </border>
    <border>
      <left style="thin">
        <color theme="1"/>
      </left>
      <right style="thin">
        <color theme="1"/>
      </right>
      <top style="thin">
        <color theme="3"/>
      </top>
      <bottom/>
      <diagonal/>
    </border>
    <border>
      <left/>
      <right style="thick">
        <color theme="1"/>
      </right>
      <top style="thin">
        <color theme="3" tint="0.59996337778862885"/>
      </top>
      <bottom/>
      <diagonal/>
    </border>
    <border>
      <left style="thin">
        <color theme="3" tint="0.59996337778862885"/>
      </left>
      <right style="thick">
        <color theme="1"/>
      </right>
      <top style="thin">
        <color theme="3" tint="0.59996337778862885"/>
      </top>
      <bottom style="thin">
        <color theme="3" tint="0.59996337778862885"/>
      </bottom>
      <diagonal/>
    </border>
    <border>
      <left style="thin">
        <color theme="3" tint="0.59996337778862885"/>
      </left>
      <right style="thin">
        <color theme="3" tint="0.59996337778862885"/>
      </right>
      <top style="thick">
        <color theme="1"/>
      </top>
      <bottom style="thick">
        <color theme="1"/>
      </bottom>
      <diagonal/>
    </border>
    <border>
      <left style="thin">
        <color theme="3" tint="0.59996337778862885"/>
      </left>
      <right/>
      <top style="thick">
        <color theme="1"/>
      </top>
      <bottom style="thick">
        <color theme="1"/>
      </bottom>
      <diagonal/>
    </border>
    <border>
      <left style="thin">
        <color theme="1"/>
      </left>
      <right style="thin">
        <color theme="3" tint="0.59996337778862885"/>
      </right>
      <top style="thick">
        <color theme="1"/>
      </top>
      <bottom style="thick">
        <color theme="1"/>
      </bottom>
      <diagonal/>
    </border>
    <border>
      <left style="thin">
        <color theme="3" tint="0.59996337778862885"/>
      </left>
      <right style="thin">
        <color theme="1"/>
      </right>
      <top style="thick">
        <color theme="1"/>
      </top>
      <bottom style="thick">
        <color theme="1"/>
      </bottom>
      <diagonal/>
    </border>
    <border>
      <left/>
      <right style="thin">
        <color theme="3" tint="0.59996337778862885"/>
      </right>
      <top style="thick">
        <color theme="1"/>
      </top>
      <bottom style="thick">
        <color theme="1"/>
      </bottom>
      <diagonal/>
    </border>
    <border>
      <left style="thick">
        <color indexed="64"/>
      </left>
      <right/>
      <top/>
      <bottom/>
      <diagonal/>
    </border>
    <border>
      <left/>
      <right style="thin">
        <color theme="4"/>
      </right>
      <top/>
      <bottom/>
      <diagonal/>
    </border>
    <border>
      <left style="thick">
        <color theme="4"/>
      </left>
      <right/>
      <top/>
      <bottom/>
      <diagonal/>
    </border>
    <border>
      <left style="thick">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theme="1"/>
      </left>
      <right style="thick">
        <color indexed="64"/>
      </right>
      <top style="thin">
        <color theme="3"/>
      </top>
      <bottom/>
      <diagonal/>
    </border>
    <border>
      <left style="thin">
        <color theme="1"/>
      </left>
      <right style="thick">
        <color indexed="64"/>
      </right>
      <top/>
      <bottom style="thin">
        <color theme="1"/>
      </bottom>
      <diagonal/>
    </border>
    <border>
      <left style="thin">
        <color theme="1"/>
      </left>
      <right style="thin">
        <color theme="1"/>
      </right>
      <top/>
      <bottom style="thin">
        <color indexed="64"/>
      </bottom>
      <diagonal/>
    </border>
    <border>
      <left style="thick">
        <color theme="1"/>
      </left>
      <right style="thin">
        <color theme="1"/>
      </right>
      <top/>
      <bottom style="thin">
        <color indexed="64"/>
      </bottom>
      <diagonal/>
    </border>
    <border>
      <left style="thick">
        <color theme="1"/>
      </left>
      <right style="thin">
        <color theme="1"/>
      </right>
      <top style="thin">
        <color indexed="64"/>
      </top>
      <bottom/>
      <diagonal/>
    </border>
    <border>
      <left style="thin">
        <color theme="1"/>
      </left>
      <right style="thin">
        <color theme="1"/>
      </right>
      <top style="thin">
        <color indexed="64"/>
      </top>
      <bottom/>
      <diagonal/>
    </border>
    <border>
      <left style="thick">
        <color theme="4"/>
      </left>
      <right/>
      <top/>
      <bottom style="thick">
        <color indexed="64"/>
      </bottom>
      <diagonal/>
    </border>
    <border>
      <left style="thick">
        <color indexed="64"/>
      </left>
      <right style="thin">
        <color theme="3" tint="0.59996337778862885"/>
      </right>
      <top style="thin">
        <color theme="3" tint="0.59996337778862885"/>
      </top>
      <bottom style="thick">
        <color indexed="64"/>
      </bottom>
      <diagonal/>
    </border>
    <border>
      <left style="thick">
        <color indexed="64"/>
      </left>
      <right style="thin">
        <color theme="3" tint="0.59996337778862885"/>
      </right>
      <top style="thin">
        <color theme="3" tint="0.59996337778862885"/>
      </top>
      <bottom style="thin">
        <color theme="3" tint="0.59996337778862885"/>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indexed="64"/>
      </left>
      <right style="thin">
        <color indexed="64"/>
      </right>
      <top/>
      <bottom style="thick">
        <color indexed="64"/>
      </bottom>
      <diagonal/>
    </border>
    <border>
      <left/>
      <right style="thin">
        <color indexed="64"/>
      </right>
      <top style="thick">
        <color indexed="64"/>
      </top>
      <bottom/>
      <diagonal/>
    </border>
    <border>
      <left style="thin">
        <color indexed="64"/>
      </left>
      <right style="thin">
        <color theme="1"/>
      </right>
      <top/>
      <bottom style="thick">
        <color theme="1"/>
      </bottom>
      <diagonal/>
    </border>
    <border>
      <left style="thin">
        <color indexed="64"/>
      </left>
      <right style="thin">
        <color theme="1"/>
      </right>
      <top style="thin">
        <color theme="1"/>
      </top>
      <bottom/>
      <diagonal/>
    </border>
    <border>
      <left style="thin">
        <color theme="3" tint="0.59996337778862885"/>
      </left>
      <right style="thin">
        <color theme="3" tint="0.59996337778862885"/>
      </right>
      <top/>
      <bottom style="thick">
        <color indexed="64"/>
      </bottom>
      <diagonal/>
    </border>
    <border>
      <left style="thin">
        <color theme="3" tint="0.59996337778862885"/>
      </left>
      <right/>
      <top style="thick">
        <color indexed="64"/>
      </top>
      <bottom style="thin">
        <color theme="3" tint="0.59996337778862885"/>
      </bottom>
      <diagonal/>
    </border>
    <border>
      <left style="thin">
        <color theme="3" tint="0.59996337778862885"/>
      </left>
      <right/>
      <top style="thin">
        <color theme="3" tint="0.59996337778862885"/>
      </top>
      <bottom style="thick">
        <color indexed="64"/>
      </bottom>
      <diagonal/>
    </border>
    <border>
      <left style="thick">
        <color indexed="64"/>
      </left>
      <right style="thick">
        <color indexed="64"/>
      </right>
      <top/>
      <bottom/>
      <diagonal/>
    </border>
    <border>
      <left style="thick">
        <color indexed="64"/>
      </left>
      <right/>
      <top style="thick">
        <color indexed="64"/>
      </top>
      <bottom/>
      <diagonal/>
    </border>
    <border>
      <left style="thin">
        <color theme="3"/>
      </left>
      <right/>
      <top style="medium">
        <color theme="3"/>
      </top>
      <bottom style="thin">
        <color theme="3"/>
      </bottom>
      <diagonal/>
    </border>
    <border>
      <left style="thin">
        <color theme="1"/>
      </left>
      <right/>
      <top style="thin">
        <color theme="3"/>
      </top>
      <bottom/>
      <diagonal/>
    </border>
    <border>
      <left style="thin">
        <color theme="1"/>
      </left>
      <right/>
      <top/>
      <bottom style="thin">
        <color theme="1"/>
      </bottom>
      <diagonal/>
    </border>
    <border>
      <left style="thin">
        <color theme="1"/>
      </left>
      <right style="thick">
        <color indexed="64"/>
      </right>
      <top/>
      <bottom style="thick">
        <color theme="1"/>
      </bottom>
      <diagonal/>
    </border>
    <border>
      <left style="thick">
        <color indexed="64"/>
      </left>
      <right style="thick">
        <color indexed="64"/>
      </right>
      <top style="thick">
        <color indexed="64"/>
      </top>
      <bottom/>
      <diagonal/>
    </border>
    <border>
      <left/>
      <right/>
      <top style="thin">
        <color auto="1"/>
      </top>
      <bottom style="thin">
        <color auto="1"/>
      </bottom>
      <diagonal/>
    </border>
    <border>
      <left style="thick">
        <color indexed="64"/>
      </left>
      <right style="thin">
        <color indexed="64"/>
      </right>
      <top style="thin">
        <color indexed="64"/>
      </top>
      <bottom/>
      <diagonal/>
    </border>
    <border>
      <left style="thick">
        <color theme="1"/>
      </left>
      <right style="thin">
        <color theme="1"/>
      </right>
      <top/>
      <bottom style="thick">
        <color theme="1"/>
      </bottom>
      <diagonal/>
    </border>
    <border>
      <left/>
      <right style="thin">
        <color theme="1"/>
      </right>
      <top style="thin">
        <color indexed="64"/>
      </top>
      <bottom/>
      <diagonal/>
    </border>
    <border>
      <left/>
      <right style="thin">
        <color theme="1"/>
      </right>
      <top/>
      <bottom style="thin">
        <color indexed="64"/>
      </bottom>
      <diagonal/>
    </border>
    <border>
      <left style="thin">
        <color theme="3" tint="0.59996337778862885"/>
      </left>
      <right style="thick">
        <color indexed="64"/>
      </right>
      <top style="medium">
        <color theme="4" tint="-0.499984740745262"/>
      </top>
      <bottom style="thin">
        <color theme="3" tint="0.59996337778862885"/>
      </bottom>
      <diagonal/>
    </border>
    <border>
      <left/>
      <right style="thin">
        <color theme="1"/>
      </right>
      <top style="medium">
        <color indexed="64"/>
      </top>
      <bottom/>
      <diagonal/>
    </border>
    <border>
      <left style="thick">
        <color theme="1"/>
      </left>
      <right/>
      <top style="thick">
        <color theme="1"/>
      </top>
      <bottom style="thick">
        <color theme="1"/>
      </bottom>
      <diagonal/>
    </border>
    <border>
      <left style="thin">
        <color indexed="64"/>
      </left>
      <right/>
      <top style="thick">
        <color theme="1"/>
      </top>
      <bottom style="thick">
        <color theme="1"/>
      </bottom>
      <diagonal/>
    </border>
    <border>
      <left style="thin">
        <color indexed="64"/>
      </left>
      <right style="thin">
        <color indexed="64"/>
      </right>
      <top style="thick">
        <color theme="1"/>
      </top>
      <bottom style="thick">
        <color theme="1"/>
      </bottom>
      <diagonal/>
    </border>
    <border>
      <left/>
      <right/>
      <top style="thick">
        <color theme="1"/>
      </top>
      <bottom style="thick">
        <color theme="1"/>
      </bottom>
      <diagonal/>
    </border>
    <border>
      <left style="thin">
        <color indexed="64"/>
      </left>
      <right style="thin">
        <color theme="1"/>
      </right>
      <top style="thick">
        <color theme="1"/>
      </top>
      <bottom style="thick">
        <color theme="1"/>
      </bottom>
      <diagonal/>
    </border>
    <border>
      <left style="thin">
        <color theme="1"/>
      </left>
      <right style="thin">
        <color theme="1"/>
      </right>
      <top/>
      <bottom style="thick">
        <color theme="1"/>
      </bottom>
      <diagonal/>
    </border>
    <border>
      <left style="thin">
        <color theme="1"/>
      </left>
      <right style="thin">
        <color indexed="64"/>
      </right>
      <top style="thin">
        <color indexed="64"/>
      </top>
      <bottom/>
      <diagonal/>
    </border>
    <border>
      <left style="thin">
        <color theme="1"/>
      </left>
      <right style="thin">
        <color indexed="64"/>
      </right>
      <top/>
      <bottom style="thick">
        <color theme="1"/>
      </bottom>
      <diagonal/>
    </border>
    <border>
      <left style="thin">
        <color theme="1"/>
      </left>
      <right style="thick">
        <color indexed="64"/>
      </right>
      <top style="thin">
        <color theme="1"/>
      </top>
      <bottom/>
      <diagonal/>
    </border>
    <border>
      <left style="thick">
        <color indexed="64"/>
      </left>
      <right style="thin">
        <color indexed="64"/>
      </right>
      <top/>
      <bottom style="thick">
        <color indexed="64"/>
      </bottom>
      <diagonal/>
    </border>
    <border>
      <left style="thin">
        <color theme="3" tint="0.59996337778862885"/>
      </left>
      <right style="thick">
        <color indexed="64"/>
      </right>
      <top style="thin">
        <color indexed="64"/>
      </top>
      <bottom style="thin">
        <color indexed="64"/>
      </bottom>
      <diagonal/>
    </border>
    <border>
      <left style="thin">
        <color theme="3" tint="0.59996337778862885"/>
      </left>
      <right style="thin">
        <color indexed="64"/>
      </right>
      <top style="thin">
        <color theme="3" tint="0.59996337778862885"/>
      </top>
      <bottom style="thin">
        <color theme="3" tint="0.59996337778862885"/>
      </bottom>
      <diagonal/>
    </border>
    <border>
      <left style="thin">
        <color theme="3" tint="0.59996337778862885"/>
      </left>
      <right style="thin">
        <color theme="3" tint="0.59996337778862885"/>
      </right>
      <top style="thin">
        <color indexed="64"/>
      </top>
      <bottom style="thin">
        <color theme="3" tint="0.59996337778862885"/>
      </bottom>
      <diagonal/>
    </border>
    <border>
      <left style="thick">
        <color indexed="64"/>
      </left>
      <right style="thin">
        <color theme="3" tint="0.59996337778862885"/>
      </right>
      <top style="thick">
        <color indexed="64"/>
      </top>
      <bottom style="thin">
        <color theme="3" tint="0.59996337778862885"/>
      </bottom>
      <diagonal/>
    </border>
    <border>
      <left style="thin">
        <color theme="3" tint="0.59996337778862885"/>
      </left>
      <right style="thin">
        <color theme="3" tint="0.59996337778862885"/>
      </right>
      <top style="thick">
        <color indexed="64"/>
      </top>
      <bottom style="thin">
        <color theme="3" tint="0.59996337778862885"/>
      </bottom>
      <diagonal/>
    </border>
    <border>
      <left style="thin">
        <color theme="3" tint="0.59996337778862885"/>
      </left>
      <right style="thin">
        <color theme="3" tint="0.59996337778862885"/>
      </right>
      <top style="thin">
        <color theme="3" tint="0.59996337778862885"/>
      </top>
      <bottom style="thin">
        <color indexed="64"/>
      </bottom>
      <diagonal/>
    </border>
    <border>
      <left style="thin">
        <color theme="3" tint="0.59996337778862885"/>
      </left>
      <right style="thin">
        <color indexed="64"/>
      </right>
      <top style="thin">
        <color theme="3" tint="0.59996337778862885"/>
      </top>
      <bottom style="thin">
        <color indexed="64"/>
      </bottom>
      <diagonal/>
    </border>
    <border>
      <left style="thin">
        <color indexed="64"/>
      </left>
      <right style="thick">
        <color indexed="64"/>
      </right>
      <top style="thin">
        <color theme="3" tint="0.59996337778862885"/>
      </top>
      <bottom style="thin">
        <color indexed="64"/>
      </bottom>
      <diagonal/>
    </border>
    <border>
      <left style="thin">
        <color theme="3" tint="0.59996337778862885"/>
      </left>
      <right style="thick">
        <color indexed="64"/>
      </right>
      <top style="thick">
        <color indexed="64"/>
      </top>
      <bottom style="thin">
        <color theme="3" tint="0.59996337778862885"/>
      </bottom>
      <diagonal/>
    </border>
    <border>
      <left style="thick">
        <color indexed="64"/>
      </left>
      <right style="thin">
        <color indexed="64"/>
      </right>
      <top style="thin">
        <color theme="3" tint="0.59996337778862885"/>
      </top>
      <bottom style="thick">
        <color indexed="64"/>
      </bottom>
      <diagonal/>
    </border>
    <border>
      <left style="thick">
        <color indexed="64"/>
      </left>
      <right style="thin">
        <color indexed="64"/>
      </right>
      <top style="thin">
        <color indexed="64"/>
      </top>
      <bottom style="thin">
        <color theme="3" tint="0.59996337778862885"/>
      </bottom>
      <diagonal/>
    </border>
    <border>
      <left style="thick">
        <color indexed="64"/>
      </left>
      <right style="thin">
        <color indexed="64"/>
      </right>
      <top/>
      <bottom/>
      <diagonal/>
    </border>
    <border>
      <left style="thick">
        <color indexed="64"/>
      </left>
      <right style="thin">
        <color indexed="64"/>
      </right>
      <top style="thin">
        <color theme="3" tint="0.59996337778862885"/>
      </top>
      <bottom style="thin">
        <color theme="3" tint="0.59996337778862885"/>
      </bottom>
      <diagonal/>
    </border>
    <border>
      <left style="thin">
        <color indexed="64"/>
      </left>
      <right/>
      <top style="thick">
        <color indexed="64"/>
      </top>
      <bottom style="thick">
        <color indexed="64"/>
      </bottom>
      <diagonal/>
    </border>
    <border>
      <left style="thin">
        <color indexed="64"/>
      </left>
      <right/>
      <top style="thin">
        <color indexed="64"/>
      </top>
      <bottom/>
      <diagonal/>
    </border>
    <border>
      <left style="thin">
        <color theme="3" tint="0.59996337778862885"/>
      </left>
      <right style="thick">
        <color indexed="64"/>
      </right>
      <top style="thin">
        <color theme="3" tint="0.59996337778862885"/>
      </top>
      <bottom style="thick">
        <color indexed="64"/>
      </bottom>
      <diagonal/>
    </border>
    <border>
      <left style="thin">
        <color theme="3" tint="0.59996337778862885"/>
      </left>
      <right style="thick">
        <color indexed="64"/>
      </right>
      <top style="thin">
        <color indexed="64"/>
      </top>
      <bottom style="thick">
        <color indexed="64"/>
      </bottom>
      <diagonal/>
    </border>
    <border>
      <left style="thin">
        <color theme="3" tint="0.59996337778862885"/>
      </left>
      <right style="thin">
        <color indexed="64"/>
      </right>
      <top style="thin">
        <color theme="3" tint="0.59996337778862885"/>
      </top>
      <bottom style="thick">
        <color indexed="64"/>
      </bottom>
      <diagonal/>
    </border>
  </borders>
  <cellStyleXfs count="14">
    <xf numFmtId="0" fontId="0" fillId="0" borderId="0"/>
    <xf numFmtId="0" fontId="17" fillId="0" borderId="0" applyNumberFormat="0" applyFill="0" applyBorder="0" applyAlignment="0" applyProtection="0"/>
    <xf numFmtId="0" fontId="8" fillId="3" borderId="2">
      <alignment vertical="center"/>
    </xf>
    <xf numFmtId="0" fontId="9" fillId="0" borderId="2">
      <alignment horizontal="left" vertical="center" wrapText="1"/>
      <protection locked="0"/>
    </xf>
    <xf numFmtId="165" fontId="9" fillId="0" borderId="2">
      <alignment horizontal="left" vertical="center" wrapText="1"/>
      <protection locked="0"/>
    </xf>
    <xf numFmtId="166" fontId="9" fillId="0" borderId="2">
      <alignment horizontal="left" vertical="center" wrapText="1"/>
      <protection locked="0"/>
    </xf>
    <xf numFmtId="0" fontId="10" fillId="4" borderId="3" applyBorder="0">
      <alignment horizontal="center" vertical="center"/>
    </xf>
    <xf numFmtId="1" fontId="10" fillId="4" borderId="2">
      <alignment horizontal="center" vertical="center"/>
    </xf>
    <xf numFmtId="0" fontId="11" fillId="5" borderId="2">
      <alignment horizontal="center" vertical="center"/>
      <protection locked="0"/>
    </xf>
    <xf numFmtId="0" fontId="11" fillId="6" borderId="2">
      <alignment horizontal="center" vertical="center"/>
    </xf>
    <xf numFmtId="0" fontId="18"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1" fillId="0" borderId="0"/>
  </cellStyleXfs>
  <cellXfs count="732">
    <xf numFmtId="0" fontId="0" fillId="0" borderId="0" xfId="0"/>
    <xf numFmtId="0" fontId="3" fillId="0" borderId="0" xfId="0" applyFont="1" applyFill="1" applyAlignment="1">
      <alignment vertical="center"/>
    </xf>
    <xf numFmtId="0" fontId="5" fillId="0" borderId="0" xfId="0" applyFont="1"/>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5" fillId="0" borderId="0" xfId="0" applyFont="1" applyAlignment="1">
      <alignment vertical="center"/>
    </xf>
    <xf numFmtId="164" fontId="0" fillId="0" borderId="0" xfId="0" applyNumberFormat="1"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right" indent="2"/>
    </xf>
    <xf numFmtId="0" fontId="3" fillId="0" borderId="0" xfId="0" applyFont="1" applyAlignment="1">
      <alignment horizontal="center"/>
    </xf>
    <xf numFmtId="0" fontId="3" fillId="0" borderId="0" xfId="0" applyFont="1"/>
    <xf numFmtId="49" fontId="3" fillId="0" borderId="0" xfId="0" applyNumberFormat="1" applyFont="1"/>
    <xf numFmtId="0" fontId="0" fillId="0" borderId="0" xfId="0" applyAlignment="1">
      <alignment horizontal="left"/>
    </xf>
    <xf numFmtId="0" fontId="0" fillId="0" borderId="0" xfId="0" applyAlignment="1">
      <alignment horizontal="center" wrapText="1"/>
    </xf>
    <xf numFmtId="0" fontId="0" fillId="0" borderId="0" xfId="0" applyAlignment="1">
      <alignment horizontal="center"/>
    </xf>
    <xf numFmtId="14" fontId="0" fillId="0" borderId="0" xfId="0" applyNumberFormat="1" applyAlignment="1">
      <alignment horizontal="center"/>
    </xf>
    <xf numFmtId="166" fontId="0" fillId="0" borderId="0" xfId="0" applyNumberFormat="1" applyAlignment="1">
      <alignment horizontal="left"/>
    </xf>
    <xf numFmtId="0" fontId="0" fillId="0" borderId="0" xfId="0" applyProtection="1"/>
    <xf numFmtId="166" fontId="0" fillId="0" borderId="0" xfId="0" applyNumberFormat="1" applyAlignment="1">
      <alignment horizontal="center"/>
    </xf>
    <xf numFmtId="164" fontId="0" fillId="0" borderId="0" xfId="0" applyNumberFormat="1" applyFont="1" applyFill="1" applyBorder="1" applyAlignment="1" applyProtection="1">
      <alignment horizontal="center" vertical="center"/>
      <protection locked="0"/>
    </xf>
    <xf numFmtId="0" fontId="16" fillId="0" borderId="0" xfId="0" applyFont="1" applyFill="1" applyAlignment="1">
      <alignment vertical="center"/>
    </xf>
    <xf numFmtId="0" fontId="3" fillId="7" borderId="0" xfId="0" applyFont="1" applyFill="1" applyAlignment="1">
      <alignment vertical="center"/>
    </xf>
    <xf numFmtId="0" fontId="0" fillId="7" borderId="0" xfId="0" applyFill="1" applyBorder="1" applyAlignment="1">
      <alignment vertical="center"/>
    </xf>
    <xf numFmtId="0" fontId="4" fillId="7" borderId="0" xfId="0" applyFont="1" applyFill="1" applyBorder="1" applyAlignment="1">
      <alignment vertical="center"/>
    </xf>
    <xf numFmtId="0" fontId="3" fillId="7" borderId="0" xfId="0" applyFont="1" applyFill="1" applyAlignment="1">
      <alignment horizontal="center" vertical="center"/>
    </xf>
    <xf numFmtId="0" fontId="14" fillId="7" borderId="1" xfId="0" applyFont="1" applyFill="1" applyBorder="1" applyAlignment="1">
      <alignment horizontal="center"/>
    </xf>
    <xf numFmtId="0" fontId="0" fillId="7" borderId="0" xfId="0" applyFill="1"/>
    <xf numFmtId="0" fontId="19" fillId="0" borderId="0" xfId="0" applyFont="1" applyFill="1" applyAlignment="1">
      <alignment horizontal="right" vertical="center"/>
    </xf>
    <xf numFmtId="0" fontId="0" fillId="0" borderId="0" xfId="0" applyFont="1" applyFill="1" applyBorder="1" applyAlignment="1">
      <alignment vertical="center"/>
    </xf>
    <xf numFmtId="0" fontId="0" fillId="0" borderId="0" xfId="0" applyFont="1" applyFill="1" applyBorder="1" applyProtection="1">
      <protection locked="0"/>
    </xf>
    <xf numFmtId="164" fontId="0" fillId="0" borderId="0" xfId="0" applyNumberFormat="1" applyFont="1" applyFill="1" applyBorder="1" applyAlignment="1">
      <alignment horizontal="center"/>
    </xf>
    <xf numFmtId="0" fontId="22" fillId="11" borderId="0" xfId="0" applyFont="1" applyFill="1" applyBorder="1" applyAlignment="1">
      <alignment horizontal="center" vertical="center"/>
    </xf>
    <xf numFmtId="0" fontId="23" fillId="7" borderId="0" xfId="0" applyFont="1" applyFill="1" applyBorder="1" applyAlignment="1">
      <alignment horizontal="right" vertical="center"/>
    </xf>
    <xf numFmtId="0" fontId="23" fillId="7" borderId="0" xfId="0" applyFont="1" applyFill="1" applyBorder="1" applyAlignment="1">
      <alignment horizontal="center" vertical="center"/>
    </xf>
    <xf numFmtId="0" fontId="6" fillId="7" borderId="0" xfId="0" applyFont="1" applyFill="1" applyBorder="1" applyAlignment="1" applyProtection="1">
      <alignment vertical="center"/>
    </xf>
    <xf numFmtId="0" fontId="7" fillId="7" borderId="0" xfId="0" applyFont="1" applyFill="1" applyBorder="1" applyAlignment="1" applyProtection="1">
      <alignment horizontal="right" vertical="center"/>
    </xf>
    <xf numFmtId="0" fontId="0" fillId="7" borderId="0" xfId="0" applyFill="1" applyProtection="1"/>
    <xf numFmtId="0" fontId="17" fillId="7" borderId="0" xfId="1" applyFill="1" applyBorder="1" applyAlignment="1" applyProtection="1">
      <alignment vertical="center"/>
    </xf>
    <xf numFmtId="167" fontId="9" fillId="0" borderId="0" xfId="3" applyNumberFormat="1" applyBorder="1" applyAlignment="1" applyProtection="1">
      <alignment horizontal="left" vertical="center" wrapText="1" indent="1"/>
    </xf>
    <xf numFmtId="166" fontId="9" fillId="0" borderId="0" xfId="5" applyBorder="1" applyAlignment="1" applyProtection="1">
      <alignment horizontal="left" vertical="center" wrapText="1" indent="1"/>
    </xf>
    <xf numFmtId="0" fontId="0" fillId="8" borderId="0" xfId="0" applyFont="1" applyFill="1" applyBorder="1" applyAlignment="1">
      <alignment horizontal="center"/>
    </xf>
    <xf numFmtId="0" fontId="0" fillId="9" borderId="0" xfId="0" applyFont="1" applyFill="1" applyBorder="1" applyAlignment="1">
      <alignment horizontal="center"/>
    </xf>
    <xf numFmtId="0" fontId="0" fillId="10" borderId="0" xfId="0" applyFont="1" applyFill="1" applyBorder="1" applyAlignment="1">
      <alignment horizontal="center"/>
    </xf>
    <xf numFmtId="0" fontId="25" fillId="0" borderId="0" xfId="0" applyFont="1"/>
    <xf numFmtId="167" fontId="26" fillId="7" borderId="0" xfId="1" applyNumberFormat="1" applyFont="1" applyFill="1" applyBorder="1" applyAlignment="1" applyProtection="1">
      <alignment vertical="center"/>
    </xf>
    <xf numFmtId="0" fontId="27" fillId="7" borderId="0" xfId="1" applyFont="1" applyFill="1" applyBorder="1" applyAlignment="1" applyProtection="1">
      <alignment horizontal="left" vertical="center" indent="1"/>
    </xf>
    <xf numFmtId="0" fontId="2" fillId="7" borderId="0" xfId="0" applyFont="1" applyFill="1"/>
    <xf numFmtId="0" fontId="0" fillId="0" borderId="0" xfId="0" applyAlignment="1">
      <alignment horizontal="center" vertical="center" wrapText="1"/>
    </xf>
    <xf numFmtId="0" fontId="0" fillId="0" borderId="0" xfId="0" applyAlignment="1">
      <alignment horizontal="left" vertical="center" wrapText="1"/>
    </xf>
    <xf numFmtId="0" fontId="17" fillId="7" borderId="0" xfId="1" applyFill="1" applyAlignment="1">
      <alignment horizontal="left" vertical="center" indent="1"/>
    </xf>
    <xf numFmtId="0" fontId="28" fillId="0" borderId="0" xfId="11"/>
    <xf numFmtId="0" fontId="0" fillId="0" borderId="0" xfId="0" applyAlignment="1">
      <alignmen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49" fontId="0" fillId="11" borderId="0" xfId="0" applyNumberFormat="1" applyFont="1" applyFill="1" applyBorder="1" applyAlignment="1">
      <alignment horizontal="center"/>
    </xf>
    <xf numFmtId="0" fontId="0" fillId="0" borderId="0" xfId="0" quotePrefix="1" applyAlignment="1">
      <alignment vertical="top"/>
    </xf>
    <xf numFmtId="0" fontId="0" fillId="0" borderId="0" xfId="0" applyFill="1"/>
    <xf numFmtId="0" fontId="0" fillId="0" borderId="0" xfId="0" applyAlignment="1">
      <alignment vertical="center" wrapText="1"/>
    </xf>
    <xf numFmtId="0" fontId="28" fillId="0" borderId="0" xfId="11" applyAlignment="1">
      <alignment vertical="top"/>
    </xf>
    <xf numFmtId="0" fontId="0" fillId="0" borderId="0" xfId="0" applyAlignment="1">
      <alignment wrapText="1"/>
    </xf>
    <xf numFmtId="168" fontId="33" fillId="2" borderId="8" xfId="2" applyNumberFormat="1" applyFont="1" applyFill="1" applyBorder="1" applyAlignment="1" applyProtection="1">
      <alignment vertical="center"/>
    </xf>
    <xf numFmtId="168" fontId="33" fillId="2" borderId="9" xfId="2" applyNumberFormat="1" applyFont="1" applyFill="1" applyBorder="1" applyAlignment="1" applyProtection="1">
      <alignment vertical="center"/>
    </xf>
    <xf numFmtId="0" fontId="34" fillId="0" borderId="7" xfId="3" applyFont="1" applyBorder="1" applyAlignment="1" applyProtection="1">
      <alignment horizontal="center" vertical="center" wrapText="1"/>
      <protection locked="0"/>
    </xf>
    <xf numFmtId="0" fontId="36" fillId="2" borderId="11" xfId="0" applyFont="1" applyFill="1" applyBorder="1" applyAlignment="1" applyProtection="1">
      <alignment horizontal="center" vertical="center"/>
    </xf>
    <xf numFmtId="164" fontId="38" fillId="0" borderId="7" xfId="8" applyNumberFormat="1" applyFont="1" applyFill="1" applyBorder="1" applyProtection="1">
      <alignment horizontal="center" vertical="center"/>
    </xf>
    <xf numFmtId="164" fontId="36" fillId="2" borderId="7" xfId="0" applyNumberFormat="1" applyFont="1" applyFill="1" applyBorder="1" applyAlignment="1" applyProtection="1">
      <alignment horizontal="center" vertical="center"/>
    </xf>
    <xf numFmtId="0" fontId="39" fillId="0" borderId="0" xfId="0" applyFont="1" applyProtection="1"/>
    <xf numFmtId="0" fontId="34" fillId="0" borderId="0" xfId="0" applyFont="1" applyFill="1" applyBorder="1" applyProtection="1"/>
    <xf numFmtId="0" fontId="33" fillId="2" borderId="7" xfId="2" applyNumberFormat="1" applyFont="1" applyFill="1" applyBorder="1" applyAlignment="1" applyProtection="1">
      <alignment vertical="center"/>
    </xf>
    <xf numFmtId="0" fontId="41" fillId="9" borderId="12" xfId="0" applyFont="1" applyFill="1" applyBorder="1" applyAlignment="1" applyProtection="1">
      <alignment horizontal="center" vertical="center"/>
    </xf>
    <xf numFmtId="169" fontId="0" fillId="0" borderId="0" xfId="0" applyNumberFormat="1" applyAlignment="1">
      <alignment horizontal="center"/>
    </xf>
    <xf numFmtId="170" fontId="21" fillId="7" borderId="4" xfId="0" applyNumberFormat="1" applyFont="1" applyFill="1" applyBorder="1" applyAlignment="1">
      <alignment horizontal="left" vertical="center"/>
    </xf>
    <xf numFmtId="168" fontId="33" fillId="2" borderId="7" xfId="2" applyNumberFormat="1" applyFont="1" applyFill="1" applyBorder="1" applyProtection="1">
      <alignment vertical="center"/>
    </xf>
    <xf numFmtId="0" fontId="34" fillId="0" borderId="7" xfId="3" applyFont="1" applyBorder="1" applyAlignment="1" applyProtection="1">
      <alignment horizontal="left" vertical="center" wrapText="1" indent="1"/>
      <protection locked="0"/>
    </xf>
    <xf numFmtId="0" fontId="0" fillId="12" borderId="0" xfId="0" applyFont="1" applyFill="1" applyBorder="1" applyAlignment="1">
      <alignment horizontal="center"/>
    </xf>
    <xf numFmtId="0" fontId="0" fillId="13" borderId="0" xfId="0" applyFont="1" applyFill="1" applyBorder="1" applyAlignment="1">
      <alignment horizontal="center"/>
    </xf>
    <xf numFmtId="0" fontId="0" fillId="14" borderId="0" xfId="0" applyFont="1" applyFill="1" applyBorder="1" applyAlignment="1">
      <alignment horizontal="center"/>
    </xf>
    <xf numFmtId="0" fontId="41" fillId="7" borderId="12" xfId="0" applyFont="1" applyFill="1" applyBorder="1" applyAlignment="1" applyProtection="1">
      <alignment horizontal="center" vertical="center"/>
    </xf>
    <xf numFmtId="0" fontId="41" fillId="15" borderId="12" xfId="0" applyFont="1" applyFill="1" applyBorder="1" applyAlignment="1" applyProtection="1">
      <alignment horizontal="center" vertical="center"/>
    </xf>
    <xf numFmtId="0" fontId="41" fillId="16" borderId="12"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protection locked="0"/>
    </xf>
    <xf numFmtId="171" fontId="0" fillId="0" borderId="0" xfId="0" applyNumberFormat="1" applyAlignment="1">
      <alignment horizontal="center"/>
    </xf>
    <xf numFmtId="0" fontId="0" fillId="0" borderId="0" xfId="0" applyNumberFormat="1" applyAlignment="1">
      <alignment horizontal="left"/>
    </xf>
    <xf numFmtId="164" fontId="43" fillId="0" borderId="0" xfId="0" applyNumberFormat="1" applyFont="1" applyFill="1" applyBorder="1" applyAlignment="1">
      <alignment horizontal="center"/>
    </xf>
    <xf numFmtId="0" fontId="5" fillId="7" borderId="0" xfId="0" applyFont="1" applyFill="1"/>
    <xf numFmtId="164" fontId="44" fillId="0" borderId="15" xfId="0" applyNumberFormat="1" applyFont="1" applyFill="1" applyBorder="1" applyAlignment="1">
      <alignment horizontal="center" vertical="center"/>
    </xf>
    <xf numFmtId="0" fontId="5" fillId="7" borderId="14" xfId="0" applyFont="1" applyFill="1" applyBorder="1"/>
    <xf numFmtId="0" fontId="0" fillId="0" borderId="0" xfId="0" applyBorder="1"/>
    <xf numFmtId="0" fontId="3" fillId="18" borderId="0" xfId="0" applyFont="1" applyFill="1" applyAlignment="1">
      <alignment vertical="center"/>
    </xf>
    <xf numFmtId="0" fontId="0" fillId="20" borderId="0" xfId="0" applyFont="1" applyFill="1" applyBorder="1" applyAlignment="1">
      <alignment horizontal="center"/>
    </xf>
    <xf numFmtId="0" fontId="0" fillId="23" borderId="0" xfId="0" applyFont="1" applyFill="1" applyBorder="1" applyAlignment="1">
      <alignment horizontal="center"/>
    </xf>
    <xf numFmtId="0" fontId="0" fillId="24" borderId="0" xfId="0" applyFont="1" applyFill="1" applyBorder="1" applyAlignment="1">
      <alignment horizontal="center"/>
    </xf>
    <xf numFmtId="0" fontId="0" fillId="19" borderId="0" xfId="0" applyFont="1" applyFill="1" applyBorder="1" applyAlignment="1">
      <alignment horizontal="center"/>
    </xf>
    <xf numFmtId="0" fontId="0" fillId="26" borderId="0" xfId="0" applyFont="1" applyFill="1" applyBorder="1" applyAlignment="1">
      <alignment horizontal="center"/>
    </xf>
    <xf numFmtId="0" fontId="0" fillId="27" borderId="0" xfId="0" applyFont="1" applyFill="1" applyBorder="1" applyAlignment="1">
      <alignment horizontal="center"/>
    </xf>
    <xf numFmtId="0" fontId="0" fillId="22" borderId="0" xfId="0" applyFont="1" applyFill="1" applyBorder="1" applyAlignment="1">
      <alignment horizontal="center"/>
    </xf>
    <xf numFmtId="0" fontId="0" fillId="28" borderId="0" xfId="0" applyFont="1" applyFill="1" applyBorder="1" applyAlignment="1">
      <alignment horizontal="center"/>
    </xf>
    <xf numFmtId="0" fontId="0" fillId="30" borderId="0" xfId="0" applyFont="1" applyFill="1" applyBorder="1" applyAlignment="1">
      <alignment horizontal="center"/>
    </xf>
    <xf numFmtId="0" fontId="13" fillId="7" borderId="0" xfId="0" applyFont="1" applyFill="1" applyBorder="1" applyAlignment="1" applyProtection="1">
      <alignment horizontal="center" vertical="center"/>
    </xf>
    <xf numFmtId="0" fontId="0" fillId="20" borderId="19" xfId="0" applyFont="1" applyFill="1" applyBorder="1" applyAlignment="1">
      <alignment horizontal="center"/>
    </xf>
    <xf numFmtId="0" fontId="0" fillId="27" borderId="19" xfId="0" applyFont="1" applyFill="1" applyBorder="1" applyAlignment="1">
      <alignment horizontal="center"/>
    </xf>
    <xf numFmtId="0" fontId="0" fillId="22" borderId="19" xfId="0" applyFont="1" applyFill="1" applyBorder="1" applyAlignment="1">
      <alignment horizontal="center"/>
    </xf>
    <xf numFmtId="0" fontId="0" fillId="24" borderId="19" xfId="0" applyFont="1" applyFill="1" applyBorder="1" applyAlignment="1">
      <alignment horizontal="center"/>
    </xf>
    <xf numFmtId="0" fontId="0" fillId="26" borderId="19" xfId="0" applyFont="1" applyFill="1" applyBorder="1" applyAlignment="1">
      <alignment horizontal="center"/>
    </xf>
    <xf numFmtId="0" fontId="0" fillId="31" borderId="0" xfId="0" applyFont="1" applyFill="1" applyBorder="1" applyAlignment="1">
      <alignment horizontal="center"/>
    </xf>
    <xf numFmtId="168" fontId="33" fillId="2" borderId="0" xfId="2" applyNumberFormat="1" applyFont="1" applyFill="1" applyBorder="1" applyProtection="1">
      <alignment vertical="center"/>
    </xf>
    <xf numFmtId="166" fontId="34" fillId="0" borderId="0" xfId="5" applyFont="1" applyBorder="1" applyAlignment="1" applyProtection="1">
      <alignment horizontal="left" vertical="center" wrapText="1" indent="1"/>
    </xf>
    <xf numFmtId="0" fontId="13" fillId="7" borderId="0" xfId="0" applyFont="1" applyFill="1" applyBorder="1" applyAlignment="1" applyProtection="1">
      <alignment horizontal="center" vertical="center"/>
    </xf>
    <xf numFmtId="0" fontId="0" fillId="32" borderId="0" xfId="0" applyFont="1" applyFill="1" applyBorder="1" applyAlignment="1">
      <alignment horizontal="center"/>
    </xf>
    <xf numFmtId="0" fontId="0" fillId="33" borderId="0" xfId="0" applyFont="1" applyFill="1" applyBorder="1" applyAlignment="1">
      <alignment horizontal="center"/>
    </xf>
    <xf numFmtId="0" fontId="0" fillId="35" borderId="0" xfId="0" applyFont="1" applyFill="1" applyBorder="1" applyAlignment="1">
      <alignment horizontal="center"/>
    </xf>
    <xf numFmtId="11" fontId="0" fillId="0" borderId="0" xfId="0" applyNumberFormat="1" applyFont="1" applyFill="1" applyBorder="1" applyProtection="1">
      <protection locked="0"/>
    </xf>
    <xf numFmtId="49" fontId="0" fillId="11" borderId="0" xfId="0" applyNumberFormat="1" applyFont="1" applyFill="1" applyBorder="1" applyAlignment="1">
      <alignment horizontal="center" shrinkToFit="1"/>
    </xf>
    <xf numFmtId="0" fontId="0" fillId="8" borderId="0" xfId="0" applyFont="1" applyFill="1" applyBorder="1" applyAlignment="1">
      <alignment horizontal="center" shrinkToFit="1"/>
    </xf>
    <xf numFmtId="0" fontId="0" fillId="9" borderId="0" xfId="0" applyFont="1" applyFill="1" applyBorder="1" applyAlignment="1">
      <alignment horizontal="center" shrinkToFit="1"/>
    </xf>
    <xf numFmtId="0" fontId="0" fillId="10" borderId="0" xfId="0" applyFont="1" applyFill="1" applyBorder="1" applyAlignment="1">
      <alignment horizontal="center" shrinkToFit="1"/>
    </xf>
    <xf numFmtId="0" fontId="0" fillId="12" borderId="0" xfId="0" applyFont="1" applyFill="1" applyBorder="1" applyAlignment="1">
      <alignment horizontal="center" shrinkToFit="1"/>
    </xf>
    <xf numFmtId="0" fontId="0" fillId="13" borderId="0" xfId="0" applyFont="1" applyFill="1" applyBorder="1" applyAlignment="1">
      <alignment horizontal="center" shrinkToFit="1"/>
    </xf>
    <xf numFmtId="0" fontId="0" fillId="29" borderId="0" xfId="0" applyFont="1" applyFill="1" applyBorder="1" applyAlignment="1">
      <alignment horizontal="center" shrinkToFit="1"/>
    </xf>
    <xf numFmtId="0" fontId="0" fillId="28" borderId="0" xfId="0" applyFont="1" applyFill="1" applyBorder="1" applyAlignment="1">
      <alignment horizontal="center" shrinkToFit="1"/>
    </xf>
    <xf numFmtId="0" fontId="0" fillId="20" borderId="0" xfId="0" applyFont="1" applyFill="1" applyBorder="1" applyAlignment="1">
      <alignment horizontal="center" shrinkToFit="1"/>
    </xf>
    <xf numFmtId="0" fontId="0" fillId="27" borderId="0" xfId="0" applyFont="1" applyFill="1" applyBorder="1" applyAlignment="1">
      <alignment horizontal="center" shrinkToFit="1"/>
    </xf>
    <xf numFmtId="0" fontId="0" fillId="22" borderId="0" xfId="0" applyFont="1" applyFill="1" applyBorder="1" applyAlignment="1">
      <alignment horizontal="center" shrinkToFit="1"/>
    </xf>
    <xf numFmtId="0" fontId="0" fillId="23" borderId="0" xfId="0" applyFont="1" applyFill="1" applyBorder="1" applyAlignment="1">
      <alignment horizontal="center" shrinkToFit="1"/>
    </xf>
    <xf numFmtId="0" fontId="0" fillId="24" borderId="0" xfId="0" applyFont="1" applyFill="1" applyBorder="1" applyAlignment="1">
      <alignment horizontal="center" shrinkToFit="1"/>
    </xf>
    <xf numFmtId="0" fontId="0" fillId="19" borderId="0" xfId="0" applyFont="1" applyFill="1" applyBorder="1" applyAlignment="1">
      <alignment horizontal="center" shrinkToFit="1"/>
    </xf>
    <xf numFmtId="0" fontId="0" fillId="26" borderId="0" xfId="0" applyFont="1" applyFill="1" applyBorder="1" applyAlignment="1">
      <alignment horizontal="center" shrinkToFit="1"/>
    </xf>
    <xf numFmtId="0" fontId="0" fillId="35" borderId="0" xfId="0" applyFont="1" applyFill="1" applyBorder="1" applyAlignment="1">
      <alignment horizontal="center" shrinkToFit="1"/>
    </xf>
    <xf numFmtId="0" fontId="0" fillId="34" borderId="0" xfId="0" applyFont="1" applyFill="1" applyBorder="1" applyAlignment="1">
      <alignment horizontal="center"/>
    </xf>
    <xf numFmtId="0" fontId="0" fillId="34" borderId="0" xfId="0" applyFont="1" applyFill="1" applyBorder="1" applyAlignment="1">
      <alignment horizontal="center" shrinkToFit="1"/>
    </xf>
    <xf numFmtId="164" fontId="0" fillId="0" borderId="7" xfId="0" applyNumberFormat="1" applyFont="1" applyFill="1" applyBorder="1" applyAlignment="1">
      <alignment horizontal="center"/>
    </xf>
    <xf numFmtId="164" fontId="0" fillId="2" borderId="7" xfId="0" applyNumberFormat="1" applyFont="1" applyFill="1" applyBorder="1" applyAlignment="1">
      <alignment horizontal="center"/>
    </xf>
    <xf numFmtId="0" fontId="0" fillId="36" borderId="0" xfId="0" applyFont="1" applyFill="1" applyBorder="1" applyAlignment="1">
      <alignment horizontal="center" shrinkToFit="1"/>
    </xf>
    <xf numFmtId="0" fontId="0" fillId="36" borderId="19" xfId="0" applyFont="1" applyFill="1" applyBorder="1" applyAlignment="1">
      <alignment horizontal="center" shrinkToFit="1"/>
    </xf>
    <xf numFmtId="0" fontId="0" fillId="37" borderId="0" xfId="0" applyFont="1" applyFill="1" applyBorder="1" applyAlignment="1">
      <alignment horizontal="center" shrinkToFit="1"/>
    </xf>
    <xf numFmtId="0" fontId="0" fillId="37" borderId="19" xfId="0" applyFont="1" applyFill="1" applyBorder="1" applyAlignment="1">
      <alignment horizontal="center" shrinkToFit="1"/>
    </xf>
    <xf numFmtId="0" fontId="0" fillId="38" borderId="0" xfId="0" applyFont="1" applyFill="1" applyBorder="1" applyAlignment="1">
      <alignment horizontal="center" shrinkToFit="1"/>
    </xf>
    <xf numFmtId="164" fontId="0" fillId="0" borderId="0" xfId="0" applyNumberFormat="1" applyAlignment="1">
      <alignment horizontal="center"/>
    </xf>
    <xf numFmtId="164" fontId="0" fillId="0" borderId="0" xfId="0" applyNumberFormat="1" applyFont="1" applyFill="1" applyAlignment="1">
      <alignment horizontal="center"/>
    </xf>
    <xf numFmtId="0" fontId="15" fillId="7" borderId="0" xfId="0" applyFont="1" applyFill="1" applyBorder="1" applyAlignment="1">
      <alignment horizontal="center"/>
    </xf>
    <xf numFmtId="164" fontId="0" fillId="0" borderId="0" xfId="0" applyNumberFormat="1" applyFont="1" applyFill="1" applyBorder="1" applyAlignment="1" applyProtection="1">
      <alignment horizontal="left" vertical="top"/>
      <protection locked="0"/>
    </xf>
    <xf numFmtId="0" fontId="14" fillId="7" borderId="21" xfId="0" applyFont="1" applyFill="1" applyBorder="1" applyAlignment="1">
      <alignment horizontal="center"/>
    </xf>
    <xf numFmtId="0" fontId="0" fillId="0" borderId="22" xfId="0" applyFont="1" applyFill="1" applyBorder="1" applyAlignment="1">
      <alignment horizontal="center" vertical="center"/>
    </xf>
    <xf numFmtId="164" fontId="0" fillId="0" borderId="22" xfId="0" applyNumberFormat="1" applyFont="1" applyFill="1" applyBorder="1" applyAlignment="1" applyProtection="1">
      <alignment horizontal="center" vertical="center"/>
      <protection locked="0"/>
    </xf>
    <xf numFmtId="0" fontId="0" fillId="0" borderId="25" xfId="0" applyFont="1" applyFill="1" applyBorder="1" applyProtection="1">
      <protection locked="0"/>
    </xf>
    <xf numFmtId="0" fontId="0" fillId="0" borderId="25" xfId="0" applyBorder="1"/>
    <xf numFmtId="164" fontId="0" fillId="0" borderId="25" xfId="0" applyNumberFormat="1" applyFont="1" applyFill="1" applyBorder="1" applyAlignment="1" applyProtection="1">
      <alignment horizontal="center" vertical="center"/>
      <protection locked="0"/>
    </xf>
    <xf numFmtId="164" fontId="0" fillId="0" borderId="24" xfId="0" applyNumberFormat="1" applyFont="1" applyFill="1" applyBorder="1" applyAlignment="1" applyProtection="1">
      <alignment horizontal="center" vertical="center"/>
      <protection locked="0"/>
    </xf>
    <xf numFmtId="164" fontId="0" fillId="0" borderId="25" xfId="0" applyNumberFormat="1" applyFont="1" applyFill="1" applyBorder="1" applyAlignment="1">
      <alignment horizontal="center" vertical="center"/>
    </xf>
    <xf numFmtId="164" fontId="0" fillId="0" borderId="26" xfId="0" applyNumberFormat="1" applyFont="1" applyFill="1" applyBorder="1" applyAlignment="1">
      <alignment horizontal="center"/>
    </xf>
    <xf numFmtId="0" fontId="14" fillId="7" borderId="6" xfId="0" applyFont="1" applyFill="1" applyBorder="1" applyAlignment="1">
      <alignment horizontal="center"/>
    </xf>
    <xf numFmtId="0" fontId="0" fillId="0" borderId="22" xfId="0" applyBorder="1"/>
    <xf numFmtId="0" fontId="12" fillId="7" borderId="27" xfId="0" applyFont="1" applyFill="1" applyBorder="1"/>
    <xf numFmtId="49" fontId="0" fillId="0" borderId="22" xfId="0" applyNumberFormat="1" applyFont="1" applyFill="1" applyBorder="1" applyAlignment="1">
      <alignment horizontal="left" vertical="center"/>
    </xf>
    <xf numFmtId="0" fontId="0" fillId="0" borderId="24" xfId="0" applyBorder="1"/>
    <xf numFmtId="164" fontId="0" fillId="0" borderId="16" xfId="0" applyNumberFormat="1" applyFont="1" applyFill="1" applyBorder="1" applyAlignment="1">
      <alignment horizontal="center" vertical="center"/>
    </xf>
    <xf numFmtId="164" fontId="0" fillId="0" borderId="30" xfId="0" applyNumberFormat="1" applyFont="1" applyFill="1" applyBorder="1" applyAlignment="1">
      <alignment horizontal="center" vertical="center"/>
    </xf>
    <xf numFmtId="164" fontId="0" fillId="0" borderId="32" xfId="0" applyNumberFormat="1" applyFont="1" applyFill="1" applyBorder="1" applyAlignment="1">
      <alignment horizontal="center" vertical="center"/>
    </xf>
    <xf numFmtId="164" fontId="0" fillId="0" borderId="33" xfId="0" applyNumberFormat="1" applyFont="1" applyFill="1" applyBorder="1" applyAlignment="1">
      <alignment horizontal="center" vertical="center"/>
    </xf>
    <xf numFmtId="0" fontId="45" fillId="17" borderId="34" xfId="0" applyFont="1" applyFill="1" applyBorder="1" applyAlignment="1">
      <alignment horizontal="left" vertical="center"/>
    </xf>
    <xf numFmtId="0" fontId="45" fillId="39" borderId="35" xfId="0" applyFont="1" applyFill="1" applyBorder="1" applyAlignment="1">
      <alignment horizontal="left" vertical="center"/>
    </xf>
    <xf numFmtId="0" fontId="0" fillId="0" borderId="22" xfId="0" applyNumberFormat="1" applyBorder="1"/>
    <xf numFmtId="0" fontId="0" fillId="38" borderId="22" xfId="0" applyFont="1" applyFill="1" applyBorder="1" applyAlignment="1">
      <alignment horizontal="center" shrinkToFit="1"/>
    </xf>
    <xf numFmtId="164" fontId="0" fillId="0" borderId="22" xfId="0" applyNumberFormat="1" applyFont="1" applyFill="1" applyBorder="1" applyAlignment="1">
      <alignment horizontal="center"/>
    </xf>
    <xf numFmtId="164" fontId="0" fillId="0" borderId="16" xfId="0" applyNumberFormat="1" applyFont="1" applyFill="1" applyBorder="1" applyAlignment="1">
      <alignment horizontal="center"/>
    </xf>
    <xf numFmtId="0" fontId="45" fillId="17" borderId="36" xfId="0" applyFont="1" applyFill="1" applyBorder="1" applyAlignment="1">
      <alignment horizontal="left" vertical="center"/>
    </xf>
    <xf numFmtId="0" fontId="45" fillId="39" borderId="37" xfId="0" applyFont="1" applyFill="1" applyBorder="1" applyAlignment="1">
      <alignment horizontal="left" vertical="center"/>
    </xf>
    <xf numFmtId="0" fontId="45" fillId="39" borderId="38" xfId="0" applyFont="1" applyFill="1" applyBorder="1" applyAlignment="1">
      <alignment horizontal="left" vertical="center"/>
    </xf>
    <xf numFmtId="164" fontId="0" fillId="0" borderId="39" xfId="0" applyNumberFormat="1" applyFont="1" applyFill="1" applyBorder="1" applyAlignment="1">
      <alignment horizontal="center"/>
    </xf>
    <xf numFmtId="164" fontId="0" fillId="0" borderId="30" xfId="0" applyNumberFormat="1" applyFont="1" applyFill="1" applyBorder="1" applyAlignment="1">
      <alignment horizontal="center"/>
    </xf>
    <xf numFmtId="164" fontId="0" fillId="0" borderId="40" xfId="0" applyNumberFormat="1" applyFont="1" applyFill="1" applyBorder="1" applyAlignment="1">
      <alignment horizontal="center"/>
    </xf>
    <xf numFmtId="164" fontId="0" fillId="0" borderId="25" xfId="0" applyNumberFormat="1" applyFont="1" applyFill="1" applyBorder="1" applyAlignment="1">
      <alignment horizontal="center"/>
    </xf>
    <xf numFmtId="164" fontId="0" fillId="0" borderId="24" xfId="0" applyNumberFormat="1" applyFont="1" applyFill="1" applyBorder="1" applyAlignment="1">
      <alignment horizontal="center"/>
    </xf>
    <xf numFmtId="164" fontId="0" fillId="0" borderId="29" xfId="0" applyNumberFormat="1" applyFont="1" applyFill="1" applyBorder="1" applyAlignment="1">
      <alignment horizontal="center"/>
    </xf>
    <xf numFmtId="164" fontId="0" fillId="0" borderId="32" xfId="0" applyNumberFormat="1" applyFont="1" applyFill="1" applyBorder="1" applyAlignment="1">
      <alignment horizontal="center"/>
    </xf>
    <xf numFmtId="164" fontId="0" fillId="0" borderId="28" xfId="0" applyNumberFormat="1" applyFont="1" applyFill="1" applyBorder="1" applyAlignment="1">
      <alignment horizontal="center"/>
    </xf>
    <xf numFmtId="164" fontId="0" fillId="0" borderId="39" xfId="0" applyNumberFormat="1" applyFont="1" applyFill="1" applyBorder="1" applyAlignment="1">
      <alignment horizontal="center" vertical="center"/>
    </xf>
    <xf numFmtId="164" fontId="0" fillId="0" borderId="18" xfId="0" applyNumberFormat="1" applyFont="1" applyFill="1" applyBorder="1" applyAlignment="1">
      <alignment horizontal="center" vertical="center"/>
    </xf>
    <xf numFmtId="164" fontId="0" fillId="0" borderId="43" xfId="0" applyNumberFormat="1" applyFont="1" applyFill="1" applyBorder="1" applyAlignment="1">
      <alignment horizontal="center" vertical="center"/>
    </xf>
    <xf numFmtId="164" fontId="0" fillId="0" borderId="44" xfId="0" applyNumberFormat="1" applyFont="1" applyFill="1" applyBorder="1" applyAlignment="1">
      <alignment horizontal="center" vertical="center"/>
    </xf>
    <xf numFmtId="164" fontId="0" fillId="0" borderId="41" xfId="0" applyNumberFormat="1" applyFont="1" applyFill="1" applyBorder="1" applyAlignment="1">
      <alignment horizontal="center" vertical="center"/>
    </xf>
    <xf numFmtId="164" fontId="0" fillId="0" borderId="22" xfId="0" applyNumberFormat="1" applyFont="1" applyFill="1" applyBorder="1" applyAlignment="1">
      <alignment horizontal="center" vertical="center"/>
    </xf>
    <xf numFmtId="164" fontId="0" fillId="0" borderId="24" xfId="0" applyNumberFormat="1" applyFont="1" applyFill="1" applyBorder="1" applyAlignment="1">
      <alignment horizontal="center" vertical="center"/>
    </xf>
    <xf numFmtId="164" fontId="0" fillId="0" borderId="33" xfId="0" applyNumberFormat="1" applyFont="1" applyFill="1" applyBorder="1" applyAlignment="1">
      <alignment horizontal="center"/>
    </xf>
    <xf numFmtId="164" fontId="0" fillId="0" borderId="40" xfId="0" applyNumberFormat="1" applyFont="1" applyFill="1" applyBorder="1" applyAlignment="1">
      <alignment horizontal="center" vertical="center"/>
    </xf>
    <xf numFmtId="164" fontId="0" fillId="0" borderId="47" xfId="0" applyNumberFormat="1" applyFont="1" applyFill="1" applyBorder="1" applyAlignment="1">
      <alignment horizontal="center"/>
    </xf>
    <xf numFmtId="164" fontId="0" fillId="0" borderId="48" xfId="0" applyNumberFormat="1" applyFont="1" applyFill="1" applyBorder="1" applyAlignment="1">
      <alignment horizontal="center"/>
    </xf>
    <xf numFmtId="164" fontId="0" fillId="0" borderId="49" xfId="0" applyNumberFormat="1" applyFont="1" applyFill="1" applyBorder="1" applyAlignment="1">
      <alignment horizontal="center" vertical="center"/>
    </xf>
    <xf numFmtId="164" fontId="0" fillId="0" borderId="25" xfId="0" applyNumberFormat="1" applyBorder="1" applyAlignment="1">
      <alignment horizontal="center"/>
    </xf>
    <xf numFmtId="0" fontId="0" fillId="0" borderId="24" xfId="0" applyNumberFormat="1" applyBorder="1"/>
    <xf numFmtId="164" fontId="0" fillId="0" borderId="45" xfId="0" applyNumberFormat="1" applyFont="1" applyFill="1" applyBorder="1" applyAlignment="1">
      <alignment horizontal="center" vertical="center"/>
    </xf>
    <xf numFmtId="164" fontId="0" fillId="0" borderId="46" xfId="0" applyNumberFormat="1" applyFont="1" applyFill="1" applyBorder="1" applyAlignment="1">
      <alignment horizontal="center" vertical="center"/>
    </xf>
    <xf numFmtId="164" fontId="0" fillId="0" borderId="52" xfId="0" applyNumberFormat="1" applyFont="1" applyFill="1" applyBorder="1" applyAlignment="1">
      <alignment horizontal="center" vertical="center"/>
    </xf>
    <xf numFmtId="164" fontId="0" fillId="0" borderId="35" xfId="0" applyNumberFormat="1" applyFont="1" applyFill="1" applyBorder="1" applyAlignment="1">
      <alignment horizontal="center" vertical="center"/>
    </xf>
    <xf numFmtId="0" fontId="41" fillId="11" borderId="53" xfId="0" applyFont="1" applyFill="1" applyBorder="1" applyAlignment="1" applyProtection="1">
      <alignment horizontal="center" vertical="center"/>
    </xf>
    <xf numFmtId="0" fontId="0" fillId="7" borderId="25" xfId="0" applyFill="1" applyBorder="1" applyProtection="1"/>
    <xf numFmtId="0" fontId="0" fillId="40" borderId="0" xfId="0" applyFont="1" applyFill="1" applyBorder="1" applyAlignment="1">
      <alignment horizontal="center" shrinkToFit="1"/>
    </xf>
    <xf numFmtId="0" fontId="0" fillId="40" borderId="0" xfId="0" applyFont="1" applyFill="1" applyBorder="1" applyAlignment="1">
      <alignment horizontal="center"/>
    </xf>
    <xf numFmtId="0" fontId="0" fillId="40" borderId="19" xfId="0" applyFont="1" applyFill="1" applyBorder="1" applyAlignment="1">
      <alignment horizontal="center"/>
    </xf>
    <xf numFmtId="0" fontId="44" fillId="0" borderId="0" xfId="0" applyFont="1" applyFill="1" applyBorder="1" applyAlignment="1">
      <alignment horizontal="center" vertical="center"/>
    </xf>
    <xf numFmtId="0" fontId="44" fillId="0" borderId="0" xfId="0" applyFont="1" applyFill="1" applyBorder="1" applyAlignment="1">
      <alignment horizontal="left" vertical="center"/>
    </xf>
    <xf numFmtId="164" fontId="44" fillId="0" borderId="0" xfId="0" applyNumberFormat="1" applyFont="1" applyFill="1" applyBorder="1" applyAlignment="1">
      <alignment horizontal="center" vertical="center"/>
    </xf>
    <xf numFmtId="164" fontId="0" fillId="0" borderId="54" xfId="0" applyNumberFormat="1" applyFont="1" applyFill="1" applyBorder="1" applyAlignment="1">
      <alignment horizontal="center" vertical="center"/>
    </xf>
    <xf numFmtId="164" fontId="0" fillId="0" borderId="55" xfId="0" applyNumberFormat="1" applyFont="1" applyFill="1" applyBorder="1" applyAlignment="1">
      <alignment horizontal="center" vertical="center"/>
    </xf>
    <xf numFmtId="164" fontId="0" fillId="0" borderId="14" xfId="0" applyNumberFormat="1" applyFont="1" applyFill="1" applyBorder="1" applyAlignment="1">
      <alignment horizontal="center"/>
    </xf>
    <xf numFmtId="164" fontId="0" fillId="0" borderId="34" xfId="0" applyNumberFormat="1" applyFont="1" applyFill="1" applyBorder="1" applyAlignment="1">
      <alignment horizontal="center"/>
    </xf>
    <xf numFmtId="0" fontId="11" fillId="0" borderId="0" xfId="0" applyFont="1" applyFill="1" applyAlignment="1">
      <alignment vertical="center"/>
    </xf>
    <xf numFmtId="0" fontId="25" fillId="0" borderId="0" xfId="0" applyFont="1" applyAlignment="1">
      <alignment horizontal="left" vertical="center"/>
    </xf>
    <xf numFmtId="0" fontId="25" fillId="9" borderId="0" xfId="0" applyFont="1" applyFill="1" applyBorder="1" applyAlignment="1">
      <alignment horizontal="center" vertical="center"/>
    </xf>
    <xf numFmtId="0" fontId="25" fillId="0" borderId="0" xfId="0" applyFont="1" applyBorder="1" applyAlignment="1">
      <alignment vertical="center"/>
    </xf>
    <xf numFmtId="0" fontId="25" fillId="8" borderId="0" xfId="0" applyFont="1" applyFill="1" applyBorder="1" applyAlignment="1">
      <alignment horizontal="center" vertical="center"/>
    </xf>
    <xf numFmtId="0" fontId="25" fillId="10" borderId="0" xfId="0" applyFont="1" applyFill="1" applyBorder="1" applyAlignment="1">
      <alignment horizontal="center" vertical="center"/>
    </xf>
    <xf numFmtId="0" fontId="11" fillId="28" borderId="0" xfId="0" applyFont="1" applyFill="1" applyAlignment="1">
      <alignment horizontal="center" vertical="center"/>
    </xf>
    <xf numFmtId="0" fontId="11" fillId="20" borderId="0" xfId="0" applyFont="1" applyFill="1" applyAlignment="1">
      <alignment horizontal="center" vertical="center"/>
    </xf>
    <xf numFmtId="0" fontId="46" fillId="0" borderId="0" xfId="0" applyFont="1" applyBorder="1" applyAlignment="1">
      <alignment vertical="center"/>
    </xf>
    <xf numFmtId="0" fontId="11" fillId="27" borderId="0" xfId="0" applyFont="1" applyFill="1" applyBorder="1" applyAlignment="1">
      <alignment horizontal="center" vertical="center"/>
    </xf>
    <xf numFmtId="0" fontId="11" fillId="25" borderId="0" xfId="0" applyFont="1" applyFill="1" applyBorder="1" applyAlignment="1">
      <alignment horizontal="center" vertical="center"/>
    </xf>
    <xf numFmtId="0" fontId="11" fillId="19" borderId="0" xfId="0" applyFont="1" applyFill="1" applyAlignment="1">
      <alignment horizontal="center" vertical="center"/>
    </xf>
    <xf numFmtId="0" fontId="11" fillId="26" borderId="0" xfId="0" applyFont="1" applyFill="1" applyAlignment="1">
      <alignment horizontal="center" vertical="center"/>
    </xf>
    <xf numFmtId="0" fontId="11" fillId="35" borderId="0" xfId="0" applyFont="1" applyFill="1" applyAlignment="1">
      <alignment horizontal="center" vertical="center"/>
    </xf>
    <xf numFmtId="0" fontId="47" fillId="0" borderId="0" xfId="0" applyFont="1" applyAlignment="1">
      <alignment horizontal="center"/>
    </xf>
    <xf numFmtId="0" fontId="25" fillId="12" borderId="0" xfId="0" applyFont="1" applyFill="1" applyBorder="1" applyAlignment="1">
      <alignment horizontal="center" vertical="center"/>
    </xf>
    <xf numFmtId="0" fontId="25" fillId="13" borderId="0" xfId="0" applyFont="1" applyFill="1" applyAlignment="1">
      <alignment horizontal="center"/>
    </xf>
    <xf numFmtId="0" fontId="11" fillId="29" borderId="0" xfId="0" applyFont="1" applyFill="1" applyAlignment="1">
      <alignment horizontal="center" vertical="center"/>
    </xf>
    <xf numFmtId="0" fontId="11" fillId="21" borderId="0" xfId="0" applyFont="1" applyFill="1" applyAlignment="1">
      <alignment horizontal="center" vertical="center"/>
    </xf>
    <xf numFmtId="0" fontId="11" fillId="23" borderId="0" xfId="0" applyFont="1" applyFill="1" applyAlignment="1">
      <alignment horizontal="center" vertical="center"/>
    </xf>
    <xf numFmtId="0" fontId="11" fillId="24" borderId="0" xfId="0" applyFont="1" applyFill="1" applyAlignment="1">
      <alignment horizontal="center" vertical="center"/>
    </xf>
    <xf numFmtId="0" fontId="11" fillId="0" borderId="0" xfId="0" applyFont="1" applyFill="1" applyBorder="1" applyAlignment="1">
      <alignment vertical="center"/>
    </xf>
    <xf numFmtId="0" fontId="25" fillId="36" borderId="19" xfId="0" applyFont="1" applyFill="1" applyBorder="1" applyAlignment="1">
      <alignment horizontal="center" shrinkToFit="1"/>
    </xf>
    <xf numFmtId="0" fontId="25" fillId="37" borderId="19" xfId="0" applyFont="1" applyFill="1" applyBorder="1" applyAlignment="1">
      <alignment horizontal="center" shrinkToFit="1"/>
    </xf>
    <xf numFmtId="0" fontId="25" fillId="38" borderId="19" xfId="0" applyFont="1" applyFill="1" applyBorder="1" applyAlignment="1">
      <alignment horizontal="center" shrinkToFit="1"/>
    </xf>
    <xf numFmtId="0" fontId="11" fillId="41" borderId="0" xfId="0" applyFont="1" applyFill="1" applyAlignment="1">
      <alignment vertical="center"/>
    </xf>
    <xf numFmtId="0" fontId="48" fillId="40" borderId="0" xfId="0" applyFont="1" applyFill="1" applyAlignment="1">
      <alignment horizontal="center" vertical="center"/>
    </xf>
    <xf numFmtId="0" fontId="49" fillId="42" borderId="0" xfId="0" applyFont="1" applyFill="1" applyAlignment="1">
      <alignment horizontal="center"/>
    </xf>
    <xf numFmtId="0" fontId="3" fillId="43" borderId="0" xfId="0" applyFont="1" applyFill="1" applyAlignment="1">
      <alignment horizontal="center"/>
    </xf>
    <xf numFmtId="0" fontId="11" fillId="41" borderId="0" xfId="0" applyFont="1" applyFill="1" applyAlignment="1">
      <alignment horizontal="center" vertical="center"/>
    </xf>
    <xf numFmtId="164" fontId="0" fillId="0" borderId="58" xfId="0" applyNumberFormat="1" applyFont="1" applyFill="1" applyBorder="1" applyAlignment="1">
      <alignment horizontal="center" vertical="center"/>
    </xf>
    <xf numFmtId="167" fontId="34" fillId="0" borderId="0" xfId="3" applyNumberFormat="1" applyFont="1" applyBorder="1" applyAlignment="1" applyProtection="1">
      <alignment horizontal="left" vertical="center" wrapText="1" indent="1"/>
    </xf>
    <xf numFmtId="168" fontId="33" fillId="2" borderId="7" xfId="2" applyNumberFormat="1" applyFont="1" applyFill="1" applyBorder="1" applyProtection="1">
      <alignment vertical="center"/>
    </xf>
    <xf numFmtId="0" fontId="13" fillId="7" borderId="0" xfId="0" applyFont="1" applyFill="1" applyBorder="1" applyAlignment="1" applyProtection="1">
      <alignment horizontal="center" vertical="center"/>
    </xf>
    <xf numFmtId="0" fontId="34" fillId="0" borderId="7" xfId="3" applyFont="1" applyBorder="1" applyAlignment="1" applyProtection="1">
      <alignment horizontal="left" vertical="center" wrapText="1" indent="1"/>
      <protection locked="0"/>
    </xf>
    <xf numFmtId="164" fontId="0" fillId="0" borderId="34" xfId="0" applyNumberFormat="1" applyFont="1" applyFill="1" applyBorder="1" applyAlignment="1">
      <alignment horizontal="center" vertical="center"/>
    </xf>
    <xf numFmtId="164" fontId="0" fillId="0" borderId="36" xfId="0" applyNumberFormat="1" applyFont="1" applyFill="1" applyBorder="1" applyAlignment="1">
      <alignment horizontal="center" vertical="center"/>
    </xf>
    <xf numFmtId="164" fontId="0" fillId="0" borderId="61" xfId="0" applyNumberFormat="1" applyFont="1" applyFill="1" applyBorder="1" applyAlignment="1">
      <alignment horizontal="center" vertical="center"/>
    </xf>
    <xf numFmtId="164" fontId="0" fillId="0" borderId="62" xfId="0" applyNumberFormat="1" applyFont="1" applyFill="1" applyBorder="1" applyAlignment="1">
      <alignment horizontal="center" vertical="center"/>
    </xf>
    <xf numFmtId="164" fontId="0" fillId="0" borderId="63" xfId="0" applyNumberFormat="1" applyFont="1" applyFill="1" applyBorder="1" applyAlignment="1">
      <alignment horizontal="center" vertical="center"/>
    </xf>
    <xf numFmtId="0" fontId="5" fillId="7" borderId="0" xfId="0" applyFont="1" applyFill="1" applyBorder="1"/>
    <xf numFmtId="0" fontId="5" fillId="7" borderId="64" xfId="0" applyFont="1" applyFill="1" applyBorder="1"/>
    <xf numFmtId="164" fontId="0" fillId="0" borderId="18" xfId="0" applyNumberFormat="1" applyFont="1" applyFill="1" applyBorder="1" applyAlignment="1">
      <alignment horizontal="center"/>
    </xf>
    <xf numFmtId="164" fontId="0" fillId="0" borderId="58" xfId="0" applyNumberFormat="1" applyFont="1" applyFill="1" applyBorder="1" applyAlignment="1">
      <alignment horizontal="center"/>
    </xf>
    <xf numFmtId="0" fontId="5" fillId="7" borderId="25" xfId="0" applyFont="1" applyFill="1" applyBorder="1"/>
    <xf numFmtId="0" fontId="3" fillId="43" borderId="54" xfId="0" applyFont="1" applyFill="1" applyBorder="1" applyAlignment="1">
      <alignment horizontal="center"/>
    </xf>
    <xf numFmtId="164" fontId="0" fillId="0" borderId="66" xfId="0" applyNumberFormat="1" applyFont="1" applyFill="1" applyBorder="1" applyAlignment="1">
      <alignment horizontal="center" vertical="center"/>
    </xf>
    <xf numFmtId="164" fontId="0" fillId="0" borderId="59" xfId="0" applyNumberFormat="1" applyFont="1" applyFill="1" applyBorder="1" applyAlignment="1">
      <alignment horizontal="center"/>
    </xf>
    <xf numFmtId="164" fontId="0" fillId="0" borderId="50" xfId="0" applyNumberFormat="1" applyFont="1" applyFill="1" applyBorder="1" applyAlignment="1">
      <alignment horizontal="center"/>
    </xf>
    <xf numFmtId="164" fontId="0" fillId="0" borderId="60" xfId="0" applyNumberFormat="1" applyFont="1" applyFill="1" applyBorder="1" applyAlignment="1">
      <alignment horizontal="center"/>
    </xf>
    <xf numFmtId="164" fontId="0" fillId="0" borderId="35" xfId="0" applyNumberFormat="1" applyFont="1" applyFill="1" applyBorder="1" applyAlignment="1">
      <alignment horizontal="center"/>
    </xf>
    <xf numFmtId="0" fontId="45" fillId="17" borderId="68" xfId="0" applyFont="1" applyFill="1" applyBorder="1" applyAlignment="1">
      <alignment horizontal="left" vertical="center"/>
    </xf>
    <xf numFmtId="164" fontId="0" fillId="0" borderId="69" xfId="0" applyNumberFormat="1" applyFont="1" applyFill="1" applyBorder="1" applyAlignment="1">
      <alignment horizontal="center"/>
    </xf>
    <xf numFmtId="0" fontId="45" fillId="17" borderId="67" xfId="0" applyFont="1" applyFill="1" applyBorder="1" applyAlignment="1">
      <alignment horizontal="left" vertical="center"/>
    </xf>
    <xf numFmtId="164" fontId="0" fillId="0" borderId="42" xfId="0" applyNumberFormat="1" applyFont="1" applyFill="1" applyBorder="1" applyAlignment="1">
      <alignment horizontal="center"/>
    </xf>
    <xf numFmtId="164" fontId="0" fillId="0" borderId="67" xfId="0" applyNumberFormat="1" applyFont="1" applyFill="1" applyBorder="1" applyAlignment="1">
      <alignment horizontal="center"/>
    </xf>
    <xf numFmtId="0" fontId="47" fillId="43" borderId="65" xfId="0" applyFont="1" applyFill="1" applyBorder="1" applyAlignment="1">
      <alignment horizontal="center"/>
    </xf>
    <xf numFmtId="0" fontId="45" fillId="43" borderId="57" xfId="0" applyFont="1" applyFill="1" applyBorder="1" applyAlignment="1">
      <alignment horizontal="center" vertical="center"/>
    </xf>
    <xf numFmtId="0" fontId="47" fillId="43" borderId="0" xfId="0" applyFont="1" applyFill="1" applyAlignment="1">
      <alignment horizontal="center"/>
    </xf>
    <xf numFmtId="0" fontId="47" fillId="0" borderId="0" xfId="0" applyFont="1" applyAlignment="1">
      <alignment horizontal="left"/>
    </xf>
    <xf numFmtId="0" fontId="45" fillId="17" borderId="57" xfId="0" applyFont="1" applyFill="1" applyBorder="1" applyAlignment="1">
      <alignment horizontal="left" vertical="center"/>
    </xf>
    <xf numFmtId="0" fontId="47" fillId="43" borderId="67" xfId="0" applyFont="1" applyFill="1" applyBorder="1" applyAlignment="1">
      <alignment horizontal="center"/>
    </xf>
    <xf numFmtId="0" fontId="47" fillId="43" borderId="54" xfId="0" applyFont="1" applyFill="1" applyBorder="1" applyAlignment="1">
      <alignment horizontal="center"/>
    </xf>
    <xf numFmtId="0" fontId="47" fillId="43" borderId="68" xfId="0" applyFont="1" applyFill="1" applyBorder="1" applyAlignment="1">
      <alignment horizontal="center"/>
    </xf>
    <xf numFmtId="0" fontId="45" fillId="39" borderId="67" xfId="0" applyFont="1" applyFill="1" applyBorder="1" applyAlignment="1">
      <alignment horizontal="left" vertical="center"/>
    </xf>
    <xf numFmtId="0" fontId="41" fillId="8" borderId="70" xfId="0" applyFont="1" applyFill="1" applyBorder="1" applyAlignment="1" applyProtection="1">
      <alignment horizontal="center" vertical="center"/>
    </xf>
    <xf numFmtId="0" fontId="41" fillId="13" borderId="70" xfId="0" applyFont="1" applyFill="1" applyBorder="1" applyAlignment="1" applyProtection="1">
      <alignment horizontal="center" vertical="center"/>
    </xf>
    <xf numFmtId="0" fontId="0" fillId="28" borderId="81" xfId="0" applyFont="1" applyFill="1" applyBorder="1" applyAlignment="1">
      <alignment horizontal="center"/>
    </xf>
    <xf numFmtId="0" fontId="0" fillId="23" borderId="81" xfId="0" applyFont="1" applyFill="1" applyBorder="1" applyAlignment="1">
      <alignment horizontal="center"/>
    </xf>
    <xf numFmtId="0" fontId="0" fillId="34" borderId="81" xfId="0" applyFont="1" applyFill="1" applyBorder="1" applyAlignment="1">
      <alignment horizontal="center"/>
    </xf>
    <xf numFmtId="0" fontId="0" fillId="19" borderId="81" xfId="0" applyFont="1" applyFill="1" applyBorder="1" applyAlignment="1">
      <alignment horizontal="center"/>
    </xf>
    <xf numFmtId="0" fontId="0" fillId="35" borderId="81" xfId="0" applyFont="1" applyFill="1" applyBorder="1" applyAlignment="1">
      <alignment horizontal="center"/>
    </xf>
    <xf numFmtId="164" fontId="36" fillId="2" borderId="84" xfId="0" applyNumberFormat="1" applyFont="1" applyFill="1" applyBorder="1" applyAlignment="1" applyProtection="1">
      <alignment horizontal="center" vertical="center"/>
    </xf>
    <xf numFmtId="164" fontId="38" fillId="0" borderId="84" xfId="8" applyNumberFormat="1" applyFont="1" applyFill="1" applyBorder="1" applyProtection="1">
      <alignment horizontal="center" vertical="center"/>
    </xf>
    <xf numFmtId="164" fontId="37" fillId="0" borderId="85" xfId="7" applyNumberFormat="1" applyFont="1" applyFill="1" applyBorder="1" applyProtection="1">
      <alignment horizontal="center" vertical="center"/>
    </xf>
    <xf numFmtId="164" fontId="37" fillId="0" borderId="86" xfId="7" applyNumberFormat="1" applyFont="1" applyFill="1" applyBorder="1" applyProtection="1">
      <alignment horizontal="center" vertical="center"/>
    </xf>
    <xf numFmtId="164" fontId="37" fillId="0" borderId="87" xfId="7" applyNumberFormat="1" applyFont="1" applyFill="1" applyBorder="1" applyProtection="1">
      <alignment horizontal="center" vertical="center"/>
    </xf>
    <xf numFmtId="164" fontId="37" fillId="0" borderId="88" xfId="7" applyNumberFormat="1" applyFont="1" applyFill="1" applyBorder="1" applyProtection="1">
      <alignment horizontal="center" vertical="center"/>
    </xf>
    <xf numFmtId="164" fontId="37" fillId="0" borderId="89" xfId="7" applyNumberFormat="1" applyFont="1" applyFill="1" applyBorder="1" applyProtection="1">
      <alignment horizontal="center" vertical="center"/>
    </xf>
    <xf numFmtId="0" fontId="0" fillId="0" borderId="48" xfId="0" applyBorder="1"/>
    <xf numFmtId="2" fontId="0" fillId="0" borderId="0" xfId="0" applyNumberFormat="1" applyFont="1" applyFill="1" applyBorder="1" applyAlignment="1" applyProtection="1">
      <alignment horizontal="center" vertical="center"/>
      <protection locked="0"/>
    </xf>
    <xf numFmtId="164" fontId="38" fillId="0" borderId="23" xfId="8" applyNumberFormat="1" applyFont="1" applyFill="1" applyBorder="1" applyProtection="1">
      <alignment horizontal="center" vertical="center"/>
    </xf>
    <xf numFmtId="0" fontId="50" fillId="0" borderId="0" xfId="0" applyFont="1" applyAlignment="1">
      <alignment horizontal="center"/>
    </xf>
    <xf numFmtId="0" fontId="5" fillId="7" borderId="90" xfId="0" applyFont="1" applyFill="1" applyBorder="1"/>
    <xf numFmtId="164" fontId="51" fillId="0" borderId="0" xfId="0" applyNumberFormat="1" applyFont="1" applyFill="1" applyAlignment="1" applyProtection="1">
      <alignment horizontal="center" vertical="center"/>
      <protection locked="0"/>
    </xf>
    <xf numFmtId="0" fontId="52" fillId="0" borderId="0" xfId="0" applyFont="1" applyFill="1" applyBorder="1" applyAlignment="1">
      <alignment horizontal="center" vertical="center"/>
    </xf>
    <xf numFmtId="164" fontId="52" fillId="0" borderId="0" xfId="0" applyNumberFormat="1" applyFont="1" applyFill="1" applyBorder="1" applyAlignment="1">
      <alignment horizontal="center" vertical="center"/>
    </xf>
    <xf numFmtId="164" fontId="52" fillId="0" borderId="55" xfId="0" applyNumberFormat="1" applyFont="1" applyFill="1" applyBorder="1" applyAlignment="1">
      <alignment horizontal="center" vertical="center"/>
    </xf>
    <xf numFmtId="2" fontId="0" fillId="0" borderId="14" xfId="0" applyNumberFormat="1" applyFont="1" applyFill="1" applyBorder="1" applyAlignment="1" applyProtection="1">
      <alignment horizontal="center" vertical="center"/>
      <protection locked="0"/>
    </xf>
    <xf numFmtId="2" fontId="0" fillId="0" borderId="91" xfId="0" applyNumberFormat="1" applyFont="1" applyFill="1" applyBorder="1" applyAlignment="1" applyProtection="1">
      <alignment horizontal="center" vertical="center"/>
      <protection locked="0"/>
    </xf>
    <xf numFmtId="164" fontId="51" fillId="0" borderId="0" xfId="0" applyNumberFormat="1" applyFont="1" applyFill="1" applyAlignment="1">
      <alignment horizontal="center"/>
    </xf>
    <xf numFmtId="0" fontId="5" fillId="7" borderId="92" xfId="0" applyFont="1" applyFill="1" applyBorder="1"/>
    <xf numFmtId="0" fontId="5" fillId="7" borderId="49" xfId="0" applyFont="1" applyFill="1" applyBorder="1"/>
    <xf numFmtId="164" fontId="51" fillId="0" borderId="22" xfId="0" applyNumberFormat="1" applyFont="1" applyFill="1" applyBorder="1" applyAlignment="1">
      <alignment horizontal="center"/>
    </xf>
    <xf numFmtId="0" fontId="0" fillId="0" borderId="93" xfId="0" applyBorder="1"/>
    <xf numFmtId="0" fontId="0" fillId="0" borderId="18" xfId="0" applyBorder="1"/>
    <xf numFmtId="0" fontId="0" fillId="0" borderId="94" xfId="0" applyBorder="1"/>
    <xf numFmtId="0" fontId="0" fillId="0" borderId="16" xfId="0" applyBorder="1"/>
    <xf numFmtId="0" fontId="0" fillId="0" borderId="95" xfId="0" applyBorder="1"/>
    <xf numFmtId="0" fontId="0" fillId="0" borderId="17" xfId="0" applyBorder="1"/>
    <xf numFmtId="164" fontId="51" fillId="0" borderId="0" xfId="0" applyNumberFormat="1" applyFont="1" applyFill="1" applyBorder="1" applyAlignment="1">
      <alignment horizontal="center"/>
    </xf>
    <xf numFmtId="0" fontId="0" fillId="0" borderId="68" xfId="0" applyBorder="1"/>
    <xf numFmtId="0" fontId="0" fillId="0" borderId="57" xfId="0" applyBorder="1"/>
    <xf numFmtId="0" fontId="0" fillId="0" borderId="37" xfId="0" applyBorder="1"/>
    <xf numFmtId="164" fontId="0" fillId="0" borderId="7" xfId="0" applyNumberFormat="1" applyFont="1" applyFill="1" applyBorder="1" applyAlignment="1">
      <alignment horizontal="center" vertical="center"/>
    </xf>
    <xf numFmtId="0" fontId="5" fillId="7" borderId="102" xfId="0" applyFont="1" applyFill="1" applyBorder="1"/>
    <xf numFmtId="0" fontId="0" fillId="0" borderId="49" xfId="0" applyBorder="1"/>
    <xf numFmtId="164" fontId="0" fillId="2" borderId="0" xfId="0" applyNumberFormat="1" applyFont="1" applyFill="1" applyBorder="1" applyAlignment="1">
      <alignment horizontal="center"/>
    </xf>
    <xf numFmtId="164" fontId="0" fillId="2" borderId="22" xfId="0" applyNumberFormat="1" applyFont="1" applyFill="1" applyBorder="1" applyAlignment="1">
      <alignment horizontal="center"/>
    </xf>
    <xf numFmtId="164" fontId="51" fillId="0" borderId="55" xfId="0" applyNumberFormat="1" applyFont="1" applyFill="1" applyBorder="1" applyAlignment="1">
      <alignment horizontal="center"/>
    </xf>
    <xf numFmtId="164" fontId="51" fillId="0" borderId="62" xfId="0" applyNumberFormat="1" applyFont="1" applyFill="1" applyBorder="1" applyAlignment="1">
      <alignment horizontal="center"/>
    </xf>
    <xf numFmtId="164" fontId="0" fillId="0" borderId="90" xfId="0" applyNumberFormat="1" applyFont="1" applyFill="1" applyBorder="1" applyAlignment="1">
      <alignment horizontal="center"/>
    </xf>
    <xf numFmtId="164" fontId="0" fillId="0" borderId="49" xfId="0" applyNumberFormat="1" applyFont="1" applyFill="1" applyBorder="1" applyAlignment="1">
      <alignment horizontal="center"/>
    </xf>
    <xf numFmtId="0" fontId="0" fillId="38" borderId="20" xfId="0" applyFont="1" applyFill="1" applyBorder="1" applyAlignment="1">
      <alignment horizontal="center" shrinkToFit="1"/>
    </xf>
    <xf numFmtId="0" fontId="3" fillId="0" borderId="0" xfId="0" applyFont="1" applyBorder="1"/>
    <xf numFmtId="164" fontId="0" fillId="2" borderId="105" xfId="0" applyNumberFormat="1" applyFont="1" applyFill="1" applyBorder="1" applyAlignment="1">
      <alignment horizontal="center"/>
    </xf>
    <xf numFmtId="164" fontId="0" fillId="0" borderId="106" xfId="0" applyNumberFormat="1" applyFont="1" applyFill="1" applyBorder="1" applyAlignment="1">
      <alignment horizontal="center"/>
    </xf>
    <xf numFmtId="164" fontId="0" fillId="0" borderId="103" xfId="0" applyNumberFormat="1" applyFont="1" applyFill="1" applyBorder="1" applyAlignment="1">
      <alignment horizontal="center"/>
    </xf>
    <xf numFmtId="164" fontId="0" fillId="2" borderId="104" xfId="0" applyNumberFormat="1" applyFont="1" applyFill="1" applyBorder="1" applyAlignment="1">
      <alignment horizontal="center"/>
    </xf>
    <xf numFmtId="164" fontId="51" fillId="0" borderId="14" xfId="0" applyNumberFormat="1" applyFont="1" applyFill="1" applyBorder="1" applyAlignment="1" applyProtection="1">
      <alignment horizontal="center" vertical="center"/>
      <protection locked="0"/>
    </xf>
    <xf numFmtId="164" fontId="51" fillId="0" borderId="30" xfId="0" applyNumberFormat="1" applyFont="1" applyFill="1" applyBorder="1" applyAlignment="1">
      <alignment horizontal="center"/>
    </xf>
    <xf numFmtId="164" fontId="0" fillId="0" borderId="14" xfId="0" applyNumberFormat="1" applyFont="1" applyFill="1" applyBorder="1" applyAlignment="1" applyProtection="1">
      <alignment horizontal="center" vertical="center"/>
      <protection locked="0"/>
    </xf>
    <xf numFmtId="0" fontId="0" fillId="0" borderId="0" xfId="0" applyAlignment="1">
      <alignment horizontal="center"/>
    </xf>
    <xf numFmtId="0" fontId="0" fillId="0" borderId="0" xfId="0" applyAlignment="1">
      <alignment horizontal="center"/>
    </xf>
    <xf numFmtId="164" fontId="51" fillId="0" borderId="0" xfId="0" applyNumberFormat="1" applyFont="1" applyFill="1" applyBorder="1" applyAlignment="1">
      <alignment horizontal="center" vertical="center"/>
    </xf>
    <xf numFmtId="0" fontId="0" fillId="0" borderId="0" xfId="0" applyAlignment="1">
      <alignment horizontal="center"/>
    </xf>
    <xf numFmtId="0" fontId="13" fillId="7" borderId="0" xfId="0" applyFont="1" applyFill="1" applyBorder="1" applyAlignment="1" applyProtection="1">
      <alignment horizontal="center" vertical="center"/>
    </xf>
    <xf numFmtId="0" fontId="3" fillId="22" borderId="0" xfId="0" applyFont="1" applyFill="1" applyAlignment="1">
      <alignment horizontal="center"/>
    </xf>
    <xf numFmtId="0" fontId="3" fillId="0" borderId="0" xfId="0" applyFont="1" applyAlignment="1"/>
    <xf numFmtId="0" fontId="0" fillId="0" borderId="0" xfId="0" applyAlignment="1"/>
    <xf numFmtId="0" fontId="0" fillId="45" borderId="81" xfId="0" applyFont="1" applyFill="1" applyBorder="1" applyAlignment="1">
      <alignment horizontal="center"/>
    </xf>
    <xf numFmtId="0" fontId="0" fillId="0" borderId="0" xfId="0" applyAlignment="1">
      <alignment horizontal="center"/>
    </xf>
    <xf numFmtId="0" fontId="0" fillId="0" borderId="48" xfId="0" applyNumberFormat="1" applyBorder="1"/>
    <xf numFmtId="164" fontId="0" fillId="0" borderId="48" xfId="0" applyNumberFormat="1" applyFont="1" applyFill="1" applyBorder="1" applyAlignment="1" applyProtection="1">
      <alignment horizontal="center" vertical="center"/>
      <protection locked="0"/>
    </xf>
    <xf numFmtId="164" fontId="51" fillId="0" borderId="18" xfId="0" applyNumberFormat="1" applyFont="1" applyFill="1" applyBorder="1" applyAlignment="1">
      <alignment horizontal="center"/>
    </xf>
    <xf numFmtId="164" fontId="51" fillId="0" borderId="33" xfId="0" applyNumberFormat="1" applyFont="1" applyFill="1" applyBorder="1" applyAlignment="1">
      <alignment horizontal="center"/>
    </xf>
    <xf numFmtId="0" fontId="13" fillId="7" borderId="0" xfId="0" applyFont="1" applyFill="1" applyBorder="1" applyAlignment="1" applyProtection="1">
      <alignment horizontal="center" vertical="center"/>
    </xf>
    <xf numFmtId="0" fontId="3" fillId="46" borderId="0" xfId="0" applyFont="1" applyFill="1" applyAlignment="1">
      <alignment horizontal="center"/>
    </xf>
    <xf numFmtId="0" fontId="3" fillId="0" borderId="0" xfId="0" applyFont="1" applyAlignment="1">
      <alignment horizontal="center"/>
    </xf>
    <xf numFmtId="0" fontId="0" fillId="46" borderId="0" xfId="0" applyFont="1" applyFill="1" applyBorder="1" applyAlignment="1">
      <alignment horizontal="center"/>
    </xf>
    <xf numFmtId="0" fontId="0" fillId="46" borderId="81" xfId="0" applyFont="1" applyFill="1" applyBorder="1" applyAlignment="1">
      <alignment horizontal="center"/>
    </xf>
    <xf numFmtId="0" fontId="0" fillId="46" borderId="0" xfId="0" applyFont="1" applyFill="1" applyBorder="1" applyAlignment="1">
      <alignment horizontal="center" shrinkToFit="1"/>
    </xf>
    <xf numFmtId="0" fontId="49" fillId="0" borderId="0" xfId="0" applyFont="1" applyFill="1" applyAlignment="1">
      <alignment horizontal="center"/>
    </xf>
    <xf numFmtId="0" fontId="47" fillId="0" borderId="0" xfId="0" applyFont="1" applyFill="1" applyAlignment="1">
      <alignment horizontal="left"/>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Fill="1" applyAlignment="1">
      <alignment horizontal="center"/>
    </xf>
    <xf numFmtId="0" fontId="25" fillId="0" borderId="0" xfId="0" applyFont="1" applyFill="1"/>
    <xf numFmtId="0" fontId="11" fillId="0" borderId="0" xfId="0" applyFont="1" applyFill="1" applyAlignment="1">
      <alignment horizontal="center" vertical="center"/>
    </xf>
    <xf numFmtId="0" fontId="48" fillId="0" borderId="0" xfId="0" applyFont="1" applyFill="1" applyAlignment="1">
      <alignment horizontal="center" vertical="center"/>
    </xf>
    <xf numFmtId="0" fontId="25" fillId="0" borderId="0" xfId="0" applyFont="1" applyFill="1" applyBorder="1" applyAlignment="1">
      <alignment horizontal="center" shrinkToFit="1"/>
    </xf>
    <xf numFmtId="0" fontId="3" fillId="0" borderId="0" xfId="0" applyFont="1" applyFill="1" applyAlignment="1">
      <alignment horizontal="center"/>
    </xf>
    <xf numFmtId="0" fontId="0" fillId="47" borderId="0" xfId="0" applyFont="1" applyFill="1" applyBorder="1" applyAlignment="1">
      <alignment horizontal="center"/>
    </xf>
    <xf numFmtId="164" fontId="51" fillId="0" borderId="16" xfId="0" applyNumberFormat="1" applyFont="1" applyFill="1" applyBorder="1" applyAlignment="1">
      <alignment horizontal="center"/>
    </xf>
    <xf numFmtId="164" fontId="0" fillId="0" borderId="41" xfId="0" applyNumberFormat="1" applyFont="1" applyFill="1" applyBorder="1" applyAlignment="1">
      <alignment horizontal="center"/>
    </xf>
    <xf numFmtId="164" fontId="51" fillId="0" borderId="40" xfId="0" applyNumberFormat="1" applyFont="1"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0" fillId="0" borderId="0" xfId="0" applyAlignment="1"/>
    <xf numFmtId="0" fontId="15" fillId="7" borderId="5" xfId="0" applyFont="1" applyFill="1" applyBorder="1" applyAlignment="1">
      <alignment horizontal="center"/>
    </xf>
    <xf numFmtId="0" fontId="3" fillId="0" borderId="0" xfId="0" applyFont="1" applyAlignment="1">
      <alignment horizontal="center"/>
    </xf>
    <xf numFmtId="0" fontId="53" fillId="7" borderId="49" xfId="0" applyFont="1" applyFill="1" applyBorder="1" applyAlignment="1">
      <alignment horizontal="center"/>
    </xf>
    <xf numFmtId="0" fontId="51" fillId="0" borderId="0" xfId="0" applyFont="1" applyFill="1" applyBorder="1" applyProtection="1">
      <protection locked="0"/>
    </xf>
    <xf numFmtId="164" fontId="0" fillId="0" borderId="0" xfId="0" applyNumberFormat="1"/>
    <xf numFmtId="164" fontId="51" fillId="0" borderId="0" xfId="0" applyNumberFormat="1" applyFont="1" applyFill="1" applyBorder="1" applyAlignment="1" applyProtection="1">
      <alignment horizontal="center" vertical="center"/>
      <protection locked="0"/>
    </xf>
    <xf numFmtId="0" fontId="0" fillId="0" borderId="22" xfId="0" applyNumberFormat="1" applyBorder="1" applyAlignment="1">
      <alignment horizontal="left"/>
    </xf>
    <xf numFmtId="164" fontId="0" fillId="0" borderId="64" xfId="0" applyNumberFormat="1" applyFont="1" applyFill="1" applyBorder="1" applyAlignment="1">
      <alignment horizontal="center"/>
    </xf>
    <xf numFmtId="0" fontId="3" fillId="0" borderId="0" xfId="0" applyFont="1" applyAlignment="1">
      <alignment horizontal="center"/>
    </xf>
    <xf numFmtId="0" fontId="0" fillId="0" borderId="0" xfId="0" applyAlignment="1"/>
    <xf numFmtId="0" fontId="0" fillId="0" borderId="0" xfId="0" applyAlignment="1">
      <alignment horizontal="center"/>
    </xf>
    <xf numFmtId="164" fontId="37" fillId="0" borderId="76" xfId="7" applyNumberFormat="1" applyFont="1" applyFill="1" applyBorder="1" applyAlignment="1" applyProtection="1">
      <alignment horizontal="center" vertical="center"/>
    </xf>
    <xf numFmtId="164" fontId="37" fillId="0" borderId="78" xfId="7" applyNumberFormat="1" applyFont="1" applyFill="1" applyBorder="1" applyAlignment="1" applyProtection="1">
      <alignment horizontal="center" vertical="center"/>
    </xf>
    <xf numFmtId="0" fontId="14" fillId="7" borderId="4" xfId="0" applyFont="1" applyFill="1" applyBorder="1" applyAlignment="1">
      <alignment horizontal="center"/>
    </xf>
    <xf numFmtId="0" fontId="14" fillId="7" borderId="5" xfId="0" applyFont="1" applyFill="1" applyBorder="1" applyAlignment="1">
      <alignment horizontal="center"/>
    </xf>
    <xf numFmtId="0" fontId="0" fillId="0" borderId="20" xfId="0" applyFont="1" applyFill="1" applyBorder="1" applyAlignment="1">
      <alignment horizontal="center" vertical="center"/>
    </xf>
    <xf numFmtId="0" fontId="53" fillId="7" borderId="24" xfId="0" applyFont="1" applyFill="1" applyBorder="1" applyAlignment="1">
      <alignment horizontal="center"/>
    </xf>
    <xf numFmtId="0" fontId="53" fillId="7" borderId="25" xfId="0" applyFont="1" applyFill="1" applyBorder="1" applyAlignment="1">
      <alignment horizontal="center"/>
    </xf>
    <xf numFmtId="0" fontId="20" fillId="0" borderId="0" xfId="0" applyFont="1" applyFill="1"/>
    <xf numFmtId="0" fontId="47" fillId="0" borderId="0" xfId="0" applyFont="1" applyFill="1" applyAlignment="1">
      <alignment horizontal="center"/>
    </xf>
    <xf numFmtId="0" fontId="0" fillId="49" borderId="0" xfId="0" applyFont="1" applyFill="1" applyBorder="1" applyAlignment="1">
      <alignment horizontal="center"/>
    </xf>
    <xf numFmtId="164" fontId="44" fillId="0" borderId="55" xfId="0" applyNumberFormat="1" applyFont="1" applyFill="1" applyBorder="1" applyAlignment="1">
      <alignment horizontal="center" vertical="center"/>
    </xf>
    <xf numFmtId="0" fontId="0" fillId="0" borderId="33" xfId="0" applyBorder="1"/>
    <xf numFmtId="0" fontId="0" fillId="48" borderId="0" xfId="0" applyFont="1" applyFill="1" applyBorder="1" applyAlignment="1">
      <alignment horizontal="center"/>
    </xf>
    <xf numFmtId="0" fontId="44" fillId="0" borderId="55" xfId="0" applyFont="1" applyFill="1" applyBorder="1" applyAlignment="1">
      <alignment horizontal="center" vertical="center"/>
    </xf>
    <xf numFmtId="0" fontId="14" fillId="7" borderId="27" xfId="0" applyFont="1" applyFill="1" applyBorder="1" applyAlignment="1">
      <alignment horizontal="center"/>
    </xf>
    <xf numFmtId="0" fontId="3" fillId="0" borderId="0" xfId="0" applyFont="1" applyFill="1" applyAlignment="1"/>
    <xf numFmtId="0" fontId="0" fillId="0" borderId="0" xfId="0" applyFill="1" applyAlignment="1"/>
    <xf numFmtId="0" fontId="3" fillId="50" borderId="0" xfId="0" applyFont="1" applyFill="1" applyAlignment="1">
      <alignment horizontal="center"/>
    </xf>
    <xf numFmtId="0" fontId="0" fillId="50" borderId="0" xfId="0" applyFont="1" applyFill="1" applyBorder="1" applyAlignment="1">
      <alignment horizontal="center"/>
    </xf>
    <xf numFmtId="0" fontId="0" fillId="50" borderId="81" xfId="0" applyFont="1" applyFill="1" applyBorder="1" applyAlignment="1">
      <alignment horizontal="center"/>
    </xf>
    <xf numFmtId="164" fontId="37" fillId="0" borderId="109" xfId="7" applyNumberFormat="1" applyFont="1" applyFill="1" applyBorder="1" applyAlignment="1" applyProtection="1">
      <alignment horizontal="center" vertical="center"/>
    </xf>
    <xf numFmtId="164" fontId="37" fillId="0" borderId="110" xfId="7" applyNumberFormat="1" applyFont="1" applyFill="1" applyBorder="1" applyAlignment="1" applyProtection="1">
      <alignment horizontal="center" vertical="center"/>
    </xf>
    <xf numFmtId="0" fontId="0" fillId="23" borderId="0" xfId="0" applyFont="1" applyFill="1" applyBorder="1" applyAlignment="1">
      <alignment horizontal="center" vertical="center"/>
    </xf>
    <xf numFmtId="0" fontId="0" fillId="23" borderId="22" xfId="0" applyFont="1" applyFill="1" applyBorder="1" applyAlignment="1">
      <alignment horizontal="center" vertical="center"/>
    </xf>
    <xf numFmtId="164" fontId="0" fillId="0" borderId="60" xfId="0" applyNumberFormat="1" applyFont="1" applyFill="1" applyBorder="1" applyAlignment="1" applyProtection="1">
      <alignment horizontal="center" vertical="center"/>
      <protection locked="0"/>
    </xf>
    <xf numFmtId="0" fontId="15" fillId="7" borderId="5" xfId="0" applyFont="1" applyFill="1" applyBorder="1" applyAlignment="1">
      <alignment horizontal="center"/>
    </xf>
    <xf numFmtId="0" fontId="15" fillId="7" borderId="5" xfId="0" applyFont="1" applyFill="1" applyBorder="1" applyAlignment="1">
      <alignment horizontal="center"/>
    </xf>
    <xf numFmtId="164" fontId="0" fillId="0" borderId="51" xfId="0" applyNumberFormat="1" applyFont="1" applyFill="1" applyBorder="1" applyAlignment="1">
      <alignment horizontal="center" vertical="center"/>
    </xf>
    <xf numFmtId="0" fontId="0" fillId="2" borderId="7" xfId="0" applyFont="1" applyFill="1" applyBorder="1"/>
    <xf numFmtId="0" fontId="0" fillId="0" borderId="7" xfId="0" applyFont="1" applyFill="1" applyBorder="1"/>
    <xf numFmtId="0" fontId="0" fillId="2" borderId="19" xfId="0" applyFont="1" applyFill="1" applyBorder="1" applyAlignment="1">
      <alignment vertical="center"/>
    </xf>
    <xf numFmtId="0" fontId="0" fillId="51" borderId="0" xfId="0" applyFont="1" applyFill="1" applyBorder="1" applyAlignment="1">
      <alignment horizontal="center"/>
    </xf>
    <xf numFmtId="0" fontId="0" fillId="52" borderId="0" xfId="0" applyFont="1" applyFill="1" applyBorder="1" applyAlignment="1">
      <alignment horizontal="center"/>
    </xf>
    <xf numFmtId="0" fontId="0" fillId="2" borderId="13" xfId="0" applyFont="1" applyFill="1" applyBorder="1"/>
    <xf numFmtId="0" fontId="0" fillId="0" borderId="11" xfId="0" applyFont="1" applyFill="1" applyBorder="1"/>
    <xf numFmtId="0" fontId="0" fillId="0" borderId="111" xfId="0" applyFont="1" applyFill="1" applyBorder="1"/>
    <xf numFmtId="0" fontId="0" fillId="0" borderId="23" xfId="0" applyFont="1" applyFill="1" applyBorder="1"/>
    <xf numFmtId="0" fontId="0" fillId="2" borderId="23" xfId="0" applyFont="1" applyFill="1" applyBorder="1"/>
    <xf numFmtId="0" fontId="15" fillId="7" borderId="5" xfId="0" applyFont="1" applyFill="1" applyBorder="1" applyAlignment="1">
      <alignment horizontal="center"/>
    </xf>
    <xf numFmtId="0" fontId="13" fillId="7" borderId="0" xfId="0" applyFont="1" applyFill="1" applyBorder="1" applyAlignment="1" applyProtection="1">
      <alignment horizontal="center" vertical="center"/>
    </xf>
    <xf numFmtId="0" fontId="0" fillId="13" borderId="0" xfId="0" applyFill="1"/>
    <xf numFmtId="0" fontId="3" fillId="54" borderId="0" xfId="0" applyFont="1" applyFill="1" applyAlignment="1">
      <alignment horizontal="center"/>
    </xf>
    <xf numFmtId="0" fontId="0" fillId="54" borderId="0" xfId="0" applyFont="1" applyFill="1" applyBorder="1" applyAlignment="1">
      <alignment horizontal="center" shrinkToFit="1"/>
    </xf>
    <xf numFmtId="0" fontId="0" fillId="54" borderId="0" xfId="0" applyFont="1" applyFill="1" applyBorder="1" applyAlignment="1">
      <alignment horizontal="center"/>
    </xf>
    <xf numFmtId="0" fontId="0" fillId="55" borderId="0" xfId="0" applyFont="1" applyFill="1" applyBorder="1" applyAlignment="1">
      <alignment horizontal="center"/>
    </xf>
    <xf numFmtId="0" fontId="0" fillId="56" borderId="0" xfId="0" applyFont="1" applyFill="1" applyBorder="1" applyAlignment="1">
      <alignment horizontal="center"/>
    </xf>
    <xf numFmtId="0" fontId="0" fillId="57" borderId="0" xfId="0" applyFont="1" applyFill="1" applyBorder="1" applyAlignment="1">
      <alignment horizontal="center"/>
    </xf>
    <xf numFmtId="0" fontId="0" fillId="53" borderId="0" xfId="0" applyFont="1" applyFill="1" applyBorder="1" applyAlignment="1">
      <alignment horizontal="center"/>
    </xf>
    <xf numFmtId="0" fontId="0" fillId="53" borderId="81" xfId="0" applyFont="1" applyFill="1" applyBorder="1" applyAlignment="1">
      <alignment horizontal="center"/>
    </xf>
    <xf numFmtId="164" fontId="0" fillId="0" borderId="112" xfId="0" applyNumberFormat="1" applyFont="1" applyFill="1" applyBorder="1" applyAlignment="1">
      <alignment horizontal="center" vertical="center"/>
    </xf>
    <xf numFmtId="164" fontId="0" fillId="2" borderId="8" xfId="0" applyNumberFormat="1" applyFont="1" applyFill="1" applyBorder="1" applyAlignment="1">
      <alignment horizontal="center"/>
    </xf>
    <xf numFmtId="164" fontId="0" fillId="0" borderId="8" xfId="0" applyNumberFormat="1" applyFont="1" applyFill="1" applyBorder="1" applyAlignment="1">
      <alignment horizontal="center"/>
    </xf>
    <xf numFmtId="164" fontId="0" fillId="0" borderId="113" xfId="0" applyNumberFormat="1" applyFont="1" applyFill="1" applyBorder="1" applyAlignment="1">
      <alignment horizontal="center"/>
    </xf>
    <xf numFmtId="164" fontId="52" fillId="0" borderId="62" xfId="0" applyNumberFormat="1" applyFont="1" applyFill="1" applyBorder="1" applyAlignment="1">
      <alignment horizontal="center" vertical="center"/>
    </xf>
    <xf numFmtId="164" fontId="0" fillId="0" borderId="55" xfId="0" applyNumberFormat="1" applyFont="1" applyFill="1" applyBorder="1" applyAlignment="1">
      <alignment horizontal="center"/>
    </xf>
    <xf numFmtId="164" fontId="0" fillId="0" borderId="0" xfId="0" applyNumberFormat="1" applyFont="1" applyFill="1" applyAlignment="1">
      <alignment horizontal="center" vertical="center"/>
    </xf>
    <xf numFmtId="164" fontId="3" fillId="0" borderId="0" xfId="0" applyNumberFormat="1" applyFont="1" applyFill="1" applyAlignment="1">
      <alignment horizontal="center"/>
    </xf>
    <xf numFmtId="0" fontId="5" fillId="13" borderId="0" xfId="0" applyFont="1" applyFill="1" applyAlignment="1">
      <alignment vertical="center"/>
    </xf>
    <xf numFmtId="164" fontId="51" fillId="0" borderId="0" xfId="0" applyNumberFormat="1" applyFont="1" applyFill="1" applyAlignment="1">
      <alignment horizontal="center" vertical="center"/>
    </xf>
    <xf numFmtId="164" fontId="51" fillId="0" borderId="22" xfId="0" applyNumberFormat="1" applyFont="1" applyFill="1" applyBorder="1" applyAlignment="1">
      <alignment horizontal="center" vertical="center"/>
    </xf>
    <xf numFmtId="164" fontId="51" fillId="0" borderId="18" xfId="0" applyNumberFormat="1" applyFont="1" applyFill="1" applyBorder="1" applyAlignment="1">
      <alignment horizontal="center" vertical="center"/>
    </xf>
    <xf numFmtId="164" fontId="51" fillId="0" borderId="43" xfId="0" applyNumberFormat="1" applyFont="1" applyFill="1" applyBorder="1" applyAlignment="1">
      <alignment horizontal="center" vertical="center"/>
    </xf>
    <xf numFmtId="164" fontId="0" fillId="0" borderId="0" xfId="0" applyNumberFormat="1" applyFill="1" applyAlignment="1">
      <alignment horizontal="center" vertical="center"/>
    </xf>
    <xf numFmtId="164" fontId="0" fillId="0" borderId="0" xfId="0" applyNumberFormat="1" applyFill="1" applyBorder="1" applyAlignment="1">
      <alignment horizontal="center" vertical="center"/>
    </xf>
    <xf numFmtId="164" fontId="51" fillId="0" borderId="22" xfId="0" applyNumberFormat="1" applyFont="1" applyFill="1" applyBorder="1" applyAlignment="1" applyProtection="1">
      <alignment horizontal="center" vertical="center"/>
      <protection locked="0"/>
    </xf>
    <xf numFmtId="164" fontId="51" fillId="0" borderId="114" xfId="0" applyNumberFormat="1" applyFont="1" applyFill="1" applyBorder="1" applyAlignment="1">
      <alignment horizontal="center" vertical="center"/>
    </xf>
    <xf numFmtId="164" fontId="0" fillId="0" borderId="114" xfId="0" applyNumberFormat="1" applyFont="1" applyFill="1" applyBorder="1" applyAlignment="1">
      <alignment horizontal="center" vertical="center"/>
    </xf>
    <xf numFmtId="0" fontId="0" fillId="0" borderId="0" xfId="0" applyBorder="1" applyAlignment="1">
      <alignment horizontal="center"/>
    </xf>
    <xf numFmtId="0" fontId="25" fillId="58" borderId="0" xfId="0" applyFont="1" applyFill="1"/>
    <xf numFmtId="0" fontId="3" fillId="59" borderId="0" xfId="0" applyFont="1" applyFill="1" applyAlignment="1">
      <alignment horizontal="center"/>
    </xf>
    <xf numFmtId="0" fontId="16" fillId="59" borderId="0" xfId="0" applyFont="1" applyFill="1" applyAlignment="1">
      <alignment vertical="center"/>
    </xf>
    <xf numFmtId="0" fontId="0" fillId="31" borderId="0" xfId="0" applyFont="1" applyFill="1" applyBorder="1" applyAlignment="1">
      <alignment horizontal="center" shrinkToFit="1"/>
    </xf>
    <xf numFmtId="0" fontId="0" fillId="31" borderId="22" xfId="0" applyFont="1" applyFill="1" applyBorder="1" applyAlignment="1">
      <alignment horizontal="center" shrinkToFit="1"/>
    </xf>
    <xf numFmtId="164" fontId="51" fillId="0" borderId="115" xfId="0" applyNumberFormat="1" applyFont="1" applyFill="1" applyBorder="1" applyAlignment="1">
      <alignment horizontal="center"/>
    </xf>
    <xf numFmtId="0" fontId="0" fillId="38" borderId="116" xfId="0" applyFont="1" applyFill="1" applyBorder="1" applyAlignment="1">
      <alignment horizontal="center" shrinkToFit="1"/>
    </xf>
    <xf numFmtId="0" fontId="0" fillId="7" borderId="0" xfId="0" applyFill="1" applyBorder="1" applyProtection="1"/>
    <xf numFmtId="0" fontId="0" fillId="0" borderId="0" xfId="0" applyAlignment="1">
      <alignment horizontal="center"/>
    </xf>
    <xf numFmtId="164" fontId="51" fillId="0" borderId="44" xfId="0" applyNumberFormat="1" applyFont="1" applyFill="1" applyBorder="1" applyAlignment="1">
      <alignment horizontal="center" vertical="center"/>
    </xf>
    <xf numFmtId="0" fontId="13" fillId="7" borderId="0" xfId="0" applyFont="1" applyFill="1" applyBorder="1" applyAlignment="1" applyProtection="1">
      <alignment horizontal="center" vertical="center"/>
    </xf>
    <xf numFmtId="0" fontId="0" fillId="0" borderId="0" xfId="0" applyAlignment="1">
      <alignment horizontal="center"/>
    </xf>
    <xf numFmtId="0" fontId="13" fillId="7" borderId="0" xfId="0" applyFont="1" applyFill="1" applyBorder="1" applyAlignment="1" applyProtection="1">
      <alignment horizontal="center" vertical="center"/>
    </xf>
    <xf numFmtId="0" fontId="11" fillId="60" borderId="0" xfId="0" applyFont="1" applyFill="1" applyAlignment="1">
      <alignment horizontal="center" vertical="center"/>
    </xf>
    <xf numFmtId="0" fontId="0" fillId="60" borderId="0" xfId="0" applyFont="1" applyFill="1" applyBorder="1" applyAlignment="1">
      <alignment horizontal="center"/>
    </xf>
    <xf numFmtId="0" fontId="0" fillId="60" borderId="81" xfId="0" applyFont="1" applyFill="1" applyBorder="1" applyAlignment="1">
      <alignment horizontal="center"/>
    </xf>
    <xf numFmtId="0" fontId="0" fillId="0" borderId="0" xfId="0" applyAlignment="1">
      <alignment horizontal="center"/>
    </xf>
    <xf numFmtId="164" fontId="51" fillId="0" borderId="15" xfId="0" applyNumberFormat="1" applyFont="1" applyFill="1" applyBorder="1" applyAlignment="1">
      <alignment horizontal="center" vertical="center"/>
    </xf>
    <xf numFmtId="164" fontId="51" fillId="0" borderId="47" xfId="0" applyNumberFormat="1" applyFont="1" applyFill="1" applyBorder="1" applyAlignment="1">
      <alignment horizontal="center" vertical="center"/>
    </xf>
    <xf numFmtId="164" fontId="51" fillId="0" borderId="42" xfId="0" applyNumberFormat="1" applyFont="1" applyFill="1" applyBorder="1" applyAlignment="1">
      <alignment horizontal="center" vertical="center"/>
    </xf>
    <xf numFmtId="0" fontId="11" fillId="14" borderId="0" xfId="0" applyFont="1" applyFill="1" applyAlignment="1">
      <alignment horizontal="center" vertical="center"/>
    </xf>
    <xf numFmtId="0" fontId="0" fillId="60" borderId="0" xfId="0" applyFont="1" applyFill="1" applyBorder="1" applyAlignment="1">
      <alignment horizontal="center" shrinkToFit="1"/>
    </xf>
    <xf numFmtId="0" fontId="0" fillId="14" borderId="0" xfId="0" applyFont="1" applyFill="1" applyBorder="1" applyAlignment="1">
      <alignment horizontal="center" shrinkToFit="1"/>
    </xf>
    <xf numFmtId="0" fontId="0" fillId="14" borderId="81" xfId="0" applyFont="1" applyFill="1" applyBorder="1" applyAlignment="1">
      <alignment horizontal="center"/>
    </xf>
    <xf numFmtId="0" fontId="54" fillId="0" borderId="0" xfId="0" applyFont="1" applyFill="1" applyBorder="1" applyAlignment="1">
      <alignment horizontal="center" vertical="center"/>
    </xf>
    <xf numFmtId="0" fontId="54" fillId="0" borderId="0" xfId="0" applyFont="1" applyFill="1" applyBorder="1" applyAlignment="1">
      <alignment horizontal="left" vertical="center"/>
    </xf>
    <xf numFmtId="164" fontId="54" fillId="0" borderId="0" xfId="0" applyNumberFormat="1" applyFont="1" applyFill="1" applyBorder="1" applyAlignment="1">
      <alignment horizontal="center" vertical="center"/>
    </xf>
    <xf numFmtId="164" fontId="55" fillId="0" borderId="0" xfId="0" applyNumberFormat="1" applyFont="1" applyFill="1" applyAlignment="1">
      <alignment horizontal="center"/>
    </xf>
    <xf numFmtId="164" fontId="55" fillId="0" borderId="0" xfId="0" applyNumberFormat="1" applyFont="1" applyFill="1" applyBorder="1" applyAlignment="1">
      <alignment horizontal="center"/>
    </xf>
    <xf numFmtId="164" fontId="55" fillId="0" borderId="0" xfId="0" applyNumberFormat="1" applyFont="1" applyFill="1" applyAlignment="1">
      <alignment horizontal="center" vertical="center"/>
    </xf>
    <xf numFmtId="164" fontId="55" fillId="0" borderId="0" xfId="0" applyNumberFormat="1" applyFont="1" applyFill="1" applyBorder="1" applyAlignment="1">
      <alignment horizontal="center" vertical="center"/>
    </xf>
    <xf numFmtId="164" fontId="55" fillId="0" borderId="22" xfId="0" applyNumberFormat="1" applyFont="1" applyFill="1" applyBorder="1" applyAlignment="1">
      <alignment horizontal="center" vertical="center"/>
    </xf>
    <xf numFmtId="164" fontId="55" fillId="0" borderId="43" xfId="0" applyNumberFormat="1" applyFont="1" applyFill="1" applyBorder="1" applyAlignment="1">
      <alignment horizontal="center" vertical="center"/>
    </xf>
    <xf numFmtId="164" fontId="55" fillId="0" borderId="22" xfId="0" applyNumberFormat="1" applyFont="1" applyFill="1" applyBorder="1" applyAlignment="1" applyProtection="1">
      <alignment horizontal="center" vertical="center"/>
      <protection locked="0"/>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121" xfId="0" applyBorder="1"/>
    <xf numFmtId="164" fontId="54" fillId="0" borderId="121" xfId="0" applyNumberFormat="1" applyFont="1" applyFill="1" applyBorder="1" applyAlignment="1">
      <alignment horizontal="center" vertical="center"/>
    </xf>
    <xf numFmtId="164" fontId="55" fillId="0" borderId="48" xfId="0" applyNumberFormat="1" applyFont="1" applyFill="1" applyBorder="1" applyAlignment="1" applyProtection="1">
      <alignment horizontal="center" vertical="center"/>
      <protection locked="0"/>
    </xf>
    <xf numFmtId="172" fontId="51" fillId="0" borderId="18" xfId="0" applyNumberFormat="1" applyFont="1" applyFill="1" applyBorder="1" applyAlignment="1">
      <alignment horizontal="center" vertical="center"/>
    </xf>
    <xf numFmtId="0" fontId="0" fillId="44" borderId="0" xfId="0" applyFill="1"/>
    <xf numFmtId="0" fontId="0" fillId="44" borderId="0" xfId="0" applyFill="1" applyAlignment="1">
      <alignment horizontal="left"/>
    </xf>
    <xf numFmtId="0" fontId="0" fillId="0" borderId="0" xfId="0" applyFill="1" applyAlignment="1">
      <alignment horizontal="left"/>
    </xf>
    <xf numFmtId="0" fontId="0" fillId="7" borderId="0" xfId="0" applyFill="1" applyAlignment="1">
      <alignment horizontal="center"/>
    </xf>
    <xf numFmtId="0" fontId="0" fillId="61" borderId="0" xfId="0" applyFont="1" applyFill="1" applyBorder="1" applyAlignment="1">
      <alignment horizontal="center"/>
    </xf>
    <xf numFmtId="0" fontId="36" fillId="2" borderId="126" xfId="0" applyFont="1" applyFill="1" applyBorder="1" applyAlignment="1" applyProtection="1">
      <alignment horizontal="center" vertical="center"/>
    </xf>
    <xf numFmtId="164" fontId="37" fillId="0" borderId="128" xfId="7" applyNumberFormat="1" applyFont="1" applyFill="1" applyBorder="1" applyProtection="1">
      <alignment horizontal="center" vertical="center"/>
    </xf>
    <xf numFmtId="164" fontId="37" fillId="0" borderId="129" xfId="7" applyNumberFormat="1" applyFont="1" applyFill="1" applyBorder="1" applyProtection="1">
      <alignment horizontal="center" vertical="center"/>
    </xf>
    <xf numFmtId="164" fontId="37" fillId="0" borderId="130" xfId="7" applyNumberFormat="1" applyFont="1" applyFill="1" applyBorder="1" applyProtection="1">
      <alignment horizontal="center" vertical="center"/>
    </xf>
    <xf numFmtId="164" fontId="37" fillId="0" borderId="131" xfId="7" applyNumberFormat="1" applyFont="1" applyFill="1" applyBorder="1" applyProtection="1">
      <alignment horizontal="center" vertical="center"/>
    </xf>
    <xf numFmtId="164" fontId="37" fillId="0" borderId="132" xfId="7" applyNumberFormat="1" applyFont="1" applyFill="1" applyBorder="1" applyProtection="1">
      <alignment horizontal="center" vertical="center"/>
    </xf>
    <xf numFmtId="0" fontId="0" fillId="0" borderId="95" xfId="0" applyBorder="1" applyAlignment="1">
      <alignment horizontal="left"/>
    </xf>
    <xf numFmtId="164" fontId="37" fillId="0" borderId="78" xfId="7" applyNumberFormat="1" applyFont="1" applyFill="1" applyBorder="1" applyAlignment="1" applyProtection="1">
      <alignment horizontal="center" vertical="center"/>
    </xf>
    <xf numFmtId="172" fontId="51" fillId="0" borderId="120" xfId="0" applyNumberFormat="1" applyFont="1" applyFill="1" applyBorder="1" applyAlignment="1">
      <alignment horizontal="center" vertical="center"/>
    </xf>
    <xf numFmtId="164" fontId="0" fillId="2" borderId="30" xfId="0" applyNumberFormat="1" applyFont="1" applyFill="1" applyBorder="1" applyAlignment="1">
      <alignment horizontal="center"/>
    </xf>
    <xf numFmtId="172" fontId="0" fillId="0" borderId="16" xfId="0" applyNumberFormat="1" applyFont="1" applyFill="1" applyBorder="1" applyAlignment="1">
      <alignment horizontal="center"/>
    </xf>
    <xf numFmtId="172" fontId="0" fillId="0" borderId="16" xfId="0" applyNumberFormat="1" applyFont="1" applyFill="1" applyBorder="1" applyAlignment="1">
      <alignment horizontal="center" vertical="center"/>
    </xf>
    <xf numFmtId="164" fontId="51" fillId="0" borderId="90" xfId="0" applyNumberFormat="1" applyFont="1" applyFill="1" applyBorder="1" applyAlignment="1">
      <alignment horizontal="center"/>
    </xf>
    <xf numFmtId="164" fontId="0" fillId="0" borderId="115" xfId="0" applyNumberFormat="1" applyFont="1" applyFill="1" applyBorder="1" applyAlignment="1">
      <alignment horizontal="center" vertical="center"/>
    </xf>
    <xf numFmtId="172" fontId="0" fillId="0" borderId="14" xfId="0" applyNumberFormat="1" applyFont="1" applyFill="1" applyBorder="1" applyAlignment="1">
      <alignment horizontal="center"/>
    </xf>
    <xf numFmtId="0" fontId="0" fillId="0" borderId="0" xfId="0" applyAlignment="1">
      <alignment horizontal="center"/>
    </xf>
    <xf numFmtId="172" fontId="0" fillId="0" borderId="14" xfId="0" applyNumberFormat="1" applyFont="1" applyFill="1" applyBorder="1" applyAlignment="1">
      <alignment horizontal="center" vertical="center"/>
    </xf>
    <xf numFmtId="0" fontId="3" fillId="0" borderId="0" xfId="0" applyFont="1" applyAlignment="1">
      <alignment horizontal="center"/>
    </xf>
    <xf numFmtId="0" fontId="0" fillId="0" borderId="0" xfId="0" applyAlignment="1"/>
    <xf numFmtId="0" fontId="0" fillId="0" borderId="0" xfId="0" applyAlignment="1">
      <alignment horizontal="center"/>
    </xf>
    <xf numFmtId="0" fontId="17" fillId="7" borderId="0" xfId="1" applyFont="1" applyFill="1" applyAlignment="1">
      <alignment horizontal="center" vertical="center"/>
    </xf>
    <xf numFmtId="164" fontId="55" fillId="0" borderId="30" xfId="0" applyNumberFormat="1" applyFont="1" applyFill="1" applyBorder="1" applyAlignment="1">
      <alignment horizontal="center"/>
    </xf>
    <xf numFmtId="0" fontId="54" fillId="0" borderId="56" xfId="0" applyFont="1" applyFill="1" applyBorder="1" applyAlignment="1">
      <alignment horizontal="center" vertical="center"/>
    </xf>
    <xf numFmtId="0" fontId="54" fillId="0" borderId="48" xfId="0" applyNumberFormat="1" applyFont="1" applyFill="1" applyBorder="1" applyAlignment="1">
      <alignment horizontal="left" vertical="center"/>
    </xf>
    <xf numFmtId="164" fontId="54" fillId="0" borderId="48" xfId="0" applyNumberFormat="1" applyFont="1" applyFill="1" applyBorder="1" applyAlignment="1">
      <alignment horizontal="center" vertical="center"/>
    </xf>
    <xf numFmtId="164" fontId="55" fillId="0" borderId="22" xfId="0" applyNumberFormat="1" applyFont="1" applyFill="1" applyBorder="1" applyAlignment="1">
      <alignment horizontal="center"/>
    </xf>
    <xf numFmtId="0" fontId="0" fillId="0" borderId="48" xfId="0" applyNumberFormat="1" applyBorder="1" applyAlignment="1">
      <alignment horizontal="left"/>
    </xf>
    <xf numFmtId="164" fontId="55" fillId="0" borderId="0" xfId="0" applyNumberFormat="1" applyFont="1" applyFill="1" applyBorder="1" applyAlignment="1" applyProtection="1">
      <alignment horizontal="center" vertical="center"/>
      <protection locked="0"/>
    </xf>
    <xf numFmtId="164" fontId="55" fillId="0" borderId="14" xfId="0" applyNumberFormat="1" applyFont="1" applyFill="1" applyBorder="1" applyAlignment="1" applyProtection="1">
      <alignment horizontal="center" vertical="center"/>
      <protection locked="0"/>
    </xf>
    <xf numFmtId="164" fontId="55" fillId="0" borderId="0" xfId="0" applyNumberFormat="1" applyFont="1" applyFill="1" applyBorder="1" applyAlignment="1" applyProtection="1">
      <alignment horizontal="center"/>
      <protection locked="0"/>
    </xf>
    <xf numFmtId="164" fontId="55" fillId="0" borderId="14" xfId="0" applyNumberFormat="1" applyFont="1" applyFill="1" applyBorder="1" applyAlignment="1">
      <alignment horizontal="center"/>
    </xf>
    <xf numFmtId="164" fontId="55" fillId="0" borderId="16" xfId="0" applyNumberFormat="1" applyFont="1" applyFill="1" applyBorder="1" applyAlignment="1">
      <alignment horizontal="center"/>
    </xf>
    <xf numFmtId="164" fontId="55" fillId="0" borderId="18" xfId="0" applyNumberFormat="1" applyFont="1" applyFill="1" applyBorder="1" applyAlignment="1">
      <alignment horizontal="center"/>
    </xf>
    <xf numFmtId="164" fontId="54" fillId="0" borderId="55" xfId="0" applyNumberFormat="1" applyFont="1" applyFill="1" applyBorder="1" applyAlignment="1">
      <alignment horizontal="center" vertical="center"/>
    </xf>
    <xf numFmtId="164" fontId="55" fillId="0" borderId="0" xfId="0" applyNumberFormat="1" applyFont="1" applyFill="1" applyAlignment="1" applyProtection="1">
      <alignment horizontal="center" vertical="center"/>
      <protection locked="0"/>
    </xf>
    <xf numFmtId="164" fontId="55" fillId="0" borderId="0" xfId="0" applyNumberFormat="1" applyFont="1" applyFill="1" applyAlignment="1" applyProtection="1">
      <alignment horizontal="center"/>
      <protection locked="0"/>
    </xf>
    <xf numFmtId="164" fontId="0" fillId="0" borderId="0" xfId="0" applyNumberFormat="1" applyFill="1" applyAlignment="1">
      <alignment horizontal="center"/>
    </xf>
    <xf numFmtId="164" fontId="0" fillId="0" borderId="0" xfId="0" applyNumberFormat="1" applyFill="1" applyBorder="1" applyAlignment="1">
      <alignment horizontal="center"/>
    </xf>
    <xf numFmtId="0" fontId="54" fillId="0" borderId="55" xfId="0" applyFont="1" applyFill="1" applyBorder="1" applyAlignment="1">
      <alignment horizontal="center" vertical="center"/>
    </xf>
    <xf numFmtId="164" fontId="0" fillId="0" borderId="90" xfId="0" applyNumberFormat="1" applyFont="1" applyFill="1" applyBorder="1" applyAlignment="1" applyProtection="1">
      <alignment horizontal="center" vertical="center"/>
      <protection locked="0"/>
    </xf>
    <xf numFmtId="172" fontId="0" fillId="0" borderId="66" xfId="0" applyNumberFormat="1" applyFont="1" applyFill="1" applyBorder="1" applyAlignment="1">
      <alignment horizontal="center" vertical="center"/>
    </xf>
    <xf numFmtId="164" fontId="0" fillId="0" borderId="15" xfId="0" applyNumberFormat="1" applyFont="1" applyFill="1" applyBorder="1" applyAlignment="1">
      <alignment horizontal="center" vertical="center"/>
    </xf>
    <xf numFmtId="172" fontId="55" fillId="0" borderId="16" xfId="0" applyNumberFormat="1" applyFont="1" applyFill="1" applyBorder="1" applyAlignment="1">
      <alignment horizontal="center"/>
    </xf>
    <xf numFmtId="0" fontId="0" fillId="44" borderId="0" xfId="0" applyFill="1" applyAlignment="1">
      <alignment horizontal="center"/>
    </xf>
    <xf numFmtId="0" fontId="56" fillId="59" borderId="0" xfId="0" applyFont="1" applyFill="1" applyAlignment="1">
      <alignment horizontal="center"/>
    </xf>
    <xf numFmtId="0" fontId="0" fillId="59" borderId="0" xfId="0" applyFill="1" applyAlignment="1">
      <alignment horizontal="center"/>
    </xf>
    <xf numFmtId="0" fontId="0" fillId="2" borderId="23" xfId="0" applyNumberFormat="1" applyFont="1" applyFill="1" applyBorder="1"/>
    <xf numFmtId="164" fontId="0" fillId="2" borderId="7" xfId="0" applyNumberFormat="1" applyFont="1" applyFill="1" applyBorder="1" applyAlignment="1">
      <alignment horizontal="center" vertical="center"/>
    </xf>
    <xf numFmtId="164" fontId="0" fillId="2" borderId="23" xfId="0" applyNumberFormat="1" applyFont="1" applyFill="1" applyBorder="1" applyAlignment="1">
      <alignment horizontal="center" vertical="center"/>
    </xf>
    <xf numFmtId="0" fontId="0" fillId="0" borderId="23" xfId="0" applyNumberFormat="1" applyFont="1" applyFill="1" applyBorder="1"/>
    <xf numFmtId="164" fontId="0" fillId="0" borderId="23" xfId="0" applyNumberFormat="1" applyFont="1" applyFill="1" applyBorder="1" applyAlignment="1">
      <alignment horizontal="center" vertical="center"/>
    </xf>
    <xf numFmtId="0" fontId="0" fillId="0" borderId="138" xfId="0" applyFont="1" applyFill="1" applyBorder="1"/>
    <xf numFmtId="0" fontId="0" fillId="2" borderId="138" xfId="0" applyNumberFormat="1" applyFont="1" applyFill="1" applyBorder="1"/>
    <xf numFmtId="0" fontId="0" fillId="62" borderId="0" xfId="0" applyFill="1"/>
    <xf numFmtId="49" fontId="0" fillId="0" borderId="7" xfId="0" applyNumberFormat="1" applyFont="1" applyFill="1" applyBorder="1" applyAlignment="1">
      <alignment horizontal="center" vertical="center"/>
    </xf>
    <xf numFmtId="0" fontId="0" fillId="2" borderId="138" xfId="0" applyFont="1" applyFill="1" applyBorder="1"/>
    <xf numFmtId="164" fontId="0" fillId="2" borderId="23" xfId="0" applyNumberFormat="1" applyFont="1" applyFill="1" applyBorder="1" applyAlignment="1">
      <alignment horizontal="center"/>
    </xf>
    <xf numFmtId="164" fontId="0" fillId="0" borderId="23" xfId="0" applyNumberFormat="1" applyFont="1" applyFill="1" applyBorder="1" applyAlignment="1">
      <alignment horizontal="center"/>
    </xf>
    <xf numFmtId="164" fontId="44" fillId="2" borderId="7" xfId="0" applyNumberFormat="1" applyFont="1" applyFill="1" applyBorder="1" applyAlignment="1">
      <alignment horizontal="center" vertical="center"/>
    </xf>
    <xf numFmtId="164" fontId="44" fillId="0" borderId="7" xfId="0" applyNumberFormat="1" applyFont="1" applyFill="1" applyBorder="1" applyAlignment="1">
      <alignment horizontal="center" vertical="center"/>
    </xf>
    <xf numFmtId="164" fontId="0" fillId="0" borderId="140" xfId="0" applyNumberFormat="1" applyFont="1" applyFill="1" applyBorder="1" applyAlignment="1">
      <alignment horizontal="center" vertical="center"/>
    </xf>
    <xf numFmtId="164" fontId="0" fillId="0" borderId="141" xfId="0" applyNumberFormat="1" applyFont="1" applyFill="1" applyBorder="1" applyAlignment="1">
      <alignment horizontal="center"/>
    </xf>
    <xf numFmtId="164" fontId="0" fillId="0" borderId="142" xfId="0" applyNumberFormat="1" applyFont="1" applyFill="1" applyBorder="1" applyAlignment="1">
      <alignment horizontal="center"/>
    </xf>
    <xf numFmtId="164" fontId="55" fillId="0" borderId="37" xfId="0" applyNumberFormat="1" applyFont="1" applyFill="1" applyBorder="1" applyAlignment="1">
      <alignment horizontal="center"/>
    </xf>
    <xf numFmtId="172" fontId="55" fillId="0" borderId="18" xfId="0" applyNumberFormat="1" applyFont="1" applyFill="1" applyBorder="1" applyAlignment="1">
      <alignment horizontal="center" vertical="center"/>
    </xf>
    <xf numFmtId="172" fontId="55" fillId="0" borderId="30" xfId="0" applyNumberFormat="1" applyFont="1" applyFill="1" applyBorder="1" applyAlignment="1">
      <alignment horizontal="center" vertical="center"/>
    </xf>
    <xf numFmtId="164" fontId="55" fillId="0" borderId="18" xfId="0" applyNumberFormat="1" applyFont="1" applyFill="1" applyBorder="1" applyAlignment="1">
      <alignment horizontal="center" vertical="center"/>
    </xf>
    <xf numFmtId="164" fontId="0" fillId="0" borderId="121" xfId="0" applyNumberFormat="1" applyFont="1" applyFill="1" applyBorder="1" applyAlignment="1" applyProtection="1">
      <alignment horizontal="center" vertical="center"/>
      <protection locked="0"/>
    </xf>
    <xf numFmtId="164" fontId="44" fillId="0" borderId="121" xfId="0" applyNumberFormat="1" applyFont="1" applyFill="1" applyBorder="1" applyAlignment="1">
      <alignment horizontal="center" vertical="center"/>
    </xf>
    <xf numFmtId="164" fontId="51" fillId="0" borderId="48" xfId="0" applyNumberFormat="1" applyFont="1" applyFill="1" applyBorder="1" applyAlignment="1" applyProtection="1">
      <alignment horizontal="center" vertical="center"/>
      <protection locked="0"/>
    </xf>
    <xf numFmtId="164" fontId="51" fillId="0" borderId="37" xfId="0" applyNumberFormat="1" applyFont="1" applyFill="1" applyBorder="1" applyAlignment="1">
      <alignment horizontal="center"/>
    </xf>
    <xf numFmtId="172" fontId="55" fillId="0" borderId="120" xfId="0" applyNumberFormat="1" applyFont="1" applyFill="1" applyBorder="1" applyAlignment="1">
      <alignment horizontal="center" vertical="center"/>
    </xf>
    <xf numFmtId="172" fontId="51" fillId="0" borderId="30" xfId="0" applyNumberFormat="1" applyFont="1" applyFill="1" applyBorder="1" applyAlignment="1">
      <alignment horizontal="center" vertical="center"/>
    </xf>
    <xf numFmtId="164" fontId="55" fillId="0" borderId="114" xfId="0" applyNumberFormat="1" applyFont="1" applyFill="1" applyBorder="1" applyAlignment="1">
      <alignment horizontal="center" vertical="center"/>
    </xf>
    <xf numFmtId="164" fontId="55" fillId="0" borderId="44" xfId="0" applyNumberFormat="1" applyFont="1" applyFill="1" applyBorder="1" applyAlignment="1">
      <alignment horizontal="center" vertical="center"/>
    </xf>
    <xf numFmtId="164" fontId="51" fillId="0" borderId="60" xfId="0" applyNumberFormat="1" applyFont="1" applyFill="1" applyBorder="1" applyAlignment="1">
      <alignment horizontal="center" vertical="center"/>
    </xf>
    <xf numFmtId="0" fontId="0" fillId="0" borderId="0" xfId="0" applyFill="1" applyAlignment="1">
      <alignment horizontal="center"/>
    </xf>
    <xf numFmtId="164" fontId="0" fillId="0" borderId="7" xfId="0" applyNumberFormat="1" applyFont="1" applyFill="1" applyBorder="1"/>
    <xf numFmtId="0" fontId="44" fillId="0" borderId="138" xfId="0" applyNumberFormat="1" applyFont="1" applyFill="1" applyBorder="1" applyAlignment="1">
      <alignment horizontal="left" vertical="center"/>
    </xf>
    <xf numFmtId="164" fontId="44" fillId="0" borderId="138" xfId="0" applyNumberFormat="1" applyFont="1" applyFill="1" applyBorder="1" applyAlignment="1">
      <alignment horizontal="center" vertical="center"/>
    </xf>
    <xf numFmtId="0" fontId="44" fillId="2" borderId="138" xfId="0" applyNumberFormat="1" applyFont="1" applyFill="1" applyBorder="1" applyAlignment="1">
      <alignment horizontal="left" vertical="center"/>
    </xf>
    <xf numFmtId="164" fontId="44" fillId="2" borderId="138" xfId="0" applyNumberFormat="1" applyFont="1" applyFill="1" applyBorder="1" applyAlignment="1">
      <alignment horizontal="center" vertical="center"/>
    </xf>
    <xf numFmtId="172" fontId="0" fillId="2" borderId="144" xfId="0" applyNumberFormat="1" applyFont="1" applyFill="1" applyBorder="1" applyAlignment="1">
      <alignment horizontal="center"/>
    </xf>
    <xf numFmtId="164" fontId="0" fillId="2" borderId="143" xfId="0" applyNumberFormat="1" applyFont="1" applyFill="1" applyBorder="1" applyAlignment="1">
      <alignment horizontal="center"/>
    </xf>
    <xf numFmtId="172" fontId="0" fillId="0" borderId="144" xfId="0" applyNumberFormat="1" applyFont="1" applyFill="1" applyBorder="1" applyAlignment="1">
      <alignment horizontal="center"/>
    </xf>
    <xf numFmtId="164" fontId="0" fillId="0" borderId="143" xfId="0" applyNumberFormat="1" applyFont="1" applyFill="1" applyBorder="1" applyAlignment="1">
      <alignment horizontal="center"/>
    </xf>
    <xf numFmtId="164" fontId="0" fillId="0" borderId="31" xfId="0" applyNumberFormat="1" applyFont="1" applyFill="1" applyBorder="1" applyAlignment="1">
      <alignment horizontal="center"/>
    </xf>
    <xf numFmtId="0" fontId="3" fillId="51" borderId="0" xfId="0" applyFont="1" applyFill="1" applyAlignment="1">
      <alignment horizontal="center"/>
    </xf>
    <xf numFmtId="164" fontId="0" fillId="2" borderId="7" xfId="0" applyNumberFormat="1" applyFont="1" applyFill="1" applyBorder="1"/>
    <xf numFmtId="164" fontId="44" fillId="0" borderId="140" xfId="0" applyNumberFormat="1" applyFont="1" applyFill="1" applyBorder="1" applyAlignment="1">
      <alignment horizontal="center" vertical="center"/>
    </xf>
    <xf numFmtId="164" fontId="0" fillId="0" borderId="146" xfId="0" applyNumberFormat="1" applyFont="1" applyFill="1" applyBorder="1" applyAlignment="1">
      <alignment horizontal="center"/>
    </xf>
    <xf numFmtId="164" fontId="54" fillId="0" borderId="22" xfId="0" applyNumberFormat="1" applyFont="1" applyFill="1" applyBorder="1" applyAlignment="1">
      <alignment horizontal="center" vertical="center"/>
    </xf>
    <xf numFmtId="164" fontId="0" fillId="2" borderId="31" xfId="0" applyNumberFormat="1" applyFont="1" applyFill="1" applyBorder="1" applyAlignment="1">
      <alignment horizontal="center"/>
    </xf>
    <xf numFmtId="164" fontId="55" fillId="0" borderId="33" xfId="0" applyNumberFormat="1" applyFont="1" applyFill="1" applyBorder="1" applyAlignment="1">
      <alignment horizontal="center"/>
    </xf>
    <xf numFmtId="164" fontId="0" fillId="2" borderId="145" xfId="0" applyNumberFormat="1" applyFont="1" applyFill="1" applyBorder="1" applyAlignment="1">
      <alignment horizontal="center"/>
    </xf>
    <xf numFmtId="172" fontId="0" fillId="0" borderId="137" xfId="0" applyNumberFormat="1" applyFont="1" applyFill="1" applyBorder="1" applyAlignment="1">
      <alignment horizontal="center"/>
    </xf>
    <xf numFmtId="172" fontId="0" fillId="0" borderId="122" xfId="0" applyNumberFormat="1" applyFont="1" applyFill="1" applyBorder="1" applyAlignment="1">
      <alignment horizontal="center"/>
    </xf>
    <xf numFmtId="172" fontId="0" fillId="0" borderId="148" xfId="0" applyNumberFormat="1" applyFont="1" applyFill="1" applyBorder="1" applyAlignment="1">
      <alignment horizontal="center"/>
    </xf>
    <xf numFmtId="172" fontId="0" fillId="0" borderId="149" xfId="0" applyNumberFormat="1" applyFont="1" applyFill="1" applyBorder="1" applyAlignment="1">
      <alignment horizontal="center"/>
    </xf>
    <xf numFmtId="172" fontId="0" fillId="2" borderId="150" xfId="0" applyNumberFormat="1" applyFont="1" applyFill="1" applyBorder="1" applyAlignment="1">
      <alignment horizontal="center"/>
    </xf>
    <xf numFmtId="172" fontId="0" fillId="0" borderId="147" xfId="0" applyNumberFormat="1" applyFont="1" applyFill="1" applyBorder="1" applyAlignment="1">
      <alignment horizontal="center"/>
    </xf>
    <xf numFmtId="172" fontId="0" fillId="0" borderId="150" xfId="0" applyNumberFormat="1" applyFont="1" applyFill="1" applyBorder="1" applyAlignment="1">
      <alignment horizontal="center"/>
    </xf>
    <xf numFmtId="172" fontId="0" fillId="0" borderId="0" xfId="0" applyNumberFormat="1" applyFont="1" applyFill="1" applyBorder="1" applyAlignment="1">
      <alignment horizontal="center"/>
    </xf>
    <xf numFmtId="172" fontId="0" fillId="2" borderId="7" xfId="0" applyNumberFormat="1" applyFont="1" applyFill="1" applyBorder="1" applyAlignment="1">
      <alignment horizontal="center"/>
    </xf>
    <xf numFmtId="172" fontId="0" fillId="0" borderId="7" xfId="0" applyNumberFormat="1" applyFont="1" applyFill="1" applyBorder="1" applyAlignment="1">
      <alignment horizontal="center"/>
    </xf>
    <xf numFmtId="172" fontId="0" fillId="0" borderId="139" xfId="0" applyNumberFormat="1" applyFont="1" applyFill="1" applyBorder="1" applyAlignment="1">
      <alignment horizontal="center"/>
    </xf>
    <xf numFmtId="172" fontId="0" fillId="2" borderId="139" xfId="0" applyNumberFormat="1" applyFont="1" applyFill="1" applyBorder="1" applyAlignment="1">
      <alignment horizontal="center"/>
    </xf>
    <xf numFmtId="172" fontId="0" fillId="0" borderId="90" xfId="0" applyNumberFormat="1" applyFont="1" applyFill="1" applyBorder="1" applyAlignment="1">
      <alignment horizontal="center"/>
    </xf>
    <xf numFmtId="172" fontId="0" fillId="2" borderId="104" xfId="0" applyNumberFormat="1" applyFont="1" applyFill="1" applyBorder="1" applyAlignment="1">
      <alignment horizontal="center"/>
    </xf>
    <xf numFmtId="164" fontId="55" fillId="0" borderId="32" xfId="0" applyNumberFormat="1" applyFont="1" applyFill="1" applyBorder="1" applyAlignment="1">
      <alignment horizontal="center"/>
    </xf>
    <xf numFmtId="0" fontId="23" fillId="0" borderId="0" xfId="0" applyFont="1" applyFill="1" applyBorder="1" applyAlignment="1">
      <alignment horizontal="right" vertical="center"/>
    </xf>
    <xf numFmtId="0" fontId="5" fillId="0" borderId="0" xfId="0" applyFont="1" applyFill="1" applyBorder="1"/>
    <xf numFmtId="0" fontId="0" fillId="0" borderId="25" xfId="0" applyFont="1" applyFill="1" applyBorder="1" applyAlignment="1">
      <alignment vertical="center"/>
    </xf>
    <xf numFmtId="49" fontId="0" fillId="0" borderId="24" xfId="0" applyNumberFormat="1" applyFont="1" applyFill="1" applyBorder="1" applyAlignment="1">
      <alignment horizontal="left" vertical="center"/>
    </xf>
    <xf numFmtId="0" fontId="0" fillId="0" borderId="25" xfId="0" applyFont="1" applyFill="1" applyBorder="1" applyAlignment="1">
      <alignment horizontal="center" vertical="center"/>
    </xf>
    <xf numFmtId="0" fontId="0" fillId="23" borderId="25" xfId="0" applyFont="1" applyFill="1" applyBorder="1" applyAlignment="1">
      <alignment horizontal="center" vertical="center"/>
    </xf>
    <xf numFmtId="0" fontId="0" fillId="0" borderId="24" xfId="0" applyFont="1" applyFill="1" applyBorder="1" applyAlignment="1">
      <alignment horizontal="center" vertical="center"/>
    </xf>
    <xf numFmtId="49" fontId="0" fillId="11" borderId="25" xfId="0" applyNumberFormat="1" applyFont="1" applyFill="1" applyBorder="1" applyAlignment="1">
      <alignment horizontal="center"/>
    </xf>
    <xf numFmtId="0" fontId="11" fillId="41" borderId="25" xfId="0" applyFont="1" applyFill="1" applyBorder="1" applyAlignment="1">
      <alignment horizontal="center" vertical="center"/>
    </xf>
    <xf numFmtId="0" fontId="0" fillId="8" borderId="25" xfId="0" applyFont="1" applyFill="1" applyBorder="1" applyAlignment="1">
      <alignment horizontal="center"/>
    </xf>
    <xf numFmtId="0" fontId="0" fillId="9" borderId="25" xfId="0" applyFont="1" applyFill="1" applyBorder="1" applyAlignment="1">
      <alignment horizontal="center"/>
    </xf>
    <xf numFmtId="0" fontId="0" fillId="10" borderId="25" xfId="0" applyFont="1" applyFill="1" applyBorder="1" applyAlignment="1">
      <alignment horizontal="center"/>
    </xf>
    <xf numFmtId="0" fontId="0" fillId="12" borderId="25" xfId="0" applyFont="1" applyFill="1" applyBorder="1" applyAlignment="1">
      <alignment horizontal="center"/>
    </xf>
    <xf numFmtId="0" fontId="49" fillId="42" borderId="25" xfId="0" applyFont="1" applyFill="1" applyBorder="1" applyAlignment="1">
      <alignment horizontal="center"/>
    </xf>
    <xf numFmtId="0" fontId="0" fillId="13" borderId="25" xfId="0" applyFont="1" applyFill="1" applyBorder="1" applyAlignment="1">
      <alignment horizontal="center"/>
    </xf>
    <xf numFmtId="0" fontId="0" fillId="14" borderId="25" xfId="0" applyFont="1" applyFill="1" applyBorder="1" applyAlignment="1">
      <alignment horizontal="center"/>
    </xf>
    <xf numFmtId="0" fontId="0" fillId="28" borderId="25" xfId="0" applyFont="1" applyFill="1" applyBorder="1" applyAlignment="1">
      <alignment horizontal="center"/>
    </xf>
    <xf numFmtId="0" fontId="0" fillId="20" borderId="25" xfId="0" applyFont="1" applyFill="1" applyBorder="1" applyAlignment="1">
      <alignment horizontal="center"/>
    </xf>
    <xf numFmtId="0" fontId="0" fillId="27" borderId="25" xfId="0" applyFont="1" applyFill="1" applyBorder="1" applyAlignment="1">
      <alignment horizontal="center"/>
    </xf>
    <xf numFmtId="0" fontId="0" fillId="22" borderId="25" xfId="0" applyFont="1" applyFill="1" applyBorder="1" applyAlignment="1">
      <alignment horizontal="center"/>
    </xf>
    <xf numFmtId="0" fontId="0" fillId="23" borderId="25" xfId="0" applyFont="1" applyFill="1" applyBorder="1" applyAlignment="1">
      <alignment horizontal="center"/>
    </xf>
    <xf numFmtId="0" fontId="0" fillId="34" borderId="25" xfId="0" applyFont="1" applyFill="1" applyBorder="1" applyAlignment="1">
      <alignment horizontal="center"/>
    </xf>
    <xf numFmtId="0" fontId="0" fillId="24" borderId="25" xfId="0" applyFont="1" applyFill="1" applyBorder="1" applyAlignment="1">
      <alignment horizontal="center"/>
    </xf>
    <xf numFmtId="0" fontId="0" fillId="26" borderId="25" xfId="0" applyFont="1" applyFill="1" applyBorder="1" applyAlignment="1">
      <alignment horizontal="center"/>
    </xf>
    <xf numFmtId="0" fontId="0" fillId="35" borderId="25" xfId="0" applyFont="1" applyFill="1" applyBorder="1" applyAlignment="1">
      <alignment horizontal="center"/>
    </xf>
    <xf numFmtId="0" fontId="0" fillId="47" borderId="25" xfId="0" applyFont="1" applyFill="1" applyBorder="1" applyAlignment="1">
      <alignment horizontal="center"/>
    </xf>
    <xf numFmtId="0" fontId="0" fillId="46" borderId="25" xfId="0" applyFont="1" applyFill="1" applyBorder="1" applyAlignment="1">
      <alignment horizontal="center"/>
    </xf>
    <xf numFmtId="0" fontId="0" fillId="63" borderId="25" xfId="0" applyFill="1" applyBorder="1"/>
    <xf numFmtId="0" fontId="0" fillId="54" borderId="25" xfId="0" applyFont="1" applyFill="1" applyBorder="1" applyAlignment="1">
      <alignment horizontal="center"/>
    </xf>
    <xf numFmtId="0" fontId="0" fillId="60" borderId="25" xfId="0" applyFont="1" applyFill="1" applyBorder="1" applyAlignment="1">
      <alignment horizontal="center"/>
    </xf>
    <xf numFmtId="0" fontId="0" fillId="31" borderId="25" xfId="0" applyFont="1" applyFill="1" applyBorder="1" applyAlignment="1">
      <alignment horizontal="center"/>
    </xf>
    <xf numFmtId="0" fontId="0" fillId="40" borderId="25" xfId="0" applyFont="1" applyFill="1" applyBorder="1" applyAlignment="1">
      <alignment horizontal="center"/>
    </xf>
    <xf numFmtId="0" fontId="3" fillId="43" borderId="25" xfId="0" applyFont="1" applyFill="1" applyBorder="1" applyAlignment="1">
      <alignment horizontal="center"/>
    </xf>
    <xf numFmtId="0" fontId="0" fillId="36" borderId="25" xfId="0" applyFont="1" applyFill="1" applyBorder="1" applyAlignment="1">
      <alignment horizontal="center" shrinkToFit="1"/>
    </xf>
    <xf numFmtId="0" fontId="0" fillId="37" borderId="25" xfId="0" applyFont="1" applyFill="1" applyBorder="1" applyAlignment="1">
      <alignment horizontal="center" shrinkToFit="1"/>
    </xf>
    <xf numFmtId="0" fontId="0" fillId="38" borderId="25" xfId="0" applyFont="1" applyFill="1" applyBorder="1" applyAlignment="1">
      <alignment horizontal="center" shrinkToFit="1"/>
    </xf>
    <xf numFmtId="0" fontId="0" fillId="31" borderId="25" xfId="0" applyFont="1" applyFill="1" applyBorder="1" applyAlignment="1">
      <alignment horizontal="center" shrinkToFit="1"/>
    </xf>
    <xf numFmtId="0" fontId="47" fillId="43" borderId="151" xfId="0" applyFont="1" applyFill="1" applyBorder="1" applyAlignment="1">
      <alignment horizontal="center"/>
    </xf>
    <xf numFmtId="0" fontId="0" fillId="38" borderId="25" xfId="0" applyFont="1" applyFill="1" applyBorder="1" applyAlignment="1">
      <alignment horizontal="center" vertical="center"/>
    </xf>
    <xf numFmtId="164" fontId="44" fillId="0" borderId="48" xfId="0" applyNumberFormat="1" applyFont="1" applyFill="1" applyBorder="1" applyAlignment="1">
      <alignment horizontal="center" vertical="center"/>
    </xf>
    <xf numFmtId="164" fontId="0" fillId="0" borderId="152" xfId="0" applyNumberFormat="1" applyFont="1" applyFill="1" applyBorder="1" applyAlignment="1">
      <alignment horizontal="center"/>
    </xf>
    <xf numFmtId="164" fontId="55" fillId="0" borderId="25" xfId="0" applyNumberFormat="1" applyFont="1" applyFill="1" applyBorder="1" applyAlignment="1">
      <alignment horizontal="center"/>
    </xf>
    <xf numFmtId="0" fontId="44" fillId="0" borderId="25" xfId="0" applyFont="1" applyFill="1" applyBorder="1" applyAlignment="1">
      <alignment horizontal="center" vertical="center"/>
    </xf>
    <xf numFmtId="164" fontId="44" fillId="0" borderId="25" xfId="0" applyNumberFormat="1" applyFont="1" applyFill="1" applyBorder="1" applyAlignment="1">
      <alignment horizontal="center" vertical="center"/>
    </xf>
    <xf numFmtId="164" fontId="44" fillId="0" borderId="50" xfId="0" applyNumberFormat="1" applyFont="1" applyFill="1" applyBorder="1" applyAlignment="1">
      <alignment horizontal="center" vertical="center"/>
    </xf>
    <xf numFmtId="164" fontId="55" fillId="0" borderId="25" xfId="0" applyNumberFormat="1" applyFont="1" applyFill="1" applyBorder="1" applyAlignment="1">
      <alignment horizontal="center" vertical="center"/>
    </xf>
    <xf numFmtId="164" fontId="55" fillId="0" borderId="24" xfId="0" applyNumberFormat="1" applyFont="1" applyFill="1" applyBorder="1" applyAlignment="1">
      <alignment horizontal="center"/>
    </xf>
    <xf numFmtId="0" fontId="0" fillId="0" borderId="0" xfId="0" applyAlignment="1">
      <alignment vertical="top" wrapText="1"/>
    </xf>
    <xf numFmtId="0" fontId="0" fillId="0" borderId="0" xfId="0" applyAlignment="1">
      <alignment vertical="center" wrapText="1"/>
    </xf>
    <xf numFmtId="0" fontId="0" fillId="0" borderId="0" xfId="0" applyAlignment="1">
      <alignment wrapText="1"/>
    </xf>
    <xf numFmtId="0" fontId="30" fillId="0" borderId="0" xfId="12" quotePrefix="1" applyAlignment="1">
      <alignment vertical="top" wrapText="1"/>
    </xf>
    <xf numFmtId="0" fontId="15" fillId="7" borderId="5" xfId="0" applyFont="1" applyFill="1" applyBorder="1" applyAlignment="1">
      <alignment horizontal="center"/>
    </xf>
    <xf numFmtId="0" fontId="15" fillId="7" borderId="27" xfId="0" applyFont="1" applyFill="1" applyBorder="1" applyAlignment="1">
      <alignment horizontal="center"/>
    </xf>
    <xf numFmtId="0" fontId="17" fillId="7" borderId="0" xfId="1" applyNumberFormat="1" applyFill="1" applyBorder="1" applyAlignment="1">
      <alignment vertical="center"/>
    </xf>
    <xf numFmtId="0" fontId="0" fillId="0" borderId="0" xfId="0" applyAlignment="1">
      <alignment vertical="center"/>
    </xf>
    <xf numFmtId="0" fontId="3" fillId="0" borderId="0" xfId="0" applyFont="1" applyAlignment="1">
      <alignment horizontal="center"/>
    </xf>
    <xf numFmtId="0" fontId="0" fillId="0" borderId="0" xfId="0" applyAlignment="1"/>
    <xf numFmtId="0" fontId="0" fillId="0" borderId="0" xfId="0" applyAlignment="1">
      <alignment horizontal="center"/>
    </xf>
    <xf numFmtId="0" fontId="15" fillId="7" borderId="90" xfId="0" applyFont="1" applyFill="1" applyBorder="1" applyAlignment="1">
      <alignment horizontal="center"/>
    </xf>
    <xf numFmtId="164" fontId="37" fillId="0" borderId="101" xfId="7" applyNumberFormat="1" applyFont="1" applyFill="1" applyBorder="1" applyAlignment="1" applyProtection="1">
      <alignment horizontal="center" vertical="center"/>
    </xf>
    <xf numFmtId="164" fontId="37" fillId="0" borderId="133" xfId="7" applyNumberFormat="1" applyFont="1" applyFill="1" applyBorder="1" applyAlignment="1" applyProtection="1">
      <alignment horizontal="center" vertical="center"/>
    </xf>
    <xf numFmtId="164" fontId="37" fillId="0" borderId="75" xfId="7" applyNumberFormat="1" applyFont="1" applyFill="1" applyBorder="1" applyAlignment="1" applyProtection="1">
      <alignment horizontal="center" vertical="center"/>
    </xf>
    <xf numFmtId="164" fontId="37" fillId="0" borderId="98" xfId="7" applyNumberFormat="1" applyFont="1" applyFill="1" applyBorder="1" applyAlignment="1" applyProtection="1">
      <alignment horizontal="center" vertical="center"/>
    </xf>
    <xf numFmtId="164" fontId="37" fillId="0" borderId="76" xfId="7" applyNumberFormat="1" applyFont="1" applyFill="1" applyBorder="1" applyAlignment="1" applyProtection="1">
      <alignment horizontal="center" vertical="center"/>
    </xf>
    <xf numFmtId="164" fontId="51" fillId="0" borderId="66" xfId="0" applyNumberFormat="1" applyFont="1" applyFill="1" applyBorder="1" applyAlignment="1">
      <alignment horizontal="center"/>
    </xf>
    <xf numFmtId="164" fontId="51" fillId="0" borderId="17" xfId="0" applyNumberFormat="1" applyFont="1" applyFill="1" applyBorder="1" applyAlignment="1">
      <alignment horizontal="center"/>
    </xf>
    <xf numFmtId="164" fontId="51" fillId="0" borderId="107" xfId="0" applyNumberFormat="1" applyFont="1" applyFill="1" applyBorder="1" applyAlignment="1">
      <alignment horizontal="center"/>
    </xf>
    <xf numFmtId="164" fontId="37" fillId="0" borderId="82" xfId="7" applyNumberFormat="1" applyFont="1" applyFill="1" applyBorder="1" applyAlignment="1" applyProtection="1">
      <alignment horizontal="center" vertical="center"/>
    </xf>
    <xf numFmtId="164" fontId="37" fillId="0" borderId="78" xfId="7" applyNumberFormat="1" applyFont="1" applyFill="1" applyBorder="1" applyAlignment="1" applyProtection="1">
      <alignment horizontal="center" vertical="center"/>
    </xf>
    <xf numFmtId="172" fontId="51" fillId="0" borderId="72" xfId="0" applyNumberFormat="1" applyFont="1" applyFill="1" applyBorder="1" applyAlignment="1">
      <alignment horizontal="center" vertical="center"/>
    </xf>
    <xf numFmtId="172" fontId="51" fillId="0" borderId="107" xfId="0" applyNumberFormat="1" applyFont="1" applyFill="1" applyBorder="1" applyAlignment="1">
      <alignment horizontal="center" vertical="center"/>
    </xf>
    <xf numFmtId="164" fontId="0" fillId="0" borderId="73" xfId="0" applyNumberFormat="1" applyFont="1" applyFill="1" applyBorder="1" applyAlignment="1">
      <alignment horizontal="center"/>
    </xf>
    <xf numFmtId="0" fontId="0" fillId="0" borderId="74" xfId="0" applyBorder="1" applyAlignment="1">
      <alignment horizontal="center"/>
    </xf>
    <xf numFmtId="164" fontId="0" fillId="0" borderId="72" xfId="0" applyNumberFormat="1" applyFont="1" applyFill="1" applyBorder="1" applyAlignment="1">
      <alignment horizontal="center" vertical="center"/>
    </xf>
    <xf numFmtId="0" fontId="0" fillId="0" borderId="17" xfId="0" applyBorder="1" applyAlignment="1">
      <alignment horizontal="center" vertical="center"/>
    </xf>
    <xf numFmtId="164" fontId="0" fillId="0" borderId="107" xfId="0" applyNumberFormat="1" applyFont="1" applyFill="1" applyBorder="1" applyAlignment="1">
      <alignment horizontal="center" vertical="center"/>
    </xf>
    <xf numFmtId="164" fontId="0" fillId="0" borderId="108" xfId="0" applyNumberFormat="1" applyFont="1" applyFill="1" applyBorder="1" applyAlignment="1">
      <alignment horizontal="center" vertical="center"/>
    </xf>
    <xf numFmtId="164" fontId="0" fillId="0" borderId="64" xfId="0" applyNumberFormat="1" applyFont="1" applyFill="1" applyBorder="1" applyAlignment="1">
      <alignment horizontal="center" vertical="center"/>
    </xf>
    <xf numFmtId="164" fontId="37" fillId="0" borderId="77" xfId="7" applyNumberFormat="1" applyFont="1" applyFill="1" applyBorder="1" applyAlignment="1" applyProtection="1">
      <alignment horizontal="center" vertical="center"/>
    </xf>
    <xf numFmtId="164" fontId="37" fillId="0" borderId="79" xfId="7" applyNumberFormat="1" applyFont="1" applyFill="1" applyBorder="1" applyAlignment="1" applyProtection="1">
      <alignment horizontal="center" vertical="center"/>
    </xf>
    <xf numFmtId="164" fontId="37" fillId="0" borderId="117" xfId="7" applyNumberFormat="1" applyFont="1" applyFill="1" applyBorder="1" applyAlignment="1" applyProtection="1">
      <alignment horizontal="center" vertical="center"/>
    </xf>
    <xf numFmtId="164" fontId="37" fillId="0" borderId="118" xfId="7" applyNumberFormat="1" applyFont="1" applyFill="1" applyBorder="1" applyAlignment="1" applyProtection="1">
      <alignment horizontal="center" vertical="center"/>
    </xf>
    <xf numFmtId="172" fontId="0" fillId="0" borderId="72" xfId="0" applyNumberFormat="1" applyFont="1" applyFill="1" applyBorder="1" applyAlignment="1">
      <alignment horizontal="center" vertical="center"/>
    </xf>
    <xf numFmtId="172" fontId="0" fillId="0" borderId="107" xfId="0" applyNumberFormat="1" applyBorder="1" applyAlignment="1">
      <alignment horizontal="center" vertical="center"/>
    </xf>
    <xf numFmtId="172" fontId="0" fillId="0" borderId="51" xfId="0" applyNumberFormat="1" applyFont="1" applyFill="1" applyBorder="1" applyAlignment="1">
      <alignment horizontal="center" vertical="center"/>
    </xf>
    <xf numFmtId="172" fontId="0" fillId="0" borderId="51" xfId="0" applyNumberFormat="1" applyBorder="1" applyAlignment="1">
      <alignment horizontal="center" vertical="center"/>
    </xf>
    <xf numFmtId="172" fontId="0" fillId="0" borderId="108" xfId="0" applyNumberFormat="1" applyFont="1" applyFill="1" applyBorder="1" applyAlignment="1">
      <alignment horizontal="center" vertical="center"/>
    </xf>
    <xf numFmtId="172" fontId="0" fillId="0" borderId="64" xfId="0" applyNumberFormat="1" applyBorder="1" applyAlignment="1">
      <alignment horizontal="center" vertical="center"/>
    </xf>
    <xf numFmtId="172" fontId="0" fillId="0" borderId="14" xfId="0" applyNumberFormat="1" applyBorder="1" applyAlignment="1">
      <alignment horizontal="center" vertical="center"/>
    </xf>
    <xf numFmtId="172" fontId="0" fillId="0" borderId="62" xfId="0" applyNumberFormat="1" applyFont="1" applyFill="1" applyBorder="1" applyAlignment="1">
      <alignment horizontal="center" vertical="center"/>
    </xf>
    <xf numFmtId="172" fontId="0" fillId="0" borderId="24" xfId="0" applyNumberFormat="1" applyBorder="1" applyAlignment="1">
      <alignment horizontal="center" vertical="center"/>
    </xf>
    <xf numFmtId="172" fontId="0" fillId="0" borderId="22" xfId="0" applyNumberFormat="1" applyFont="1" applyFill="1" applyBorder="1" applyAlignment="1">
      <alignment horizontal="center" vertical="center"/>
    </xf>
    <xf numFmtId="172" fontId="0" fillId="0" borderId="14" xfId="0" applyNumberFormat="1" applyFont="1" applyFill="1" applyBorder="1" applyAlignment="1">
      <alignment horizontal="center" vertical="center"/>
    </xf>
    <xf numFmtId="168" fontId="33" fillId="2" borderId="7" xfId="2" applyNumberFormat="1" applyFont="1" applyFill="1" applyBorder="1" applyProtection="1">
      <alignment vertical="center"/>
    </xf>
    <xf numFmtId="0" fontId="24" fillId="7" borderId="0" xfId="0" applyFont="1" applyFill="1" applyBorder="1" applyAlignment="1" applyProtection="1">
      <alignment horizontal="center" vertical="center"/>
    </xf>
    <xf numFmtId="0" fontId="24" fillId="7" borderId="10" xfId="0" applyFont="1" applyFill="1" applyBorder="1" applyAlignment="1" applyProtection="1">
      <alignment horizontal="center" vertical="center"/>
    </xf>
    <xf numFmtId="167" fontId="34" fillId="0" borderId="7" xfId="3" applyNumberFormat="1" applyFont="1" applyBorder="1" applyAlignment="1" applyProtection="1">
      <alignment horizontal="left" vertical="center" wrapText="1" indent="1"/>
    </xf>
    <xf numFmtId="166" fontId="34" fillId="0" borderId="7" xfId="5" applyFont="1" applyBorder="1" applyAlignment="1" applyProtection="1">
      <alignment horizontal="left" vertical="center" wrapText="1" indent="1"/>
    </xf>
    <xf numFmtId="168" fontId="33" fillId="2" borderId="7" xfId="2" applyNumberFormat="1" applyFont="1" applyFill="1" applyBorder="1" applyAlignment="1" applyProtection="1">
      <alignment vertical="center"/>
    </xf>
    <xf numFmtId="0" fontId="33" fillId="2" borderId="7" xfId="2" applyNumberFormat="1" applyFont="1" applyFill="1" applyBorder="1" applyProtection="1">
      <alignment vertical="center"/>
    </xf>
    <xf numFmtId="0" fontId="34" fillId="0" borderId="7" xfId="3" applyFont="1" applyBorder="1" applyAlignment="1" applyProtection="1">
      <alignment horizontal="center" vertical="center" wrapText="1"/>
      <protection locked="0"/>
    </xf>
    <xf numFmtId="0" fontId="34" fillId="0" borderId="7" xfId="3" applyFont="1" applyBorder="1" applyAlignment="1" applyProtection="1">
      <alignment horizontal="left" vertical="center" wrapText="1" indent="1"/>
      <protection locked="0"/>
    </xf>
    <xf numFmtId="167" fontId="34" fillId="0" borderId="7" xfId="3" applyNumberFormat="1" applyFont="1" applyBorder="1" applyAlignment="1" applyProtection="1">
      <alignment horizontal="center" vertical="center" wrapText="1"/>
    </xf>
    <xf numFmtId="14" fontId="34" fillId="0" borderId="7" xfId="4" applyNumberFormat="1" applyFont="1" applyBorder="1" applyAlignment="1" applyProtection="1">
      <alignment horizontal="center" vertical="center" wrapText="1"/>
    </xf>
    <xf numFmtId="0" fontId="35" fillId="2" borderId="7" xfId="6" applyFont="1" applyFill="1" applyBorder="1" applyProtection="1">
      <alignment horizontal="center" vertical="center"/>
    </xf>
    <xf numFmtId="164" fontId="37" fillId="0" borderId="100" xfId="7" applyNumberFormat="1" applyFont="1" applyFill="1" applyBorder="1" applyAlignment="1" applyProtection="1">
      <alignment horizontal="center" vertical="center"/>
    </xf>
    <xf numFmtId="164" fontId="37" fillId="0" borderId="99" xfId="7" applyNumberFormat="1" applyFont="1" applyFill="1" applyBorder="1" applyAlignment="1" applyProtection="1">
      <alignment horizontal="center" vertical="center"/>
    </xf>
    <xf numFmtId="0" fontId="35" fillId="2" borderId="11" xfId="6" applyFont="1" applyFill="1" applyBorder="1" applyProtection="1">
      <alignment horizontal="center" vertical="center"/>
    </xf>
    <xf numFmtId="164" fontId="37" fillId="0" borderId="127" xfId="7" applyNumberFormat="1" applyFont="1" applyFill="1" applyBorder="1" applyAlignment="1" applyProtection="1">
      <alignment horizontal="center" vertical="center"/>
    </xf>
    <xf numFmtId="164" fontId="37" fillId="0" borderId="125" xfId="7" applyNumberFormat="1" applyFont="1" applyFill="1" applyBorder="1" applyAlignment="1" applyProtection="1">
      <alignment horizontal="center" vertical="center"/>
    </xf>
    <xf numFmtId="164" fontId="37" fillId="0" borderId="124" xfId="7" applyNumberFormat="1" applyFont="1" applyFill="1" applyBorder="1" applyAlignment="1" applyProtection="1">
      <alignment horizontal="center" vertical="center"/>
    </xf>
    <xf numFmtId="0" fontId="40" fillId="0" borderId="71" xfId="0" applyFont="1" applyFill="1" applyBorder="1" applyAlignment="1" applyProtection="1">
      <alignment horizontal="right" vertical="center"/>
    </xf>
    <xf numFmtId="0" fontId="40" fillId="0" borderId="83" xfId="0" applyFont="1" applyFill="1" applyBorder="1" applyAlignment="1" applyProtection="1">
      <alignment horizontal="right" vertical="center"/>
    </xf>
    <xf numFmtId="0" fontId="35" fillId="2" borderId="13" xfId="6" applyFont="1" applyFill="1" applyBorder="1" applyProtection="1">
      <alignment horizontal="center" vertical="center"/>
    </xf>
    <xf numFmtId="164" fontId="37" fillId="0" borderId="123" xfId="7" applyNumberFormat="1" applyFont="1" applyFill="1" applyBorder="1" applyAlignment="1" applyProtection="1">
      <alignment horizontal="center" vertical="center"/>
    </xf>
    <xf numFmtId="164" fontId="37" fillId="0" borderId="134" xfId="7" applyNumberFormat="1" applyFont="1" applyFill="1" applyBorder="1" applyAlignment="1" applyProtection="1">
      <alignment horizontal="center" vertical="center"/>
    </xf>
    <xf numFmtId="164" fontId="37" fillId="0" borderId="135" xfId="7" applyNumberFormat="1" applyFont="1" applyFill="1" applyBorder="1" applyAlignment="1" applyProtection="1">
      <alignment horizontal="center" vertical="center"/>
    </xf>
    <xf numFmtId="164" fontId="37" fillId="0" borderId="80" xfId="7" applyNumberFormat="1"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164" fontId="37" fillId="0" borderId="96" xfId="7" applyNumberFormat="1" applyFont="1" applyFill="1" applyBorder="1" applyAlignment="1" applyProtection="1">
      <alignment horizontal="center" vertical="center"/>
    </xf>
    <xf numFmtId="164" fontId="37" fillId="0" borderId="97" xfId="7" applyNumberFormat="1" applyFont="1" applyFill="1" applyBorder="1" applyAlignment="1" applyProtection="1">
      <alignment horizontal="center" vertical="center"/>
    </xf>
    <xf numFmtId="164" fontId="37" fillId="0" borderId="136" xfId="7" applyNumberFormat="1" applyFont="1" applyFill="1" applyBorder="1" applyAlignment="1" applyProtection="1">
      <alignment horizontal="center" vertical="center"/>
    </xf>
    <xf numFmtId="0" fontId="0" fillId="0" borderId="133" xfId="0" applyBorder="1" applyAlignment="1">
      <alignment horizontal="center" vertical="center"/>
    </xf>
    <xf numFmtId="164" fontId="37" fillId="0" borderId="119" xfId="7" applyNumberFormat="1" applyFont="1" applyFill="1" applyBorder="1" applyAlignment="1" applyProtection="1">
      <alignment horizontal="center" vertical="center"/>
    </xf>
    <xf numFmtId="0" fontId="0" fillId="0" borderId="60" xfId="0" applyBorder="1"/>
    <xf numFmtId="0" fontId="54" fillId="0" borderId="50" xfId="0" applyNumberFormat="1" applyFont="1" applyFill="1" applyBorder="1" applyAlignment="1">
      <alignment horizontal="left" vertical="center"/>
    </xf>
    <xf numFmtId="164" fontId="44" fillId="0" borderId="26" xfId="0" applyNumberFormat="1" applyFont="1" applyFill="1" applyBorder="1" applyAlignment="1">
      <alignment horizontal="center" vertical="center"/>
    </xf>
    <xf numFmtId="164" fontId="44" fillId="0" borderId="154" xfId="0" applyNumberFormat="1" applyFont="1" applyFill="1" applyBorder="1" applyAlignment="1">
      <alignment horizontal="center" vertical="center"/>
    </xf>
    <xf numFmtId="164" fontId="0" fillId="0" borderId="26" xfId="0" applyNumberFormat="1" applyFont="1" applyFill="1" applyBorder="1" applyAlignment="1">
      <alignment horizontal="center" vertical="center"/>
    </xf>
    <xf numFmtId="164" fontId="0" fillId="0" borderId="153" xfId="0" applyNumberFormat="1" applyFont="1" applyFill="1" applyBorder="1" applyAlignment="1">
      <alignment horizontal="center"/>
    </xf>
    <xf numFmtId="172" fontId="0" fillId="0" borderId="155" xfId="0" applyNumberFormat="1" applyFont="1" applyFill="1" applyBorder="1" applyAlignment="1">
      <alignment horizontal="center"/>
    </xf>
  </cellXfs>
  <cellStyles count="14">
    <cellStyle name="Attendance Totals" xfId="7"/>
    <cellStyle name="Birthdate" xfId="4"/>
    <cellStyle name="Lien hypertexte" xfId="12" builtinId="8"/>
    <cellStyle name="Month" xfId="6"/>
    <cellStyle name="Normal" xfId="0" builtinId="0" customBuiltin="1"/>
    <cellStyle name="Normal 2" xfId="13"/>
    <cellStyle name="Phone Number" xfId="5"/>
    <cellStyle name="Student Information" xfId="2"/>
    <cellStyle name="Student Information - user entered" xfId="3"/>
    <cellStyle name="Titre" xfId="1" builtinId="15" customBuiltin="1"/>
    <cellStyle name="Titre 1" xfId="10" builtinId="16" customBuiltin="1"/>
    <cellStyle name="Titre 2" xfId="11" builtinId="17" customBuiltin="1"/>
    <cellStyle name="Weekday" xfId="8"/>
    <cellStyle name="Weekend" xfId="9"/>
  </cellStyles>
  <dxfs count="2457">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00B0F0"/>
        </patternFill>
      </fill>
    </dxf>
    <dxf>
      <fill>
        <patternFill>
          <bgColor rgb="FFFFFF00"/>
        </patternFill>
      </fill>
    </dxf>
    <dxf>
      <fill>
        <patternFill>
          <bgColor rgb="FF92D050"/>
        </patternFill>
      </fill>
    </dxf>
    <dxf>
      <fill>
        <patternFill>
          <bgColor rgb="FF666633"/>
        </patternFill>
      </fill>
    </dxf>
    <dxf>
      <fill>
        <patternFill>
          <bgColor theme="6"/>
        </patternFill>
      </fill>
    </dxf>
    <dxf>
      <fill>
        <patternFill>
          <bgColor rgb="FF993366"/>
        </patternFill>
      </fill>
    </dxf>
    <dxf>
      <fill>
        <patternFill>
          <bgColor rgb="FF926F00"/>
        </patternFill>
      </fill>
    </dxf>
    <dxf>
      <fill>
        <patternFill>
          <bgColor rgb="FF00FF00"/>
        </patternFill>
      </fill>
    </dxf>
    <dxf>
      <fill>
        <patternFill>
          <bgColor rgb="FFC00000"/>
        </patternFill>
      </fill>
    </dxf>
    <dxf>
      <fill>
        <patternFill>
          <bgColor rgb="FFFFC000"/>
        </patternFill>
      </fill>
    </dxf>
    <dxf>
      <fill>
        <patternFill>
          <bgColor rgb="FFFF6699"/>
        </patternFill>
      </fill>
    </dxf>
    <dxf>
      <fill>
        <patternFill>
          <bgColor rgb="FF00B050"/>
        </patternFill>
      </fill>
    </dxf>
    <dxf>
      <fill>
        <patternFill>
          <bgColor rgb="FF666633"/>
        </patternFill>
      </fill>
    </dxf>
    <dxf>
      <fill>
        <patternFill>
          <bgColor rgb="FFFF9900"/>
        </patternFill>
      </fill>
    </dxf>
    <dxf>
      <fill>
        <patternFill>
          <bgColor rgb="FF663300"/>
        </patternFill>
      </fill>
    </dxf>
    <dxf>
      <fill>
        <patternFill>
          <bgColor theme="3"/>
        </patternFill>
      </fill>
    </dxf>
    <dxf>
      <fill>
        <patternFill>
          <bgColor rgb="FF969696"/>
        </patternFill>
      </fill>
    </dxf>
    <dxf>
      <font>
        <color rgb="FFFF0000"/>
      </font>
      <fill>
        <patternFill>
          <bgColor rgb="FF000099"/>
        </patternFill>
      </fill>
    </dxf>
    <dxf>
      <fill>
        <patternFill>
          <bgColor theme="4" tint="0.79998168889431442"/>
        </patternFill>
      </fill>
    </dxf>
    <dxf>
      <fill>
        <patternFill>
          <bgColor rgb="FFFF33CC"/>
        </patternFill>
      </fill>
    </dxf>
    <dxf>
      <fill>
        <patternFill>
          <bgColor rgb="FF4D4D4D"/>
        </patternFill>
      </fill>
    </dxf>
    <dxf>
      <font>
        <color rgb="FFFF0000"/>
      </font>
      <fill>
        <patternFill>
          <bgColor rgb="FF000099"/>
        </patternFill>
      </fill>
    </dxf>
    <dxf>
      <fill>
        <patternFill>
          <bgColor theme="4" tint="0.79998168889431442"/>
        </patternFill>
      </fill>
    </dxf>
    <dxf>
      <fill>
        <patternFill>
          <bgColor rgb="FFFF33CC"/>
        </patternFill>
      </fill>
    </dxf>
    <dxf>
      <fill>
        <patternFill>
          <bgColor rgb="FF4D4D4D"/>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00B0F0"/>
        </patternFill>
      </fill>
    </dxf>
    <dxf>
      <fill>
        <patternFill>
          <bgColor rgb="FFFFFF00"/>
        </patternFill>
      </fill>
    </dxf>
    <dxf>
      <fill>
        <patternFill>
          <bgColor rgb="FF92D050"/>
        </patternFill>
      </fill>
    </dxf>
    <dxf>
      <fill>
        <patternFill>
          <bgColor rgb="FF666633"/>
        </patternFill>
      </fill>
    </dxf>
    <dxf>
      <fill>
        <patternFill>
          <bgColor theme="6"/>
        </patternFill>
      </fill>
    </dxf>
    <dxf>
      <fill>
        <patternFill>
          <bgColor rgb="FF993366"/>
        </patternFill>
      </fill>
    </dxf>
    <dxf>
      <fill>
        <patternFill>
          <bgColor rgb="FF926F00"/>
        </patternFill>
      </fill>
    </dxf>
    <dxf>
      <fill>
        <patternFill>
          <bgColor rgb="FF00FF00"/>
        </patternFill>
      </fill>
    </dxf>
    <dxf>
      <fill>
        <patternFill>
          <bgColor rgb="FFC00000"/>
        </patternFill>
      </fill>
    </dxf>
    <dxf>
      <fill>
        <patternFill>
          <bgColor rgb="FFFFC000"/>
        </patternFill>
      </fill>
    </dxf>
    <dxf>
      <fill>
        <patternFill>
          <bgColor rgb="FFFF6699"/>
        </patternFill>
      </fill>
    </dxf>
    <dxf>
      <fill>
        <patternFill>
          <bgColor rgb="FF00B050"/>
        </patternFill>
      </fill>
    </dxf>
    <dxf>
      <fill>
        <patternFill>
          <bgColor rgb="FF666633"/>
        </patternFill>
      </fill>
    </dxf>
    <dxf>
      <fill>
        <patternFill>
          <bgColor rgb="FFFF9900"/>
        </patternFill>
      </fill>
    </dxf>
    <dxf>
      <fill>
        <patternFill>
          <bgColor rgb="FF663300"/>
        </patternFill>
      </fill>
    </dxf>
    <dxf>
      <fill>
        <patternFill>
          <bgColor theme="3"/>
        </patternFill>
      </fill>
    </dxf>
    <dxf>
      <fill>
        <patternFill>
          <bgColor rgb="FF969696"/>
        </patternFill>
      </fill>
    </dxf>
    <dxf>
      <font>
        <color rgb="FFFF0000"/>
      </font>
      <fill>
        <patternFill>
          <bgColor rgb="FF000099"/>
        </patternFill>
      </fill>
    </dxf>
    <dxf>
      <fill>
        <patternFill>
          <bgColor theme="4" tint="0.79998168889431442"/>
        </patternFill>
      </fill>
    </dxf>
    <dxf>
      <fill>
        <patternFill>
          <bgColor rgb="FFFF33CC"/>
        </patternFill>
      </fill>
    </dxf>
    <dxf>
      <fill>
        <patternFill>
          <bgColor rgb="FF4D4D4D"/>
        </patternFill>
      </fill>
    </dxf>
    <dxf>
      <fill>
        <patternFill>
          <bgColor rgb="FFFF9900"/>
        </patternFill>
      </fill>
    </dxf>
    <dxf>
      <fill>
        <patternFill>
          <bgColor rgb="FF808000"/>
        </patternFill>
      </fill>
    </dxf>
    <dxf>
      <fill>
        <patternFill>
          <bgColor rgb="FF996633"/>
        </patternFill>
      </fill>
    </dxf>
    <dxf>
      <fill>
        <patternFill>
          <bgColor rgb="FF8C5FCF"/>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00B0F0"/>
        </patternFill>
      </fill>
    </dxf>
    <dxf>
      <fill>
        <patternFill>
          <bgColor rgb="FFFFFF00"/>
        </patternFill>
      </fill>
    </dxf>
    <dxf>
      <fill>
        <patternFill>
          <bgColor rgb="FF92D050"/>
        </patternFill>
      </fill>
    </dxf>
    <dxf>
      <fill>
        <patternFill>
          <bgColor rgb="FF666633"/>
        </patternFill>
      </fill>
    </dxf>
    <dxf>
      <fill>
        <patternFill>
          <bgColor theme="6"/>
        </patternFill>
      </fill>
    </dxf>
    <dxf>
      <fill>
        <patternFill>
          <bgColor rgb="FF993366"/>
        </patternFill>
      </fill>
    </dxf>
    <dxf>
      <fill>
        <patternFill>
          <bgColor rgb="FF926F00"/>
        </patternFill>
      </fill>
    </dxf>
    <dxf>
      <fill>
        <patternFill>
          <bgColor rgb="FF00FF00"/>
        </patternFill>
      </fill>
    </dxf>
    <dxf>
      <fill>
        <patternFill>
          <bgColor rgb="FFC00000"/>
        </patternFill>
      </fill>
    </dxf>
    <dxf>
      <fill>
        <patternFill>
          <bgColor rgb="FFFFC000"/>
        </patternFill>
      </fill>
    </dxf>
    <dxf>
      <fill>
        <patternFill>
          <bgColor rgb="FFFF6699"/>
        </patternFill>
      </fill>
    </dxf>
    <dxf>
      <fill>
        <patternFill>
          <bgColor rgb="FF00B050"/>
        </patternFill>
      </fill>
    </dxf>
    <dxf>
      <fill>
        <patternFill>
          <bgColor rgb="FF666633"/>
        </patternFill>
      </fill>
    </dxf>
    <dxf>
      <fill>
        <patternFill>
          <bgColor rgb="FFFF9900"/>
        </patternFill>
      </fill>
    </dxf>
    <dxf>
      <fill>
        <patternFill>
          <bgColor rgb="FF663300"/>
        </patternFill>
      </fill>
    </dxf>
    <dxf>
      <fill>
        <patternFill>
          <bgColor theme="3"/>
        </patternFill>
      </fill>
    </dxf>
    <dxf>
      <fill>
        <patternFill>
          <bgColor rgb="FF969696"/>
        </patternFill>
      </fill>
    </dxf>
    <dxf>
      <fill>
        <patternFill>
          <bgColor rgb="FF808000"/>
        </patternFill>
      </fill>
    </dxf>
    <dxf>
      <fill>
        <patternFill>
          <bgColor theme="7"/>
        </patternFill>
      </fill>
    </dxf>
    <dxf>
      <fill>
        <patternFill>
          <bgColor rgb="FFFFFF00"/>
        </patternFill>
      </fill>
    </dxf>
    <dxf>
      <fill>
        <patternFill>
          <bgColor theme="8"/>
        </patternFill>
      </fill>
    </dxf>
    <dxf>
      <fill>
        <patternFill>
          <bgColor rgb="FF3333CC"/>
        </patternFill>
      </fill>
    </dxf>
    <dxf>
      <fill>
        <patternFill>
          <bgColor rgb="FF336600"/>
        </patternFill>
      </fill>
    </dxf>
    <dxf>
      <fill>
        <patternFill>
          <bgColor theme="6"/>
        </patternFill>
      </fill>
    </dxf>
    <dxf>
      <fill>
        <patternFill>
          <bgColor rgb="FFCC00FF"/>
        </patternFill>
      </fill>
    </dxf>
    <dxf>
      <fill>
        <patternFill>
          <bgColor rgb="FF996600"/>
        </patternFill>
      </fill>
    </dxf>
    <dxf>
      <fill>
        <patternFill>
          <bgColor rgb="FF00FF00"/>
        </patternFill>
      </fill>
    </dxf>
    <dxf>
      <fill>
        <patternFill>
          <bgColor rgb="FFC00000"/>
        </patternFill>
      </fill>
    </dxf>
    <dxf>
      <fill>
        <patternFill>
          <bgColor rgb="FFFFC000"/>
        </patternFill>
      </fill>
    </dxf>
    <dxf>
      <fill>
        <patternFill>
          <bgColor rgb="FFFF66CC"/>
        </patternFill>
      </fill>
    </dxf>
    <dxf>
      <fill>
        <patternFill>
          <bgColor rgb="FF00B050"/>
        </patternFill>
      </fill>
    </dxf>
    <dxf>
      <fill>
        <patternFill>
          <bgColor rgb="FFFF33CC"/>
        </patternFill>
      </fill>
    </dxf>
    <dxf>
      <fill>
        <patternFill>
          <bgColor rgb="FFEAEAEA"/>
        </patternFill>
      </fill>
    </dxf>
    <dxf>
      <font>
        <color rgb="FFFF0000"/>
      </font>
      <fill>
        <patternFill>
          <bgColor rgb="FF0000FF"/>
        </patternFill>
      </fill>
    </dxf>
    <dxf>
      <fill>
        <patternFill>
          <bgColor rgb="FFB2B2B2"/>
        </patternFill>
      </fill>
    </dxf>
    <dxf>
      <font>
        <color rgb="FFFF0000"/>
      </font>
      <fill>
        <patternFill>
          <bgColor theme="5" tint="-0.499984740745262"/>
        </patternFill>
      </fill>
    </dxf>
    <dxf>
      <fill>
        <patternFill>
          <bgColor rgb="FFBC8F00"/>
        </patternFill>
      </fill>
    </dxf>
    <dxf>
      <fill>
        <patternFill>
          <bgColor rgb="FF41631B"/>
        </patternFill>
      </fill>
    </dxf>
    <dxf>
      <fill>
        <patternFill>
          <bgColor rgb="FF663300"/>
        </patternFill>
      </fill>
    </dxf>
    <dxf>
      <fill>
        <patternFill>
          <bgColor rgb="FF5F5F5F"/>
        </patternFill>
      </fill>
    </dxf>
    <dxf>
      <fill>
        <patternFill>
          <bgColor rgb="FFCCFF66"/>
        </patternFill>
      </fill>
    </dxf>
    <dxf>
      <fill>
        <patternFill>
          <bgColor rgb="FF00B0F0"/>
        </patternFill>
      </fill>
    </dxf>
    <dxf>
      <fill>
        <patternFill>
          <bgColor theme="9" tint="-0.24994659260841701"/>
        </patternFill>
      </fill>
    </dxf>
    <dxf>
      <fill>
        <patternFill>
          <bgColor theme="7"/>
        </patternFill>
      </fill>
    </dxf>
    <dxf>
      <fill>
        <patternFill>
          <bgColor rgb="FFFFFF00"/>
        </patternFill>
      </fill>
    </dxf>
    <dxf>
      <fill>
        <patternFill>
          <bgColor theme="8"/>
        </patternFill>
      </fill>
    </dxf>
    <dxf>
      <fill>
        <patternFill>
          <bgColor rgb="FF6666FF"/>
        </patternFill>
      </fill>
    </dxf>
    <dxf>
      <fill>
        <patternFill>
          <bgColor theme="9" tint="-0.499984740745262"/>
        </patternFill>
      </fill>
    </dxf>
    <dxf>
      <fill>
        <patternFill>
          <bgColor theme="6"/>
        </patternFill>
      </fill>
    </dxf>
    <dxf>
      <fill>
        <patternFill>
          <bgColor rgb="FF990099"/>
        </patternFill>
      </fill>
    </dxf>
    <dxf>
      <fill>
        <patternFill>
          <bgColor rgb="FFCC9900"/>
        </patternFill>
      </fill>
    </dxf>
    <dxf>
      <fill>
        <patternFill>
          <bgColor rgb="FF00FF00"/>
        </patternFill>
      </fill>
    </dxf>
    <dxf>
      <fill>
        <patternFill>
          <bgColor rgb="FFC00000"/>
        </patternFill>
      </fill>
    </dxf>
    <dxf>
      <fill>
        <patternFill>
          <bgColor rgb="FFFFC000"/>
        </patternFill>
      </fill>
    </dxf>
    <dxf>
      <fill>
        <patternFill>
          <bgColor rgb="FFFF66FF"/>
        </patternFill>
      </fill>
    </dxf>
    <dxf>
      <fill>
        <patternFill>
          <bgColor rgb="FF00B050"/>
        </patternFill>
      </fill>
    </dxf>
    <dxf>
      <fill>
        <patternFill>
          <bgColor rgb="FFFF33CC"/>
        </patternFill>
      </fill>
    </dxf>
    <dxf>
      <font>
        <color rgb="FFFF0000"/>
      </font>
      <fill>
        <patternFill>
          <bgColor theme="4" tint="-0.499984740745262"/>
        </patternFill>
      </fill>
    </dxf>
    <dxf>
      <fill>
        <patternFill>
          <bgColor rgb="FFC49500"/>
        </patternFill>
      </fill>
    </dxf>
    <dxf>
      <fill>
        <patternFill>
          <bgColor theme="9" tint="-0.499984740745262"/>
        </patternFill>
      </fill>
    </dxf>
    <dxf>
      <fill>
        <patternFill>
          <bgColor rgb="FF663300"/>
        </patternFill>
      </fill>
    </dxf>
    <dxf>
      <fill>
        <patternFill>
          <bgColor rgb="FF4D4D4D"/>
        </patternFill>
      </fill>
    </dxf>
    <dxf>
      <fill>
        <patternFill>
          <bgColor rgb="FFCCFF66"/>
        </patternFill>
      </fill>
    </dxf>
    <dxf>
      <fill>
        <patternFill>
          <bgColor rgb="FF00B0F0"/>
        </patternFill>
      </fill>
    </dxf>
    <dxf>
      <fill>
        <patternFill>
          <bgColor theme="9" tint="-0.24994659260841701"/>
        </patternFill>
      </fill>
    </dxf>
    <dxf>
      <font>
        <color theme="4" tint="0.79998168889431442"/>
      </font>
    </dxf>
    <dxf>
      <fill>
        <patternFill>
          <bgColor theme="8" tint="0.59996337778862885"/>
        </patternFill>
      </fill>
    </dxf>
    <dxf>
      <fill>
        <patternFill>
          <bgColor theme="8" tint="0.79998168889431442"/>
        </patternFill>
      </fill>
    </dxf>
    <dxf>
      <fill>
        <patternFill>
          <bgColor theme="6"/>
        </patternFill>
      </fill>
    </dxf>
    <dxf>
      <fill>
        <patternFill>
          <bgColor theme="5"/>
        </patternFill>
      </fill>
    </dxf>
    <dxf>
      <fill>
        <patternFill>
          <bgColor theme="7"/>
        </patternFill>
      </fill>
    </dxf>
    <dxf>
      <fill>
        <patternFill>
          <bgColor rgb="FFFFFF00"/>
        </patternFill>
      </fill>
    </dxf>
    <dxf>
      <fill>
        <patternFill>
          <bgColor theme="8"/>
        </patternFill>
      </fill>
    </dxf>
    <dxf>
      <fill>
        <patternFill>
          <bgColor rgb="FF6666FF"/>
        </patternFill>
      </fill>
    </dxf>
    <dxf>
      <fill>
        <patternFill>
          <bgColor rgb="FF666633"/>
        </patternFill>
      </fill>
    </dxf>
    <dxf>
      <fill>
        <patternFill>
          <bgColor theme="6"/>
        </patternFill>
      </fill>
    </dxf>
    <dxf>
      <fill>
        <patternFill>
          <bgColor rgb="FFCC00CC"/>
        </patternFill>
      </fill>
    </dxf>
    <dxf>
      <fill>
        <patternFill>
          <bgColor rgb="FF996600"/>
        </patternFill>
      </fill>
    </dxf>
    <dxf>
      <fill>
        <patternFill>
          <bgColor rgb="FF00FF00"/>
        </patternFill>
      </fill>
    </dxf>
    <dxf>
      <fill>
        <patternFill>
          <bgColor rgb="FFC00000"/>
        </patternFill>
      </fill>
    </dxf>
    <dxf>
      <fill>
        <patternFill>
          <bgColor rgb="FFFFC000"/>
        </patternFill>
      </fill>
    </dxf>
    <dxf>
      <fill>
        <patternFill>
          <bgColor rgb="FFFF66FF"/>
        </patternFill>
      </fill>
    </dxf>
    <dxf>
      <fill>
        <patternFill>
          <bgColor rgb="FF00B050"/>
        </patternFill>
      </fill>
    </dxf>
    <dxf>
      <fill>
        <patternFill>
          <bgColor rgb="FF663300"/>
        </patternFill>
      </fill>
    </dxf>
    <dxf>
      <fill>
        <patternFill>
          <bgColor rgb="FF666633"/>
        </patternFill>
      </fill>
    </dxf>
    <dxf>
      <fill>
        <patternFill>
          <bgColor rgb="FFFF9900"/>
        </patternFill>
      </fill>
    </dxf>
    <dxf>
      <font>
        <color rgb="FFFF0000"/>
      </font>
      <fill>
        <patternFill>
          <bgColor rgb="FF003366"/>
        </patternFill>
      </fill>
    </dxf>
    <dxf>
      <fill>
        <patternFill>
          <bgColor rgb="FF969696"/>
        </patternFill>
      </fill>
    </dxf>
    <dxf>
      <fill>
        <patternFill>
          <bgColor rgb="FF99FFCC"/>
        </patternFill>
      </fill>
    </dxf>
    <dxf>
      <font>
        <color rgb="FFFF0000"/>
      </font>
      <fill>
        <patternFill patternType="solid">
          <fgColor rgb="FF000099"/>
          <bgColor rgb="FF0000FF"/>
        </patternFill>
      </fill>
    </dxf>
    <dxf>
      <fill>
        <patternFill>
          <bgColor rgb="FF4D4D4D"/>
        </patternFill>
      </fill>
    </dxf>
    <dxf>
      <fill>
        <patternFill>
          <bgColor rgb="FFCC3399"/>
        </patternFill>
      </fill>
    </dxf>
    <dxf>
      <fill>
        <patternFill>
          <bgColor rgb="FFCCFF66"/>
        </patternFill>
      </fill>
    </dxf>
    <dxf>
      <fill>
        <patternFill>
          <bgColor rgb="FF00B0F0"/>
        </patternFill>
      </fill>
    </dxf>
    <dxf>
      <fill>
        <patternFill>
          <bgColor theme="9" tint="-0.24994659260841701"/>
        </patternFill>
      </fill>
    </dxf>
    <dxf>
      <fill>
        <patternFill>
          <bgColor rgb="FF808000"/>
        </patternFill>
      </fill>
    </dxf>
    <dxf>
      <fill>
        <patternFill>
          <bgColor rgb="FFFF9900"/>
        </patternFill>
      </fill>
    </dxf>
    <dxf>
      <fill>
        <patternFill>
          <bgColor rgb="FF00B0F0"/>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FFFF00"/>
        </patternFill>
      </fill>
    </dxf>
    <dxf>
      <fill>
        <patternFill>
          <bgColor rgb="FF92D050"/>
        </patternFill>
      </fill>
    </dxf>
    <dxf>
      <fill>
        <patternFill>
          <bgColor rgb="FF6666FF"/>
        </patternFill>
      </fill>
    </dxf>
    <dxf>
      <fill>
        <patternFill>
          <bgColor rgb="FF5C5208"/>
        </patternFill>
      </fill>
    </dxf>
    <dxf>
      <fill>
        <patternFill>
          <bgColor theme="6"/>
        </patternFill>
      </fill>
    </dxf>
    <dxf>
      <fill>
        <patternFill>
          <bgColor rgb="FFCC0099"/>
        </patternFill>
      </fill>
    </dxf>
    <dxf>
      <fill>
        <patternFill>
          <bgColor rgb="FF996600"/>
        </patternFill>
      </fill>
    </dxf>
    <dxf>
      <fill>
        <patternFill>
          <bgColor rgb="FF00FF00"/>
        </patternFill>
      </fill>
    </dxf>
    <dxf>
      <fill>
        <patternFill>
          <bgColor rgb="FFC00000"/>
        </patternFill>
      </fill>
    </dxf>
    <dxf>
      <fill>
        <patternFill>
          <bgColor rgb="FFFFC000"/>
        </patternFill>
      </fill>
    </dxf>
    <dxf>
      <fill>
        <patternFill>
          <bgColor rgb="FFFF66FF"/>
        </patternFill>
      </fill>
    </dxf>
    <dxf>
      <fill>
        <patternFill>
          <bgColor rgb="FF00B050"/>
        </patternFill>
      </fill>
    </dxf>
    <dxf>
      <fill>
        <patternFill>
          <bgColor rgb="FF996633"/>
        </patternFill>
      </fill>
    </dxf>
    <dxf>
      <fill>
        <patternFill>
          <bgColor rgb="FF808000"/>
        </patternFill>
      </fill>
    </dxf>
    <dxf>
      <fill>
        <patternFill>
          <bgColor rgb="FFFF9900"/>
        </patternFill>
      </fill>
    </dxf>
    <dxf>
      <font>
        <color rgb="FFFF0000"/>
      </font>
      <fill>
        <patternFill>
          <bgColor theme="4" tint="-0.499984740745262"/>
        </patternFill>
      </fill>
    </dxf>
    <dxf>
      <fill>
        <patternFill>
          <bgColor rgb="FF969696"/>
        </patternFill>
      </fill>
    </dxf>
    <dxf>
      <font>
        <color rgb="FFFF0000"/>
      </font>
      <fill>
        <patternFill>
          <bgColor rgb="FF0000CC"/>
        </patternFill>
      </fill>
    </dxf>
    <dxf>
      <fill>
        <patternFill>
          <bgColor rgb="FFCCFFFF"/>
        </patternFill>
      </fill>
    </dxf>
    <dxf>
      <fill>
        <patternFill>
          <bgColor rgb="FFFF33CC"/>
        </patternFill>
      </fill>
    </dxf>
    <dxf>
      <fill>
        <patternFill>
          <bgColor rgb="FF4D4D4D"/>
        </patternFill>
      </fill>
    </dxf>
    <dxf>
      <fill>
        <patternFill>
          <bgColor rgb="FFCCFF66"/>
        </patternFill>
      </fill>
    </dxf>
    <dxf>
      <fill>
        <patternFill>
          <bgColor rgb="FFCCFF66"/>
        </patternFill>
      </fill>
    </dxf>
    <dxf>
      <fill>
        <patternFill>
          <bgColor rgb="FFFFFF00"/>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FFFF00"/>
        </patternFill>
      </fill>
    </dxf>
    <dxf>
      <fill>
        <patternFill>
          <bgColor rgb="FF92D050"/>
        </patternFill>
      </fill>
    </dxf>
    <dxf>
      <fill>
        <patternFill>
          <bgColor theme="6"/>
        </patternFill>
      </fill>
    </dxf>
    <dxf>
      <fill>
        <patternFill>
          <bgColor rgb="FF6666FF"/>
        </patternFill>
      </fill>
    </dxf>
    <dxf>
      <fill>
        <patternFill>
          <bgColor rgb="FF996600"/>
        </patternFill>
      </fill>
    </dxf>
    <dxf>
      <fill>
        <patternFill>
          <bgColor rgb="FFCC0099"/>
        </patternFill>
      </fill>
    </dxf>
    <dxf>
      <fill>
        <patternFill>
          <bgColor rgb="FFA88000"/>
        </patternFill>
      </fill>
    </dxf>
    <dxf>
      <fill>
        <patternFill>
          <bgColor rgb="FF00FF00"/>
        </patternFill>
      </fill>
    </dxf>
    <dxf>
      <fill>
        <patternFill>
          <bgColor rgb="FFC00000"/>
        </patternFill>
      </fill>
    </dxf>
    <dxf>
      <fill>
        <patternFill>
          <bgColor rgb="FFFFC000"/>
        </patternFill>
      </fill>
    </dxf>
    <dxf>
      <fill>
        <patternFill>
          <bgColor rgb="FFFF33CC"/>
        </patternFill>
      </fill>
    </dxf>
    <dxf>
      <fill>
        <patternFill>
          <bgColor rgb="FF00B050"/>
        </patternFill>
      </fill>
    </dxf>
    <dxf>
      <fill>
        <patternFill>
          <bgColor rgb="FF663300"/>
        </patternFill>
      </fill>
    </dxf>
    <dxf>
      <fill>
        <patternFill>
          <bgColor rgb="FF666633"/>
        </patternFill>
      </fill>
    </dxf>
    <dxf>
      <fill>
        <patternFill>
          <bgColor rgb="FFFF9900"/>
        </patternFill>
      </fill>
    </dxf>
    <dxf>
      <fill>
        <patternFill>
          <bgColor rgb="FF003399"/>
        </patternFill>
      </fill>
    </dxf>
    <dxf>
      <fill>
        <patternFill>
          <bgColor rgb="FF969696"/>
        </patternFill>
      </fill>
    </dxf>
    <dxf>
      <font>
        <color rgb="FFFF0000"/>
      </font>
      <fill>
        <patternFill>
          <bgColor rgb="FF000099"/>
        </patternFill>
      </fill>
    </dxf>
    <dxf>
      <fill>
        <patternFill>
          <bgColor rgb="FFCCFFCC"/>
        </patternFill>
      </fill>
    </dxf>
    <dxf>
      <fill>
        <patternFill>
          <bgColor rgb="FFFF0066"/>
        </patternFill>
      </fill>
    </dxf>
    <dxf>
      <fill>
        <patternFill>
          <bgColor rgb="FF4D4D4D"/>
        </patternFill>
      </fill>
    </dxf>
    <dxf>
      <fill>
        <patternFill>
          <bgColor rgb="FF00B0F0"/>
        </patternFill>
      </fill>
    </dxf>
    <dxf>
      <fill>
        <patternFill>
          <bgColor rgb="FF808000"/>
        </patternFill>
      </fill>
    </dxf>
    <dxf>
      <fill>
        <patternFill>
          <bgColor rgb="FFFF9900"/>
        </patternFill>
      </fill>
    </dxf>
    <dxf>
      <fill>
        <patternFill>
          <bgColor rgb="FF808000"/>
        </patternFill>
      </fill>
    </dxf>
    <dxf>
      <fill>
        <patternFill>
          <bgColor rgb="FFFF9900"/>
        </patternFill>
      </fill>
    </dxf>
    <dxf>
      <fill>
        <patternFill>
          <bgColor rgb="FFCCFF66"/>
        </patternFill>
      </fill>
    </dxf>
    <dxf>
      <fill>
        <patternFill>
          <bgColor rgb="FFFFFF00"/>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FFFF00"/>
        </patternFill>
      </fill>
    </dxf>
    <dxf>
      <fill>
        <patternFill>
          <bgColor rgb="FF92D050"/>
        </patternFill>
      </fill>
    </dxf>
    <dxf>
      <fill>
        <patternFill>
          <bgColor theme="6"/>
        </patternFill>
      </fill>
    </dxf>
    <dxf>
      <fill>
        <patternFill>
          <bgColor rgb="FF6666FF"/>
        </patternFill>
      </fill>
    </dxf>
    <dxf>
      <fill>
        <patternFill>
          <bgColor rgb="FF996600"/>
        </patternFill>
      </fill>
    </dxf>
    <dxf>
      <fill>
        <patternFill>
          <bgColor rgb="FFCC0099"/>
        </patternFill>
      </fill>
    </dxf>
    <dxf>
      <fill>
        <patternFill>
          <bgColor rgb="FFA88000"/>
        </patternFill>
      </fill>
    </dxf>
    <dxf>
      <fill>
        <patternFill>
          <bgColor rgb="FF00FF00"/>
        </patternFill>
      </fill>
    </dxf>
    <dxf>
      <fill>
        <patternFill>
          <bgColor rgb="FFC00000"/>
        </patternFill>
      </fill>
    </dxf>
    <dxf>
      <fill>
        <patternFill>
          <bgColor rgb="FFFFC000"/>
        </patternFill>
      </fill>
    </dxf>
    <dxf>
      <fill>
        <patternFill>
          <bgColor rgb="FFFF33CC"/>
        </patternFill>
      </fill>
    </dxf>
    <dxf>
      <fill>
        <patternFill>
          <bgColor rgb="FF00B050"/>
        </patternFill>
      </fill>
    </dxf>
    <dxf>
      <fill>
        <patternFill>
          <bgColor rgb="FF663300"/>
        </patternFill>
      </fill>
    </dxf>
    <dxf>
      <fill>
        <patternFill>
          <bgColor rgb="FF666633"/>
        </patternFill>
      </fill>
    </dxf>
    <dxf>
      <fill>
        <patternFill>
          <bgColor rgb="FFFF9900"/>
        </patternFill>
      </fill>
    </dxf>
    <dxf>
      <fill>
        <patternFill>
          <bgColor rgb="FF003399"/>
        </patternFill>
      </fill>
    </dxf>
    <dxf>
      <fill>
        <patternFill>
          <bgColor rgb="FF969696"/>
        </patternFill>
      </fill>
    </dxf>
    <dxf>
      <font>
        <color rgb="FFFF0000"/>
      </font>
      <fill>
        <patternFill>
          <bgColor rgb="FF000099"/>
        </patternFill>
      </fill>
    </dxf>
    <dxf>
      <fill>
        <patternFill>
          <bgColor rgb="FFCCFFCC"/>
        </patternFill>
      </fill>
    </dxf>
    <dxf>
      <fill>
        <patternFill>
          <bgColor rgb="FFFF0066"/>
        </patternFill>
      </fill>
    </dxf>
    <dxf>
      <fill>
        <patternFill>
          <bgColor rgb="FF4D4D4D"/>
        </patternFill>
      </fill>
    </dxf>
    <dxf>
      <fill>
        <patternFill>
          <bgColor rgb="FF00B0F0"/>
        </patternFill>
      </fill>
    </dxf>
    <dxf>
      <fill>
        <patternFill>
          <bgColor rgb="FFFF9900"/>
        </patternFill>
      </fill>
    </dxf>
    <dxf>
      <fill>
        <patternFill>
          <bgColor rgb="FF808000"/>
        </patternFill>
      </fill>
    </dxf>
    <dxf>
      <fill>
        <patternFill>
          <bgColor rgb="FF996633"/>
        </patternFill>
      </fill>
    </dxf>
    <dxf>
      <fill>
        <patternFill>
          <bgColor theme="7"/>
        </patternFill>
      </fill>
    </dxf>
    <dxf>
      <fill>
        <patternFill>
          <bgColor theme="6"/>
        </patternFill>
      </fill>
    </dxf>
    <dxf>
      <fill>
        <patternFill>
          <bgColor theme="8" tint="0.59996337778862885"/>
        </patternFill>
      </fill>
    </dxf>
    <dxf>
      <fill>
        <patternFill>
          <bgColor rgb="FFFFFF00"/>
        </patternFill>
      </fill>
    </dxf>
    <dxf>
      <fill>
        <patternFill>
          <bgColor theme="8"/>
        </patternFill>
      </fill>
    </dxf>
    <dxf>
      <fill>
        <patternFill>
          <bgColor theme="5"/>
        </patternFill>
      </fill>
    </dxf>
    <dxf>
      <fill>
        <patternFill>
          <bgColor rgb="FF6666FF"/>
        </patternFill>
      </fill>
    </dxf>
    <dxf>
      <fill>
        <patternFill>
          <bgColor rgb="FF00B0F0"/>
        </patternFill>
      </fill>
    </dxf>
    <dxf>
      <fill>
        <patternFill>
          <bgColor rgb="FF996633"/>
        </patternFill>
      </fill>
    </dxf>
    <dxf>
      <fill>
        <patternFill>
          <bgColor rgb="FFCC00CC"/>
        </patternFill>
      </fill>
    </dxf>
    <dxf>
      <fill>
        <patternFill>
          <bgColor rgb="FFA88000"/>
        </patternFill>
      </fill>
    </dxf>
    <dxf>
      <fill>
        <patternFill>
          <bgColor rgb="FF00FF00"/>
        </patternFill>
      </fill>
    </dxf>
    <dxf>
      <fill>
        <patternFill>
          <bgColor rgb="FFC00000"/>
        </patternFill>
      </fill>
    </dxf>
    <dxf>
      <fill>
        <patternFill>
          <bgColor rgb="FFFFC000"/>
        </patternFill>
      </fill>
    </dxf>
    <dxf>
      <fill>
        <patternFill>
          <bgColor rgb="FFFF66CC"/>
        </patternFill>
      </fill>
    </dxf>
    <dxf>
      <fill>
        <patternFill>
          <bgColor rgb="FF00B050"/>
        </patternFill>
      </fill>
    </dxf>
    <dxf>
      <fill>
        <patternFill>
          <bgColor rgb="FF663300"/>
        </patternFill>
      </fill>
    </dxf>
    <dxf>
      <fill>
        <patternFill>
          <bgColor rgb="FF666633"/>
        </patternFill>
      </fill>
    </dxf>
    <dxf>
      <fill>
        <patternFill>
          <bgColor rgb="FFFF9900"/>
        </patternFill>
      </fill>
    </dxf>
    <dxf>
      <fill>
        <patternFill>
          <bgColor theme="3" tint="-0.24994659260841701"/>
        </patternFill>
      </fill>
    </dxf>
    <dxf>
      <fill>
        <patternFill>
          <bgColor rgb="FF777777"/>
        </patternFill>
      </fill>
    </dxf>
    <dxf>
      <font>
        <color rgb="FFFF0000"/>
      </font>
      <fill>
        <patternFill>
          <bgColor rgb="FF000066"/>
        </patternFill>
      </fill>
    </dxf>
    <dxf>
      <fill>
        <patternFill>
          <bgColor rgb="FFCCFFCC"/>
        </patternFill>
      </fill>
    </dxf>
    <dxf>
      <fill>
        <patternFill>
          <bgColor rgb="FFF420D6"/>
        </patternFill>
      </fill>
    </dxf>
    <dxf>
      <fill>
        <patternFill>
          <bgColor rgb="FF5F5F5F"/>
        </patternFill>
      </fill>
    </dxf>
    <dxf>
      <fill>
        <patternFill>
          <bgColor theme="8" tint="0.39994506668294322"/>
        </patternFill>
      </fill>
    </dxf>
    <dxf>
      <fill>
        <patternFill>
          <bgColor rgb="FFCCFF66"/>
        </patternFill>
      </fill>
    </dxf>
    <dxf>
      <fill>
        <patternFill>
          <bgColor rgb="FF00B0F0"/>
        </patternFill>
      </fill>
    </dxf>
    <dxf>
      <fill>
        <patternFill>
          <bgColor theme="9" tint="-0.24994659260841701"/>
        </patternFill>
      </fill>
    </dxf>
    <dxf>
      <fill>
        <patternFill>
          <bgColor theme="5" tint="0.59996337778862885"/>
        </patternFill>
      </fill>
    </dxf>
    <dxf>
      <fill>
        <patternFill>
          <bgColor rgb="FFB4CD6D"/>
        </patternFill>
      </fill>
    </dxf>
    <dxf>
      <fill>
        <patternFill>
          <bgColor rgb="FFFF9900"/>
        </patternFill>
      </fill>
    </dxf>
    <dxf>
      <fill>
        <patternFill>
          <bgColor rgb="FF808000"/>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00B0F0"/>
        </patternFill>
      </fill>
    </dxf>
    <dxf>
      <fill>
        <patternFill>
          <bgColor rgb="FFFFFF00"/>
        </patternFill>
      </fill>
    </dxf>
    <dxf>
      <fill>
        <patternFill>
          <bgColor rgb="FF92D050"/>
        </patternFill>
      </fill>
    </dxf>
    <dxf>
      <fill>
        <patternFill>
          <bgColor rgb="FF666633"/>
        </patternFill>
      </fill>
    </dxf>
    <dxf>
      <fill>
        <patternFill>
          <bgColor theme="6"/>
        </patternFill>
      </fill>
    </dxf>
    <dxf>
      <fill>
        <patternFill>
          <bgColor rgb="FF993366"/>
        </patternFill>
      </fill>
    </dxf>
    <dxf>
      <fill>
        <patternFill>
          <bgColor rgb="FF926F00"/>
        </patternFill>
      </fill>
    </dxf>
    <dxf>
      <fill>
        <patternFill>
          <bgColor rgb="FF00FF00"/>
        </patternFill>
      </fill>
    </dxf>
    <dxf>
      <fill>
        <patternFill>
          <bgColor rgb="FFC00000"/>
        </patternFill>
      </fill>
    </dxf>
    <dxf>
      <fill>
        <patternFill>
          <bgColor rgb="FFFFC000"/>
        </patternFill>
      </fill>
    </dxf>
    <dxf>
      <fill>
        <patternFill>
          <bgColor rgb="FFFF6699"/>
        </patternFill>
      </fill>
    </dxf>
    <dxf>
      <fill>
        <patternFill>
          <bgColor rgb="FF00B050"/>
        </patternFill>
      </fill>
    </dxf>
    <dxf>
      <fill>
        <patternFill>
          <bgColor rgb="FF666633"/>
        </patternFill>
      </fill>
    </dxf>
    <dxf>
      <fill>
        <patternFill>
          <bgColor rgb="FFFF9900"/>
        </patternFill>
      </fill>
    </dxf>
    <dxf>
      <fill>
        <patternFill>
          <bgColor rgb="FF663300"/>
        </patternFill>
      </fill>
    </dxf>
    <dxf>
      <fill>
        <patternFill>
          <bgColor theme="3"/>
        </patternFill>
      </fill>
    </dxf>
    <dxf>
      <fill>
        <patternFill>
          <bgColor rgb="FF969696"/>
        </patternFill>
      </fill>
    </dxf>
    <dxf>
      <font>
        <color rgb="FFFF0000"/>
      </font>
      <fill>
        <patternFill>
          <bgColor rgb="FF000099"/>
        </patternFill>
      </fill>
    </dxf>
    <dxf>
      <fill>
        <patternFill>
          <bgColor rgb="FFEBF9CB"/>
        </patternFill>
      </fill>
    </dxf>
    <dxf>
      <fill>
        <patternFill>
          <bgColor rgb="FFFF33CC"/>
        </patternFill>
      </fill>
    </dxf>
    <dxf>
      <fill>
        <patternFill>
          <bgColor rgb="FF4D4D4D"/>
        </patternFill>
      </fill>
    </dxf>
    <dxf>
      <fill>
        <patternFill>
          <bgColor rgb="FFCCFF66"/>
        </patternFill>
      </fill>
    </dxf>
    <dxf>
      <fill>
        <patternFill>
          <bgColor rgb="FF48EEF6"/>
        </patternFill>
      </fill>
    </dxf>
    <dxf>
      <fill>
        <patternFill>
          <bgColor theme="9" tint="-0.24994659260841701"/>
        </patternFill>
      </fill>
    </dxf>
    <dxf>
      <fill>
        <patternFill>
          <bgColor theme="7" tint="0.39994506668294322"/>
        </patternFill>
      </fill>
    </dxf>
    <dxf>
      <fill>
        <patternFill>
          <bgColor rgb="FF95D47E"/>
        </patternFill>
      </fill>
    </dxf>
    <dxf>
      <fill>
        <patternFill>
          <bgColor rgb="FFFF9900"/>
        </patternFill>
      </fill>
    </dxf>
    <dxf>
      <fill>
        <patternFill>
          <bgColor rgb="FF808000"/>
        </patternFill>
      </fill>
    </dxf>
    <dxf>
      <fill>
        <patternFill>
          <bgColor rgb="FF996633"/>
        </patternFill>
      </fill>
    </dxf>
    <dxf>
      <fill>
        <patternFill>
          <bgColor rgb="FFFF9900"/>
        </patternFill>
      </fill>
    </dxf>
    <dxf>
      <fill>
        <patternFill>
          <bgColor rgb="FF808000"/>
        </patternFill>
      </fill>
    </dxf>
    <dxf>
      <fill>
        <patternFill>
          <bgColor rgb="FFFF9900"/>
        </patternFill>
      </fill>
    </dxf>
    <dxf>
      <fill>
        <patternFill>
          <bgColor rgb="FF808000"/>
        </patternFill>
      </fill>
    </dxf>
    <dxf>
      <fill>
        <patternFill>
          <bgColor rgb="FF996633"/>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FFFF00"/>
        </patternFill>
      </fill>
    </dxf>
    <dxf>
      <fill>
        <patternFill>
          <bgColor theme="8"/>
        </patternFill>
      </fill>
    </dxf>
    <dxf>
      <fill>
        <patternFill>
          <bgColor theme="5"/>
        </patternFill>
      </fill>
    </dxf>
    <dxf>
      <fill>
        <patternFill>
          <bgColor theme="5"/>
        </patternFill>
      </fill>
    </dxf>
    <dxf>
      <fill>
        <patternFill>
          <bgColor rgb="FF6347B3"/>
        </patternFill>
      </fill>
    </dxf>
    <dxf>
      <fill>
        <patternFill>
          <bgColor theme="9" tint="-0.499984740745262"/>
        </patternFill>
      </fill>
    </dxf>
    <dxf>
      <fill>
        <patternFill>
          <bgColor theme="6" tint="0.39994506668294322"/>
        </patternFill>
      </fill>
    </dxf>
    <dxf>
      <fill>
        <patternFill>
          <bgColor rgb="FF990099"/>
        </patternFill>
      </fill>
    </dxf>
    <dxf>
      <fill>
        <patternFill>
          <bgColor rgb="FF996600"/>
        </patternFill>
      </fill>
    </dxf>
    <dxf>
      <fill>
        <patternFill>
          <bgColor rgb="FF00FF00"/>
        </patternFill>
      </fill>
    </dxf>
    <dxf>
      <fill>
        <patternFill>
          <bgColor rgb="FFC00000"/>
        </patternFill>
      </fill>
    </dxf>
    <dxf>
      <fill>
        <patternFill>
          <bgColor rgb="FFFFC000"/>
        </patternFill>
      </fill>
    </dxf>
    <dxf>
      <fill>
        <patternFill>
          <bgColor rgb="FFFF33CC"/>
        </patternFill>
      </fill>
    </dxf>
    <dxf>
      <fill>
        <patternFill>
          <bgColor rgb="FF00B050"/>
        </patternFill>
      </fill>
    </dxf>
    <dxf>
      <fill>
        <patternFill>
          <bgColor rgb="FF663300"/>
        </patternFill>
      </fill>
    </dxf>
    <dxf>
      <fill>
        <patternFill>
          <bgColor rgb="FF666633"/>
        </patternFill>
      </fill>
    </dxf>
    <dxf>
      <fill>
        <patternFill>
          <bgColor rgb="FFFF9900"/>
        </patternFill>
      </fill>
    </dxf>
    <dxf>
      <font>
        <color rgb="FFFF0000"/>
      </font>
      <fill>
        <patternFill>
          <bgColor theme="2" tint="-0.89996032593768116"/>
        </patternFill>
      </fill>
    </dxf>
    <dxf>
      <fill>
        <patternFill>
          <bgColor rgb="FF777777"/>
        </patternFill>
      </fill>
    </dxf>
    <dxf>
      <font>
        <color rgb="FFFF0000"/>
      </font>
      <fill>
        <patternFill>
          <bgColor rgb="FF000099"/>
        </patternFill>
      </fill>
    </dxf>
    <dxf>
      <fill>
        <patternFill>
          <bgColor rgb="FFCCFFFF"/>
        </patternFill>
      </fill>
    </dxf>
    <dxf>
      <fill>
        <patternFill>
          <bgColor rgb="FFFF9900"/>
        </patternFill>
      </fill>
    </dxf>
    <dxf>
      <fill>
        <patternFill>
          <bgColor rgb="FF808000"/>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FFFF00"/>
        </patternFill>
      </fill>
    </dxf>
    <dxf>
      <fill>
        <patternFill>
          <bgColor rgb="FF92D050"/>
        </patternFill>
      </fill>
    </dxf>
    <dxf>
      <fill>
        <patternFill>
          <bgColor rgb="FF666699"/>
        </patternFill>
      </fill>
    </dxf>
    <dxf>
      <fill>
        <patternFill>
          <bgColor theme="9" tint="-0.499984740745262"/>
        </patternFill>
      </fill>
    </dxf>
    <dxf>
      <fill>
        <patternFill>
          <bgColor rgb="FF00B0F0"/>
        </patternFill>
      </fill>
    </dxf>
    <dxf>
      <fill>
        <patternFill>
          <bgColor rgb="FFCA1CA5"/>
        </patternFill>
      </fill>
    </dxf>
    <dxf>
      <fill>
        <patternFill>
          <bgColor rgb="FFA88000"/>
        </patternFill>
      </fill>
    </dxf>
    <dxf>
      <fill>
        <patternFill>
          <bgColor rgb="FF00FF00"/>
        </patternFill>
      </fill>
    </dxf>
    <dxf>
      <fill>
        <patternFill>
          <bgColor rgb="FFC00000"/>
        </patternFill>
      </fill>
    </dxf>
    <dxf>
      <fill>
        <patternFill>
          <bgColor rgb="FFFFC000"/>
        </patternFill>
      </fill>
    </dxf>
    <dxf>
      <fill>
        <patternFill>
          <bgColor rgb="FFFF66CC"/>
        </patternFill>
      </fill>
    </dxf>
    <dxf>
      <fill>
        <patternFill>
          <bgColor rgb="FF00B050"/>
        </patternFill>
      </fill>
    </dxf>
    <dxf>
      <fill>
        <patternFill>
          <bgColor rgb="FF663300"/>
        </patternFill>
      </fill>
    </dxf>
    <dxf>
      <fill>
        <patternFill>
          <bgColor rgb="FF666633"/>
        </patternFill>
      </fill>
    </dxf>
    <dxf>
      <fill>
        <patternFill>
          <bgColor rgb="FFFF9900"/>
        </patternFill>
      </fill>
    </dxf>
    <dxf>
      <fill>
        <patternFill>
          <bgColor theme="3"/>
        </patternFill>
      </fill>
    </dxf>
    <dxf>
      <fill>
        <patternFill>
          <bgColor rgb="FF969696"/>
        </patternFill>
      </fill>
    </dxf>
    <dxf>
      <font>
        <color rgb="FFFF0000"/>
      </font>
      <fill>
        <patternFill>
          <bgColor rgb="FF000099"/>
        </patternFill>
      </fill>
    </dxf>
    <dxf>
      <fill>
        <patternFill>
          <bgColor rgb="FFCCFFFF"/>
        </patternFill>
      </fill>
    </dxf>
    <dxf>
      <fill>
        <patternFill>
          <bgColor rgb="FFFF33CC"/>
        </patternFill>
      </fill>
    </dxf>
    <dxf>
      <fill>
        <patternFill>
          <bgColor theme="1" tint="0.24994659260841701"/>
        </patternFill>
      </fill>
    </dxf>
    <dxf>
      <fill>
        <patternFill>
          <bgColor rgb="FFFF9900"/>
        </patternFill>
      </fill>
    </dxf>
    <dxf>
      <fill>
        <patternFill>
          <bgColor rgb="FF808000"/>
        </patternFill>
      </fill>
    </dxf>
    <dxf>
      <fill>
        <patternFill>
          <bgColor rgb="FF996633"/>
        </patternFill>
      </fill>
    </dxf>
    <dxf>
      <fill>
        <patternFill>
          <bgColor rgb="FF00B0F0"/>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FFFF00"/>
        </patternFill>
      </fill>
    </dxf>
    <dxf>
      <fill>
        <patternFill>
          <bgColor rgb="FF92D050"/>
        </patternFill>
      </fill>
    </dxf>
    <dxf>
      <fill>
        <patternFill>
          <bgColor rgb="FF666699"/>
        </patternFill>
      </fill>
    </dxf>
    <dxf>
      <fill>
        <patternFill>
          <bgColor theme="9" tint="-0.499984740745262"/>
        </patternFill>
      </fill>
    </dxf>
    <dxf>
      <fill>
        <patternFill>
          <bgColor rgb="FF00B0F0"/>
        </patternFill>
      </fill>
    </dxf>
    <dxf>
      <fill>
        <patternFill>
          <bgColor rgb="FFCA1CA5"/>
        </patternFill>
      </fill>
    </dxf>
    <dxf>
      <fill>
        <patternFill>
          <bgColor rgb="FFA88000"/>
        </patternFill>
      </fill>
    </dxf>
    <dxf>
      <fill>
        <patternFill>
          <bgColor rgb="FF00FF00"/>
        </patternFill>
      </fill>
    </dxf>
    <dxf>
      <fill>
        <patternFill>
          <bgColor rgb="FFC00000"/>
        </patternFill>
      </fill>
    </dxf>
    <dxf>
      <fill>
        <patternFill>
          <bgColor rgb="FFFFC000"/>
        </patternFill>
      </fill>
    </dxf>
    <dxf>
      <fill>
        <patternFill>
          <bgColor rgb="FFFF66CC"/>
        </patternFill>
      </fill>
    </dxf>
    <dxf>
      <fill>
        <patternFill>
          <bgColor rgb="FF00B050"/>
        </patternFill>
      </fill>
    </dxf>
    <dxf>
      <fill>
        <patternFill>
          <bgColor rgb="FF663300"/>
        </patternFill>
      </fill>
    </dxf>
    <dxf>
      <fill>
        <patternFill>
          <bgColor rgb="FF666633"/>
        </patternFill>
      </fill>
    </dxf>
    <dxf>
      <fill>
        <patternFill>
          <bgColor rgb="FFFF9900"/>
        </patternFill>
      </fill>
    </dxf>
    <dxf>
      <fill>
        <patternFill>
          <bgColor theme="3"/>
        </patternFill>
      </fill>
    </dxf>
    <dxf>
      <fill>
        <patternFill>
          <bgColor rgb="FF969696"/>
        </patternFill>
      </fill>
    </dxf>
    <dxf>
      <font>
        <color rgb="FFFF0000"/>
      </font>
      <fill>
        <patternFill>
          <bgColor rgb="FF000099"/>
        </patternFill>
      </fill>
    </dxf>
    <dxf>
      <fill>
        <patternFill>
          <bgColor rgb="FFCCFFFF"/>
        </patternFill>
      </fill>
    </dxf>
    <dxf>
      <fill>
        <patternFill>
          <bgColor rgb="FFFF3399"/>
        </patternFill>
      </fill>
    </dxf>
    <dxf>
      <fill>
        <patternFill>
          <bgColor theme="1" tint="0.24994659260841701"/>
        </patternFill>
      </fill>
    </dxf>
    <dxf>
      <fill>
        <patternFill>
          <bgColor rgb="FF00B0F0"/>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FFFF00"/>
        </patternFill>
      </fill>
    </dxf>
    <dxf>
      <fill>
        <patternFill>
          <bgColor rgb="FF92D050"/>
        </patternFill>
      </fill>
    </dxf>
    <dxf>
      <fill>
        <patternFill>
          <bgColor rgb="FF0070C0"/>
        </patternFill>
      </fill>
    </dxf>
    <dxf>
      <fill>
        <patternFill>
          <bgColor rgb="FF43511B"/>
        </patternFill>
      </fill>
    </dxf>
    <dxf>
      <fill>
        <patternFill>
          <bgColor theme="6" tint="0.59996337778862885"/>
        </patternFill>
      </fill>
    </dxf>
    <dxf>
      <fill>
        <patternFill>
          <bgColor rgb="FFCC0099"/>
        </patternFill>
      </fill>
    </dxf>
    <dxf>
      <fill>
        <patternFill>
          <bgColor rgb="FFA47D00"/>
        </patternFill>
      </fill>
    </dxf>
    <dxf>
      <fill>
        <patternFill>
          <bgColor rgb="FF00FF00"/>
        </patternFill>
      </fill>
    </dxf>
    <dxf>
      <fill>
        <patternFill>
          <bgColor rgb="FFFF0000"/>
        </patternFill>
      </fill>
    </dxf>
    <dxf>
      <fill>
        <patternFill>
          <bgColor rgb="FFFF66FF"/>
        </patternFill>
      </fill>
    </dxf>
    <dxf>
      <fill>
        <patternFill>
          <bgColor rgb="FF00B050"/>
        </patternFill>
      </fill>
    </dxf>
    <dxf>
      <fill>
        <patternFill>
          <bgColor rgb="FFFFC000"/>
        </patternFill>
      </fill>
    </dxf>
    <dxf>
      <fill>
        <patternFill>
          <bgColor rgb="FF666633"/>
        </patternFill>
      </fill>
    </dxf>
    <dxf>
      <fill>
        <patternFill>
          <bgColor rgb="FF663300"/>
        </patternFill>
      </fill>
    </dxf>
    <dxf>
      <fill>
        <patternFill>
          <bgColor rgb="FFFF9900"/>
        </patternFill>
      </fill>
    </dxf>
    <dxf>
      <font>
        <color rgb="FFFF0000"/>
      </font>
      <fill>
        <patternFill>
          <bgColor rgb="FF0033CC"/>
        </patternFill>
      </fill>
    </dxf>
    <dxf>
      <fill>
        <patternFill>
          <bgColor theme="0" tint="-0.499984740745262"/>
        </patternFill>
      </fill>
    </dxf>
    <dxf>
      <font>
        <color rgb="FFFF0000"/>
      </font>
      <fill>
        <patternFill>
          <bgColor rgb="FF000099"/>
        </patternFill>
      </fill>
    </dxf>
    <dxf>
      <fill>
        <patternFill>
          <bgColor rgb="FF99FFCC"/>
        </patternFill>
      </fill>
    </dxf>
    <dxf>
      <fill>
        <patternFill>
          <bgColor rgb="FF00B0F0"/>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FFFF00"/>
        </patternFill>
      </fill>
    </dxf>
    <dxf>
      <fill>
        <patternFill>
          <bgColor rgb="FF92D050"/>
        </patternFill>
      </fill>
    </dxf>
    <dxf>
      <fill>
        <patternFill>
          <bgColor rgb="FF0070C0"/>
        </patternFill>
      </fill>
    </dxf>
    <dxf>
      <fill>
        <patternFill>
          <bgColor rgb="FF43511B"/>
        </patternFill>
      </fill>
    </dxf>
    <dxf>
      <fill>
        <patternFill>
          <bgColor theme="6" tint="0.59996337778862885"/>
        </patternFill>
      </fill>
    </dxf>
    <dxf>
      <fill>
        <patternFill>
          <bgColor rgb="FFCC0099"/>
        </patternFill>
      </fill>
    </dxf>
    <dxf>
      <fill>
        <patternFill>
          <bgColor rgb="FFA47D00"/>
        </patternFill>
      </fill>
    </dxf>
    <dxf>
      <fill>
        <patternFill>
          <bgColor rgb="FF00FF00"/>
        </patternFill>
      </fill>
    </dxf>
    <dxf>
      <fill>
        <patternFill>
          <bgColor rgb="FFFF0000"/>
        </patternFill>
      </fill>
    </dxf>
    <dxf>
      <fill>
        <patternFill>
          <bgColor rgb="FFFF66FF"/>
        </patternFill>
      </fill>
    </dxf>
    <dxf>
      <fill>
        <patternFill>
          <bgColor rgb="FF00B050"/>
        </patternFill>
      </fill>
    </dxf>
    <dxf>
      <fill>
        <patternFill>
          <bgColor rgb="FFFFC000"/>
        </patternFill>
      </fill>
    </dxf>
    <dxf>
      <fill>
        <patternFill>
          <bgColor rgb="FF666633"/>
        </patternFill>
      </fill>
    </dxf>
    <dxf>
      <fill>
        <patternFill>
          <bgColor rgb="FF663300"/>
        </patternFill>
      </fill>
    </dxf>
    <dxf>
      <fill>
        <patternFill>
          <bgColor rgb="FFFF9900"/>
        </patternFill>
      </fill>
    </dxf>
    <dxf>
      <font>
        <color rgb="FFFF0000"/>
      </font>
      <fill>
        <patternFill>
          <bgColor rgb="FF0033CC"/>
        </patternFill>
      </fill>
    </dxf>
    <dxf>
      <fill>
        <patternFill>
          <bgColor theme="0" tint="-0.499984740745262"/>
        </patternFill>
      </fill>
    </dxf>
    <dxf>
      <font>
        <color rgb="FFFF0000"/>
      </font>
      <fill>
        <patternFill>
          <bgColor rgb="FF000099"/>
        </patternFill>
      </fill>
    </dxf>
    <dxf>
      <fill>
        <patternFill>
          <bgColor rgb="FF99FFCC"/>
        </patternFill>
      </fill>
    </dxf>
    <dxf>
      <fill>
        <patternFill>
          <bgColor rgb="FF00B0F0"/>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FFFF00"/>
        </patternFill>
      </fill>
    </dxf>
    <dxf>
      <fill>
        <patternFill>
          <bgColor rgb="FF92D050"/>
        </patternFill>
      </fill>
    </dxf>
    <dxf>
      <fill>
        <patternFill>
          <bgColor rgb="FF0070C0"/>
        </patternFill>
      </fill>
    </dxf>
    <dxf>
      <fill>
        <patternFill>
          <bgColor rgb="FF43511B"/>
        </patternFill>
      </fill>
    </dxf>
    <dxf>
      <fill>
        <patternFill>
          <bgColor theme="6" tint="0.59996337778862885"/>
        </patternFill>
      </fill>
    </dxf>
    <dxf>
      <fill>
        <patternFill>
          <bgColor rgb="FFCC0099"/>
        </patternFill>
      </fill>
    </dxf>
    <dxf>
      <fill>
        <patternFill>
          <bgColor rgb="FFA47D00"/>
        </patternFill>
      </fill>
    </dxf>
    <dxf>
      <fill>
        <patternFill>
          <bgColor rgb="FF00FF00"/>
        </patternFill>
      </fill>
    </dxf>
    <dxf>
      <fill>
        <patternFill>
          <bgColor rgb="FFFF0000"/>
        </patternFill>
      </fill>
    </dxf>
    <dxf>
      <fill>
        <patternFill>
          <bgColor rgb="FFFF66FF"/>
        </patternFill>
      </fill>
    </dxf>
    <dxf>
      <fill>
        <patternFill>
          <bgColor rgb="FF00B050"/>
        </patternFill>
      </fill>
    </dxf>
    <dxf>
      <fill>
        <patternFill>
          <bgColor rgb="FFFFC000"/>
        </patternFill>
      </fill>
    </dxf>
    <dxf>
      <fill>
        <patternFill>
          <bgColor rgb="FF666633"/>
        </patternFill>
      </fill>
    </dxf>
    <dxf>
      <fill>
        <patternFill>
          <bgColor rgb="FF663300"/>
        </patternFill>
      </fill>
    </dxf>
    <dxf>
      <fill>
        <patternFill>
          <bgColor rgb="FFFF9900"/>
        </patternFill>
      </fill>
    </dxf>
    <dxf>
      <font>
        <color rgb="FFFF0000"/>
      </font>
      <fill>
        <patternFill>
          <bgColor rgb="FF0033CC"/>
        </patternFill>
      </fill>
    </dxf>
    <dxf>
      <fill>
        <patternFill>
          <bgColor theme="0" tint="-0.499984740745262"/>
        </patternFill>
      </fill>
    </dxf>
    <dxf>
      <font>
        <color rgb="FFFF0000"/>
      </font>
      <fill>
        <patternFill>
          <bgColor rgb="FF000099"/>
        </patternFill>
      </fill>
    </dxf>
    <dxf>
      <fill>
        <patternFill>
          <bgColor rgb="FF99FFCC"/>
        </patternFill>
      </fill>
    </dxf>
    <dxf>
      <fill>
        <patternFill>
          <bgColor rgb="FF00B0F0"/>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FFFF00"/>
        </patternFill>
      </fill>
    </dxf>
    <dxf>
      <fill>
        <patternFill>
          <bgColor rgb="FF92D050"/>
        </patternFill>
      </fill>
    </dxf>
    <dxf>
      <fill>
        <patternFill>
          <bgColor rgb="FF0070C0"/>
        </patternFill>
      </fill>
    </dxf>
    <dxf>
      <fill>
        <patternFill>
          <bgColor rgb="FF43511B"/>
        </patternFill>
      </fill>
    </dxf>
    <dxf>
      <fill>
        <patternFill>
          <bgColor theme="6" tint="0.59996337778862885"/>
        </patternFill>
      </fill>
    </dxf>
    <dxf>
      <fill>
        <patternFill>
          <bgColor rgb="FFCC0099"/>
        </patternFill>
      </fill>
    </dxf>
    <dxf>
      <fill>
        <patternFill>
          <bgColor rgb="FFA47D00"/>
        </patternFill>
      </fill>
    </dxf>
    <dxf>
      <fill>
        <patternFill>
          <bgColor rgb="FF00FF00"/>
        </patternFill>
      </fill>
    </dxf>
    <dxf>
      <fill>
        <patternFill>
          <bgColor rgb="FFFF0000"/>
        </patternFill>
      </fill>
    </dxf>
    <dxf>
      <fill>
        <patternFill>
          <bgColor rgb="FFFF66FF"/>
        </patternFill>
      </fill>
    </dxf>
    <dxf>
      <fill>
        <patternFill>
          <bgColor rgb="FF00B050"/>
        </patternFill>
      </fill>
    </dxf>
    <dxf>
      <fill>
        <patternFill>
          <bgColor rgb="FFFFC000"/>
        </patternFill>
      </fill>
    </dxf>
    <dxf>
      <fill>
        <patternFill>
          <bgColor rgb="FF666633"/>
        </patternFill>
      </fill>
    </dxf>
    <dxf>
      <fill>
        <patternFill>
          <bgColor rgb="FF663300"/>
        </patternFill>
      </fill>
    </dxf>
    <dxf>
      <fill>
        <patternFill>
          <bgColor rgb="FFFF9900"/>
        </patternFill>
      </fill>
    </dxf>
    <dxf>
      <font>
        <color rgb="FFFF0000"/>
      </font>
      <fill>
        <patternFill>
          <bgColor rgb="FF0033CC"/>
        </patternFill>
      </fill>
    </dxf>
    <dxf>
      <fill>
        <patternFill>
          <bgColor theme="0" tint="-0.499984740745262"/>
        </patternFill>
      </fill>
    </dxf>
    <dxf>
      <font>
        <color rgb="FFFF0000"/>
      </font>
      <fill>
        <patternFill>
          <bgColor rgb="FF000099"/>
        </patternFill>
      </fill>
    </dxf>
    <dxf>
      <fill>
        <patternFill>
          <bgColor rgb="FF99FFCC"/>
        </patternFill>
      </fill>
    </dxf>
    <dxf>
      <fill>
        <patternFill>
          <bgColor rgb="FFFF9900"/>
        </patternFill>
      </fill>
    </dxf>
    <dxf>
      <fill>
        <patternFill>
          <bgColor rgb="FF808000"/>
        </patternFill>
      </fill>
    </dxf>
    <dxf>
      <fill>
        <patternFill>
          <bgColor rgb="FF996633"/>
        </patternFill>
      </fill>
    </dxf>
    <dxf>
      <fill>
        <patternFill>
          <bgColor rgb="FF00B0F0"/>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FFFF00"/>
        </patternFill>
      </fill>
    </dxf>
    <dxf>
      <fill>
        <patternFill>
          <bgColor rgb="FF92D050"/>
        </patternFill>
      </fill>
    </dxf>
    <dxf>
      <fill>
        <patternFill>
          <bgColor rgb="FF0070C0"/>
        </patternFill>
      </fill>
    </dxf>
    <dxf>
      <fill>
        <patternFill>
          <bgColor rgb="FF43511B"/>
        </patternFill>
      </fill>
    </dxf>
    <dxf>
      <fill>
        <patternFill>
          <bgColor theme="6" tint="0.59996337778862885"/>
        </patternFill>
      </fill>
    </dxf>
    <dxf>
      <fill>
        <patternFill>
          <bgColor rgb="FFCC0099"/>
        </patternFill>
      </fill>
    </dxf>
    <dxf>
      <fill>
        <patternFill>
          <bgColor rgb="FFA47D00"/>
        </patternFill>
      </fill>
    </dxf>
    <dxf>
      <fill>
        <patternFill>
          <bgColor rgb="FF00FF00"/>
        </patternFill>
      </fill>
    </dxf>
    <dxf>
      <fill>
        <patternFill>
          <bgColor rgb="FFFF0000"/>
        </patternFill>
      </fill>
    </dxf>
    <dxf>
      <fill>
        <patternFill>
          <bgColor rgb="FFFF66FF"/>
        </patternFill>
      </fill>
    </dxf>
    <dxf>
      <fill>
        <patternFill>
          <bgColor rgb="FF00B050"/>
        </patternFill>
      </fill>
    </dxf>
    <dxf>
      <fill>
        <patternFill>
          <bgColor rgb="FFFFC000"/>
        </patternFill>
      </fill>
    </dxf>
    <dxf>
      <fill>
        <patternFill>
          <bgColor rgb="FF666633"/>
        </patternFill>
      </fill>
    </dxf>
    <dxf>
      <fill>
        <patternFill>
          <bgColor rgb="FF663300"/>
        </patternFill>
      </fill>
    </dxf>
    <dxf>
      <fill>
        <patternFill>
          <bgColor rgb="FFFF9900"/>
        </patternFill>
      </fill>
    </dxf>
    <dxf>
      <font>
        <color rgb="FFFF0000"/>
      </font>
      <fill>
        <patternFill>
          <bgColor rgb="FF0033CC"/>
        </patternFill>
      </fill>
    </dxf>
    <dxf>
      <fill>
        <patternFill>
          <bgColor theme="0" tint="-0.499984740745262"/>
        </patternFill>
      </fill>
    </dxf>
    <dxf>
      <font>
        <color rgb="FFFF0000"/>
      </font>
      <fill>
        <patternFill>
          <bgColor rgb="FF000099"/>
        </patternFill>
      </fill>
    </dxf>
    <dxf>
      <fill>
        <patternFill>
          <bgColor rgb="FF99FFCC"/>
        </patternFill>
      </fill>
    </dxf>
    <dxf>
      <fill>
        <patternFill>
          <bgColor rgb="FFFF9900"/>
        </patternFill>
      </fill>
    </dxf>
    <dxf>
      <fill>
        <patternFill>
          <bgColor rgb="FF808000"/>
        </patternFill>
      </fill>
    </dxf>
    <dxf>
      <fill>
        <patternFill>
          <bgColor rgb="FF996633"/>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FFFF00"/>
        </patternFill>
      </fill>
    </dxf>
    <dxf>
      <fill>
        <patternFill>
          <bgColor theme="8"/>
        </patternFill>
      </fill>
    </dxf>
    <dxf>
      <fill>
        <patternFill>
          <bgColor theme="5"/>
        </patternFill>
      </fill>
    </dxf>
    <dxf>
      <fill>
        <patternFill>
          <bgColor theme="5"/>
        </patternFill>
      </fill>
    </dxf>
    <dxf>
      <fill>
        <patternFill>
          <fgColor auto="1"/>
          <bgColor rgb="FF3A55C6"/>
        </patternFill>
      </fill>
    </dxf>
    <dxf>
      <fill>
        <patternFill>
          <bgColor theme="9" tint="-0.499984740745262"/>
        </patternFill>
      </fill>
    </dxf>
    <dxf>
      <fill>
        <patternFill>
          <bgColor theme="6"/>
        </patternFill>
      </fill>
    </dxf>
    <dxf>
      <fill>
        <patternFill>
          <bgColor rgb="FFB020A6"/>
        </patternFill>
      </fill>
    </dxf>
    <dxf>
      <fill>
        <patternFill>
          <bgColor rgb="FFB08600"/>
        </patternFill>
      </fill>
    </dxf>
    <dxf>
      <fill>
        <patternFill>
          <bgColor rgb="FF5BEB21"/>
        </patternFill>
      </fill>
    </dxf>
    <dxf>
      <fill>
        <patternFill>
          <bgColor rgb="FFF20000"/>
        </patternFill>
      </fill>
    </dxf>
    <dxf>
      <fill>
        <patternFill>
          <bgColor rgb="FFFFC000"/>
        </patternFill>
      </fill>
    </dxf>
    <dxf>
      <fill>
        <patternFill>
          <bgColor rgb="FFFF66FF"/>
        </patternFill>
      </fill>
    </dxf>
    <dxf>
      <fill>
        <patternFill>
          <bgColor rgb="FF666633"/>
        </patternFill>
      </fill>
    </dxf>
    <dxf>
      <fill>
        <patternFill>
          <bgColor rgb="FF996633"/>
        </patternFill>
      </fill>
    </dxf>
    <dxf>
      <fill>
        <patternFill>
          <bgColor rgb="FFFF9900"/>
        </patternFill>
      </fill>
    </dxf>
    <dxf>
      <fill>
        <patternFill>
          <bgColor theme="3" tint="-0.24994659260841701"/>
        </patternFill>
      </fill>
    </dxf>
    <dxf>
      <font>
        <color auto="1"/>
      </font>
      <fill>
        <patternFill>
          <bgColor rgb="FF969696"/>
        </patternFill>
      </fill>
    </dxf>
    <dxf>
      <fill>
        <patternFill>
          <bgColor theme="0" tint="-0.14996795556505021"/>
        </patternFill>
      </fill>
    </dxf>
    <dxf>
      <font>
        <color rgb="FFFF0000"/>
      </font>
      <fill>
        <patternFill>
          <bgColor rgb="FF000099"/>
        </patternFill>
      </fill>
    </dxf>
    <dxf>
      <fill>
        <patternFill>
          <bgColor rgb="FFCC6600"/>
        </patternFill>
      </fill>
    </dxf>
    <dxf>
      <fill>
        <patternFill>
          <bgColor rgb="FF00B0F0"/>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FFFF00"/>
        </patternFill>
      </fill>
    </dxf>
    <dxf>
      <fill>
        <patternFill>
          <bgColor rgb="FF92D050"/>
        </patternFill>
      </fill>
    </dxf>
    <dxf>
      <fill>
        <patternFill>
          <bgColor rgb="FF6666FF"/>
        </patternFill>
      </fill>
    </dxf>
    <dxf>
      <fill>
        <patternFill>
          <bgColor rgb="FF3E4B19"/>
        </patternFill>
      </fill>
    </dxf>
    <dxf>
      <fill>
        <patternFill>
          <bgColor rgb="FF53D2FF"/>
        </patternFill>
      </fill>
    </dxf>
    <dxf>
      <fill>
        <patternFill>
          <bgColor rgb="FFBC1EDC"/>
        </patternFill>
      </fill>
    </dxf>
    <dxf>
      <fill>
        <patternFill>
          <bgColor rgb="FF9A7500"/>
        </patternFill>
      </fill>
    </dxf>
    <dxf>
      <fill>
        <patternFill>
          <bgColor rgb="FF00FF00"/>
        </patternFill>
      </fill>
    </dxf>
    <dxf>
      <fill>
        <patternFill>
          <bgColor rgb="FFFF0000"/>
        </patternFill>
      </fill>
    </dxf>
    <dxf>
      <fill>
        <patternFill>
          <bgColor rgb="FFFFC000"/>
        </patternFill>
      </fill>
    </dxf>
    <dxf>
      <fill>
        <patternFill>
          <bgColor rgb="FFFF66CC"/>
        </patternFill>
      </fill>
    </dxf>
    <dxf>
      <fill>
        <patternFill>
          <bgColor rgb="FF00B050"/>
        </patternFill>
      </fill>
    </dxf>
    <dxf>
      <fill>
        <patternFill>
          <bgColor rgb="FF333300"/>
        </patternFill>
      </fill>
    </dxf>
    <dxf>
      <fill>
        <patternFill>
          <bgColor rgb="FF663300"/>
        </patternFill>
      </fill>
    </dxf>
    <dxf>
      <fill>
        <patternFill>
          <bgColor rgb="FF969696"/>
        </patternFill>
      </fill>
    </dxf>
    <dxf>
      <fill>
        <patternFill>
          <bgColor theme="3" tint="-0.24994659260841701"/>
        </patternFill>
      </fill>
    </dxf>
    <dxf>
      <font>
        <color rgb="FFFF0000"/>
      </font>
      <fill>
        <patternFill>
          <bgColor rgb="FF081422"/>
        </patternFill>
      </fill>
    </dxf>
    <dxf>
      <fill>
        <patternFill>
          <bgColor theme="2" tint="-9.9948118533890809E-2"/>
        </patternFill>
      </fill>
    </dxf>
    <dxf>
      <fill>
        <patternFill>
          <bgColor rgb="FFFF33CC"/>
        </patternFill>
      </fill>
    </dxf>
    <dxf>
      <fill>
        <patternFill>
          <bgColor rgb="FF4D4D4D"/>
        </patternFill>
      </fill>
    </dxf>
    <dxf>
      <fill>
        <patternFill>
          <bgColor rgb="FFCCFF66"/>
        </patternFill>
      </fill>
    </dxf>
    <dxf>
      <fill>
        <patternFill>
          <bgColor rgb="FF00B0F0"/>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FFFF00"/>
        </patternFill>
      </fill>
    </dxf>
    <dxf>
      <fill>
        <patternFill>
          <bgColor theme="8"/>
        </patternFill>
      </fill>
    </dxf>
    <dxf>
      <fill>
        <patternFill>
          <bgColor rgb="FF6666FF"/>
        </patternFill>
      </fill>
    </dxf>
    <dxf>
      <fill>
        <patternFill>
          <bgColor rgb="FF336600"/>
        </patternFill>
      </fill>
    </dxf>
    <dxf>
      <fill>
        <patternFill>
          <bgColor rgb="FF7030A0"/>
        </patternFill>
      </fill>
    </dxf>
    <dxf>
      <fill>
        <patternFill>
          <bgColor rgb="FF996633"/>
        </patternFill>
      </fill>
    </dxf>
    <dxf>
      <fill>
        <patternFill>
          <bgColor rgb="FF00FF00"/>
        </patternFill>
      </fill>
    </dxf>
    <dxf>
      <fill>
        <patternFill>
          <bgColor rgb="FFC00000"/>
        </patternFill>
      </fill>
    </dxf>
    <dxf>
      <fill>
        <patternFill>
          <bgColor rgb="FFFFC000"/>
        </patternFill>
      </fill>
    </dxf>
    <dxf>
      <fill>
        <patternFill>
          <bgColor rgb="FFFF6699"/>
        </patternFill>
      </fill>
    </dxf>
    <dxf>
      <fill>
        <patternFill>
          <bgColor rgb="FF00C057"/>
        </patternFill>
      </fill>
    </dxf>
    <dxf>
      <fill>
        <patternFill>
          <bgColor rgb="FF663300"/>
        </patternFill>
      </fill>
    </dxf>
    <dxf>
      <fill>
        <patternFill>
          <bgColor rgb="FF666633"/>
        </patternFill>
      </fill>
    </dxf>
    <dxf>
      <fill>
        <patternFill>
          <bgColor rgb="FFFF9900"/>
        </patternFill>
      </fill>
    </dxf>
    <dxf>
      <font>
        <color rgb="FFFF0000"/>
      </font>
      <fill>
        <patternFill>
          <bgColor rgb="FF002060"/>
        </patternFill>
      </fill>
    </dxf>
    <dxf>
      <fill>
        <patternFill>
          <bgColor rgb="FF777777"/>
        </patternFill>
      </fill>
    </dxf>
    <dxf>
      <font>
        <color rgb="FFFF0000"/>
      </font>
      <fill>
        <patternFill>
          <fgColor rgb="FFFF0000"/>
          <bgColor rgb="FF00133A"/>
        </patternFill>
      </fill>
    </dxf>
    <dxf>
      <fill>
        <patternFill>
          <bgColor theme="5" tint="0.79998168889431442"/>
        </patternFill>
      </fill>
    </dxf>
    <dxf>
      <fill>
        <patternFill>
          <bgColor rgb="FFFF33CC"/>
        </patternFill>
      </fill>
    </dxf>
    <dxf>
      <fill>
        <patternFill>
          <bgColor rgb="FF333333"/>
        </patternFill>
      </fill>
    </dxf>
    <dxf>
      <fill>
        <patternFill>
          <bgColor rgb="FFCCFF66"/>
        </patternFill>
      </fill>
    </dxf>
    <dxf>
      <fill>
        <patternFill>
          <bgColor theme="5"/>
        </patternFill>
      </fill>
    </dxf>
    <dxf>
      <fill>
        <patternFill>
          <bgColor rgb="FFFF9900"/>
        </patternFill>
      </fill>
    </dxf>
    <dxf>
      <fill>
        <patternFill>
          <bgColor rgb="FF808000"/>
        </patternFill>
      </fill>
    </dxf>
    <dxf>
      <fill>
        <patternFill>
          <bgColor rgb="FFFF9900"/>
        </patternFill>
      </fill>
    </dxf>
    <dxf>
      <fill>
        <patternFill>
          <bgColor rgb="FF808000"/>
        </patternFill>
      </fill>
    </dxf>
    <dxf>
      <fill>
        <patternFill>
          <bgColor rgb="FF996633"/>
        </patternFill>
      </fill>
    </dxf>
    <dxf>
      <fill>
        <patternFill>
          <bgColor rgb="FF00B0F0"/>
        </patternFill>
      </fill>
    </dxf>
    <dxf>
      <fill>
        <patternFill>
          <bgColor theme="7"/>
        </patternFill>
      </fill>
    </dxf>
    <dxf>
      <fill>
        <patternFill>
          <bgColor theme="6"/>
        </patternFill>
      </fill>
    </dxf>
    <dxf>
      <fill>
        <patternFill>
          <bgColor theme="8" tint="0.79998168889431442"/>
        </patternFill>
      </fill>
    </dxf>
    <dxf>
      <fill>
        <patternFill>
          <bgColor theme="8" tint="0.59996337778862885"/>
        </patternFill>
      </fill>
    </dxf>
    <dxf>
      <fill>
        <patternFill>
          <bgColor rgb="FFFFFF00"/>
        </patternFill>
      </fill>
    </dxf>
    <dxf>
      <fill>
        <patternFill>
          <bgColor rgb="FF666633"/>
        </patternFill>
      </fill>
    </dxf>
    <dxf>
      <fill>
        <patternFill>
          <bgColor rgb="FF53CD6A"/>
        </patternFill>
      </fill>
    </dxf>
    <dxf>
      <fill>
        <patternFill>
          <bgColor rgb="FF6666FF"/>
        </patternFill>
      </fill>
    </dxf>
    <dxf>
      <fill>
        <patternFill>
          <bgColor rgb="FF00FFCC"/>
        </patternFill>
      </fill>
    </dxf>
    <dxf>
      <fill>
        <patternFill>
          <bgColor rgb="FFCC00CC"/>
        </patternFill>
      </fill>
    </dxf>
    <dxf>
      <fill>
        <patternFill>
          <bgColor rgb="FFCC9900"/>
        </patternFill>
      </fill>
    </dxf>
    <dxf>
      <fill>
        <patternFill>
          <bgColor rgb="FF00FF00"/>
        </patternFill>
      </fill>
    </dxf>
    <dxf>
      <fill>
        <patternFill>
          <bgColor rgb="FFFF3300"/>
        </patternFill>
      </fill>
    </dxf>
    <dxf>
      <fill>
        <patternFill>
          <bgColor rgb="FFFFCC00"/>
        </patternFill>
      </fill>
    </dxf>
    <dxf>
      <fill>
        <patternFill>
          <bgColor rgb="FFFF66FF"/>
        </patternFill>
      </fill>
    </dxf>
    <dxf>
      <fill>
        <patternFill>
          <bgColor rgb="FF61BE40"/>
        </patternFill>
      </fill>
    </dxf>
    <dxf>
      <fill>
        <patternFill>
          <bgColor rgb="FF996633"/>
        </patternFill>
      </fill>
    </dxf>
    <dxf>
      <fill>
        <patternFill>
          <bgColor rgb="FF666633"/>
        </patternFill>
      </fill>
    </dxf>
    <dxf>
      <fill>
        <patternFill>
          <bgColor rgb="FFFF9900"/>
        </patternFill>
      </fill>
    </dxf>
    <dxf>
      <fill>
        <patternFill>
          <bgColor theme="3"/>
        </patternFill>
      </fill>
    </dxf>
    <dxf>
      <fill>
        <patternFill>
          <bgColor theme="0" tint="-0.499984740745262"/>
        </patternFill>
      </fill>
    </dxf>
    <dxf>
      <fill>
        <patternFill>
          <bgColor rgb="FF0000FF"/>
        </patternFill>
      </fill>
    </dxf>
    <dxf>
      <fill>
        <patternFill>
          <bgColor rgb="FFCCFFCC"/>
        </patternFill>
      </fill>
    </dxf>
    <dxf>
      <fill>
        <patternFill>
          <bgColor rgb="FFCC3399"/>
        </patternFill>
      </fill>
    </dxf>
    <dxf>
      <fill>
        <patternFill>
          <bgColor rgb="FF4D4D4D"/>
        </patternFill>
      </fill>
    </dxf>
    <dxf>
      <fill>
        <patternFill>
          <bgColor rgb="FFCCFF66"/>
        </patternFill>
      </fill>
    </dxf>
    <dxf>
      <fill>
        <patternFill>
          <bgColor rgb="FF00B0F0"/>
        </patternFill>
      </fill>
    </dxf>
    <dxf>
      <fill>
        <patternFill>
          <bgColor theme="9" tint="-0.24994659260841701"/>
        </patternFill>
      </fill>
    </dxf>
    <dxf>
      <fill>
        <patternFill>
          <bgColor theme="5" tint="0.59996337778862885"/>
        </patternFill>
      </fill>
    </dxf>
    <dxf>
      <fill>
        <patternFill>
          <bgColor theme="9" tint="0.39994506668294322"/>
        </patternFill>
      </fill>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ck">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style="thick">
          <color indexed="64"/>
        </right>
        <top/>
        <bottom/>
        <vertical/>
        <horizontal/>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numFmt numFmtId="164" formatCode="0;0;"/>
      <alignment horizontal="center" textRotation="0" wrapText="0" indent="0" justifyLastLine="0" shrinkToFit="0" readingOrder="0"/>
    </dxf>
    <dxf>
      <numFmt numFmtId="164" formatCode="0;0;"/>
      <alignment horizontal="center" textRotation="0" wrapText="0" indent="0" justifyLastLine="0" shrinkToFit="0" readingOrder="0"/>
    </dxf>
    <dxf>
      <numFmt numFmtId="164" formatCode="0;0;"/>
      <alignment horizontal="center"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alignment horizontal="center" textRotation="0" wrapText="0" indent="0" justifyLastLine="0" shrinkToFit="0" readingOrder="0"/>
    </dxf>
    <dxf>
      <border diagonalUp="0" diagonalDown="0">
        <left/>
        <right style="thick">
          <color indexed="64"/>
        </right>
        <top style="thin">
          <color auto="1"/>
        </top>
        <bottom style="thin">
          <color auto="1"/>
        </bottom>
        <vertical/>
        <horizontal style="thin">
          <color auto="1"/>
        </horizontal>
      </border>
    </dxf>
    <dxf>
      <numFmt numFmtId="0" formatCode="General"/>
      <border diagonalUp="0" diagonalDown="0">
        <left/>
        <right style="thick">
          <color indexed="64"/>
        </right>
        <top style="thin">
          <color auto="1"/>
        </top>
        <bottom style="thin">
          <color auto="1"/>
        </bottom>
        <vertical/>
        <horizontal style="thin">
          <color auto="1"/>
        </horizontal>
      </border>
    </dxf>
    <dxf>
      <font>
        <b val="0"/>
        <i val="0"/>
        <strike val="0"/>
        <u val="none"/>
        <vertAlign val="baseline"/>
        <sz val="10"/>
        <name val="Century Gothic"/>
      </font>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style="thin">
          <color indexed="64"/>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style="thin">
          <color indexed="64"/>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border diagonalUp="0" diagonalDown="0">
        <left/>
        <right style="thick">
          <color indexed="64"/>
        </right>
        <top/>
        <bottom/>
        <vertical/>
        <horizontal/>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style="thick">
          <color indexed="64"/>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border diagonalUp="0" diagonalDown="0">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numFmt numFmtId="0" formatCode="General"/>
      <border diagonalUp="0" diagonalDown="0">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u val="none"/>
        <vertAlign val="baseline"/>
        <sz val="10"/>
        <name val="Century Gothic"/>
      </font>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style="thick">
          <color indexed="64"/>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0"/>
        <color theme="1"/>
        <name val="Century Gothic"/>
        <scheme val="minor"/>
      </font>
      <numFmt numFmtId="172"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0"/>
        <color theme="1"/>
        <name val="Century Gothic"/>
        <scheme val="minor"/>
      </font>
      <numFmt numFmtId="172"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style="thick">
          <color indexed="64"/>
        </right>
        <top style="thick">
          <color auto="1"/>
        </top>
        <bottom style="thick">
          <color auto="1"/>
        </bottom>
        <vertical/>
        <horizontal style="thick">
          <color auto="1"/>
        </horizontal>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right style="thick">
          <color indexed="64"/>
        </right>
        <top/>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right style="thick">
          <color indexed="64"/>
        </right>
        <top style="thin">
          <color auto="1"/>
        </top>
        <bottom style="thin">
          <color auto="1"/>
        </bottom>
        <vertical/>
        <horizontal style="thin">
          <color auto="1"/>
        </horizontal>
      </border>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border diagonalUp="0" diagonalDown="0">
        <left/>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numFmt numFmtId="0" formatCode="General"/>
      <border diagonalUp="0" diagonalDown="0">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u val="none"/>
        <vertAlign val="baseline"/>
        <sz val="10"/>
        <name val="Century Gothic"/>
      </font>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72"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72"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style="thick">
          <color indexed="64"/>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style="thick">
          <color indexed="64"/>
        </right>
        <top/>
        <bottom/>
        <vertical/>
        <horizontal/>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border diagonalUp="0" diagonalDown="0">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numFmt numFmtId="0" formatCode="General"/>
      <border diagonalUp="0" diagonalDown="0">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u val="none"/>
        <vertAlign val="baseline"/>
        <sz val="10"/>
        <name val="Century Gothic"/>
      </font>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style="thick">
          <color indexed="64"/>
        </right>
        <top style="thick">
          <color auto="1"/>
        </top>
        <bottom style="thick">
          <color auto="1"/>
        </bottom>
        <vertical/>
        <horizontal style="thick">
          <color auto="1"/>
        </horizontal>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right style="thick">
          <color indexed="64"/>
        </right>
        <top/>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right style="thick">
          <color indexed="64"/>
        </right>
        <top/>
        <bottom/>
        <vertical/>
        <horizontal/>
      </border>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border diagonalUp="0" diagonalDown="0">
        <left/>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numFmt numFmtId="0" formatCode="General"/>
      <border diagonalUp="0" diagonalDown="0">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u val="none"/>
        <vertAlign val="baseline"/>
        <sz val="10"/>
        <name val="Century Gothic"/>
      </font>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ck">
          <color indexed="64"/>
        </right>
        <top style="thin">
          <color indexed="64"/>
        </top>
        <bottom style="thin">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style="thick">
          <color indexed="64"/>
        </right>
        <top/>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right style="thick">
          <color indexed="64"/>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right style="thick">
          <color indexed="64"/>
        </right>
        <top/>
        <bottom/>
        <vertical/>
        <horizontal/>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border diagonalUp="0" diagonalDown="0">
        <left/>
        <right style="thick">
          <color indexed="64"/>
        </right>
        <top style="thin">
          <color indexed="64"/>
        </top>
        <bottom style="thin">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fill>
        <patternFill patternType="none">
          <fgColor indexed="64"/>
          <bgColor indexed="65"/>
        </patternFill>
      </fill>
      <protection locked="0" hidden="0"/>
    </dxf>
    <dxf>
      <font>
        <b val="0"/>
        <i val="0"/>
        <strike val="0"/>
        <u val="none"/>
        <vertAlign val="baseline"/>
        <sz val="10"/>
        <name val="Century Gothic"/>
      </font>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ck">
          <color indexed="64"/>
        </right>
        <top style="thin">
          <color auto="1"/>
        </top>
        <bottom style="thin">
          <color auto="1"/>
        </bottom>
        <vertical style="thin">
          <color auto="1"/>
        </vertical>
        <horizontal style="thin">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ck">
          <color indexed="64"/>
        </right>
        <top style="thick">
          <color auto="1"/>
        </top>
        <bottom style="thick">
          <color auto="1"/>
        </bottom>
        <vertical/>
        <horizontal style="thick">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ck">
          <color indexed="64"/>
        </left>
        <right style="thin">
          <color auto="1"/>
        </right>
        <top style="thin">
          <color auto="1"/>
        </top>
        <bottom style="thin">
          <color auto="1"/>
        </bottom>
        <vertical style="thin">
          <color auto="1"/>
        </vertical>
        <horizontal style="thin">
          <color auto="1"/>
        </horizontal>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border diagonalUp="0" diagonalDown="0">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numFmt numFmtId="0" formatCode="General"/>
      <border diagonalUp="0" diagonalDown="0">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u val="none"/>
        <vertAlign val="baseline"/>
        <sz val="10"/>
        <name val="Century Gothic"/>
      </font>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ck">
          <color indexed="64"/>
        </right>
        <top style="thin">
          <color indexed="64"/>
        </top>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style="thin">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style="thin">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style="thick">
          <color indexed="64"/>
        </right>
        <top style="thick">
          <color auto="1"/>
        </top>
        <bottom style="thick">
          <color auto="1"/>
        </bottom>
        <vertical/>
        <horizontal style="thick">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style="thick">
          <color indexed="64"/>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top/>
        <bottom style="thick">
          <color indexed="64"/>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right style="thick">
          <color indexed="64"/>
        </right>
        <top/>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right style="thick">
          <color indexed="64"/>
        </right>
        <top/>
        <bottom/>
        <vertical/>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right style="thick">
          <color indexed="64"/>
        </right>
        <top/>
        <bottom/>
        <vertical/>
        <horizontal/>
      </border>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0" formatCode="General"/>
      <border diagonalUp="0" diagonalDown="0">
        <left/>
        <right style="thick">
          <color indexed="64"/>
        </right>
        <top/>
        <bottom/>
        <vertical/>
        <horizontal/>
      </border>
    </dxf>
    <dxf>
      <font>
        <b val="0"/>
        <i val="0"/>
        <strike val="0"/>
        <u val="none"/>
        <vertAlign val="baseline"/>
        <sz val="10"/>
        <name val="Century Gothic"/>
      </font>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style="thick">
          <color indexed="64"/>
        </right>
        <top/>
        <bottom/>
        <vertical/>
        <horizontal/>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border diagonalUp="0" diagonalDown="0">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numFmt numFmtId="0" formatCode="General"/>
      <border diagonalUp="0" diagonalDown="0">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u val="none"/>
        <vertAlign val="baseline"/>
        <sz val="10"/>
        <name val="Century Gothic"/>
      </font>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right style="thick">
          <color indexed="64"/>
        </right>
        <top/>
        <bottom/>
        <vertical/>
        <horizontal/>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right style="thick">
          <color indexed="64"/>
        </right>
        <top/>
        <bottom/>
        <vertical/>
        <horizontal/>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right style="thick">
          <color indexed="64"/>
        </right>
        <top/>
        <bottom/>
        <vertical/>
        <horizontal/>
      </border>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numFmt numFmtId="164" formatCode="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0" formatCode="General"/>
      <border diagonalUp="0" diagonalDown="0">
        <left/>
        <right style="thick">
          <color indexed="64"/>
        </right>
        <top/>
        <bottom/>
        <vertical/>
        <horizontal/>
      </border>
    </dxf>
    <dxf>
      <font>
        <b val="0"/>
        <i val="0"/>
        <strike val="0"/>
        <u val="none"/>
        <vertAlign val="baseline"/>
        <sz val="10"/>
        <name val="Century Gothic"/>
      </font>
    </dxf>
    <dxf>
      <font>
        <b val="0"/>
        <i val="0"/>
        <strike val="0"/>
        <condense val="0"/>
        <extend val="0"/>
        <outline val="0"/>
        <shadow val="0"/>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right style="thick">
          <color indexed="64"/>
        </right>
        <top/>
        <bottom/>
        <vertical/>
        <horizontal/>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Century Gothic"/>
        <scheme val="none"/>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ck">
          <color indexed="64"/>
        </top>
        <bottom/>
      </border>
    </dxf>
    <dxf>
      <numFmt numFmtId="164" formatCode="0;0;"/>
      <alignment horizontal="center" textRotation="0" wrapText="0" indent="0" justifyLastLine="0" shrinkToFit="0" readingOrder="0"/>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border diagonalUp="0" diagonalDown="0">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border diagonalUp="0" diagonalDown="0">
        <left/>
        <right style="thick">
          <color indexed="64"/>
        </right>
        <top style="thin">
          <color auto="1"/>
        </top>
        <bottom style="thin">
          <color auto="1"/>
        </bottom>
        <vertical/>
        <horizontal style="thin">
          <color auto="1"/>
        </horizontal>
      </border>
    </dxf>
    <dxf>
      <font>
        <b val="0"/>
        <i val="0"/>
        <strike val="0"/>
        <condense/>
        <extend/>
        <outline/>
        <shadow/>
        <u val="none"/>
        <vertAlign val="baseline"/>
        <sz val="10"/>
        <color theme="1"/>
        <name val="Century Gothic"/>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u val="none"/>
        <vertAlign val="baseline"/>
        <sz val="10"/>
        <name val="Century Gothic"/>
      </font>
    </dxf>
    <dxf>
      <numFmt numFmtId="0" formatCode="General"/>
      <alignment horizontal="left" vertical="bottom" textRotation="0" wrapText="0" indent="0" justifyLastLine="0" shrinkToFit="0" readingOrder="0"/>
    </dxf>
    <dxf>
      <numFmt numFmtId="166" formatCode="[&lt;=9999999]###\-####;\(###\)\ ###\-####"/>
      <alignment horizontal="center" vertical="bottom" textRotation="0" wrapText="0" indent="0" justifyLastLine="0" shrinkToFit="0" readingOrder="0"/>
    </dxf>
    <dxf>
      <numFmt numFmtId="166" formatCode="[&lt;=9999999]###\-####;\(###\)\ ###\-####"/>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6" formatCode="[&lt;=9999999]###\-####;\(###\)\ ###\-####"/>
      <alignment horizontal="center" vertical="bottom" textRotation="0" wrapText="0" indent="0" justifyLastLine="0" shrinkToFit="0" readingOrder="0"/>
    </dxf>
    <dxf>
      <numFmt numFmtId="166" formatCode="[&lt;=9999999]###\-####;\(###\)\ ###\-####"/>
      <alignment horizontal="center" vertical="bottom" textRotation="0" wrapText="0" indent="0" justifyLastLine="0" shrinkToFit="0" readingOrder="0"/>
    </dxf>
    <dxf>
      <numFmt numFmtId="166" formatCode="[&lt;=9999999]###\-####;\(###\)\ ###\-####"/>
      <alignment horizontal="left" vertical="bottom" textRotation="0" wrapText="0" indent="0" justifyLastLine="0" shrinkToFit="0" readingOrder="0"/>
    </dxf>
    <dxf>
      <numFmt numFmtId="166" formatCode="[&lt;=9999999]###\-####;\(###\)\ ###\-####"/>
      <alignment horizontal="left" vertical="bottom" textRotation="0" wrapText="0" indent="0" justifyLastLine="0" shrinkToFit="0" readingOrder="0"/>
    </dxf>
    <dxf>
      <numFmt numFmtId="166" formatCode="[&lt;=9999999]###\-####;\(###\)\ ###\-####"/>
      <alignment horizontal="center" vertical="bottom" textRotation="0" wrapText="0" indent="0" justifyLastLine="0" shrinkToFit="0" readingOrder="0"/>
    </dxf>
    <dxf>
      <numFmt numFmtId="166" formatCode="[&lt;=9999999]###\-####;\(###\)\ ###\-####"/>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71"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1" indent="0" justifyLastLine="0" shrinkToFit="0" readingOrder="0"/>
    </dxf>
    <dxf>
      <fill>
        <patternFill>
          <bgColor theme="4" tint="0.79998168889431442"/>
        </patternFill>
      </fill>
    </dxf>
    <dxf>
      <fill>
        <patternFill patternType="none">
          <fgColor indexed="64"/>
          <bgColor auto="1"/>
        </patternFill>
      </fill>
    </dxf>
    <dxf>
      <font>
        <b/>
        <i/>
      </font>
      <border>
        <top style="double">
          <color theme="1"/>
        </top>
      </border>
    </dxf>
    <dxf>
      <font>
        <b/>
        <i val="0"/>
        <color theme="0"/>
      </font>
      <fill>
        <patternFill>
          <bgColor theme="4"/>
        </patternFill>
      </fill>
      <border>
        <left style="thin">
          <color theme="3"/>
        </left>
        <right style="thin">
          <color theme="3"/>
        </right>
        <top style="thin">
          <color theme="4" tint="-0.499984740745262"/>
        </top>
        <bottom style="medium">
          <color theme="4" tint="-0.499984740745262"/>
        </bottom>
        <vertical style="thin">
          <color theme="3"/>
        </vertical>
        <horizontal style="thin">
          <color theme="3"/>
        </horizontal>
      </border>
    </dxf>
    <dxf>
      <font>
        <color theme="3" tint="-0.2499465926084170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
      <fill>
        <patternFill>
          <bgColor theme="4" tint="0.79998168889431442"/>
        </patternFill>
      </fill>
    </dxf>
    <dxf>
      <fill>
        <patternFill patternType="none">
          <fgColor indexed="64"/>
          <bgColor auto="1"/>
        </patternFill>
      </fill>
    </dxf>
    <dxf>
      <font>
        <b val="0"/>
        <i val="0"/>
        <strike val="0"/>
      </font>
      <border>
        <top style="double">
          <color theme="1"/>
        </top>
      </border>
    </dxf>
    <dxf>
      <font>
        <color theme="1"/>
      </font>
      <fill>
        <patternFill>
          <bgColor theme="4" tint="0.79998168889431442"/>
        </patternFill>
      </fill>
      <border>
        <left style="thin">
          <color theme="3"/>
        </left>
        <right style="thin">
          <color theme="3"/>
        </right>
        <top style="medium">
          <color theme="3"/>
        </top>
        <bottom style="thin">
          <color theme="3"/>
        </bottom>
        <vertical style="thin">
          <color theme="3"/>
        </vertical>
        <horizontal style="thin">
          <color theme="3"/>
        </horizontal>
      </border>
    </dxf>
    <dxf>
      <font>
        <color theme="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s>
  <tableStyles count="2" defaultTableStyle="TableStyleMedium2" defaultPivotStyle="PivotStyleLight16">
    <tableStyle name="Employee Absence Table" pivot="0" count="5">
      <tableStyleElement type="wholeTable" dxfId="2456"/>
      <tableStyleElement type="headerRow" dxfId="2455"/>
      <tableStyleElement type="totalRow" dxfId="2454"/>
      <tableStyleElement type="firstRowStripe" dxfId="2453"/>
      <tableStyleElement type="secondRowStripe" dxfId="2452"/>
    </tableStyle>
    <tableStyle name="Student List" pivot="0" count="5">
      <tableStyleElement type="wholeTable" dxfId="2451"/>
      <tableStyleElement type="headerRow" dxfId="2450"/>
      <tableStyleElement type="totalRow" dxfId="2449"/>
      <tableStyleElement type="firstRowStripe" dxfId="2448"/>
      <tableStyleElement type="secondRowStripe" dxfId="2447"/>
    </tableStyle>
  </tableStyles>
  <colors>
    <mruColors>
      <color rgb="FFFF9900"/>
      <color rgb="FF95D47E"/>
      <color rgb="FF15C2FF"/>
      <color rgb="FFFF00FF"/>
      <color rgb="FF98D684"/>
      <color rgb="FF48EEF6"/>
      <color rgb="FFB4CD6D"/>
      <color rgb="FFEBF9CB"/>
      <color rgb="FFCCFF66"/>
      <color rgb="FFEFFF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ou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fsi_formateur\IFSI\OUTILS%20PAR%20PROMOTIONS\2017\GESTION%20DES%20ABSENCES\LIste%20Absence%20Etudiants%20IFSI%20E%20ROU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 utiliser ce modèle"/>
      <sheetName val="Liste des élèves"/>
      <sheetName val="Août"/>
      <sheetName val="Septembre"/>
      <sheetName val="Octobre"/>
      <sheetName val="Novembre"/>
      <sheetName val="Decembre"/>
      <sheetName val="Janvier"/>
      <sheetName val="Fevrier"/>
      <sheetName val="Mars"/>
      <sheetName val="Avril"/>
      <sheetName val="Mai"/>
      <sheetName val="Juin"/>
      <sheetName val="Juillet"/>
      <sheetName val="Rapport de présence des élèves"/>
      <sheetName val="Feuil14"/>
      <sheetName val="Aout"/>
      <sheetName val="Nom des élèves"/>
    </sheetNames>
    <sheetDataSet>
      <sheetData sheetId="0"/>
      <sheetData sheetId="1"/>
      <sheetData sheetId="2">
        <row r="11">
          <cell r="BM11">
            <v>0</v>
          </cell>
        </row>
      </sheetData>
      <sheetData sheetId="3"/>
      <sheetData sheetId="4"/>
      <sheetData sheetId="5"/>
      <sheetData sheetId="6"/>
      <sheetData sheetId="7"/>
      <sheetData sheetId="8"/>
      <sheetData sheetId="9"/>
      <sheetData sheetId="10"/>
      <sheetData sheetId="11"/>
      <sheetData sheetId="12"/>
      <sheetData sheetId="13"/>
      <sheetData sheetId="14">
        <row r="36">
          <cell r="BM36">
            <v>0</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 utiliser ce modèle"/>
      <sheetName val="Liste des élèves"/>
      <sheetName val="Août"/>
      <sheetName val="Septembre"/>
      <sheetName val="Octobre"/>
      <sheetName val="Novembre"/>
      <sheetName val="Decembre"/>
      <sheetName val="Janvier"/>
      <sheetName val="Fevrier"/>
      <sheetName val="Mars"/>
      <sheetName val="Avril"/>
      <sheetName val="Mai"/>
      <sheetName val="Juin"/>
      <sheetName val="Juillet"/>
      <sheetName val="Rapport de présence des élèves"/>
      <sheetName val="Feuil14"/>
      <sheetName val="LIste Absence Etudiants IFSI E "/>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ables/table1.xml><?xml version="1.0" encoding="utf-8"?>
<table xmlns="http://schemas.openxmlformats.org/spreadsheetml/2006/main" id="1" name="ListeÉtudiants1" displayName="ListeÉtudiants1" ref="A3:R148" totalsRowShown="0" headerRowDxfId="2446">
  <autoFilter ref="A3:R148"/>
  <tableColumns count="18">
    <tableColumn id="1" name="Référence" dataDxfId="2445"/>
    <tableColumn id="2" name="Prénom de l’élève"/>
    <tableColumn id="3" name="Nom de l’élève" dataDxfId="2444"/>
    <tableColumn id="5" name="Sexe" dataDxfId="2443"/>
    <tableColumn id="6" name="Date de naissance" dataDxfId="2442"/>
    <tableColumn id="7" name="Parent ou responsable 1" dataDxfId="2441"/>
    <tableColumn id="10" name="Lien de parenté du parent/responsable 1" dataDxfId="2440"/>
    <tableColumn id="9" name="Téléphone du parent/responsable 1 (bureau)" dataDxfId="2439"/>
    <tableColumn id="8" name="Téléphone du parent/responsable 1 (domicile)" dataDxfId="2438"/>
    <tableColumn id="18" name="Parent/responsable 2" dataDxfId="2437"/>
    <tableColumn id="15" name="Lien de parenté du parent/responsable 2" dataDxfId="2436"/>
    <tableColumn id="16" name="Téléphone du parent/responsable 2 (bureau)" dataDxfId="2435"/>
    <tableColumn id="17" name="Téléphone du parent/responsable 2 (domicile)" dataDxfId="2434"/>
    <tableColumn id="13" name="Contact en cas d’urgence" dataDxfId="2433"/>
    <tableColumn id="12" name="Lien de parenté du contact en cas d’urgence" dataDxfId="2432"/>
    <tableColumn id="11" name="Téléphone du contact en cas d’urgence (bureau)" dataDxfId="2431"/>
    <tableColumn id="14" name="Téléphone du contact en cas d’urgence (domicile)" dataDxfId="2430"/>
    <tableColumn id="4" name="Nom complet de _x000a_l’élève" dataDxfId="2429">
      <calculatedColumnFormula>ListeÉtudiants1[[#This Row],[Prénom de l’élève]]&amp;" " &amp;ListeÉtudiants1[[#This Row],[Nom de l’élève]]</calculatedColumnFormula>
    </tableColumn>
  </tableColumns>
  <tableStyleInfo name="Student List" showFirstColumn="0" showLastColumn="0" showRowStripes="1" showColumnStripes="0"/>
  <extLst>
    <ext xmlns:x14="http://schemas.microsoft.com/office/spreadsheetml/2009/9/main" uri="{504A1905-F514-4f6f-8877-14C23A59335A}">
      <x14:table altText="Liste des élèves" altTextSummary="Fournit les noms des élèves, les informations de contact relatives aux parents/responsables, ainsi que les informations de contact d’urgence pour chaque élève."/>
    </ext>
  </extLst>
</table>
</file>

<file path=xl/tables/table2.xml><?xml version="1.0" encoding="utf-8"?>
<table xmlns="http://schemas.openxmlformats.org/spreadsheetml/2006/main" id="3" name="ParticipationAoût" displayName="ParticipationAoût" ref="A10:BK31" totalsRowCount="1" totalsRowDxfId="2428">
  <tableColumns count="63">
    <tableColumn id="38" name="Référence" totalsRowDxfId="2427"/>
    <tableColumn id="1" name="Nom de l’élève" dataDxfId="2426" totalsRowDxfId="2425">
      <calculatedColumnFormula>IFERROR(VLOOKUP(ParticipationAoût[[#This Row],[Référence]],ListeÉtudiants1[],18,FALSE),"")</calculatedColumnFormula>
    </tableColumn>
    <tableColumn id="2" name="1" totalsRowDxfId="2424"/>
    <tableColumn id="3" name="2" totalsRowDxfId="2423"/>
    <tableColumn id="4" name="3" totalsRowDxfId="2422"/>
    <tableColumn id="5" name="4" totalsRowDxfId="2421"/>
    <tableColumn id="6" name="5" totalsRowDxfId="2420"/>
    <tableColumn id="7" name="6" totalsRowDxfId="2419"/>
    <tableColumn id="8" name="7" totalsRowDxfId="2418"/>
    <tableColumn id="9" name="8" totalsRowDxfId="2417"/>
    <tableColumn id="10" name="9" totalsRowDxfId="2416"/>
    <tableColumn id="11" name="10" totalsRowDxfId="2415"/>
    <tableColumn id="12" name="11" totalsRowDxfId="2414"/>
    <tableColumn id="13" name="12" totalsRowDxfId="2413"/>
    <tableColumn id="14" name="13" totalsRowDxfId="2412"/>
    <tableColumn id="15" name="14" totalsRowDxfId="2411"/>
    <tableColumn id="16" name="15" totalsRowDxfId="2410"/>
    <tableColumn id="17" name="16" totalsRowDxfId="2409"/>
    <tableColumn id="18" name="17" totalsRowDxfId="2408"/>
    <tableColumn id="19" name="18" totalsRowDxfId="2407"/>
    <tableColumn id="20" name="19" totalsRowDxfId="2406"/>
    <tableColumn id="21" name="20" totalsRowDxfId="2405"/>
    <tableColumn id="22" name="21" totalsRowDxfId="2404"/>
    <tableColumn id="23" name="22" totalsRowDxfId="2403"/>
    <tableColumn id="24" name="23" totalsRowDxfId="2402"/>
    <tableColumn id="25" name="24" totalsRowDxfId="2401"/>
    <tableColumn id="26" name="25" totalsRowDxfId="2400"/>
    <tableColumn id="27" name="26" totalsRowDxfId="2399"/>
    <tableColumn id="28" name="27" totalsRowDxfId="2398"/>
    <tableColumn id="29" name="28" totalsRowDxfId="2397"/>
    <tableColumn id="30" name="29" totalsRowDxfId="2396"/>
    <tableColumn id="31" name="30" totalsRowDxfId="2395"/>
    <tableColumn id="32" name="31" dataDxfId="2394" totalsRowDxfId="2393"/>
    <tableColumn id="35" name="A" dataDxfId="2392" totalsRowDxfId="2391">
      <calculatedColumnFormula>COUNTIF(ParticipationAoût[[#This Row],[1]:[31]],Code1)</calculatedColumnFormula>
    </tableColumn>
    <tableColumn id="43" name="A1" dataDxfId="2390" totalsRowDxfId="2389">
      <calculatedColumnFormula>COUNTIF(ParticipationAoût[[#This Row],[1]:[31]],code22)</calculatedColumnFormula>
    </tableColumn>
    <tableColumn id="34" name="B" dataDxfId="2388" totalsRowDxfId="2387">
      <calculatedColumnFormula>COUNTIF(ParticipationAoût[[#This Row],[1]:[31]],Code2)</calculatedColumnFormula>
    </tableColumn>
    <tableColumn id="37" name="C" dataDxfId="2386" totalsRowDxfId="2385">
      <calculatedColumnFormula>COUNTIF(ParticipationAoût[[#This Row],[1]:[31]],Code3)</calculatedColumnFormula>
    </tableColumn>
    <tableColumn id="36" name="D" dataDxfId="2384" totalsRowDxfId="2383">
      <calculatedColumnFormula>COUNTIF(ParticipationAoût[[#This Row],[1]:[31]],Code4)</calculatedColumnFormula>
    </tableColumn>
    <tableColumn id="40" name="E" dataDxfId="2382" totalsRowDxfId="2381">
      <calculatedColumnFormula>COUNTIF(ParticipationAoût[[#This Row],[1]:[31]],Code5)</calculatedColumnFormula>
    </tableColumn>
    <tableColumn id="56" name="E1" dataDxfId="2380" totalsRowDxfId="2379">
      <calculatedColumnFormula>COUNTIF(ParticipationAoût[[#This Row],[1]:[31]],Code23)</calculatedColumnFormula>
    </tableColumn>
    <tableColumn id="41" name="F" dataDxfId="2378" totalsRowDxfId="2377">
      <calculatedColumnFormula>COUNTIF(ParticipationAoût[[#This Row],[1]:[31]],Code6)</calculatedColumnFormula>
    </tableColumn>
    <tableColumn id="52" name="G" dataDxfId="2376" totalsRowDxfId="2375">
      <calculatedColumnFormula>COUNTIF(ParticipationAoût[[#This Row],[1]:[31]],Code7)</calculatedColumnFormula>
    </tableColumn>
    <tableColumn id="51" name="H" dataDxfId="2374" totalsRowDxfId="2373">
      <calculatedColumnFormula>COUNTIF(ParticipationAoût[[#This Row],[1]:[31]],Code8)</calculatedColumnFormula>
    </tableColumn>
    <tableColumn id="50" name="I" dataDxfId="2372" totalsRowDxfId="2371">
      <calculatedColumnFormula>COUNTIF(ParticipationAoût[[#This Row],[1]:[31]],Code9)</calculatedColumnFormula>
    </tableColumn>
    <tableColumn id="49" name="J" dataDxfId="2370" totalsRowDxfId="2369">
      <calculatedColumnFormula>COUNTIF(ParticipationAoût[[#This Row],[1]:[31]],Code10)</calculatedColumnFormula>
    </tableColumn>
    <tableColumn id="48" name="K" dataDxfId="2368" totalsRowDxfId="2367">
      <calculatedColumnFormula>COUNTIF(ParticipationAoût[[#This Row],[1]:[31]],Code11)</calculatedColumnFormula>
    </tableColumn>
    <tableColumn id="47" name="L" dataDxfId="2366" totalsRowDxfId="2365">
      <calculatedColumnFormula>COUNTIF(ParticipationAoût[[#This Row],[1]:[31]],Code12)</calculatedColumnFormula>
    </tableColumn>
    <tableColumn id="46" name="S" dataDxfId="2364" totalsRowDxfId="2363">
      <calculatedColumnFormula>COUNTIF(ParticipationAoût[[#This Row],[1]:[31]],Code13)</calculatedColumnFormula>
    </tableColumn>
    <tableColumn id="45" name="M" dataDxfId="2362" totalsRowDxfId="2361">
      <calculatedColumnFormula>COUNTIF(ParticipationAoût[[#This Row],[1]:[31]],Code14)</calculatedColumnFormula>
    </tableColumn>
    <tableColumn id="44" name="T" dataDxfId="2360" totalsRowDxfId="2359">
      <calculatedColumnFormula>COUNTIF(ParticipationAoût[[#This Row],[1]:[31]],Code15)</calculatedColumnFormula>
    </tableColumn>
    <tableColumn id="39" name="U" dataDxfId="2358" totalsRowDxfId="2357">
      <calculatedColumnFormula>COUNTIF(ParticipationAoût[[#This Row],[1]:[31]],Code16)</calculatedColumnFormula>
    </tableColumn>
    <tableColumn id="42" name="V" dataDxfId="2356" totalsRowDxfId="2355">
      <calculatedColumnFormula>COUNTIF(ParticipationAoût[[#This Row],[1]:[31]],Code17)</calculatedColumnFormula>
    </tableColumn>
    <tableColumn id="61" name="V1" dataDxfId="2354" totalsRowDxfId="2353">
      <calculatedColumnFormula>COUNTIF(ParticipationAoût[[#This Row],[1]:[31]],Code25)</calculatedColumnFormula>
    </tableColumn>
    <tableColumn id="59" name="V2" dataDxfId="2352" totalsRowDxfId="2351">
      <calculatedColumnFormula>COUNTIF(ParticipationAoût[[#This Row],[1]:[31]],Code26)</calculatedColumnFormula>
    </tableColumn>
    <tableColumn id="58" name="V3" dataDxfId="2350" totalsRowDxfId="2349">
      <calculatedColumnFormula>COUNTIF(ParticipationAoût[[#This Row],[1]:[31]],Code27)</calculatedColumnFormula>
    </tableColumn>
    <tableColumn id="60" name="V4" dataDxfId="2348" totalsRowDxfId="2347">
      <calculatedColumnFormula>COUNTIF(ParticipationAoût[[#This Row],[1]:[31]],Code28)</calculatedColumnFormula>
    </tableColumn>
    <tableColumn id="63" name="V5" dataDxfId="2346" totalsRowDxfId="2345">
      <calculatedColumnFormula>COUNTIF(ParticipationAoût[[#This Row],[1]:[31]],code30)</calculatedColumnFormula>
    </tableColumn>
    <tableColumn id="62" name="V6" dataDxfId="2344" totalsRowDxfId="2343">
      <calculatedColumnFormula>COUNTIF(ParticipationAoût[[#This Row],[1]:[31]],Code31)</calculatedColumnFormula>
    </tableColumn>
    <tableColumn id="33" name="W" dataDxfId="2342" totalsRowDxfId="2341">
      <calculatedColumnFormula>COUNTIF(ParticipationAoût[[#This Row],[1]:[31]],code21)</calculatedColumnFormula>
    </tableColumn>
    <tableColumn id="57" name="SP" dataDxfId="2340" totalsRowDxfId="2339">
      <calculatedColumnFormula>COUNTIF(ParticipationAoût[[#This Row],[1]:[31]],Code24)</calculatedColumnFormula>
    </tableColumn>
    <tableColumn id="55" name="St1" dataDxfId="2338" totalsRowDxfId="2337">
      <calculatedColumnFormula>COUNTIF(ParticipationAoût[[#This Row],[1]:[31]],code18)</calculatedColumnFormula>
    </tableColumn>
    <tableColumn id="54" name="St2" dataDxfId="2336" totalsRowDxfId="2335">
      <calculatedColumnFormula>COUNTIF(ParticipationAoût[[#This Row],[1]:[31]],code19)</calculatedColumnFormula>
    </tableColumn>
    <tableColumn id="53" name="St3" dataDxfId="2334" totalsRowDxfId="2333">
      <calculatedColumnFormula>COUNTIF(ParticipationAoût[[#This Row],[1]:[31]],code20)</calculatedColumnFormula>
    </tableColumn>
  </tableColumns>
  <tableStyleInfo name="Employee Absence Table" showFirstColumn="0" showLastColumn="1" showRowStripes="1" showColumnStripes="1"/>
  <extLst>
    <ext xmlns:x14="http://schemas.microsoft.com/office/spreadsheetml/2009/9/main" uri="{504A1905-F514-4f6f-8877-14C23A59335A}">
      <x14:table altText="Fiche de présence d’août" altTextSummary="Permet d’assurer le suivi de présence des élèves (R=en retard, E=excusé, N=non excusé, P=présent, N=école fermée) pour le mois d’aôut."/>
    </ext>
  </extLst>
</table>
</file>

<file path=xl/tables/table3.xml><?xml version="1.0" encoding="utf-8"?>
<table xmlns="http://schemas.openxmlformats.org/spreadsheetml/2006/main" id="5" name="PArticipationSeptembre1" displayName="PArticipationSeptembre1" ref="B10:BI34" totalsRowCount="1" dataDxfId="2332" totalsRowDxfId="2331">
  <tableColumns count="60">
    <tableColumn id="38" name="Nom de l’élève" totalsRowFunction="custom" dataDxfId="2330" totalsRowDxfId="2329">
      <calculatedColumnFormula>IFERROR(VLOOKUP(ParticipationDecembre1[[#This Row],[Référence]],ListeÉtudiants1[],18,FALSE),"")</calculatedColumnFormula>
      <totalsRowFormula>IFERROR(VLOOKUP(ParticipationDecembre1[[#This Row],[Référence]],ListeÉtudiants1[],18,FALSE),"")</totalsRowFormula>
    </tableColumn>
    <tableColumn id="1" name="1" dataDxfId="2328" totalsRowDxfId="2327"/>
    <tableColumn id="2" name="2" dataDxfId="2326" totalsRowDxfId="2325"/>
    <tableColumn id="3" name="3" dataDxfId="2324" totalsRowDxfId="2323"/>
    <tableColumn id="4" name="4" dataDxfId="2322" totalsRowDxfId="2321"/>
    <tableColumn id="5" name="5" dataDxfId="2320" totalsRowDxfId="2319"/>
    <tableColumn id="6" name="6" dataDxfId="2318" totalsRowDxfId="2317"/>
    <tableColumn id="7" name="7" dataDxfId="2316" totalsRowDxfId="2315"/>
    <tableColumn id="8" name="8" dataDxfId="2314" totalsRowDxfId="2313"/>
    <tableColumn id="9" name="9" dataDxfId="2312" totalsRowDxfId="2311"/>
    <tableColumn id="10" name="10" dataDxfId="2310" totalsRowDxfId="2309"/>
    <tableColumn id="11" name="11" dataDxfId="2308" totalsRowDxfId="2307"/>
    <tableColumn id="12" name="12" dataDxfId="2306" totalsRowDxfId="2305"/>
    <tableColumn id="13" name="13" dataDxfId="2304" totalsRowDxfId="2303"/>
    <tableColumn id="14" name="14" dataDxfId="2302" totalsRowDxfId="2301"/>
    <tableColumn id="15" name="15" dataDxfId="2300" totalsRowDxfId="2299"/>
    <tableColumn id="16" name="16" dataDxfId="2298" totalsRowDxfId="2297"/>
    <tableColumn id="17" name="17" dataDxfId="2296" totalsRowDxfId="2295"/>
    <tableColumn id="18" name="18" dataDxfId="2294" totalsRowDxfId="2293"/>
    <tableColumn id="19" name="19" dataDxfId="2292" totalsRowDxfId="2291"/>
    <tableColumn id="20" name="20" dataDxfId="2290" totalsRowDxfId="2289"/>
    <tableColumn id="21" name="21" dataDxfId="2288" totalsRowDxfId="2287"/>
    <tableColumn id="22" name="22" dataDxfId="2286" totalsRowDxfId="2285"/>
    <tableColumn id="23" name="23" dataDxfId="2284" totalsRowDxfId="2283"/>
    <tableColumn id="24" name="24" dataDxfId="2282" totalsRowDxfId="2281"/>
    <tableColumn id="25" name="25" dataDxfId="2280" totalsRowDxfId="2279"/>
    <tableColumn id="26" name="26" dataDxfId="2278" totalsRowDxfId="2277"/>
    <tableColumn id="27" name="27" dataDxfId="2276" totalsRowDxfId="2275"/>
    <tableColumn id="28" name="28" dataDxfId="2274" totalsRowDxfId="2273"/>
    <tableColumn id="29" name="29" dataDxfId="2272" totalsRowDxfId="2271"/>
    <tableColumn id="30" name="30" dataDxfId="2270" totalsRowDxfId="2269"/>
    <tableColumn id="31" name="A" dataDxfId="2268" totalsRowDxfId="2267">
      <calculatedColumnFormula>COUNTIF(PArticipationSeptembre1[[#This Row],[2]:[A]],Code1)</calculatedColumnFormula>
    </tableColumn>
    <tableColumn id="35" name="A1" dataDxfId="2266" totalsRowDxfId="2265">
      <calculatedColumnFormula>COUNTIF(PArticipationSeptembre1[[#This Row],[2]:[A]],code22)</calculatedColumnFormula>
    </tableColumn>
    <tableColumn id="43" name="B" dataDxfId="2264" totalsRowDxfId="2263">
      <calculatedColumnFormula>COUNTIF(PArticipationSeptembre1[[#This Row],[2]:[A]],Code2)</calculatedColumnFormula>
    </tableColumn>
    <tableColumn id="34" name="C" dataDxfId="2262" totalsRowDxfId="2261">
      <calculatedColumnFormula>COUNTIF(PArticipationSeptembre1[[#This Row],[2]:[A]],Code3)</calculatedColumnFormula>
    </tableColumn>
    <tableColumn id="37" name="D" dataDxfId="2260" totalsRowDxfId="2259">
      <calculatedColumnFormula>COUNTIF(PArticipationSeptembre1[[#This Row],[2]:[A]],Code4)</calculatedColumnFormula>
    </tableColumn>
    <tableColumn id="36" name="E" dataDxfId="2258" totalsRowDxfId="2257">
      <calculatedColumnFormula>COUNTIF(PArticipationSeptembre1[[#This Row],[2]:[A]],Code5)</calculatedColumnFormula>
    </tableColumn>
    <tableColumn id="40" name="E1" dataDxfId="2256" totalsRowDxfId="2255">
      <calculatedColumnFormula>COUNTIF(PArticipationSeptembre1[[#This Row],[2]:[A]],Code23)</calculatedColumnFormula>
    </tableColumn>
    <tableColumn id="55" name="F" dataDxfId="2254" totalsRowDxfId="2253">
      <calculatedColumnFormula>COUNTIF(PArticipationSeptembre1[[#This Row],[2]:[A]],Code6)</calculatedColumnFormula>
    </tableColumn>
    <tableColumn id="41" name="G" dataDxfId="2252" totalsRowDxfId="2251">
      <calculatedColumnFormula>COUNTIF(PArticipationSeptembre1[[#This Row],[2]:[A]],Code7)</calculatedColumnFormula>
    </tableColumn>
    <tableColumn id="42" name="H" dataDxfId="2250" totalsRowDxfId="2249">
      <calculatedColumnFormula>COUNTIF(PArticipationSeptembre1[[#This Row],[2]:[A]],Code8)</calculatedColumnFormula>
    </tableColumn>
    <tableColumn id="51" name="I" dataDxfId="2248" totalsRowDxfId="2247">
      <calculatedColumnFormula>COUNTIF(PArticipationSeptembre1[[#This Row],[2]:[A]],Code9)</calculatedColumnFormula>
    </tableColumn>
    <tableColumn id="50" name="J" dataDxfId="2246" totalsRowDxfId="2245">
      <calculatedColumnFormula>COUNTIF(PArticipationSeptembre1[[#This Row],[2]:[A]],Code10)</calculatedColumnFormula>
    </tableColumn>
    <tableColumn id="49" name="K" dataDxfId="2244" totalsRowDxfId="2243">
      <calculatedColumnFormula>COUNTIF(PArticipationSeptembre1[[#This Row],[2]:[A]],Code11)</calculatedColumnFormula>
    </tableColumn>
    <tableColumn id="48" name="L" dataDxfId="2242" totalsRowDxfId="2241">
      <calculatedColumnFormula>COUNTIF(PArticipationSeptembre1[[#This Row],[2]:[A]],Code12)</calculatedColumnFormula>
    </tableColumn>
    <tableColumn id="47" name="S" dataDxfId="2240" totalsRowDxfId="2239">
      <calculatedColumnFormula>COUNTIF(PArticipationSeptembre1[[#This Row],[2]:[A]],Code13)</calculatedColumnFormula>
    </tableColumn>
    <tableColumn id="46" name="M" dataDxfId="2238" totalsRowDxfId="2237">
      <calculatedColumnFormula>COUNTIF(PArticipationSeptembre1[[#This Row],[2]:[A]],Code14)</calculatedColumnFormula>
    </tableColumn>
    <tableColumn id="45" name="T" dataDxfId="2236" totalsRowDxfId="2235">
      <calculatedColumnFormula>COUNTIF(PArticipationSeptembre1[[#This Row],[2]:[A]],Code15)</calculatedColumnFormula>
    </tableColumn>
    <tableColumn id="44" name="U" dataDxfId="2234" totalsRowDxfId="2233">
      <calculatedColumnFormula>COUNTIF(PArticipationSeptembre1[[#This Row],[2]:[A]],Code16)</calculatedColumnFormula>
    </tableColumn>
    <tableColumn id="39" name="V" dataDxfId="2232" totalsRowDxfId="2231">
      <calculatedColumnFormula>COUNTIF(PArticipationSeptembre1[[#This Row],[2]:[A]],Code17)</calculatedColumnFormula>
    </tableColumn>
    <tableColumn id="60" name="V1" dataDxfId="2230" totalsRowDxfId="2229">
      <calculatedColumnFormula>COUNTIF(PArticipationSeptembre1[[#This Row],[2]:[A]],Code25)</calculatedColumnFormula>
    </tableColumn>
    <tableColumn id="59" name="V2" dataDxfId="2228" totalsRowDxfId="2227">
      <calculatedColumnFormula>COUNTIF(PArticipationSeptembre1[[#This Row],[2]:[A]],Code26)</calculatedColumnFormula>
    </tableColumn>
    <tableColumn id="58" name="V3" dataDxfId="2226" totalsRowDxfId="2225">
      <calculatedColumnFormula>COUNTIF(PArticipationSeptembre1[[#This Row],[2]:[A]],Code27)</calculatedColumnFormula>
    </tableColumn>
    <tableColumn id="57" name="V4" dataDxfId="2224" totalsRowDxfId="2223">
      <calculatedColumnFormula>COUNTIF(PArticipationSeptembre1[[#This Row],[2]:[A]],Code28)</calculatedColumnFormula>
    </tableColumn>
    <tableColumn id="32" name="W" dataDxfId="2222" totalsRowDxfId="2221">
      <calculatedColumnFormula>COUNTIF(PArticipationSeptembre1[[#This Row],[2]:[A]],code21)</calculatedColumnFormula>
    </tableColumn>
    <tableColumn id="33" name="SP" dataDxfId="2220" totalsRowDxfId="2219">
      <calculatedColumnFormula>COUNTIF(PArticipationSeptembre1[[#This Row],[2]:[A]],Code24)</calculatedColumnFormula>
    </tableColumn>
    <tableColumn id="56" name="St1" dataDxfId="2218" totalsRowDxfId="2217">
      <calculatedColumnFormula>COUNTIF(PArticipationSeptembre1[[#This Row],[2]:[A]],code18)</calculatedColumnFormula>
    </tableColumn>
    <tableColumn id="54" name="St2" dataDxfId="2216" totalsRowDxfId="2215">
      <calculatedColumnFormula>COUNTIF(PArticipationSeptembre1[[#This Row],[2]:[A]],code19)</calculatedColumnFormula>
    </tableColumn>
    <tableColumn id="53" name="St3" dataDxfId="2214" totalsRowDxfId="2213">
      <calculatedColumnFormula>COUNTIF(PArticipationSeptembre1[[#This Row],[2]:[A]],code20)</calculatedColumnFormula>
    </tableColumn>
    <tableColumn id="52" name="1,1" dataDxfId="2212" totalsRowDxfId="2211"/>
  </tableColumns>
  <tableStyleInfo name="Employee Absence Table" showFirstColumn="0" showLastColumn="1" showRowStripes="1" showColumnStripes="1"/>
  <extLst>
    <ext xmlns:x14="http://schemas.microsoft.com/office/spreadsheetml/2009/9/main" uri="{504A1905-F514-4f6f-8877-14C23A59335A}">
      <x14:table altText="Fiche de présence d’août" altTextSummary="Permet d’assurer le suivi de présence des élèves (R=en retard, E=excusé, N=non excusé, P=présent, N=école fermée) pour le mois d’aôut."/>
    </ext>
  </extLst>
</table>
</file>

<file path=xl/tables/table4.xml><?xml version="1.0" encoding="utf-8"?>
<table xmlns="http://schemas.openxmlformats.org/spreadsheetml/2006/main" id="12" name="ParticipationOctobre1" displayName="ParticipationOctobre1" ref="A10:CU35" totalsRowCount="1" totalsRowDxfId="2210">
  <tableColumns count="99">
    <tableColumn id="38" name="Référence" totalsRowDxfId="2209"/>
    <tableColumn id="1" name="Nom de l’élève" dataDxfId="2208" totalsRowDxfId="2207">
      <calculatedColumnFormula>IFERROR(VLOOKUP(ParticipationDecembre1[[#This Row],[Référence]],ListeÉtudiants1[],18,FALSE),"")</calculatedColumnFormula>
    </tableColumn>
    <tableColumn id="2" name="1" totalsRowDxfId="2206"/>
    <tableColumn id="3" name="2" totalsRowDxfId="2205"/>
    <tableColumn id="4" name="3" totalsRowDxfId="2204"/>
    <tableColumn id="5" name="4" totalsRowDxfId="2203"/>
    <tableColumn id="6" name="5" totalsRowDxfId="2202"/>
    <tableColumn id="7" name="6" totalsRowDxfId="2201"/>
    <tableColumn id="8" name="7" totalsRowDxfId="2200"/>
    <tableColumn id="9" name="8" totalsRowDxfId="2199"/>
    <tableColumn id="10" name="9" totalsRowDxfId="2198"/>
    <tableColumn id="11" name="10" totalsRowDxfId="2197"/>
    <tableColumn id="12" name="11" totalsRowDxfId="2196"/>
    <tableColumn id="13" name="12" totalsRowDxfId="2195"/>
    <tableColumn id="14" name="13" totalsRowDxfId="2194"/>
    <tableColumn id="15" name="14" totalsRowDxfId="2193"/>
    <tableColumn id="16" name="15" totalsRowDxfId="2192"/>
    <tableColumn id="17" name="16" totalsRowDxfId="2191"/>
    <tableColumn id="18" name="17" totalsRowDxfId="2190"/>
    <tableColumn id="19" name="18" totalsRowDxfId="2189"/>
    <tableColumn id="20" name="19" totalsRowDxfId="2188"/>
    <tableColumn id="21" name="20" totalsRowDxfId="2187"/>
    <tableColumn id="22" name="21" totalsRowDxfId="2186"/>
    <tableColumn id="23" name="22" totalsRowDxfId="2185"/>
    <tableColumn id="24" name="23" totalsRowDxfId="2184"/>
    <tableColumn id="25" name="24" totalsRowDxfId="2183"/>
    <tableColumn id="26" name="25" totalsRowDxfId="2182"/>
    <tableColumn id="27" name="26" totalsRowDxfId="2181"/>
    <tableColumn id="28" name="27" totalsRowDxfId="2180"/>
    <tableColumn id="29" name="28" totalsRowDxfId="2179"/>
    <tableColumn id="30" name="29" totalsRowDxfId="2178"/>
    <tableColumn id="31" name="30" totalsRowDxfId="2177"/>
    <tableColumn id="32" name="31" dataDxfId="2176" totalsRowDxfId="2175"/>
    <tableColumn id="35" name="A" dataDxfId="2174" totalsRowDxfId="2173">
      <calculatedColumnFormula>COUNTIF(ParticipationOctobre1[[#This Row],[1]:[31]],Code1)</calculatedColumnFormula>
    </tableColumn>
    <tableColumn id="43" name="A1" dataDxfId="2172" totalsRowDxfId="2171">
      <calculatedColumnFormula>COUNTIF(ParticipationOctobre1[[#This Row],[1]:[31]],code22)</calculatedColumnFormula>
    </tableColumn>
    <tableColumn id="34" name="B" dataDxfId="2170" totalsRowDxfId="2169">
      <calculatedColumnFormula>COUNTIF(ParticipationOctobre1[[#This Row],[1]:[31]],Code2)</calculatedColumnFormula>
    </tableColumn>
    <tableColumn id="37" name="C" dataDxfId="2168" totalsRowDxfId="2167">
      <calculatedColumnFormula>COUNTIF(ParticipationOctobre1[[#This Row],[1]:[31]],Code3)</calculatedColumnFormula>
    </tableColumn>
    <tableColumn id="36" name="D" dataDxfId="2166" totalsRowDxfId="2165">
      <calculatedColumnFormula>COUNTIF(ParticipationOctobre1[[#This Row],[1]:[31]],Code4)</calculatedColumnFormula>
    </tableColumn>
    <tableColumn id="40" name="E" dataDxfId="2164" totalsRowDxfId="2163">
      <calculatedColumnFormula>COUNTIF(ParticipationOctobre1[[#This Row],[1]:[31]],Code5)</calculatedColumnFormula>
    </tableColumn>
    <tableColumn id="59" name="E1" dataDxfId="2162" totalsRowDxfId="2161">
      <calculatedColumnFormula>COUNTIF(ParticipationOctobre1[[#This Row],[1]:[31]],Code23)</calculatedColumnFormula>
    </tableColumn>
    <tableColumn id="41" name="F" dataDxfId="2160" totalsRowDxfId="2159">
      <calculatedColumnFormula>COUNTIF(ParticipationOctobre1[[#This Row],[1]:[31]],Code6)</calculatedColumnFormula>
    </tableColumn>
    <tableColumn id="42" name="G" dataDxfId="2158" totalsRowDxfId="2157">
      <calculatedColumnFormula>COUNTIF(ParticipationOctobre1[[#This Row],[1]:[31]],Code7)</calculatedColumnFormula>
    </tableColumn>
    <tableColumn id="53" name="H" dataDxfId="2156" totalsRowDxfId="2155">
      <calculatedColumnFormula>COUNTIF(ParticipationOctobre1[[#This Row],[1]:[31]],Code8)</calculatedColumnFormula>
    </tableColumn>
    <tableColumn id="52" name="I" dataDxfId="2154" totalsRowDxfId="2153">
      <calculatedColumnFormula>COUNTIF(ParticipationOctobre1[[#This Row],[1]:[31]],Code9)</calculatedColumnFormula>
    </tableColumn>
    <tableColumn id="51" name="J" dataDxfId="2152" totalsRowDxfId="2151">
      <calculatedColumnFormula>COUNTIF(ParticipationOctobre1[[#This Row],[1]:[31]],Code10)</calculatedColumnFormula>
    </tableColumn>
    <tableColumn id="50" name="K" dataDxfId="2150" totalsRowDxfId="2149">
      <calculatedColumnFormula>COUNTIF(ParticipationOctobre1[[#This Row],[1]:[31]],Code11)</calculatedColumnFormula>
    </tableColumn>
    <tableColumn id="49" name="L" dataDxfId="2148" totalsRowDxfId="2147">
      <calculatedColumnFormula>COUNTIF(ParticipationOctobre1[[#This Row],[1]:[31]],Code12)</calculatedColumnFormula>
    </tableColumn>
    <tableColumn id="48" name="S" dataDxfId="2146" totalsRowDxfId="2145">
      <calculatedColumnFormula>COUNTIF(ParticipationOctobre1[[#This Row],[1]:[31]],Code13)</calculatedColumnFormula>
    </tableColumn>
    <tableColumn id="47" name="M" dataDxfId="2144" totalsRowDxfId="2143">
      <calculatedColumnFormula>COUNTIF(ParticipationOctobre1[[#This Row],[1]:[31]],Code14)</calculatedColumnFormula>
    </tableColumn>
    <tableColumn id="46" name="T" dataDxfId="2142" totalsRowDxfId="2141">
      <calculatedColumnFormula>COUNTIF(ParticipationOctobre1[[#This Row],[1]:[31]],Code15)</calculatedColumnFormula>
    </tableColumn>
    <tableColumn id="45" name="U" dataDxfId="2140" totalsRowDxfId="2139">
      <calculatedColumnFormula>COUNTIF(ParticipationOctobre1[[#This Row],[1]:[31]],Code16)</calculatedColumnFormula>
    </tableColumn>
    <tableColumn id="44" name="V" dataDxfId="2138" totalsRowDxfId="2137">
      <calculatedColumnFormula>COUNTIF(ParticipationOctobre1[[#This Row],[1]:[31]],Code17)</calculatedColumnFormula>
    </tableColumn>
    <tableColumn id="98" name="V1" dataDxfId="2136" totalsRowDxfId="2135">
      <calculatedColumnFormula>COUNTIF(ParticipationOctobre1[[#This Row],[1]:[31]],Code25)</calculatedColumnFormula>
    </tableColumn>
    <tableColumn id="97" name="V2" dataDxfId="2134" totalsRowDxfId="2133">
      <calculatedColumnFormula>COUNTIF(ParticipationOctobre1[[#This Row],[1]:[31]],Code26)</calculatedColumnFormula>
    </tableColumn>
    <tableColumn id="96" name="V3" dataDxfId="2132" totalsRowDxfId="2131">
      <calculatedColumnFormula>COUNTIF(ParticipationOctobre1[[#This Row],[1]:[31]],Code27)</calculatedColumnFormula>
    </tableColumn>
    <tableColumn id="62" name="V4" dataDxfId="2130" totalsRowDxfId="2129">
      <calculatedColumnFormula>COUNTIF(ParticipationOctobre1[[#This Row],[1]:[31]],Code28)</calculatedColumnFormula>
    </tableColumn>
    <tableColumn id="33" name="W" dataDxfId="2128" totalsRowDxfId="2127">
      <calculatedColumnFormula>COUNTIF(ParticipationOctobre1[[#This Row],[1]:[31]],code21)</calculatedColumnFormula>
    </tableColumn>
    <tableColumn id="60" name="SP" dataDxfId="2126" totalsRowDxfId="2125">
      <calculatedColumnFormula>COUNTIF(ParticipationOctobre1[[#This Row],[1]:[31]],Code24)</calculatedColumnFormula>
    </tableColumn>
    <tableColumn id="55" name="St1" dataDxfId="2124" totalsRowDxfId="2123">
      <calculatedColumnFormula>COUNTIF(ParticipationOctobre1[[#This Row],[1]:[31]],code18)</calculatedColumnFormula>
    </tableColumn>
    <tableColumn id="54" name="St2" dataDxfId="2122" totalsRowDxfId="2121">
      <calculatedColumnFormula>COUNTIF(ParticipationOctobre1[[#This Row],[1]:[31]],code19)</calculatedColumnFormula>
    </tableColumn>
    <tableColumn id="39" name="St3" dataDxfId="2120" totalsRowDxfId="2119">
      <calculatedColumnFormula>COUNTIF(ParticipationOctobre1[[#This Row],[1]:[31]],Code120)</calculatedColumnFormula>
    </tableColumn>
    <tableColumn id="95" name="1,1" dataDxfId="2118" totalsRowDxfId="2117"/>
    <tableColumn id="94" name="1,2" dataDxfId="2116" totalsRowDxfId="2115"/>
    <tableColumn id="93" name="1,3" dataDxfId="2114" totalsRowDxfId="2113"/>
    <tableColumn id="92" name="2,1" dataDxfId="2112" totalsRowDxfId="2111"/>
    <tableColumn id="91" name="2,2" dataDxfId="2110" totalsRowDxfId="2109"/>
    <tableColumn id="90" name="2,3" dataDxfId="2108" totalsRowDxfId="2107"/>
    <tableColumn id="89" name="2,4" dataDxfId="2106" totalsRowDxfId="2105"/>
    <tableColumn id="88" name="2,5" dataDxfId="2104" totalsRowDxfId="2103"/>
    <tableColumn id="87" name="2,6" dataDxfId="2102" totalsRowDxfId="2101"/>
    <tableColumn id="86" name="2,7" dataDxfId="2100" totalsRowDxfId="2099"/>
    <tableColumn id="85" name="2,8" dataDxfId="2098" totalsRowDxfId="2097"/>
    <tableColumn id="84" name="2,9" dataDxfId="2096" totalsRowDxfId="2095"/>
    <tableColumn id="83" name="2,10" dataDxfId="2094" totalsRowDxfId="2093"/>
    <tableColumn id="82" name="2,11" dataDxfId="2092" totalsRowDxfId="2091"/>
    <tableColumn id="81" name="3,1" dataDxfId="2090" totalsRowDxfId="2089"/>
    <tableColumn id="80" name="3,2" dataDxfId="2088" totalsRowDxfId="2087"/>
    <tableColumn id="79" name="3,3" dataDxfId="2086" totalsRowDxfId="2085"/>
    <tableColumn id="78" name="3,4" dataDxfId="2084" totalsRowDxfId="2083"/>
    <tableColumn id="77" name="3,5" dataDxfId="2082" totalsRowDxfId="2081"/>
    <tableColumn id="76" name="4,1" dataDxfId="2080" totalsRowDxfId="2079"/>
    <tableColumn id="75" name="4,2" dataDxfId="2078" totalsRowDxfId="2077"/>
    <tableColumn id="74" name="4,3" dataDxfId="2076" totalsRowDxfId="2075"/>
    <tableColumn id="73" name="4,4" dataDxfId="2074" totalsRowDxfId="2073"/>
    <tableColumn id="72" name="4,5" dataDxfId="2072" totalsRowDxfId="2071"/>
    <tableColumn id="71" name="4,6" dataDxfId="2070" totalsRowDxfId="2069"/>
    <tableColumn id="70" name="4,7" dataDxfId="2068" totalsRowDxfId="2067"/>
    <tableColumn id="69" name="4,8" dataDxfId="2066" totalsRowDxfId="2065"/>
    <tableColumn id="68" name="5,1" dataDxfId="2064" totalsRowDxfId="2063"/>
    <tableColumn id="67" name="5,2" dataDxfId="2062" totalsRowDxfId="2061"/>
    <tableColumn id="66" name="5,3" dataDxfId="2060" totalsRowDxfId="2059"/>
    <tableColumn id="65" name="5,4" dataDxfId="2058" totalsRowDxfId="2057"/>
    <tableColumn id="64" name="5,5" dataDxfId="2056" totalsRowDxfId="2055"/>
    <tableColumn id="63" name="5,7" dataDxfId="2054" totalsRowDxfId="2053"/>
    <tableColumn id="99" name="APP" dataDxfId="2052" totalsRowDxfId="2051"/>
    <tableColumn id="56" name="heure d’absence TD" dataDxfId="2050" totalsRowDxfId="2049">
      <calculatedColumnFormula>SUM((AH11*1)+(AI11*1.5)+(AJ11*2)+(AK11*3)+(AP11*5)+(AQ11*6)+(AR11*7)+(AU11*2)+(AX11*3)+(AY11*4)+(BA11*5)+(BB11*3)+(BC11*2)+(BE11*2)+(AZ11*2)+(BD11*2))</calculatedColumnFormula>
    </tableColumn>
    <tableColumn id="57" name="d'heure d’absence CM" dataDxfId="2048" totalsRowDxfId="2047">
      <calculatedColumnFormula>SUM((AN11*1)+(AM11*2)+(AO11*3)+(AP11*4)+(AT11*5)+(AU11*7)+(AV11*7)+(AW11*7)+(AX11*4)+(AY11*3)+(BA11*2)+(BC11*4)+(BB11*1)+(BE11*2)+(AZ11*5)+(BD11*1))</calculatedColumnFormula>
    </tableColumn>
    <tableColumn id="61" name="Suivi pédago" dataDxfId="2046" totalsRowDxfId="2045">
      <calculatedColumnFormula>BF11*2</calculatedColumnFormula>
    </tableColumn>
    <tableColumn id="58" name="d'heure d’absence Stage" dataDxfId="2044" totalsRowDxfId="2043"/>
  </tableColumns>
  <tableStyleInfo name="Employee Absence Table" showFirstColumn="0" showLastColumn="1" showRowStripes="1" showColumnStripes="1"/>
  <extLst>
    <ext xmlns:x14="http://schemas.microsoft.com/office/spreadsheetml/2009/9/main" uri="{504A1905-F514-4f6f-8877-14C23A59335A}">
      <x14:table altText="Fiche de présence d’août" altTextSummary="Permet d’assurer le suivi de présence des élèves (R=en retard, E=excusé, N=non excusé, P=présent, N=école fermée) pour le mois d’aôut."/>
    </ext>
  </extLst>
</table>
</file>

<file path=xl/tables/table5.xml><?xml version="1.0" encoding="utf-8"?>
<table xmlns="http://schemas.openxmlformats.org/spreadsheetml/2006/main" id="4" name="PArticipationNovembre1" displayName="PArticipationNovembre1" ref="B10:CU36" totalsRowCount="1" totalsRowDxfId="2042">
  <tableColumns count="98">
    <tableColumn id="38" name="Nom de l’élève" dataDxfId="2041" totalsRowDxfId="2040">
      <calculatedColumnFormula>IFERROR(VLOOKUP(ParticipationDecembre1[[#This Row],[Référence]],ListeÉtudiants1[],18,FALSE),"")</calculatedColumnFormula>
    </tableColumn>
    <tableColumn id="1" name="1" dataDxfId="2039" totalsRowDxfId="2038"/>
    <tableColumn id="2" name="2" dataDxfId="2037" totalsRowDxfId="2036"/>
    <tableColumn id="3" name="3" dataDxfId="2035" totalsRowDxfId="2034"/>
    <tableColumn id="4" name="4" dataDxfId="2033" totalsRowDxfId="2032"/>
    <tableColumn id="5" name="5" dataDxfId="2031" totalsRowDxfId="2030"/>
    <tableColumn id="6" name="6" dataDxfId="2029" totalsRowDxfId="2028"/>
    <tableColumn id="7" name="7" dataDxfId="2027" totalsRowDxfId="2026"/>
    <tableColumn id="8" name="8" dataDxfId="2025" totalsRowDxfId="2024"/>
    <tableColumn id="9" name="9" dataDxfId="2023" totalsRowDxfId="2022"/>
    <tableColumn id="10" name="10" dataDxfId="2021" totalsRowDxfId="2020"/>
    <tableColumn id="11" name="11" dataDxfId="2019" totalsRowDxfId="2018"/>
    <tableColumn id="12" name="12" dataDxfId="2017" totalsRowDxfId="2016"/>
    <tableColumn id="13" name="13" dataDxfId="2015" totalsRowDxfId="2014"/>
    <tableColumn id="14" name="14" dataDxfId="2013" totalsRowDxfId="2012"/>
    <tableColumn id="15" name="15" dataDxfId="2011" totalsRowDxfId="2010"/>
    <tableColumn id="16" name="16" dataDxfId="2009" totalsRowDxfId="2008"/>
    <tableColumn id="17" name="17" dataDxfId="2007" totalsRowDxfId="2006"/>
    <tableColumn id="18" name="18" dataDxfId="2005" totalsRowDxfId="2004"/>
    <tableColumn id="19" name="19" dataDxfId="2003" totalsRowDxfId="2002"/>
    <tableColumn id="20" name="20" dataDxfId="2001" totalsRowDxfId="2000"/>
    <tableColumn id="21" name="21" dataDxfId="1999" totalsRowDxfId="1998"/>
    <tableColumn id="22" name="22" dataDxfId="1997" totalsRowDxfId="1996"/>
    <tableColumn id="23" name="23" dataDxfId="1995" totalsRowDxfId="1994"/>
    <tableColumn id="24" name="24" dataDxfId="1993" totalsRowDxfId="1992"/>
    <tableColumn id="25" name="25" dataDxfId="1991" totalsRowDxfId="1990"/>
    <tableColumn id="26" name="26" dataDxfId="1989" totalsRowDxfId="1988"/>
    <tableColumn id="27" name="27" dataDxfId="1987" totalsRowDxfId="1986"/>
    <tableColumn id="28" name="28" dataDxfId="1985" totalsRowDxfId="1984"/>
    <tableColumn id="29" name="29" dataDxfId="1983" totalsRowDxfId="1982"/>
    <tableColumn id="30" name="30" dataDxfId="1981" totalsRowDxfId="1980"/>
    <tableColumn id="31" name="A" dataDxfId="1979" totalsRowDxfId="1978">
      <calculatedColumnFormula>COUNTIF(PArticipationNovembre1[[#This Row],[2]:[A]],Code2)</calculatedColumnFormula>
    </tableColumn>
    <tableColumn id="35" name="A1" dataDxfId="1977" totalsRowDxfId="1976">
      <calculatedColumnFormula>COUNTIF(PArticipationNovembre1[[#This Row],[2]:[A]],code22)</calculatedColumnFormula>
    </tableColumn>
    <tableColumn id="57" name="B" dataDxfId="1975" totalsRowDxfId="1974">
      <calculatedColumnFormula>COUNTIF(PArticipationNovembre1[[#This Row],[2]:[A]],Code2)</calculatedColumnFormula>
    </tableColumn>
    <tableColumn id="34" name="C" dataDxfId="1973" totalsRowDxfId="1972">
      <calculatedColumnFormula>COUNTIF(PArticipationNovembre1[[#This Row],[2]:[A]],Code3)</calculatedColumnFormula>
    </tableColumn>
    <tableColumn id="37" name="D" dataDxfId="1971" totalsRowDxfId="1970"/>
    <tableColumn id="36" name="E" dataDxfId="1969" totalsRowDxfId="1968">
      <calculatedColumnFormula>COUNTIF(PArticipationNovembre1[[#This Row],[2]:[A]],Code5)</calculatedColumnFormula>
    </tableColumn>
    <tableColumn id="40" name="E1" dataDxfId="1967" totalsRowDxfId="1966">
      <calculatedColumnFormula>COUNTIF(PArticipationNovembre1[[#This Row],[2]:[A]],Code23)</calculatedColumnFormula>
    </tableColumn>
    <tableColumn id="58" name="F" dataDxfId="1965" totalsRowDxfId="1964">
      <calculatedColumnFormula>COUNTIF(PArticipationNovembre1[[#This Row],[2]:[A]],Code6)</calculatedColumnFormula>
    </tableColumn>
    <tableColumn id="41" name="G" dataDxfId="1963" totalsRowDxfId="1962">
      <calculatedColumnFormula>COUNTIF(PArticipationNovembre1[[#This Row],[2]:[A]],Code7)</calculatedColumnFormula>
    </tableColumn>
    <tableColumn id="42" name="H" dataDxfId="1961" totalsRowDxfId="1960">
      <calculatedColumnFormula>COUNTIF(PArticipationNovembre1[[#This Row],[2]:[A]],Code8)</calculatedColumnFormula>
    </tableColumn>
    <tableColumn id="51" name="I" dataDxfId="1959" totalsRowDxfId="1958">
      <calculatedColumnFormula>COUNTIF(PArticipationNovembre1[[#This Row],[2]:[A]],Code9)</calculatedColumnFormula>
    </tableColumn>
    <tableColumn id="50" name="J" dataDxfId="1957" totalsRowDxfId="1956">
      <calculatedColumnFormula>COUNTIF(PArticipationNovembre1[[#This Row],[2]:[A]],Code10)</calculatedColumnFormula>
    </tableColumn>
    <tableColumn id="49" name="K" dataDxfId="1955" totalsRowDxfId="1954">
      <calculatedColumnFormula>COUNTIF(PArticipationNovembre1[[#This Row],[2]:[A]],Code11)</calculatedColumnFormula>
    </tableColumn>
    <tableColumn id="48" name="L" dataDxfId="1953" totalsRowDxfId="1952">
      <calculatedColumnFormula>COUNTIF(PArticipationNovembre1[[#This Row],[2]:[A]],Code12)</calculatedColumnFormula>
    </tableColumn>
    <tableColumn id="47" name="S" dataDxfId="1951" totalsRowDxfId="1950">
      <calculatedColumnFormula>COUNTIF(PArticipationNovembre1[[#This Row],[2]:[A]],Code13)</calculatedColumnFormula>
    </tableColumn>
    <tableColumn id="46" name="M2" dataDxfId="1949" totalsRowDxfId="1948">
      <calculatedColumnFormula>COUNTIF(PArticipationNovembre1[[#This Row],[2]:[A]],Code14)</calculatedColumnFormula>
    </tableColumn>
    <tableColumn id="45" name="T" dataDxfId="1947" totalsRowDxfId="1946">
      <calculatedColumnFormula>COUNTIF(PArticipationNovembre1[[#This Row],[2]:[A]],Code15)</calculatedColumnFormula>
    </tableColumn>
    <tableColumn id="44" name="U" dataDxfId="1945" totalsRowDxfId="1944">
      <calculatedColumnFormula>COUNTIF(PArticipationNovembre1[[#This Row],[2]:[A]],Code16)</calculatedColumnFormula>
    </tableColumn>
    <tableColumn id="39" name="V" dataDxfId="1943" totalsRowDxfId="1942">
      <calculatedColumnFormula>COUNTIF(PArticipationNovembre1[[#This Row],[2]:[A]],Code17)</calculatedColumnFormula>
    </tableColumn>
    <tableColumn id="97" name="V1" dataDxfId="1941" totalsRowDxfId="1940">
      <calculatedColumnFormula>COUNTIF(PArticipationNovembre1[[#This Row],[2]:[A]],Code25)</calculatedColumnFormula>
    </tableColumn>
    <tableColumn id="96" name="V2" dataDxfId="1939" totalsRowDxfId="1938">
      <calculatedColumnFormula>COUNTIF(PArticipationNovembre1[[#This Row],[2]:[A]],Code26)</calculatedColumnFormula>
    </tableColumn>
    <tableColumn id="95" name="V3" dataDxfId="1937" totalsRowDxfId="1936">
      <calculatedColumnFormula>COUNTIF(PArticipationNovembre1[[#This Row],[2]:[A]],Code27)</calculatedColumnFormula>
    </tableColumn>
    <tableColumn id="94" name="V4" dataDxfId="1935" totalsRowDxfId="1934">
      <calculatedColumnFormula>COUNTIF(PArticipationNovembre1[[#This Row],[2]:[A]],Code28)</calculatedColumnFormula>
    </tableColumn>
    <tableColumn id="32" name="W" dataDxfId="1933" totalsRowDxfId="1932">
      <calculatedColumnFormula>COUNTIF(PArticipationNovembre1[[#This Row],[2]:[A]],code21)</calculatedColumnFormula>
    </tableColumn>
    <tableColumn id="56" name="SP" dataDxfId="1931" totalsRowDxfId="1930">
      <calculatedColumnFormula>COUNTIF(PArticipationNovembre1[[#This Row],[2]:[A]],Code24)</calculatedColumnFormula>
    </tableColumn>
    <tableColumn id="60" name="St1" dataDxfId="1929" totalsRowDxfId="1928">
      <calculatedColumnFormula>COUNTIF(PArticipationNovembre1[[#This Row],[2]:[A]],code18)</calculatedColumnFormula>
    </tableColumn>
    <tableColumn id="33" name="St2" dataDxfId="1927" totalsRowDxfId="1926">
      <calculatedColumnFormula>COUNTIF(PArticipationNovembre1[[#This Row],[2]:[A]],code19)</calculatedColumnFormula>
    </tableColumn>
    <tableColumn id="43" name="St3" dataDxfId="1925" totalsRowDxfId="1924">
      <calculatedColumnFormula>COUNTIF(PArticipationNovembre1[[#This Row],[2]:[A]],code20)</calculatedColumnFormula>
    </tableColumn>
    <tableColumn id="52" name="1,1" dataDxfId="1923" totalsRowDxfId="1922"/>
    <tableColumn id="93" name="1,2" dataDxfId="1921" totalsRowDxfId="1920"/>
    <tableColumn id="92" name="1,3" dataDxfId="1919" totalsRowDxfId="1918"/>
    <tableColumn id="91" name="2,1" dataDxfId="1917" totalsRowDxfId="1916"/>
    <tableColumn id="90" name="2,2" dataDxfId="1915" totalsRowDxfId="1914"/>
    <tableColumn id="89" name="2,3" dataDxfId="1913" totalsRowDxfId="1912"/>
    <tableColumn id="88" name="2,4" dataDxfId="1911" totalsRowDxfId="1910"/>
    <tableColumn id="87" name="2,5" dataDxfId="1909" totalsRowDxfId="1908"/>
    <tableColumn id="86" name="2,6" dataDxfId="1907" totalsRowDxfId="1906"/>
    <tableColumn id="85" name="2,7" dataDxfId="1905" totalsRowDxfId="1904"/>
    <tableColumn id="84" name="2,8" dataDxfId="1903" totalsRowDxfId="1902"/>
    <tableColumn id="83" name="2,9" dataDxfId="1901" totalsRowDxfId="1900"/>
    <tableColumn id="82" name="2,10" dataDxfId="1899" totalsRowDxfId="1898"/>
    <tableColumn id="81" name="2,11" dataDxfId="1897" totalsRowDxfId="1896"/>
    <tableColumn id="80" name="3,1" dataDxfId="1895" totalsRowDxfId="1894"/>
    <tableColumn id="79" name="3,2" dataDxfId="1893" totalsRowDxfId="1892"/>
    <tableColumn id="78" name="3,3" dataDxfId="1891" totalsRowDxfId="1890"/>
    <tableColumn id="77" name="3,4" dataDxfId="1889" totalsRowDxfId="1888"/>
    <tableColumn id="76" name="3,5" dataDxfId="1887" totalsRowDxfId="1886"/>
    <tableColumn id="75" name="4,1" dataDxfId="1885" totalsRowDxfId="1884"/>
    <tableColumn id="74" name="4,2" dataDxfId="1883" totalsRowDxfId="1882"/>
    <tableColumn id="73" name="4,3" dataDxfId="1881" totalsRowDxfId="1880"/>
    <tableColumn id="72" name="4,4" dataDxfId="1879" totalsRowDxfId="1878"/>
    <tableColumn id="71" name="4,5" dataDxfId="1877" totalsRowDxfId="1876"/>
    <tableColumn id="70" name="4,6" dataDxfId="1875" totalsRowDxfId="1874"/>
    <tableColumn id="69" name="4,7" dataDxfId="1873" totalsRowDxfId="1872"/>
    <tableColumn id="68" name="4,8" dataDxfId="1871" totalsRowDxfId="1870"/>
    <tableColumn id="67" name="5,1" dataDxfId="1869" totalsRowDxfId="1868"/>
    <tableColumn id="66" name="5,2" dataDxfId="1867" totalsRowDxfId="1866"/>
    <tableColumn id="65" name="5,3" dataDxfId="1865" totalsRowDxfId="1864"/>
    <tableColumn id="64" name="5,4" dataDxfId="1863" totalsRowDxfId="1862"/>
    <tableColumn id="63" name="5,5" dataDxfId="1861" totalsRowDxfId="1860"/>
    <tableColumn id="62" name="5,7" dataDxfId="1859" totalsRowDxfId="1858"/>
    <tableColumn id="98" name="APP" dataDxfId="1857" totalsRowDxfId="1856"/>
    <tableColumn id="61" name="heure d’absence TD" dataDxfId="1855" totalsRowDxfId="1854">
      <calculatedColumnFormula>SUM((AH11*1)+(AI11*1.5)+(AJ11*2)+(AK11*3)+(AP11*5)+(AQ11*6)+(AR11*7)+(AU11*2)+(AX11*3)+(AY11*4)+(BA11*5)+(BB11*3)+(BC11*2)+(BE11*2)+(AZ11*2)+(BD11*2))</calculatedColumnFormula>
    </tableColumn>
    <tableColumn id="53" name="d'heure d’absence CM" dataDxfId="1853" totalsRowDxfId="1852">
      <calculatedColumnFormula>SUM((AN11*1)+(AM11*2)+(AO11*3)+(AP11*4)+(AT11*5)+(AU11*7)+(AV11*7)+(AW11*7)+(AX11*4)+(AY11*3)+(BA11*2)+(BC11*4)+(BB11*1)+(BE11*2)+(AZ11*5)+(BD11*1))</calculatedColumnFormula>
    </tableColumn>
    <tableColumn id="54" name="Suivi Pédago" dataDxfId="1851" totalsRowDxfId="1850">
      <calculatedColumnFormula>BE11*2</calculatedColumnFormula>
    </tableColumn>
    <tableColumn id="59" name="d'heure d’absence Stage" dataDxfId="1849" totalsRowDxfId="1848"/>
    <tableColumn id="55" name="Colonne1" dataDxfId="1847" totalsRowDxfId="1846"/>
  </tableColumns>
  <tableStyleInfo name="Employee Absence Table" showFirstColumn="0" showLastColumn="1" showRowStripes="1" showColumnStripes="1"/>
  <extLst>
    <ext xmlns:x14="http://schemas.microsoft.com/office/spreadsheetml/2009/9/main" uri="{504A1905-F514-4f6f-8877-14C23A59335A}">
      <x14:table altText="Fiche de présence d’août" altTextSummary="Permet d’assurer le suivi de présence des élèves (R=en retard, E=excusé, N=non excusé, P=présent, N=école fermée) pour le mois d’aôut."/>
    </ext>
  </extLst>
</table>
</file>

<file path=xl/tables/table6.xml><?xml version="1.0" encoding="utf-8"?>
<table xmlns="http://schemas.openxmlformats.org/spreadsheetml/2006/main" id="14" name="ParticipationDecembre1" displayName="ParticipationDecembre1" ref="A10:CT35" totalsRowCount="1" totalsRowDxfId="1845">
  <tableColumns count="98">
    <tableColumn id="38" name="Référence" totalsRowDxfId="1844"/>
    <tableColumn id="1" name="Nom de l’élève" dataDxfId="1843" totalsRowDxfId="1842">
      <calculatedColumnFormula>IFERROR(VLOOKUP(ParticipationDecembre1[[#This Row],[Référence]],ListeÉtudiants1[],18,FALSE),"")</calculatedColumnFormula>
    </tableColumn>
    <tableColumn id="2" name="1" totalsRowDxfId="1841"/>
    <tableColumn id="3" name="2" totalsRowDxfId="1840"/>
    <tableColumn id="4" name="3" totalsRowDxfId="1839"/>
    <tableColumn id="5" name="4" totalsRowDxfId="1838"/>
    <tableColumn id="6" name="5" totalsRowDxfId="1837"/>
    <tableColumn id="7" name="6" totalsRowDxfId="1836"/>
    <tableColumn id="8" name="7" totalsRowDxfId="1835"/>
    <tableColumn id="9" name="8" totalsRowDxfId="1834"/>
    <tableColumn id="10" name="9" totalsRowDxfId="1833"/>
    <tableColumn id="11" name="10" totalsRowDxfId="1832"/>
    <tableColumn id="12" name="11" totalsRowDxfId="1831"/>
    <tableColumn id="13" name="12" totalsRowDxfId="1830"/>
    <tableColumn id="14" name="13" totalsRowDxfId="1829"/>
    <tableColumn id="15" name="14" totalsRowDxfId="1828"/>
    <tableColumn id="16" name="15" totalsRowDxfId="1827"/>
    <tableColumn id="17" name="16" totalsRowDxfId="1826"/>
    <tableColumn id="18" name="17" totalsRowDxfId="1825"/>
    <tableColumn id="19" name="18" totalsRowDxfId="1824"/>
    <tableColumn id="20" name="19" totalsRowDxfId="1823"/>
    <tableColumn id="21" name="20" totalsRowDxfId="1822"/>
    <tableColumn id="22" name="21" totalsRowDxfId="1821"/>
    <tableColumn id="23" name="22" totalsRowDxfId="1820"/>
    <tableColumn id="24" name="23" totalsRowDxfId="1819"/>
    <tableColumn id="25" name="24" totalsRowDxfId="1818"/>
    <tableColumn id="26" name="25" totalsRowDxfId="1817"/>
    <tableColumn id="27" name="26" totalsRowDxfId="1816"/>
    <tableColumn id="28" name="27" totalsRowDxfId="1815"/>
    <tableColumn id="29" name="28" totalsRowDxfId="1814"/>
    <tableColumn id="30" name="29" totalsRowDxfId="1813"/>
    <tableColumn id="31" name="30" totalsRowDxfId="1812"/>
    <tableColumn id="32" name="31" dataDxfId="1811" totalsRowDxfId="1810"/>
    <tableColumn id="35" name="A" dataDxfId="1809" totalsRowDxfId="1808">
      <calculatedColumnFormula>COUNTIF(ParticipationDecembre1[[#This Row],[1]:[31]],Code1)</calculatedColumnFormula>
    </tableColumn>
    <tableColumn id="58" name="A1" dataDxfId="1807" totalsRowDxfId="1806">
      <calculatedColumnFormula>COUNTIF(ParticipationDecembre1[[#This Row],[1]:[31]],code22)</calculatedColumnFormula>
    </tableColumn>
    <tableColumn id="34" name="B" dataDxfId="1805" totalsRowDxfId="1804">
      <calculatedColumnFormula>COUNTIF(ParticipationDecembre1[[#This Row],[1]:[31]],Code2)</calculatedColumnFormula>
    </tableColumn>
    <tableColumn id="37" name="C" dataDxfId="1803" totalsRowDxfId="1802">
      <calculatedColumnFormula>COUNTIF(ParticipationDecembre1[[#This Row],[1]:[31]],Code3)</calculatedColumnFormula>
    </tableColumn>
    <tableColumn id="36" name="D" dataDxfId="1801" totalsRowDxfId="1800">
      <calculatedColumnFormula>COUNTIF(ParticipationDecembre1[[#This Row],[1]:[31]],Code4)</calculatedColumnFormula>
    </tableColumn>
    <tableColumn id="40" name="E" dataDxfId="1799" totalsRowDxfId="1798">
      <calculatedColumnFormula>COUNTIF(ParticipationDecembre1[[#This Row],[1]:[31]],Code5)</calculatedColumnFormula>
    </tableColumn>
    <tableColumn id="59" name="E1" dataDxfId="1797" totalsRowDxfId="1796">
      <calculatedColumnFormula>COUNTIF(ParticipationDecembre1[[#This Row],[1]:[31]],Code23)</calculatedColumnFormula>
    </tableColumn>
    <tableColumn id="41" name="F" dataDxfId="1795" totalsRowDxfId="1794">
      <calculatedColumnFormula>COUNTIF(ParticipationDecembre1[[#This Row],[1]:[31]],Code6)</calculatedColumnFormula>
    </tableColumn>
    <tableColumn id="42" name="G" dataDxfId="1793" totalsRowDxfId="1792">
      <calculatedColumnFormula>COUNTIF(ParticipationDecembre1[[#This Row],[1]:[31]],Code7)</calculatedColumnFormula>
    </tableColumn>
    <tableColumn id="52" name="H" dataDxfId="1791" totalsRowDxfId="1790">
      <calculatedColumnFormula>COUNTIF(ParticipationDecembre1[[#This Row],[1]:[31]],Code8)</calculatedColumnFormula>
    </tableColumn>
    <tableColumn id="51" name="I" dataDxfId="1789" totalsRowDxfId="1788">
      <calculatedColumnFormula>COUNTIF(ParticipationDecembre1[[#This Row],[1]:[31]],Code9)</calculatedColumnFormula>
    </tableColumn>
    <tableColumn id="50" name="J" dataDxfId="1787" totalsRowDxfId="1786">
      <calculatedColumnFormula>COUNTIF(ParticipationDecembre1[[#This Row],[1]:[31]],Code10)</calculatedColumnFormula>
    </tableColumn>
    <tableColumn id="49" name="K" dataDxfId="1785" totalsRowDxfId="1784">
      <calculatedColumnFormula>COUNTIF(ParticipationDecembre1[[#This Row],[1]:[31]],Code11)</calculatedColumnFormula>
    </tableColumn>
    <tableColumn id="48" name="L" dataDxfId="1783" totalsRowDxfId="1782">
      <calculatedColumnFormula>COUNTIF(ParticipationDecembre1[[#This Row],[1]:[31]],Code12)</calculatedColumnFormula>
    </tableColumn>
    <tableColumn id="47" name="S" dataDxfId="1781" totalsRowDxfId="1780">
      <calculatedColumnFormula>COUNTIF(ParticipationDecembre1[[#This Row],[1]:[31]],Code13)</calculatedColumnFormula>
    </tableColumn>
    <tableColumn id="46" name="M" dataDxfId="1779" totalsRowDxfId="1778">
      <calculatedColumnFormula>COUNTIF(ParticipationDecembre1[[#This Row],[1]:[31]],Code14)</calculatedColumnFormula>
    </tableColumn>
    <tableColumn id="45" name="T" dataDxfId="1777" totalsRowDxfId="1776">
      <calculatedColumnFormula>COUNTIF(ParticipationDecembre1[[#This Row],[1]:[31]],Code15)</calculatedColumnFormula>
    </tableColumn>
    <tableColumn id="44" name="U" dataDxfId="1775" totalsRowDxfId="1774">
      <calculatedColumnFormula>COUNTIF(ParticipationDecembre1[[#This Row],[1]:[31]],Code16)</calculatedColumnFormula>
    </tableColumn>
    <tableColumn id="39" name="V" dataDxfId="1773" totalsRowDxfId="1772">
      <calculatedColumnFormula>COUNTIF(ParticipationDecembre1[[#This Row],[1]:[31]],Code17)</calculatedColumnFormula>
    </tableColumn>
    <tableColumn id="97" name="V1" dataDxfId="1771" totalsRowDxfId="1770">
      <calculatedColumnFormula>COUNTIF(ParticipationDecembre1[[#This Row],[1]:[31]],Code25)</calculatedColumnFormula>
    </tableColumn>
    <tableColumn id="96" name="V2" dataDxfId="1769" totalsRowDxfId="1768">
      <calculatedColumnFormula>COUNTIF(ParticipationDecembre1[[#This Row],[1]:[31]],Code26)</calculatedColumnFormula>
    </tableColumn>
    <tableColumn id="63" name="V3" dataDxfId="1767" totalsRowDxfId="1766">
      <calculatedColumnFormula>COUNTIF(ParticipationDecembre1[[#This Row],[1]:[31]],Code27)</calculatedColumnFormula>
    </tableColumn>
    <tableColumn id="62" name="V4" dataDxfId="1765" totalsRowDxfId="1764">
      <calculatedColumnFormula>COUNTIF(ParticipationDecembre1[[#This Row],[1]:[31]],Code28)</calculatedColumnFormula>
    </tableColumn>
    <tableColumn id="57" name="W" dataDxfId="1763" totalsRowDxfId="1762">
      <calculatedColumnFormula>COUNTIF(ParticipationDecembre1[[#This Row],[1]:[31]],code21)</calculatedColumnFormula>
    </tableColumn>
    <tableColumn id="60" name="Sp" dataDxfId="1761" totalsRowDxfId="1760">
      <calculatedColumnFormula>COUNTIF(ParticipationDecembre1[[#This Row],[1]:[31]],Code24)</calculatedColumnFormula>
    </tableColumn>
    <tableColumn id="33" name="St1" dataDxfId="1759" totalsRowDxfId="1758">
      <calculatedColumnFormula>COUNTIF(ParticipationDecembre1[[#This Row],[1]:[31]],code18)</calculatedColumnFormula>
    </tableColumn>
    <tableColumn id="43" name="St2" dataDxfId="1757" totalsRowDxfId="1756">
      <calculatedColumnFormula>COUNTIF(ParticipationDecembre1[[#This Row],[1]:[31]],code19)</calculatedColumnFormula>
    </tableColumn>
    <tableColumn id="53" name="1,1" dataDxfId="1755" totalsRowDxfId="1754"/>
    <tableColumn id="95" name="1,2" dataDxfId="1753" totalsRowDxfId="1752"/>
    <tableColumn id="94" name="1,3" dataDxfId="1751" totalsRowDxfId="1750"/>
    <tableColumn id="93" name="2,1" dataDxfId="1749" totalsRowDxfId="1748"/>
    <tableColumn id="92" name="2,2" dataDxfId="1747" totalsRowDxfId="1746"/>
    <tableColumn id="91" name="2,3" dataDxfId="1745" totalsRowDxfId="1744"/>
    <tableColumn id="90" name="2,4" dataDxfId="1743" totalsRowDxfId="1742"/>
    <tableColumn id="89" name="2,5" dataDxfId="1741" totalsRowDxfId="1740"/>
    <tableColumn id="88" name="2,6" dataDxfId="1739" totalsRowDxfId="1738"/>
    <tableColumn id="87" name="2,7" dataDxfId="1737" totalsRowDxfId="1736"/>
    <tableColumn id="86" name="2,8" dataDxfId="1735" totalsRowDxfId="1734"/>
    <tableColumn id="85" name="2,9" dataDxfId="1733" totalsRowDxfId="1732"/>
    <tableColumn id="84" name="2,10" dataDxfId="1731" totalsRowDxfId="1730"/>
    <tableColumn id="83" name="2,11" dataDxfId="1729" totalsRowDxfId="1728"/>
    <tableColumn id="82" name="3,1" dataDxfId="1727" totalsRowDxfId="1726"/>
    <tableColumn id="81" name="3,2" dataDxfId="1725" totalsRowDxfId="1724"/>
    <tableColumn id="80" name="3,3" dataDxfId="1723" totalsRowDxfId="1722"/>
    <tableColumn id="79" name="3,4" dataDxfId="1721" totalsRowDxfId="1720"/>
    <tableColumn id="78" name="3,5" dataDxfId="1719" totalsRowDxfId="1718"/>
    <tableColumn id="77" name="4,1" dataDxfId="1717" totalsRowDxfId="1716"/>
    <tableColumn id="76" name="4,2" dataDxfId="1715" totalsRowDxfId="1714"/>
    <tableColumn id="75" name="4,3" dataDxfId="1713" totalsRowDxfId="1712"/>
    <tableColumn id="74" name="4,4" dataDxfId="1711" totalsRowDxfId="1710"/>
    <tableColumn id="73" name="4,5" dataDxfId="1709" totalsRowDxfId="1708"/>
    <tableColumn id="72" name="4,6" dataDxfId="1707" totalsRowDxfId="1706"/>
    <tableColumn id="71" name="4,7" dataDxfId="1705" totalsRowDxfId="1704"/>
    <tableColumn id="70" name="4,8" dataDxfId="1703" totalsRowDxfId="1702"/>
    <tableColumn id="69" name="5,1" dataDxfId="1701" totalsRowDxfId="1700"/>
    <tableColumn id="68" name="5,2" dataDxfId="1699" totalsRowDxfId="1698"/>
    <tableColumn id="67" name="5,3" dataDxfId="1697" totalsRowDxfId="1696"/>
    <tableColumn id="66" name="5,4" dataDxfId="1695" totalsRowDxfId="1694"/>
    <tableColumn id="65" name="5,5" dataDxfId="1693" totalsRowDxfId="1692"/>
    <tableColumn id="64" name="5,7" dataDxfId="1691" totalsRowDxfId="1690"/>
    <tableColumn id="98" name="APP" dataDxfId="1689" totalsRowDxfId="1688"/>
    <tableColumn id="54" name="heure d’absence TD" dataDxfId="1687" totalsRowDxfId="1686">
      <calculatedColumnFormula>SUM((AH11*1)+(AI11*1.5)+(AJ11*2)+(AK11*3)+(AP11*5)+(AQ11*6)+(AR11*7)+(AU11*2)+(AX11*3)+(AY11*4)+(BA11*5)+(BB11*3)+(BC11*2)+(BE11*2)+(AZ11*2)+(BD11*2))</calculatedColumnFormula>
    </tableColumn>
    <tableColumn id="55" name="d'heure d’absence CM" dataDxfId="1685" totalsRowDxfId="1684">
      <calculatedColumnFormula>SUM((AN11*1)+(AM11*2)+(AO11*3)+(AP11*4)+(AT11*5)+(AU11*7)+(AV11*7)+(AW11*7)+(AX11*4)+(AY11*3)+(BA11*2)+(BC11*4)+(BB11*1)+(BE11*2)+(AZ11*5)+(BD11*1))</calculatedColumnFormula>
    </tableColumn>
    <tableColumn id="61" name="Sp2" dataDxfId="1683" totalsRowDxfId="1682">
      <calculatedColumnFormula>BF11*2</calculatedColumnFormula>
    </tableColumn>
    <tableColumn id="56" name="d'heure d’absence Stage" dataDxfId="1681" totalsRowDxfId="1680"/>
  </tableColumns>
  <tableStyleInfo name="Employee Absence Table" showFirstColumn="0" showLastColumn="1" showRowStripes="1" showColumnStripes="1"/>
  <extLst>
    <ext xmlns:x14="http://schemas.microsoft.com/office/spreadsheetml/2009/9/main" uri="{504A1905-F514-4f6f-8877-14C23A59335A}">
      <x14:table altText="Fiche de présence d’août" altTextSummary="Permet d’assurer le suivi de présence des élèves (R=en retard, E=excusé, N=non excusé, P=présent, N=école fermée) pour le mois d’aôut."/>
    </ext>
  </extLst>
</table>
</file>

<file path=xl/tables/table7.xml><?xml version="1.0" encoding="utf-8"?>
<table xmlns="http://schemas.openxmlformats.org/spreadsheetml/2006/main" id="15" name="ParticipationJanvier1" displayName="ParticipationJanvier1" ref="A10:CY158" totalsRowCount="1" totalsRowDxfId="1679">
  <tableColumns count="103">
    <tableColumn id="38" name="Référence" dataDxfId="1678" totalsRowDxfId="1677"/>
    <tableColumn id="1" name="Nom de l’élève" dataDxfId="1676" totalsRowDxfId="1675">
      <calculatedColumnFormula>IFERROR(VLOOKUP([2]!ParticipationJanvier1[[#This Row],[Référence]],[2]!ListeÉtudiants1[#Data],18,FALSE),"")</calculatedColumnFormula>
    </tableColumn>
    <tableColumn id="2" name="1" totalsRowDxfId="1674"/>
    <tableColumn id="3" name="2" totalsRowDxfId="1673"/>
    <tableColumn id="4" name="3" totalsRowDxfId="1672"/>
    <tableColumn id="5" name="4" totalsRowDxfId="1671"/>
    <tableColumn id="66" name="5" dataDxfId="1670" totalsRowDxfId="1669"/>
    <tableColumn id="6" name="6" totalsRowDxfId="1668"/>
    <tableColumn id="67" name="7" dataDxfId="1667" totalsRowDxfId="1666"/>
    <tableColumn id="7" name="8" totalsRowDxfId="1665"/>
    <tableColumn id="68" name="9" dataDxfId="1664" totalsRowDxfId="1663"/>
    <tableColumn id="8" name="10" totalsRowDxfId="1662"/>
    <tableColumn id="69" name="11" dataDxfId="1661" totalsRowDxfId="1660"/>
    <tableColumn id="9" name="12" totalsRowDxfId="1659"/>
    <tableColumn id="70" name="13" dataDxfId="1658" totalsRowDxfId="1657"/>
    <tableColumn id="10" name="14" totalsRowDxfId="1656"/>
    <tableColumn id="71" name="15" dataDxfId="1655" totalsRowDxfId="1654"/>
    <tableColumn id="11" name="16" totalsRowDxfId="1653"/>
    <tableColumn id="72" name="17" dataDxfId="1652" totalsRowDxfId="1651"/>
    <tableColumn id="12" name="18" totalsRowDxfId="1650"/>
    <tableColumn id="73" name="19" dataDxfId="1649" totalsRowDxfId="1648"/>
    <tableColumn id="13" name="20" totalsRowDxfId="1647"/>
    <tableColumn id="65" name="21" dataDxfId="1646" totalsRowDxfId="1645"/>
    <tableColumn id="14" name="22" totalsRowDxfId="1644"/>
    <tableColumn id="74" name="23" dataDxfId="1643" totalsRowDxfId="1642"/>
    <tableColumn id="15" name="24" totalsRowDxfId="1641"/>
    <tableColumn id="75" name="25" dataDxfId="1640" totalsRowDxfId="1639"/>
    <tableColumn id="16" name="26" totalsRowDxfId="1638"/>
    <tableColumn id="76" name="27" dataDxfId="1637" totalsRowDxfId="1636"/>
    <tableColumn id="17" name="28" totalsRowDxfId="1635"/>
    <tableColumn id="77" name="29" dataDxfId="1634" totalsRowDxfId="1633"/>
    <tableColumn id="18" name="30" totalsRowDxfId="1632"/>
    <tableColumn id="78" name="31" dataDxfId="1631" totalsRowDxfId="1630"/>
    <tableColumn id="19" name="A" dataDxfId="1629" totalsRowDxfId="1628">
      <calculatedColumnFormula>COUNTIF(ParticipationJanvier1[[#This Row],[1]:[31]],Code1)</calculatedColumnFormula>
    </tableColumn>
    <tableColumn id="79" name="A1" dataDxfId="1627" totalsRowDxfId="1626">
      <calculatedColumnFormula>COUNTIF(ParticipationJanvier1[[#This Row],[1]:[31]],code22)</calculatedColumnFormula>
    </tableColumn>
    <tableColumn id="20" name="B" dataDxfId="1625" totalsRowDxfId="1624">
      <calculatedColumnFormula>COUNTIF(ParticipationJanvier1[[#This Row],[1]:[31]],Code2)</calculatedColumnFormula>
    </tableColumn>
    <tableColumn id="80" name="C" dataDxfId="1623" totalsRowDxfId="1622">
      <calculatedColumnFormula>COUNTIF(ParticipationJanvier1[[#This Row],[1]:[31]],Code3)</calculatedColumnFormula>
    </tableColumn>
    <tableColumn id="21" name="D" dataDxfId="1621" totalsRowDxfId="1620">
      <calculatedColumnFormula>COUNTIF(ParticipationJanvier1[[#This Row],[1]:[31]],Code4)</calculatedColumnFormula>
    </tableColumn>
    <tableColumn id="81" name="E" dataDxfId="1619" totalsRowDxfId="1618">
      <calculatedColumnFormula>COUNTIF(ParticipationJanvier1[[#This Row],[1]:[31]],Code5)</calculatedColumnFormula>
    </tableColumn>
    <tableColumn id="35" name="E1" dataDxfId="1617" totalsRowDxfId="1616">
      <calculatedColumnFormula>COUNTIF(ParticipationJanvier1[[#This Row],[1]:[31]],Code23)</calculatedColumnFormula>
    </tableColumn>
    <tableColumn id="58" name="F" dataDxfId="1615" totalsRowDxfId="1614">
      <calculatedColumnFormula>COUNTIF(ParticipationJanvier1[[#This Row],[1]:[31]],Code6)</calculatedColumnFormula>
    </tableColumn>
    <tableColumn id="34" name="G" dataDxfId="1613" totalsRowDxfId="1612">
      <calculatedColumnFormula>COUNTIF(ParticipationJanvier1[[#This Row],[1]:[31]],Code7)</calculatedColumnFormula>
    </tableColumn>
    <tableColumn id="37" name="H" dataDxfId="1611" totalsRowDxfId="1610">
      <calculatedColumnFormula>COUNTIF(ParticipationJanvier1[[#This Row],[1]:[31]],Code8)</calculatedColumnFormula>
    </tableColumn>
    <tableColumn id="36" name="I" dataDxfId="1609" totalsRowDxfId="1608">
      <calculatedColumnFormula>COUNTIF(ParticipationJanvier1[[#This Row],[1]:[31]],Code9)</calculatedColumnFormula>
    </tableColumn>
    <tableColumn id="40" name="J" dataDxfId="1607" totalsRowDxfId="1606">
      <calculatedColumnFormula>COUNTIF(ParticipationJanvier1[[#This Row],[1]:[31]],Code10)</calculatedColumnFormula>
    </tableColumn>
    <tableColumn id="59" name="K" dataDxfId="1605" totalsRowDxfId="1604">
      <calculatedColumnFormula>COUNTIF(ParticipationJanvier1[[#This Row],[1]:[31]],Code11)</calculatedColumnFormula>
    </tableColumn>
    <tableColumn id="41" name="L" dataDxfId="1603" totalsRowDxfId="1602">
      <calculatedColumnFormula>COUNTIF(ParticipationJanvier1[[#This Row],[1]:[31]],Code12)</calculatedColumnFormula>
    </tableColumn>
    <tableColumn id="42" name="S" dataDxfId="1601" totalsRowDxfId="1600">
      <calculatedColumnFormula>COUNTIF(ParticipationJanvier1[[#This Row],[1]:[31]],Code13)</calculatedColumnFormula>
    </tableColumn>
    <tableColumn id="52" name="M" dataDxfId="1599" totalsRowDxfId="1598">
      <calculatedColumnFormula>COUNTIF(ParticipationJanvier1[[#This Row],[1]:[31]],Code14)</calculatedColumnFormula>
    </tableColumn>
    <tableColumn id="51" name="T" dataDxfId="1597" totalsRowDxfId="1596">
      <calculatedColumnFormula>COUNTIF(ParticipationJanvier1[[#This Row],[1]:[31]],Code15)</calculatedColumnFormula>
    </tableColumn>
    <tableColumn id="50" name="U" dataDxfId="1595" totalsRowDxfId="1594">
      <calculatedColumnFormula>COUNTIF(ParticipationJanvier1[[#This Row],[1]:[31]],Code16)</calculatedColumnFormula>
    </tableColumn>
    <tableColumn id="49" name="V" dataDxfId="1593" totalsRowDxfId="1592">
      <calculatedColumnFormula>COUNTIF(ParticipationJanvier1[[#This Row],[1]:[31]],Code17)</calculatedColumnFormula>
    </tableColumn>
    <tableColumn id="25" name="V1" dataDxfId="1591" totalsRowDxfId="1590">
      <calculatedColumnFormula>COUNTIF(ParticipationJanvier1[[#This Row],[1]:[31]],Code25)</calculatedColumnFormula>
    </tableColumn>
    <tableColumn id="24" name="V2" dataDxfId="1589" totalsRowDxfId="1588">
      <calculatedColumnFormula>COUNTIF(ParticipationJanvier1[[#This Row],[1]:[31]],Code26)</calculatedColumnFormula>
    </tableColumn>
    <tableColumn id="27" name="V3" dataDxfId="1587" totalsRowDxfId="1586">
      <calculatedColumnFormula>COUNTIF(ParticipationJanvier1[[#This Row],[1]:[31]],Code27)</calculatedColumnFormula>
    </tableColumn>
    <tableColumn id="26" name="V4" dataDxfId="1585" totalsRowDxfId="1584">
      <calculatedColumnFormula>COUNTIF(ParticipationJanvier1[[#This Row],[1]:[31]],Code28)</calculatedColumnFormula>
    </tableColumn>
    <tableColumn id="28" name="V5" dataDxfId="1583" totalsRowDxfId="1582">
      <calculatedColumnFormula>COUNTIF(ParticipationJanvier1[[#This Row],[1]:[31]],code30)</calculatedColumnFormula>
    </tableColumn>
    <tableColumn id="29" name="V6" dataDxfId="1581" totalsRowDxfId="1580">
      <calculatedColumnFormula>COUNTIF(ParticipationJanvier1[[#This Row],[1]:[31]],Code31)</calculatedColumnFormula>
    </tableColumn>
    <tableColumn id="48" name="w" dataDxfId="1579" totalsRowDxfId="1578">
      <calculatedColumnFormula>COUNTIF(ParticipationJanvier1[[#This Row],[1]:[31]],code21)</calculatedColumnFormula>
    </tableColumn>
    <tableColumn id="47" name="SP" dataDxfId="1577" totalsRowDxfId="1576">
      <calculatedColumnFormula>COUNTIF(ParticipationJanvier1[[#This Row],[1]:[31]],Code24)</calculatedColumnFormula>
    </tableColumn>
    <tableColumn id="46" name="St1" dataDxfId="1575" totalsRowDxfId="1574">
      <calculatedColumnFormula>COUNTIF(ParticipationJanvier1[[#This Row],[1]:[31]],code18)</calculatedColumnFormula>
    </tableColumn>
    <tableColumn id="45" name="St2" dataDxfId="1573" totalsRowDxfId="1572">
      <calculatedColumnFormula>COUNTIF(ParticipationJanvier1[[#This Row],[1]:[31]],code19)</calculatedColumnFormula>
    </tableColumn>
    <tableColumn id="44" name="St3" dataDxfId="1571" totalsRowDxfId="1570">
      <calculatedColumnFormula>COUNTIF(ParticipationJanvier1[[#This Row],[1]:[31]],code20)</calculatedColumnFormula>
    </tableColumn>
    <tableColumn id="30" name="SP1" dataDxfId="1569" totalsRowDxfId="1568">
      <calculatedColumnFormula>COUNTIF(ParticipationJanvier1[[#This Row],[1]:[31]],code29)</calculatedColumnFormula>
    </tableColumn>
    <tableColumn id="39" name="1,1" dataDxfId="1567" totalsRowDxfId="1566">
      <calculatedColumnFormula>SUM((AH11*1)+(AI15*1.5)+(AJ11*2)+(AK11*3)+(AL11*4)+(AQ11*5)+(AR11*6)+(AS11*7)+(AW11*2)+(AX11*3)+(AY11*4)+(AZ11*5)+(BG11*2))</calculatedColumnFormula>
    </tableColumn>
    <tableColumn id="57" name="1,2" dataDxfId="1565" totalsRowDxfId="1564"/>
    <tableColumn id="60" name="1,3" dataDxfId="1563" totalsRowDxfId="1562"/>
    <tableColumn id="33" name="2,1" dataDxfId="1561" totalsRowDxfId="1560"/>
    <tableColumn id="43" name="2,2" dataDxfId="1559" totalsRowDxfId="1558"/>
    <tableColumn id="53" name="2,3" dataDxfId="1557" totalsRowDxfId="1556"/>
    <tableColumn id="157" name="2,4" dataDxfId="1555" totalsRowDxfId="1554"/>
    <tableColumn id="156" name="2,5" dataDxfId="1553" totalsRowDxfId="1552"/>
    <tableColumn id="155" name="2,6" dataDxfId="1551" totalsRowDxfId="1550"/>
    <tableColumn id="154" name="2,7" dataDxfId="1549" totalsRowDxfId="1548"/>
    <tableColumn id="153" name="2,8" dataDxfId="1547" totalsRowDxfId="1546"/>
    <tableColumn id="152" name="2,9" dataDxfId="1545" totalsRowDxfId="1544"/>
    <tableColumn id="151" name="2,10" dataDxfId="1543" totalsRowDxfId="1542"/>
    <tableColumn id="150" name="2,11" dataDxfId="1541" totalsRowDxfId="1540"/>
    <tableColumn id="149" name="3,1" dataDxfId="1539" totalsRowDxfId="1538"/>
    <tableColumn id="148" name="3,2" dataDxfId="1537" totalsRowDxfId="1536"/>
    <tableColumn id="147" name="3,3" dataDxfId="1535" totalsRowDxfId="1534"/>
    <tableColumn id="146" name="3,4" dataDxfId="1533" totalsRowDxfId="1532"/>
    <tableColumn id="145" name="3,5" dataDxfId="1531" totalsRowDxfId="1530"/>
    <tableColumn id="144" name="4,1" dataDxfId="1529" totalsRowDxfId="1528"/>
    <tableColumn id="143" name="4,2" dataDxfId="1527" totalsRowDxfId="1526"/>
    <tableColumn id="142" name="4,3" dataDxfId="1525" totalsRowDxfId="1524"/>
    <tableColumn id="141" name="4,4" dataDxfId="1523" totalsRowDxfId="1522"/>
    <tableColumn id="140" name="4,5" dataDxfId="1521" totalsRowDxfId="1520"/>
    <tableColumn id="139" name="4,6" dataDxfId="1519" totalsRowDxfId="1518"/>
    <tableColumn id="138" name="4,7" dataDxfId="1517" totalsRowDxfId="1516"/>
    <tableColumn id="137" name="4,8" dataDxfId="1515" totalsRowDxfId="1514"/>
    <tableColumn id="136" name="5,1" dataDxfId="1513" totalsRowDxfId="1512"/>
    <tableColumn id="135" name="5,2" dataDxfId="1511" totalsRowDxfId="1510"/>
    <tableColumn id="134" name="5,3" dataDxfId="1509" totalsRowDxfId="1508"/>
    <tableColumn id="133" name="5,4" dataDxfId="1507" totalsRowDxfId="1506"/>
    <tableColumn id="132" name="5,5" dataDxfId="1505" totalsRowDxfId="1504"/>
    <tableColumn id="131" name="5,7" dataDxfId="1503" totalsRowDxfId="1502"/>
    <tableColumn id="31" name="6,2" dataDxfId="1501" totalsRowDxfId="1500"/>
    <tableColumn id="23" name="APP" dataDxfId="1499" totalsRowDxfId="1498">
      <calculatedColumnFormula>SUM((AN11*1)+(AM11*2)+(AO11*3)+(AP11*4)+(AT11*5)+(AU11*7)+(AV11*7)+(AW11*7)+(AX11*4)+(AY11*3)+(BA11*2)+(BC11*4)+(BB11*1)+(BG11*2)+(AZ11*5)+(BD11*1))</calculatedColumnFormula>
    </tableColumn>
    <tableColumn id="110" name="d'heure d’absence TD" dataDxfId="1497" totalsRowDxfId="1496">
      <calculatedColumnFormula>SUM((AH11*1)+(AI11*1.5)+(AJ11*2)+(AK11*3)+(AP11*5)+(AQ11*6)+(AR11*7)+(AU11*2)+(AX11*3)+(AY11*4)+(BA11*5)+(BB11*3)+(BC11*2)+(BG11*2)+(AZ11*2)+(BD11*2))</calculatedColumnFormula>
    </tableColumn>
    <tableColumn id="22" name="d'heure d’absence CM" dataDxfId="1495" totalsRowDxfId="1494">
      <calculatedColumnFormula>SUM((AN11*1)+(AM11*2)+(AO11*3)+(AP11*4)+(AT11*5)+(AU11*7)+(AV11*7)+(AW11*7)+(AX11*4)+(AY11*3)+(BA11*2)+(BC11*4)+(BB11*1)+(BG11*2)+(AZ11*5)+(BD11*1))</calculatedColumnFormula>
    </tableColumn>
    <tableColumn id="97" name="Suivi Pédago" dataDxfId="1493" totalsRowDxfId="1492">
      <calculatedColumnFormula>BH11*1</calculatedColumnFormula>
    </tableColumn>
    <tableColumn id="95" name="d'heure d’absence Stage" dataDxfId="1491" totalsRowDxfId="1490"/>
  </tableColumns>
  <tableStyleInfo name="Employee Absence Table" showFirstColumn="0" showLastColumn="1" showRowStripes="1" showColumnStripes="1"/>
  <extLst>
    <ext xmlns:x14="http://schemas.microsoft.com/office/spreadsheetml/2009/9/main" uri="{504A1905-F514-4f6f-8877-14C23A59335A}">
      <x14:table altText="Fiche de présence d’août" altTextSummary="Permet d’assurer le suivi de présence des élèves (R=en retard, E=excusé, N=non excusé, P=présent, N=école fermée) pour le mois d’aôut."/>
    </ext>
  </extLst>
</table>
</file>

<file path=xl/tables/table8.xml><?xml version="1.0" encoding="utf-8"?>
<table xmlns="http://schemas.openxmlformats.org/spreadsheetml/2006/main" id="7" name="PArticipationFevrier1" displayName="PArticipationFevrier1" ref="A10:CY156" totalsRowCount="1" totalsRowDxfId="1489">
  <sortState ref="A11:CY34">
    <sortCondition ref="A11"/>
  </sortState>
  <tableColumns count="103">
    <tableColumn id="38" name="Référence" totalsRowDxfId="1488"/>
    <tableColumn id="1" name="Nom de l’élève" dataDxfId="1487" totalsRowDxfId="1486">
      <calculatedColumnFormula>IFERROR(VLOOKUP(PArticipationFevrier1[[#This Row],[Référence]],ListeÉtudiants1[],18,FALSE),"")</calculatedColumnFormula>
    </tableColumn>
    <tableColumn id="2" name="1" totalsRowDxfId="1485"/>
    <tableColumn id="3" name="2" totalsRowDxfId="1484"/>
    <tableColumn id="4" name="3" totalsRowDxfId="1483"/>
    <tableColumn id="5" name="4" totalsRowDxfId="1482"/>
    <tableColumn id="6" name="5" totalsRowDxfId="1481"/>
    <tableColumn id="7" name="6" totalsRowDxfId="1480"/>
    <tableColumn id="8" name="7" totalsRowDxfId="1479"/>
    <tableColumn id="9" name="8" totalsRowDxfId="1478"/>
    <tableColumn id="10" name="9" totalsRowDxfId="1477"/>
    <tableColumn id="11" name="10" totalsRowDxfId="1476"/>
    <tableColumn id="12" name="11" totalsRowDxfId="1475"/>
    <tableColumn id="13" name="12" totalsRowDxfId="1474"/>
    <tableColumn id="14" name="13" totalsRowDxfId="1473"/>
    <tableColumn id="15" name="14" totalsRowDxfId="1472"/>
    <tableColumn id="16" name="15" totalsRowDxfId="1471"/>
    <tableColumn id="17" name="16" totalsRowDxfId="1470"/>
    <tableColumn id="18" name="17" totalsRowDxfId="1469"/>
    <tableColumn id="19" name="18" totalsRowDxfId="1468"/>
    <tableColumn id="20" name="19" totalsRowDxfId="1467"/>
    <tableColumn id="21" name="20" totalsRowDxfId="1466"/>
    <tableColumn id="22" name="21" totalsRowDxfId="1465"/>
    <tableColumn id="23" name="22" totalsRowDxfId="1464"/>
    <tableColumn id="24" name="23" totalsRowDxfId="1463"/>
    <tableColumn id="25" name="24" totalsRowDxfId="1462"/>
    <tableColumn id="26" name="25" totalsRowDxfId="1461"/>
    <tableColumn id="27" name="26" totalsRowDxfId="1460"/>
    <tableColumn id="28" name="27" totalsRowDxfId="1459"/>
    <tableColumn id="29" name="28" totalsRowDxfId="1458"/>
    <tableColumn id="30" name="29" totalsRowDxfId="1457"/>
    <tableColumn id="31" name="30" dataDxfId="1456" totalsRowDxfId="1455"/>
    <tableColumn id="95" name="31" dataDxfId="1454" totalsRowDxfId="1453"/>
    <tableColumn id="35" name="A" dataDxfId="1452" totalsRowDxfId="1451">
      <calculatedColumnFormula>COUNTIF(PArticipationFevrier1[[#This Row],[1]:[30]],Code1)</calculatedColumnFormula>
    </tableColumn>
    <tableColumn id="57" name="A1" dataDxfId="1450" totalsRowDxfId="1449">
      <calculatedColumnFormula>COUNTIF(PArticipationFevrier1[[#This Row],[1]:[30]],code22)</calculatedColumnFormula>
    </tableColumn>
    <tableColumn id="34" name="B" dataDxfId="1448" totalsRowDxfId="1447">
      <calculatedColumnFormula>COUNTIF(PArticipationFevrier1[[#This Row],[1]:[30]],Code2)</calculatedColumnFormula>
    </tableColumn>
    <tableColumn id="37" name="C" dataDxfId="1446" totalsRowDxfId="1445">
      <calculatedColumnFormula>COUNTIF(PArticipationFevrier1[[#This Row],[1]:[30]],Code3)</calculatedColumnFormula>
    </tableColumn>
    <tableColumn id="36" name="D" dataDxfId="1444" totalsRowDxfId="1443">
      <calculatedColumnFormula>COUNTIF(PArticipationFevrier1[[#This Row],[1]:[30]],Code4)</calculatedColumnFormula>
    </tableColumn>
    <tableColumn id="40" name="E" dataDxfId="1442" totalsRowDxfId="1441">
      <calculatedColumnFormula>COUNTIF(PArticipationFevrier1[[#This Row],[1]:[30]],Code5)</calculatedColumnFormula>
    </tableColumn>
    <tableColumn id="58" name="E1" dataDxfId="1440" totalsRowDxfId="1439"/>
    <tableColumn id="41" name="F" dataDxfId="1438" totalsRowDxfId="1437">
      <calculatedColumnFormula>COUNTIF(PArticipationFevrier1[[#This Row],[1]:[30]],Code6)</calculatedColumnFormula>
    </tableColumn>
    <tableColumn id="42" name="G" dataDxfId="1436" totalsRowDxfId="1435">
      <calculatedColumnFormula>COUNTIF(PArticipationFevrier1[[#This Row],[1]:[30]],Code7)</calculatedColumnFormula>
    </tableColumn>
    <tableColumn id="51" name="H" dataDxfId="1434" totalsRowDxfId="1433">
      <calculatedColumnFormula>COUNTIF(PArticipationFevrier1[[#This Row],[1]:[30]],Code8)</calculatedColumnFormula>
    </tableColumn>
    <tableColumn id="50" name="I" dataDxfId="1432" totalsRowDxfId="1431">
      <calculatedColumnFormula>COUNTIF(PArticipationFevrier1[[#This Row],[1]:[30]],Code9)</calculatedColumnFormula>
    </tableColumn>
    <tableColumn id="49" name="J" dataDxfId="1430" totalsRowDxfId="1429">
      <calculatedColumnFormula>COUNTIF(PArticipationFevrier1[[#This Row],[1]:[30]],Code10)</calculatedColumnFormula>
    </tableColumn>
    <tableColumn id="48" name="K" dataDxfId="1428" totalsRowDxfId="1427">
      <calculatedColumnFormula>COUNTIF(PArticipationFevrier1[[#This Row],[1]:[30]],Code11)</calculatedColumnFormula>
    </tableColumn>
    <tableColumn id="47" name="L" dataDxfId="1426" totalsRowDxfId="1425">
      <calculatedColumnFormula>COUNTIF(PArticipationFevrier1[[#This Row],[1]:[30]],Code12)</calculatedColumnFormula>
    </tableColumn>
    <tableColumn id="46" name="S" dataDxfId="1424" totalsRowDxfId="1423">
      <calculatedColumnFormula>COUNTIF(PArticipationFevrier1[[#This Row],[1]:[30]],Code13)</calculatedColumnFormula>
    </tableColumn>
    <tableColumn id="45" name="M" dataDxfId="1422" totalsRowDxfId="1421">
      <calculatedColumnFormula>COUNTIF(PArticipationFevrier1[[#This Row],[1]:[30]],Code14)</calculatedColumnFormula>
    </tableColumn>
    <tableColumn id="44" name="T" dataDxfId="1420" totalsRowDxfId="1419">
      <calculatedColumnFormula>COUNTIF(PArticipationFevrier1[[#This Row],[1]:[30]],Code15)</calculatedColumnFormula>
    </tableColumn>
    <tableColumn id="39" name="U" dataDxfId="1418" totalsRowDxfId="1417">
      <calculatedColumnFormula>COUNTIF(PArticipationFevrier1[[#This Row],[1]:[30]],Code16)</calculatedColumnFormula>
    </tableColumn>
    <tableColumn id="32" name="V" dataDxfId="1416" totalsRowDxfId="1415">
      <calculatedColumnFormula>COUNTIF(PArticipationFevrier1[[#This Row],[1]:[30]],Code17)</calculatedColumnFormula>
    </tableColumn>
    <tableColumn id="98" name="V1" dataDxfId="1414" totalsRowDxfId="1413">
      <calculatedColumnFormula>COUNTIF(PArticipationFevrier1[[#This Row],[1]:[30]],Code26)</calculatedColumnFormula>
    </tableColumn>
    <tableColumn id="97" name="V2" dataDxfId="1412" totalsRowDxfId="1411">
      <calculatedColumnFormula>COUNTIF(PArticipationFevrier1[[#This Row],[1]:[30]],Code25)</calculatedColumnFormula>
    </tableColumn>
    <tableColumn id="99" name="V3" dataDxfId="1410" totalsRowDxfId="1409">
      <calculatedColumnFormula>COUNTIF(PArticipationFevrier1[[#This Row],[1]:[30]],Code27)</calculatedColumnFormula>
    </tableColumn>
    <tableColumn id="61" name="V4" dataDxfId="1408" totalsRowDxfId="1407">
      <calculatedColumnFormula>COUNTIF(PArticipationFevrier1[[#This Row],[1]:[30]],Code28)</calculatedColumnFormula>
    </tableColumn>
    <tableColumn id="101" name="V5" dataDxfId="1406" totalsRowDxfId="1405">
      <calculatedColumnFormula>COUNTIF(PArticipationFevrier1[[#This Row],[1]:[30]],code30)</calculatedColumnFormula>
    </tableColumn>
    <tableColumn id="100" name="V6" dataDxfId="1404" totalsRowDxfId="1403">
      <calculatedColumnFormula>COUNTIF(PArticipationFevrier1[[#This Row],[1]:[30]],Code31)</calculatedColumnFormula>
    </tableColumn>
    <tableColumn id="56" name="W" dataDxfId="1402" totalsRowDxfId="1401">
      <calculatedColumnFormula>COUNTIF(PArticipationFevrier1[[#This Row],[1]:[30]],code21)</calculatedColumnFormula>
    </tableColumn>
    <tableColumn id="59" name="SP" dataDxfId="1400" totalsRowDxfId="1399">
      <calculatedColumnFormula>COUNTIF(PArticipationFevrier1[[#This Row],[1]:[30]],Code24)</calculatedColumnFormula>
    </tableColumn>
    <tableColumn id="33" name="St1" dataDxfId="1398" totalsRowDxfId="1397">
      <calculatedColumnFormula>COUNTIF(PArticipationFevrier1[[#This Row],[1]:[30]],code18)</calculatedColumnFormula>
    </tableColumn>
    <tableColumn id="43" name="St2" dataDxfId="1396" totalsRowDxfId="1395">
      <calculatedColumnFormula>COUNTIF(PArticipationFevrier1[[#This Row],[1]:[30]],code19)</calculatedColumnFormula>
    </tableColumn>
    <tableColumn id="52" name="St3" dataDxfId="1394" totalsRowDxfId="1393">
      <calculatedColumnFormula>COUNTIF(PArticipationFevrier1[[#This Row],[1]:[30]],code20)</calculatedColumnFormula>
    </tableColumn>
    <tableColumn id="102" name="SP1" dataDxfId="1392" totalsRowDxfId="1391">
      <calculatedColumnFormula>COUNTIF(PArticipationFevrier1[[#This Row],[1]:[30]],code29)</calculatedColumnFormula>
    </tableColumn>
    <tableColumn id="94" name="1,1" dataDxfId="1390" totalsRowDxfId="1389"/>
    <tableColumn id="93" name="1,2" dataDxfId="1388" totalsRowDxfId="1387"/>
    <tableColumn id="92" name="1,3" dataDxfId="1386" totalsRowDxfId="1385"/>
    <tableColumn id="91" name="2,1" dataDxfId="1384" totalsRowDxfId="1383"/>
    <tableColumn id="90" name="2,2" dataDxfId="1382" totalsRowDxfId="1381"/>
    <tableColumn id="89" name="2,3" dataDxfId="1380" totalsRowDxfId="1379"/>
    <tableColumn id="88" name="2,4" dataDxfId="1378" totalsRowDxfId="1377"/>
    <tableColumn id="87" name="2,5" dataDxfId="1376" totalsRowDxfId="1375"/>
    <tableColumn id="86" name="2,6" dataDxfId="1374" totalsRowDxfId="1373"/>
    <tableColumn id="85" name="2,7" dataDxfId="1372" totalsRowDxfId="1371"/>
    <tableColumn id="84" name="2,8" dataDxfId="1370" totalsRowDxfId="1369"/>
    <tableColumn id="83" name="2,9" dataDxfId="1368" totalsRowDxfId="1367"/>
    <tableColumn id="82" name="2,10" dataDxfId="1366" totalsRowDxfId="1365"/>
    <tableColumn id="81" name="2,11" dataDxfId="1364" totalsRowDxfId="1363"/>
    <tableColumn id="80" name="3,1" dataDxfId="1362" totalsRowDxfId="1361"/>
    <tableColumn id="79" name="3,2" dataDxfId="1360" totalsRowDxfId="1359"/>
    <tableColumn id="78" name="3,3" dataDxfId="1358" totalsRowDxfId="1357"/>
    <tableColumn id="77" name="3,4" dataDxfId="1356" totalsRowDxfId="1355"/>
    <tableColumn id="76" name="3,5" dataDxfId="1354" totalsRowDxfId="1353"/>
    <tableColumn id="75" name="4,1" dataDxfId="1352" totalsRowDxfId="1351"/>
    <tableColumn id="74" name="4,2" dataDxfId="1350" totalsRowDxfId="1349"/>
    <tableColumn id="73" name="4,3" dataDxfId="1348" totalsRowDxfId="1347"/>
    <tableColumn id="72" name="4,4" dataDxfId="1346" totalsRowDxfId="1345"/>
    <tableColumn id="71" name="4,5" dataDxfId="1344" totalsRowDxfId="1343"/>
    <tableColumn id="70" name="4,6" dataDxfId="1342" totalsRowDxfId="1341"/>
    <tableColumn id="69" name="4,7" dataDxfId="1340" totalsRowDxfId="1339"/>
    <tableColumn id="68" name="4,8" dataDxfId="1338" totalsRowDxfId="1337"/>
    <tableColumn id="67" name="5,1" dataDxfId="1336" totalsRowDxfId="1335"/>
    <tableColumn id="66" name="5,2" dataDxfId="1334" totalsRowDxfId="1333"/>
    <tableColumn id="65" name="5,3" dataDxfId="1332" totalsRowDxfId="1331"/>
    <tableColumn id="64" name="5,4" dataDxfId="1330" totalsRowDxfId="1329"/>
    <tableColumn id="63" name="5,5" dataDxfId="1328" totalsRowDxfId="1327"/>
    <tableColumn id="62" name="5,7" dataDxfId="1326" totalsRowDxfId="1325"/>
    <tableColumn id="103" name="6,2" dataDxfId="1324" totalsRowDxfId="1323"/>
    <tableColumn id="96" name="APP" dataDxfId="1322" totalsRowDxfId="1321"/>
    <tableColumn id="53" name="heure d’absence TD" dataDxfId="1320" totalsRowDxfId="1319">
      <calculatedColumnFormula>SUM((AH11*1)+(AI11*1.5)+(AJ11*2)+(AK11*3)+(AP11*5)+(AQ11*6)+(AR11*7)+(AX11*3)+(AY11*4)+(BA11*5)+(BB11*3)+(BC11*2)+(BG11*2)+(AZ11*2)+(BD11*2))</calculatedColumnFormula>
    </tableColumn>
    <tableColumn id="54" name="d'heure d’absence CM" totalsRowDxfId="1318">
      <calculatedColumnFormula>SUM((AN11*1)+(AM11*2)+(AO11*3)+(AP11*4)+(AT11*5)+(AU11*6)+(AV11*7)+(AW11*7)+(AX11*4)+(AY11*3)+(BA11*2)+(BC11*4)+(BB11*1)+(BG11*2)+(AZ11*5)+(BD11*1))</calculatedColumnFormula>
    </tableColumn>
    <tableColumn id="60" name="Suivi Pedago" dataDxfId="1317" totalsRowDxfId="1316">
      <calculatedColumnFormula>BH11*1</calculatedColumnFormula>
    </tableColumn>
    <tableColumn id="55" name="d'heure d’absence Stage" dataDxfId="1315" totalsRowDxfId="1314"/>
  </tableColumns>
  <tableStyleInfo name="Employee Absence Table" showFirstColumn="0" showLastColumn="1" showRowStripes="1" showColumnStripes="1"/>
  <extLst>
    <ext xmlns:x14="http://schemas.microsoft.com/office/spreadsheetml/2009/9/main" uri="{504A1905-F514-4f6f-8877-14C23A59335A}">
      <x14:table altText="Fiche de présence d’août" altTextSummary="Permet d’assurer le suivi de présence des élèves (R=en retard, E=excusé, N=non excusé, P=présent, N=école fermée) pour le mois d’aôut."/>
    </ext>
  </extLst>
</table>
</file>

<file path=xl/tables/table9.xml><?xml version="1.0" encoding="utf-8"?>
<table xmlns="http://schemas.openxmlformats.org/spreadsheetml/2006/main" id="16" name="ParticipationMars1" displayName="ParticipationMars1" ref="A10:CY156" totalsRowCount="1" totalsRowDxfId="1313">
  <sortState ref="A11:CY104">
    <sortCondition ref="A11"/>
  </sortState>
  <tableColumns count="103">
    <tableColumn id="38" name="Référence" totalsRowDxfId="1312"/>
    <tableColumn id="1" name="Nom de l’élève" dataDxfId="1311" totalsRowDxfId="1310">
      <calculatedColumnFormula>IFERROR(VLOOKUP(ParticipationMars1[[#This Row],[Référence]],ListeÉtudiants1[],18,FALSE),"")</calculatedColumnFormula>
    </tableColumn>
    <tableColumn id="2" name="1" totalsRowDxfId="1309"/>
    <tableColumn id="3" name="2" totalsRowDxfId="1308"/>
    <tableColumn id="4" name="3" totalsRowDxfId="1307"/>
    <tableColumn id="5" name="4" totalsRowDxfId="1306"/>
    <tableColumn id="6" name="5" totalsRowDxfId="1305"/>
    <tableColumn id="7" name="6" totalsRowDxfId="1304"/>
    <tableColumn id="8" name="7" totalsRowDxfId="1303"/>
    <tableColumn id="9" name="8" totalsRowDxfId="1302"/>
    <tableColumn id="10" name="9" totalsRowDxfId="1301"/>
    <tableColumn id="11" name="10" totalsRowDxfId="1300"/>
    <tableColumn id="12" name="11" totalsRowDxfId="1299"/>
    <tableColumn id="13" name="12" totalsRowDxfId="1298"/>
    <tableColumn id="14" name="13" totalsRowDxfId="1297"/>
    <tableColumn id="15" name="14" totalsRowDxfId="1296"/>
    <tableColumn id="16" name="15" totalsRowDxfId="1295"/>
    <tableColumn id="17" name="16" totalsRowDxfId="1294"/>
    <tableColumn id="18" name="17" totalsRowDxfId="1293"/>
    <tableColumn id="19" name="18" totalsRowDxfId="1292"/>
    <tableColumn id="20" name="19" totalsRowDxfId="1291"/>
    <tableColumn id="21" name="20" totalsRowDxfId="1290"/>
    <tableColumn id="22" name="21" totalsRowDxfId="1289"/>
    <tableColumn id="23" name="22" totalsRowDxfId="1288"/>
    <tableColumn id="24" name="23" totalsRowDxfId="1287"/>
    <tableColumn id="25" name="24" totalsRowDxfId="1286"/>
    <tableColumn id="26" name="25" totalsRowDxfId="1285"/>
    <tableColumn id="27" name="26" totalsRowDxfId="1284"/>
    <tableColumn id="28" name="27" totalsRowDxfId="1283"/>
    <tableColumn id="29" name="28" totalsRowDxfId="1282"/>
    <tableColumn id="30" name="29" totalsRowDxfId="1281"/>
    <tableColumn id="31" name="30" totalsRowDxfId="1280"/>
    <tableColumn id="32" name="31" dataDxfId="1279" totalsRowDxfId="1278"/>
    <tableColumn id="35" name="A" dataDxfId="1277" totalsRowDxfId="1276">
      <calculatedColumnFormula>COUNTIF(ParticipationMars1[[#This Row],[1]:[31]],Code1)</calculatedColumnFormula>
    </tableColumn>
    <tableColumn id="58" name="A1" dataDxfId="1275" totalsRowDxfId="1274">
      <calculatedColumnFormula>COUNTIF(ParticipationMars1[[#This Row],[1]:[31]],code22)</calculatedColumnFormula>
    </tableColumn>
    <tableColumn id="34" name="B" dataDxfId="1273" totalsRowDxfId="1272">
      <calculatedColumnFormula>COUNTIF(ParticipationMars1[[#This Row],[1]:[31]],Code2)</calculatedColumnFormula>
    </tableColumn>
    <tableColumn id="37" name="C" dataDxfId="1271" totalsRowDxfId="1270">
      <calculatedColumnFormula>COUNTIF(ParticipationMars1[[#This Row],[1]:[31]],Code3)</calculatedColumnFormula>
    </tableColumn>
    <tableColumn id="36" name="D" dataDxfId="1269" totalsRowDxfId="1268">
      <calculatedColumnFormula>COUNTIF(ParticipationMars1[[#This Row],[1]:[31]],Code4)</calculatedColumnFormula>
    </tableColumn>
    <tableColumn id="40" name="E" dataDxfId="1267" totalsRowDxfId="1266">
      <calculatedColumnFormula>COUNTIF(ParticipationMars1[[#This Row],[1]:[31]],Code5)</calculatedColumnFormula>
    </tableColumn>
    <tableColumn id="59" name="E1" dataDxfId="1265" totalsRowDxfId="1264">
      <calculatedColumnFormula>COUNTIF(ParticipationMars1[[#This Row],[1]:[31]],Code23)</calculatedColumnFormula>
    </tableColumn>
    <tableColumn id="41" name="F" dataDxfId="1263" totalsRowDxfId="1262">
      <calculatedColumnFormula>COUNTIF(ParticipationMars1[[#This Row],[1]:[31]],Code6)</calculatedColumnFormula>
    </tableColumn>
    <tableColumn id="42" name="G" dataDxfId="1261" totalsRowDxfId="1260">
      <calculatedColumnFormula>COUNTIF(ParticipationMars1[[#This Row],[1]:[31]],Code7)</calculatedColumnFormula>
    </tableColumn>
    <tableColumn id="52" name="H" dataDxfId="1259" totalsRowDxfId="1258">
      <calculatedColumnFormula>COUNTIF(ParticipationMars1[[#This Row],[1]:[31]],Code8)</calculatedColumnFormula>
    </tableColumn>
    <tableColumn id="51" name="I" dataDxfId="1257" totalsRowDxfId="1256">
      <calculatedColumnFormula>COUNTIF(ParticipationMars1[[#This Row],[1]:[31]],Code9)</calculatedColumnFormula>
    </tableColumn>
    <tableColumn id="50" name="J" dataDxfId="1255" totalsRowDxfId="1254">
      <calculatedColumnFormula>COUNTIF(ParticipationMars1[[#This Row],[1]:[31]],Code10)</calculatedColumnFormula>
    </tableColumn>
    <tableColumn id="49" name="K" dataDxfId="1253" totalsRowDxfId="1252">
      <calculatedColumnFormula>COUNTIF(ParticipationMars1[[#This Row],[1]:[31]],Code11)</calculatedColumnFormula>
    </tableColumn>
    <tableColumn id="48" name="L" dataDxfId="1251" totalsRowDxfId="1250">
      <calculatedColumnFormula>COUNTIF(ParticipationMars1[[#This Row],[1]:[31]],Code12)</calculatedColumnFormula>
    </tableColumn>
    <tableColumn id="47" name="S" dataDxfId="1249" totalsRowDxfId="1248">
      <calculatedColumnFormula>COUNTIF(ParticipationMars1[[#This Row],[1]:[31]],Code13)</calculatedColumnFormula>
    </tableColumn>
    <tableColumn id="46" name="M" dataDxfId="1247" totalsRowDxfId="1246">
      <calculatedColumnFormula>COUNTIF(ParticipationMars1[[#This Row],[1]:[31]],Code14)</calculatedColumnFormula>
    </tableColumn>
    <tableColumn id="45" name="T" dataDxfId="1245" totalsRowDxfId="1244">
      <calculatedColumnFormula>COUNTIF(ParticipationMars1[[#This Row],[1]:[31]],Code15)</calculatedColumnFormula>
    </tableColumn>
    <tableColumn id="44" name="U" dataDxfId="1243" totalsRowDxfId="1242">
      <calculatedColumnFormula>COUNTIF(ParticipationMars1[[#This Row],[1]:[31]],Code16)</calculatedColumnFormula>
    </tableColumn>
    <tableColumn id="39" name="V" dataDxfId="1241" totalsRowDxfId="1240">
      <calculatedColumnFormula>COUNTIF(ParticipationMars1[[#This Row],[1]:[31]],Code17)</calculatedColumnFormula>
    </tableColumn>
    <tableColumn id="100" name="V1" dataDxfId="1239" totalsRowDxfId="1238">
      <calculatedColumnFormula>COUNTIF(ParticipationMars1[[#This Row],[1]:[31]],Code25)</calculatedColumnFormula>
    </tableColumn>
    <tableColumn id="63" name="V2" dataDxfId="1237" totalsRowDxfId="1236">
      <calculatedColumnFormula>COUNTIF(ParticipationMars1[[#This Row],[1]:[31]],Code26)</calculatedColumnFormula>
    </tableColumn>
    <tableColumn id="62" name="V3" dataDxfId="1235" totalsRowDxfId="1234">
      <calculatedColumnFormula>COUNTIF(ParticipationMars1[[#This Row],[1]:[31]],Code27)</calculatedColumnFormula>
    </tableColumn>
    <tableColumn id="99" name="V4" dataDxfId="1233" totalsRowDxfId="1232">
      <calculatedColumnFormula>COUNTIF(ParticipationMars1[[#This Row],[1]:[31]],Code28)</calculatedColumnFormula>
    </tableColumn>
    <tableColumn id="101" name="V5" dataDxfId="1231" totalsRowDxfId="1230">
      <calculatedColumnFormula>COUNTIF(ParticipationMars1[[#This Row],[1]:[31]],code30)</calculatedColumnFormula>
    </tableColumn>
    <tableColumn id="102" name="V6" dataDxfId="1229" totalsRowDxfId="1228">
      <calculatedColumnFormula>COUNTIF(ParticipationMars1[[#This Row],[1]:[31]],Code31)</calculatedColumnFormula>
    </tableColumn>
    <tableColumn id="57" name="w" dataDxfId="1227" totalsRowDxfId="1226">
      <calculatedColumnFormula>COUNTIF(ParticipationMars1[[#This Row],[1]:[31]],code21)</calculatedColumnFormula>
    </tableColumn>
    <tableColumn id="60" name="SP" dataDxfId="1225" totalsRowDxfId="1224">
      <calculatedColumnFormula>COUNTIF(ParticipationMars1[[#This Row],[1]:[31]],Code24)</calculatedColumnFormula>
    </tableColumn>
    <tableColumn id="33" name="St1" dataDxfId="1223" totalsRowDxfId="1222">
      <calculatedColumnFormula>COUNTIF(ParticipationMars1[[#This Row],[1]:[31]],code18)</calculatedColumnFormula>
    </tableColumn>
    <tableColumn id="43" name="St2" dataDxfId="1221" totalsRowDxfId="1220">
      <calculatedColumnFormula>COUNTIF(ParticipationMars1[[#This Row],[1]:[31]],code19)</calculatedColumnFormula>
    </tableColumn>
    <tableColumn id="53" name="St3" dataDxfId="1219" totalsRowDxfId="1218">
      <calculatedColumnFormula>COUNTIF(ParticipationMars1[[#This Row],[1]:[31]],code20)</calculatedColumnFormula>
    </tableColumn>
    <tableColumn id="98" name="SP1" dataDxfId="1217" totalsRowDxfId="1216">
      <calculatedColumnFormula>COUNTIF(ParticipationMars1[[#This Row],[1]:[31]],code29)</calculatedColumnFormula>
    </tableColumn>
    <tableColumn id="94" name="1,1" dataDxfId="1215" totalsRowDxfId="1214"/>
    <tableColumn id="93" name="1,2" dataDxfId="1213" totalsRowDxfId="1212"/>
    <tableColumn id="92" name="1,3" dataDxfId="1211" totalsRowDxfId="1210"/>
    <tableColumn id="91" name="2,1" dataDxfId="1209" totalsRowDxfId="1208"/>
    <tableColumn id="90" name="2,2" dataDxfId="1207" totalsRowDxfId="1206"/>
    <tableColumn id="89" name="2,3" dataDxfId="1205" totalsRowDxfId="1204"/>
    <tableColumn id="88" name="2,4" dataDxfId="1203" totalsRowDxfId="1202"/>
    <tableColumn id="87" name="2,5" dataDxfId="1201" totalsRowDxfId="1200"/>
    <tableColumn id="86" name="2,6" dataDxfId="1199" totalsRowDxfId="1198"/>
    <tableColumn id="85" name="2,7" dataDxfId="1197" totalsRowDxfId="1196"/>
    <tableColumn id="84" name="2,8" dataDxfId="1195" totalsRowDxfId="1194"/>
    <tableColumn id="83" name="2,9" dataDxfId="1193" totalsRowDxfId="1192"/>
    <tableColumn id="82" name="2,10" dataDxfId="1191" totalsRowDxfId="1190"/>
    <tableColumn id="81" name="2,11" dataDxfId="1189" totalsRowDxfId="1188"/>
    <tableColumn id="80" name="3,1" dataDxfId="1187" totalsRowDxfId="1186"/>
    <tableColumn id="79" name="3,2" dataDxfId="1185" totalsRowDxfId="1184"/>
    <tableColumn id="78" name="3,3" dataDxfId="1183" totalsRowDxfId="1182"/>
    <tableColumn id="77" name="3,4" dataDxfId="1181" totalsRowDxfId="1180"/>
    <tableColumn id="76" name="3,5" dataDxfId="1179" totalsRowDxfId="1178"/>
    <tableColumn id="75" name="4,1" dataDxfId="1177" totalsRowDxfId="1176"/>
    <tableColumn id="74" name="4,2" dataDxfId="1175" totalsRowDxfId="1174"/>
    <tableColumn id="73" name="4,3" dataDxfId="1173" totalsRowDxfId="1172"/>
    <tableColumn id="72" name="4,4" dataDxfId="1171" totalsRowDxfId="1170"/>
    <tableColumn id="71" name="4,5" dataDxfId="1169" totalsRowDxfId="1168"/>
    <tableColumn id="70" name="4,6" dataDxfId="1167" totalsRowDxfId="1166"/>
    <tableColumn id="69" name="4,7" dataDxfId="1165" totalsRowDxfId="1164"/>
    <tableColumn id="68" name="4,8" dataDxfId="1163" totalsRowDxfId="1162"/>
    <tableColumn id="67" name="5,1" dataDxfId="1161" totalsRowDxfId="1160"/>
    <tableColumn id="66" name="5,2" dataDxfId="1159" totalsRowDxfId="1158"/>
    <tableColumn id="65" name="5,3" dataDxfId="1157" totalsRowDxfId="1156"/>
    <tableColumn id="96" name="5,4" dataDxfId="1155" totalsRowDxfId="1154"/>
    <tableColumn id="95" name="5,5" dataDxfId="1153" totalsRowDxfId="1152"/>
    <tableColumn id="64" name="5,7" dataDxfId="1151" totalsRowDxfId="1150"/>
    <tableColumn id="103" name="6,2" dataDxfId="1149" totalsRowDxfId="1148"/>
    <tableColumn id="97" name="APP" dataDxfId="1147" totalsRowDxfId="1146"/>
    <tableColumn id="54" name="heure d’absence TD" dataDxfId="1145" totalsRowDxfId="1144">
      <calculatedColumnFormula>SUM((AH11*1)+(AI11*1.5)+(AJ11*2)+(AK11*3)+(AP11*5)+(AQ11*6)+(AR11*7)+(AU11*2)+(AX11*3)+(AY11*4)+(AZ11*5)+(BB11*3)+(BA11*2)+(BG11*2)+(BC11*2)+(BD11*2)+(BE11*3)+(BF11*3))</calculatedColumnFormula>
    </tableColumn>
    <tableColumn id="55" name="d'heure d’absence CM" dataDxfId="1143" totalsRowDxfId="1142">
      <calculatedColumnFormula>SUM((AN11*1)+(AM11*2)+(AO11*3)+(AP11*4)+(AT11*5)+(AU11*6)+(AV11*7)+(AW11*7)+(AX11*4)+(AY11*3)+(AZ11*2)+(BA11*4)+(BB11*1)+(BG11*2)+(BC11*5)+(BD11*1)+(BE11*2)+(BF11*3))</calculatedColumnFormula>
    </tableColumn>
    <tableColumn id="61" name="Suivi Pedago" dataDxfId="1141" totalsRowDxfId="1140">
      <calculatedColumnFormula>BH11*1+BL11*3</calculatedColumnFormula>
    </tableColumn>
    <tableColumn id="56" name="d'heure d’absence Stage" dataDxfId="1139" totalsRowDxfId="1138"/>
  </tableColumns>
  <tableStyleInfo name="Employee Absence Table" showFirstColumn="0" showLastColumn="1" showRowStripes="1" showColumnStripes="1"/>
  <extLst>
    <ext xmlns:x14="http://schemas.microsoft.com/office/spreadsheetml/2009/9/main" uri="{504A1905-F514-4f6f-8877-14C23A59335A}">
      <x14:table altText="Fiche de présence d’août" altTextSummary="Permet d’assurer le suivi de présence des élèves (R=en retard, E=excusé, N=non excusé, P=présent, N=école fermée) pour le mois d’aôut."/>
    </ext>
  </extLst>
</table>
</file>

<file path=xl/tables/table10.xml><?xml version="1.0" encoding="utf-8"?>
<table xmlns="http://schemas.openxmlformats.org/spreadsheetml/2006/main" id="9" name="ParticipationAvril1" displayName="ParticipationAvril1" ref="A10:CZ156" totalsRowCount="1" totalsRowDxfId="1137">
  <sortState ref="A11:CZ168">
    <sortCondition ref="A11"/>
  </sortState>
  <tableColumns count="104">
    <tableColumn id="38" name="Référence" totalsRowDxfId="1136"/>
    <tableColumn id="1" name="Nom de l’élève" dataDxfId="1135" totalsRowDxfId="1134"/>
    <tableColumn id="2" name="1" totalsRowDxfId="1133"/>
    <tableColumn id="3" name="2" totalsRowDxfId="1132"/>
    <tableColumn id="4" name="3" totalsRowDxfId="1131"/>
    <tableColumn id="5" name="4" totalsRowDxfId="1130"/>
    <tableColumn id="6" name="5" totalsRowDxfId="1129"/>
    <tableColumn id="7" name="6" totalsRowDxfId="1128"/>
    <tableColumn id="8" name="7" totalsRowDxfId="1127"/>
    <tableColumn id="9" name="8" totalsRowDxfId="1126"/>
    <tableColumn id="10" name="9" totalsRowDxfId="1125"/>
    <tableColumn id="11" name="10" totalsRowDxfId="1124"/>
    <tableColumn id="12" name="11" totalsRowDxfId="1123"/>
    <tableColumn id="13" name="12" totalsRowDxfId="1122"/>
    <tableColumn id="14" name="13" totalsRowDxfId="1121"/>
    <tableColumn id="15" name="14" totalsRowDxfId="1120"/>
    <tableColumn id="16" name="15" totalsRowDxfId="1119"/>
    <tableColumn id="17" name="16" totalsRowDxfId="1118"/>
    <tableColumn id="18" name="17" totalsRowDxfId="1117"/>
    <tableColumn id="19" name="18" totalsRowDxfId="1116"/>
    <tableColumn id="20" name="19" totalsRowDxfId="1115"/>
    <tableColumn id="21" name="20" totalsRowDxfId="1114"/>
    <tableColumn id="22" name="21" totalsRowDxfId="1113"/>
    <tableColumn id="23" name="22" totalsRowDxfId="1112"/>
    <tableColumn id="24" name="23" totalsRowDxfId="1111"/>
    <tableColumn id="25" name="24" totalsRowDxfId="1110"/>
    <tableColumn id="26" name="25" totalsRowDxfId="1109"/>
    <tableColumn id="27" name="26" totalsRowDxfId="1108"/>
    <tableColumn id="28" name="27" totalsRowDxfId="1107"/>
    <tableColumn id="29" name="28" totalsRowDxfId="1106"/>
    <tableColumn id="30" name="29" totalsRowDxfId="1105"/>
    <tableColumn id="31" name="30" dataDxfId="1104" totalsRowDxfId="1103"/>
    <tableColumn id="99" name="31" dataDxfId="1102" totalsRowDxfId="1101"/>
    <tableColumn id="35" name="A" dataDxfId="1100" totalsRowDxfId="1099">
      <calculatedColumnFormula>COUNTIF(ParticipationAvril1[[#This Row],[1]:[30]],Code1)</calculatedColumnFormula>
    </tableColumn>
    <tableColumn id="57" name="A1" dataDxfId="1098" totalsRowDxfId="1097">
      <calculatedColumnFormula>COUNTIF(ParticipationAvril1[[#This Row],[1]:[30]],code22)</calculatedColumnFormula>
    </tableColumn>
    <tableColumn id="34" name="B" dataDxfId="1096" totalsRowDxfId="1095">
      <calculatedColumnFormula>COUNTIF(ParticipationAvril1[[#This Row],[1]:[30]],Code2)</calculatedColumnFormula>
    </tableColumn>
    <tableColumn id="37" name="C" dataDxfId="1094" totalsRowDxfId="1093">
      <calculatedColumnFormula>COUNTIF(ParticipationAvril1[[#This Row],[1]:[30]],Code3)</calculatedColumnFormula>
    </tableColumn>
    <tableColumn id="36" name="D" dataDxfId="1092" totalsRowDxfId="1091">
      <calculatedColumnFormula>COUNTIF(ParticipationAvril1[[#This Row],[1]:[30]],Code4)</calculatedColumnFormula>
    </tableColumn>
    <tableColumn id="40" name="E" dataDxfId="1090" totalsRowDxfId="1089">
      <calculatedColumnFormula>COUNTIF(ParticipationAvril1[[#This Row],[1]:[30]],Code5)</calculatedColumnFormula>
    </tableColumn>
    <tableColumn id="58" name="E1" dataDxfId="1088" totalsRowDxfId="1087">
      <calculatedColumnFormula>COUNTIF(ParticipationAvril1[[#This Row],[1]:[30]],Code23)</calculatedColumnFormula>
    </tableColumn>
    <tableColumn id="41" name="F" dataDxfId="1086" totalsRowDxfId="1085">
      <calculatedColumnFormula>COUNTIF(ParticipationAvril1[[#This Row],[1]:[30]],Code6)</calculatedColumnFormula>
    </tableColumn>
    <tableColumn id="42" name="G" dataDxfId="1084" totalsRowDxfId="1083">
      <calculatedColumnFormula>COUNTIF(ParticipationAvril1[[#This Row],[1]:[30]],Code7)</calculatedColumnFormula>
    </tableColumn>
    <tableColumn id="51" name="H" dataDxfId="1082" totalsRowDxfId="1081">
      <calculatedColumnFormula>COUNTIF(ParticipationAvril1[[#This Row],[1]:[30]],Code8)</calculatedColumnFormula>
    </tableColumn>
    <tableColumn id="50" name="I" dataDxfId="1080" totalsRowDxfId="1079">
      <calculatedColumnFormula>COUNTIF(ParticipationAvril1[[#This Row],[1]:[30]],Code9)</calculatedColumnFormula>
    </tableColumn>
    <tableColumn id="49" name="J" dataDxfId="1078" totalsRowDxfId="1077">
      <calculatedColumnFormula>COUNTIF(ParticipationAvril1[[#This Row],[1]:[30]],Code10)</calculatedColumnFormula>
    </tableColumn>
    <tableColumn id="48" name="K" dataDxfId="1076" totalsRowDxfId="1075">
      <calculatedColumnFormula>COUNTIF(ParticipationAvril1[[#This Row],[1]:[30]],Code11)</calculatedColumnFormula>
    </tableColumn>
    <tableColumn id="47" name="L" dataDxfId="1074" totalsRowDxfId="1073">
      <calculatedColumnFormula>COUNTIF(ParticipationAvril1[[#This Row],[1]:[30]],Code12)</calculatedColumnFormula>
    </tableColumn>
    <tableColumn id="46" name="S" dataDxfId="1072" totalsRowDxfId="1071">
      <calculatedColumnFormula>COUNTIF(ParticipationAvril1[[#This Row],[1]:[30]],Code13)</calculatedColumnFormula>
    </tableColumn>
    <tableColumn id="45" name="M" dataDxfId="1070" totalsRowDxfId="1069">
      <calculatedColumnFormula>COUNTIF(ParticipationAvril1[[#This Row],[1]:[30]],Code14)</calculatedColumnFormula>
    </tableColumn>
    <tableColumn id="39" name="U" dataDxfId="1068" totalsRowDxfId="1067">
      <calculatedColumnFormula>COUNTIF(ParticipationAvril1[[#This Row],[1]:[30]],Code16)</calculatedColumnFormula>
    </tableColumn>
    <tableColumn id="96" name="T" dataDxfId="1066" totalsRowDxfId="1065">
      <calculatedColumnFormula>COUNTIF(ParticipationAvril1[[#This Row],[1]:[30]],Code15)</calculatedColumnFormula>
    </tableColumn>
    <tableColumn id="32" name="V" dataDxfId="1064" totalsRowDxfId="1063">
      <calculatedColumnFormula>COUNTIF(ParticipationAvril1[[#This Row],[1]:[30]],Code17)</calculatedColumnFormula>
    </tableColumn>
    <tableColumn id="100" name="V1" dataDxfId="1062" totalsRowDxfId="1061">
      <calculatedColumnFormula>COUNTIF(ParticipationAvril1[[#This Row],[1]:[30]],Code25)</calculatedColumnFormula>
    </tableColumn>
    <tableColumn id="62" name="V2" dataDxfId="1060" totalsRowDxfId="1059">
      <calculatedColumnFormula>COUNTIF(ParticipationAvril1[[#This Row],[1]:[30]],Code26)</calculatedColumnFormula>
    </tableColumn>
    <tableColumn id="61" name="V3" dataDxfId="1058" totalsRowDxfId="1057">
      <calculatedColumnFormula>COUNTIF(ParticipationAvril1[[#This Row],[1]:[30]],Code27)</calculatedColumnFormula>
    </tableColumn>
    <tableColumn id="44" name="V4" dataDxfId="1056" totalsRowDxfId="1055">
      <calculatedColumnFormula>COUNTIF(ParticipationAvril1[[#This Row],[1]:[30]],Code28)</calculatedColumnFormula>
    </tableColumn>
    <tableColumn id="102" name="V5" dataDxfId="1054" totalsRowDxfId="1053">
      <calculatedColumnFormula>COUNTIF(ParticipationAvril1[[#This Row],[1]:[30]],code30)</calculatedColumnFormula>
    </tableColumn>
    <tableColumn id="104" name="V6" dataDxfId="1052" totalsRowDxfId="1051">
      <calculatedColumnFormula>COUNTIF(ParticipationAvril1[[#This Row],[1]:[30]],Code31)</calculatedColumnFormula>
    </tableColumn>
    <tableColumn id="56" name="W" dataDxfId="1050" totalsRowDxfId="1049">
      <calculatedColumnFormula>COUNTIF(ParticipationAvril1[[#This Row],[1]:[30]],code21)</calculatedColumnFormula>
    </tableColumn>
    <tableColumn id="59" name="SP" dataDxfId="1048" totalsRowDxfId="1047">
      <calculatedColumnFormula>COUNTIF(ParticipationAvril1[[#This Row],[1]:[30]],Code24)</calculatedColumnFormula>
    </tableColumn>
    <tableColumn id="33" name="St1" dataDxfId="1046" totalsRowDxfId="1045">
      <calculatedColumnFormula>COUNTIF(ParticipationAvril1[[#This Row],[1]:[30]],code18)</calculatedColumnFormula>
    </tableColumn>
    <tableColumn id="43" name="St2" dataDxfId="1044" totalsRowDxfId="1043">
      <calculatedColumnFormula>COUNTIF(ParticipationAvril1[[#This Row],[1]:[30]],code19)</calculatedColumnFormula>
    </tableColumn>
    <tableColumn id="52" name="St3" dataDxfId="1042" totalsRowDxfId="1041">
      <calculatedColumnFormula>COUNTIF(ParticipationAvril1[[#This Row],[1]:[30]],code20)</calculatedColumnFormula>
    </tableColumn>
    <tableColumn id="101" name="SP1" dataDxfId="1040" totalsRowDxfId="1039">
      <calculatedColumnFormula>COUNTIF(ParticipationAvril1[[#This Row],[1]:[30]],code29)</calculatedColumnFormula>
    </tableColumn>
    <tableColumn id="91" name="1,1" dataDxfId="1038" totalsRowDxfId="1037"/>
    <tableColumn id="95" name="1,2" dataDxfId="1036" totalsRowDxfId="1035"/>
    <tableColumn id="94" name="1,3" dataDxfId="1034" totalsRowDxfId="1033"/>
    <tableColumn id="93" name="2,1" dataDxfId="1032" totalsRowDxfId="1031"/>
    <tableColumn id="92" name="2,2" dataDxfId="1030" totalsRowDxfId="1029"/>
    <tableColumn id="90" name="2,3" dataDxfId="1028" totalsRowDxfId="1027"/>
    <tableColumn id="89" name="2,4" dataDxfId="1026" totalsRowDxfId="1025"/>
    <tableColumn id="88" name="2,5" dataDxfId="1024" totalsRowDxfId="1023"/>
    <tableColumn id="87" name="2,6" dataDxfId="1022" totalsRowDxfId="1021"/>
    <tableColumn id="86" name="2,7" dataDxfId="1020" totalsRowDxfId="1019"/>
    <tableColumn id="85" name="2,8" dataDxfId="1018" totalsRowDxfId="1017"/>
    <tableColumn id="84" name="2,9" dataDxfId="1016" totalsRowDxfId="1015"/>
    <tableColumn id="83" name="2,10" dataDxfId="1014" totalsRowDxfId="1013"/>
    <tableColumn id="82" name="2,11" dataDxfId="1012" totalsRowDxfId="1011"/>
    <tableColumn id="81" name="3,1" dataDxfId="1010" totalsRowDxfId="1009"/>
    <tableColumn id="80" name="3,2" dataDxfId="1008" totalsRowDxfId="1007"/>
    <tableColumn id="79" name="3,3" dataDxfId="1006" totalsRowDxfId="1005"/>
    <tableColumn id="78" name="3,4" dataDxfId="1004" totalsRowDxfId="1003"/>
    <tableColumn id="77" name="3,5" dataDxfId="1002" totalsRowDxfId="1001"/>
    <tableColumn id="76" name="4,1" dataDxfId="1000" totalsRowDxfId="999"/>
    <tableColumn id="75" name="4,2" dataDxfId="998" totalsRowDxfId="997"/>
    <tableColumn id="74" name="4,3" dataDxfId="996" totalsRowDxfId="995"/>
    <tableColumn id="73" name="4,4" dataDxfId="994" totalsRowDxfId="993"/>
    <tableColumn id="72" name="4,5" dataDxfId="992" totalsRowDxfId="991"/>
    <tableColumn id="71" name="4,6" dataDxfId="990" totalsRowDxfId="989"/>
    <tableColumn id="70" name="4,7" dataDxfId="988" totalsRowDxfId="987"/>
    <tableColumn id="69" name="4,8" dataDxfId="986" totalsRowDxfId="985"/>
    <tableColumn id="68" name="5,1" dataDxfId="984" totalsRowDxfId="983"/>
    <tableColumn id="67" name="5,2" dataDxfId="982" totalsRowDxfId="981"/>
    <tableColumn id="66" name="5,3" dataDxfId="980" totalsRowDxfId="979"/>
    <tableColumn id="65" name="5,4" dataDxfId="978" totalsRowDxfId="977"/>
    <tableColumn id="64" name="5,5" dataDxfId="976" totalsRowDxfId="975"/>
    <tableColumn id="63" name="5,7" dataDxfId="974" totalsRowDxfId="973"/>
    <tableColumn id="103" name="6,2" dataDxfId="972" totalsRowDxfId="971"/>
    <tableColumn id="97" name="APP" dataDxfId="970" totalsRowDxfId="969">
      <calculatedColumnFormula>SUM((AH11*1)+(AI11*1.5)+(AJ11*2)+(AK11*4)+(AP11*5)+(AQ11*6)+(AR11*7)+(AU11*2)+(AX11*3)+(AY11*4)+(AZ11*5)+(BB11*3)+(BA11*2)+(BG11*2)+(BC11*2)+(BD11*2))</calculatedColumnFormula>
    </tableColumn>
    <tableColumn id="53" name="heure d’absence TD" dataDxfId="968" totalsRowDxfId="967">
      <calculatedColumnFormula>SUM((AH11*1)+(AI11*1.5)+(AJ11*2)+(AK11*3)+(AP11*5)+(AQ11*6)+(AR11*7)+(AX11*3)+(AY11*4)+(BB11*5)+(BA11*3)+(BD11*2)+(BH11*2)+(AZ11*2)+(BG11*2)+(BE11*3))</calculatedColumnFormula>
    </tableColumn>
    <tableColumn id="54" name="d'heure d’absence CM" dataDxfId="966" totalsRowDxfId="965">
      <calculatedColumnFormula>SUM((AN11*1)+(AM11*2)+(AO11*3)+(AP11*4)+(AT11*5)+(AU11*6)+(AV11*7)+(AW11*7)+(AX11*4)+(AY11*3)+(BB11*2)+(BD11*4)+(BA11*1)+(BH11*2)+(AZ11*5)+(BG11*1)+(BE11*2))</calculatedColumnFormula>
    </tableColumn>
    <tableColumn id="60" name="Suivi Pedago" dataDxfId="964" totalsRowDxfId="963">
      <calculatedColumnFormula>BH11*1+BL11*3</calculatedColumnFormula>
    </tableColumn>
    <tableColumn id="55" name="d'heure d’absence Stage" dataDxfId="962" totalsRowDxfId="961"/>
    <tableColumn id="98" name="Absences justifiées" totalsRowDxfId="960"/>
  </tableColumns>
  <tableStyleInfo name="Employee Absence Table" showFirstColumn="0" showLastColumn="1" showRowStripes="1" showColumnStripes="1"/>
  <extLst>
    <ext xmlns:x14="http://schemas.microsoft.com/office/spreadsheetml/2009/9/main" uri="{504A1905-F514-4f6f-8877-14C23A59335A}">
      <x14:table altText="Fiche de présence d’août" altTextSummary="Permet d’assurer le suivi de présence des élèves (R=en retard, E=excusé, N=non excusé, P=présent, N=école fermée) pour le mois d’aôut."/>
    </ext>
  </extLst>
</table>
</file>

<file path=xl/tables/table11.xml><?xml version="1.0" encoding="utf-8"?>
<table xmlns="http://schemas.openxmlformats.org/spreadsheetml/2006/main" id="18" name="ParicipationMai1" displayName="ParicipationMai1" ref="A10:CY156" totalsRowCount="1" totalsRowDxfId="959">
  <tableColumns count="103">
    <tableColumn id="38" name="Référence" totalsRowDxfId="958"/>
    <tableColumn id="1" name="Nom de l’élève" dataDxfId="957" totalsRowDxfId="956">
      <calculatedColumnFormula>IFERROR(VLOOKUP(ParicipationMai1[[#This Row],[Référence]],ListeÉtudiants1[],18,FALSE),"")</calculatedColumnFormula>
    </tableColumn>
    <tableColumn id="2" name="1" totalsRowDxfId="955"/>
    <tableColumn id="3" name="2" totalsRowDxfId="954"/>
    <tableColumn id="4" name="3" totalsRowDxfId="953"/>
    <tableColumn id="5" name="4" totalsRowDxfId="952"/>
    <tableColumn id="6" name="5" totalsRowDxfId="951"/>
    <tableColumn id="7" name="6" totalsRowDxfId="950"/>
    <tableColumn id="8" name="7" totalsRowDxfId="949"/>
    <tableColumn id="9" name="8" totalsRowDxfId="948"/>
    <tableColumn id="10" name="9" totalsRowDxfId="947"/>
    <tableColumn id="11" name="10" totalsRowDxfId="946"/>
    <tableColumn id="12" name="11" totalsRowDxfId="945"/>
    <tableColumn id="13" name="12" totalsRowDxfId="944"/>
    <tableColumn id="14" name="13" totalsRowDxfId="943"/>
    <tableColumn id="15" name="14" totalsRowDxfId="942"/>
    <tableColumn id="16" name="15" totalsRowDxfId="941"/>
    <tableColumn id="17" name="16" totalsRowDxfId="940"/>
    <tableColumn id="18" name="17" totalsRowDxfId="939"/>
    <tableColumn id="19" name="18" totalsRowDxfId="938"/>
    <tableColumn id="20" name="19" totalsRowDxfId="937"/>
    <tableColumn id="21" name="20" totalsRowDxfId="936"/>
    <tableColumn id="22" name="21" totalsRowDxfId="935"/>
    <tableColumn id="23" name="22" totalsRowDxfId="934"/>
    <tableColumn id="24" name="23" totalsRowDxfId="933"/>
    <tableColumn id="25" name="24" totalsRowDxfId="932"/>
    <tableColumn id="26" name="25" totalsRowDxfId="931"/>
    <tableColumn id="27" name="26" totalsRowDxfId="930"/>
    <tableColumn id="28" name="27" totalsRowDxfId="929"/>
    <tableColumn id="29" name="28" totalsRowDxfId="928"/>
    <tableColumn id="30" name="29" totalsRowDxfId="927"/>
    <tableColumn id="31" name="30" totalsRowDxfId="926"/>
    <tableColumn id="32" name="31" dataDxfId="925" totalsRowDxfId="924"/>
    <tableColumn id="35" name="A" dataDxfId="923" totalsRowDxfId="922">
      <calculatedColumnFormula>COUNTIF(ParicipationMai1[[1]:[31]],Code1)</calculatedColumnFormula>
    </tableColumn>
    <tableColumn id="58" name="A1" dataDxfId="921" totalsRowDxfId="920">
      <calculatedColumnFormula>COUNTIF(ParicipationMai1[[1]:[31]],code22)</calculatedColumnFormula>
    </tableColumn>
    <tableColumn id="34" name="B" dataDxfId="919" totalsRowDxfId="918">
      <calculatedColumnFormula>COUNTIF(ParicipationMai1[[#This Row],[1]:[31]],Code2)</calculatedColumnFormula>
    </tableColumn>
    <tableColumn id="37" name="C" dataDxfId="917" totalsRowDxfId="916">
      <calculatedColumnFormula>COUNTIF(ParicipationMai1[[#This Row],[1]:[31]],Code3)</calculatedColumnFormula>
    </tableColumn>
    <tableColumn id="36" name="D" dataDxfId="915" totalsRowDxfId="914">
      <calculatedColumnFormula>COUNTIF(ParicipationMai1[[#This Row],[1]:[31]],Code4)</calculatedColumnFormula>
    </tableColumn>
    <tableColumn id="40" name="E" dataDxfId="913" totalsRowDxfId="912">
      <calculatedColumnFormula>COUNTIF(ParicipationMai1[[#This Row],[1]:[31]],Code5)</calculatedColumnFormula>
    </tableColumn>
    <tableColumn id="59" name="E1" dataDxfId="911" totalsRowDxfId="910">
      <calculatedColumnFormula>COUNTIF(ParicipationMai1[[#This Row],[1]:[31]],Code23)</calculatedColumnFormula>
    </tableColumn>
    <tableColumn id="41" name="F" dataDxfId="909" totalsRowDxfId="908">
      <calculatedColumnFormula>COUNTIF(ParicipationMai1[[#This Row],[1]:[31]],Code6)</calculatedColumnFormula>
    </tableColumn>
    <tableColumn id="42" name="G" dataDxfId="907" totalsRowDxfId="906">
      <calculatedColumnFormula>COUNTIF(ParicipationMai1[[#This Row],[1]:[31]],Code7)</calculatedColumnFormula>
    </tableColumn>
    <tableColumn id="52" name="H" dataDxfId="905" totalsRowDxfId="904">
      <calculatedColumnFormula>COUNTIF(ParicipationMai1[[#This Row],[1]:[31]],Code8)</calculatedColumnFormula>
    </tableColumn>
    <tableColumn id="51" name="I" dataDxfId="903" totalsRowDxfId="902">
      <calculatedColumnFormula>COUNTIF(ParicipationMai1[[#This Row],[1]:[31]],Code9)</calculatedColumnFormula>
    </tableColumn>
    <tableColumn id="50" name="J" dataDxfId="901" totalsRowDxfId="900">
      <calculatedColumnFormula>COUNTIF(ParicipationMai1[[#This Row],[1]:[31]],Code10)</calculatedColumnFormula>
    </tableColumn>
    <tableColumn id="49" name="K" dataDxfId="899" totalsRowDxfId="898">
      <calculatedColumnFormula>COUNTIF(ParicipationMai1[[#This Row],[1]:[31]],Code11)</calculatedColumnFormula>
    </tableColumn>
    <tableColumn id="48" name="L" dataDxfId="897" totalsRowDxfId="896">
      <calculatedColumnFormula>COUNTIF(ParicipationMai1[[#This Row],[1]:[31]],Code12)</calculatedColumnFormula>
    </tableColumn>
    <tableColumn id="47" name="S" dataDxfId="895" totalsRowDxfId="894">
      <calculatedColumnFormula>COUNTIF(ParicipationMai1[[#This Row],[1]:[31]],Code13)</calculatedColumnFormula>
    </tableColumn>
    <tableColumn id="46" name="M" dataDxfId="893" totalsRowDxfId="892">
      <calculatedColumnFormula>COUNTIF(ParicipationMai1[[#This Row],[1]:[31]],Code14)</calculatedColumnFormula>
    </tableColumn>
    <tableColumn id="45" name="T" dataDxfId="891" totalsRowDxfId="890">
      <calculatedColumnFormula>COUNTIF(ParicipationMai1[[#This Row],[1]:[31]],Code15)</calculatedColumnFormula>
    </tableColumn>
    <tableColumn id="44" name="U" dataDxfId="889" totalsRowDxfId="888">
      <calculatedColumnFormula>COUNTIF(ParicipationMai1[[#This Row],[1]:[31]],Code16)</calculatedColumnFormula>
    </tableColumn>
    <tableColumn id="100" name="V" dataDxfId="887" totalsRowDxfId="886">
      <calculatedColumnFormula>COUNTIF(ParicipationMai1[[#This Row],[1]:[31]],Code17)</calculatedColumnFormula>
    </tableColumn>
    <tableColumn id="96" name="V1" dataDxfId="885" totalsRowDxfId="884">
      <calculatedColumnFormula>COUNTIF(ParicipationMai1[[#This Row],[1]:[31]],Code25)</calculatedColumnFormula>
    </tableColumn>
    <tableColumn id="95" name="V2" dataDxfId="883" totalsRowDxfId="882">
      <calculatedColumnFormula>COUNTIF(ParicipationMai1[[#This Row],[1]:[31]],Code26)</calculatedColumnFormula>
    </tableColumn>
    <tableColumn id="98" name="V3" dataDxfId="881" totalsRowDxfId="880">
      <calculatedColumnFormula>COUNTIF(ParicipationMai1[[#This Row],[1]:[31]],Code27)</calculatedColumnFormula>
    </tableColumn>
    <tableColumn id="97" name="V4" dataDxfId="879" totalsRowDxfId="878">
      <calculatedColumnFormula>COUNTIF(ParicipationMai1[[#This Row],[1]:[31]],Code28)</calculatedColumnFormula>
    </tableColumn>
    <tableColumn id="102" name="V5" dataDxfId="877" totalsRowDxfId="876">
      <calculatedColumnFormula>COUNTIF(ParicipationMai1[[#This Row],[1]:[31]],code30)</calculatedColumnFormula>
    </tableColumn>
    <tableColumn id="101" name="V6" dataDxfId="875" totalsRowDxfId="874">
      <calculatedColumnFormula>COUNTIF(ParicipationMai1[[#This Row],[1]:[31]],Code31)</calculatedColumnFormula>
    </tableColumn>
    <tableColumn id="57" name="W" dataDxfId="873" totalsRowDxfId="872">
      <calculatedColumnFormula>COUNTIF(ParicipationMai1[[#This Row],[1]:[31]],code21)</calculatedColumnFormula>
    </tableColumn>
    <tableColumn id="60" name="SP" dataDxfId="871" totalsRowDxfId="870">
      <calculatedColumnFormula>COUNTIF(ParicipationMai1[[#This Row],[1]:[31]],Code24)</calculatedColumnFormula>
    </tableColumn>
    <tableColumn id="33" name="St1" dataDxfId="869" totalsRowDxfId="868">
      <calculatedColumnFormula>COUNTIF(ParicipationMai1[[#This Row],[1]:[31]],code18)</calculatedColumnFormula>
    </tableColumn>
    <tableColumn id="43" name="St2" dataDxfId="867" totalsRowDxfId="866">
      <calculatedColumnFormula>COUNTIF(ParicipationMai1[[#This Row],[1]:[31]],code19)</calculatedColumnFormula>
    </tableColumn>
    <tableColumn id="53" name="St3" dataDxfId="865" totalsRowDxfId="864">
      <calculatedColumnFormula>COUNTIF(ParicipationMai1[[#This Row],[1]:[31]],code20)</calculatedColumnFormula>
    </tableColumn>
    <tableColumn id="39" name="SP1" dataDxfId="863" totalsRowDxfId="862">
      <calculatedColumnFormula>COUNTIF(ParicipationMai1[[#This Row],[1]:[31]],code29)</calculatedColumnFormula>
    </tableColumn>
    <tableColumn id="94" name="1,1" totalsRowDxfId="861"/>
    <tableColumn id="93" name="1,2" totalsRowDxfId="860"/>
    <tableColumn id="92" name="1,3" totalsRowDxfId="859"/>
    <tableColumn id="91" name="2,1" totalsRowDxfId="858"/>
    <tableColumn id="90" name="2,2" totalsRowDxfId="857"/>
    <tableColumn id="89" name="2,3" totalsRowDxfId="856"/>
    <tableColumn id="88" name="2,4" totalsRowDxfId="855"/>
    <tableColumn id="87" name="2,5" totalsRowDxfId="854"/>
    <tableColumn id="86" name="2,6" totalsRowDxfId="853"/>
    <tableColumn id="85" name="2,7" totalsRowDxfId="852"/>
    <tableColumn id="84" name="2,8" totalsRowDxfId="851"/>
    <tableColumn id="83" name="2,9" totalsRowDxfId="850"/>
    <tableColumn id="82" name="2,10" totalsRowDxfId="849"/>
    <tableColumn id="81" name="2,11" totalsRowDxfId="848"/>
    <tableColumn id="80" name="3,1" totalsRowDxfId="847"/>
    <tableColumn id="79" name="3,2" totalsRowDxfId="846"/>
    <tableColumn id="78" name="3,3" totalsRowDxfId="845"/>
    <tableColumn id="77" name="3,4" totalsRowDxfId="844"/>
    <tableColumn id="76" name="3,5" totalsRowDxfId="843"/>
    <tableColumn id="75" name="4,1" totalsRowDxfId="842"/>
    <tableColumn id="74" name="4,2" totalsRowDxfId="841"/>
    <tableColumn id="73" name="4,3" totalsRowDxfId="840"/>
    <tableColumn id="72" name="4,4" totalsRowDxfId="839"/>
    <tableColumn id="71" name="4,5" totalsRowDxfId="838"/>
    <tableColumn id="70" name="4,6" totalsRowDxfId="837"/>
    <tableColumn id="69" name="4,7" totalsRowDxfId="836"/>
    <tableColumn id="68" name="4,8" totalsRowDxfId="835"/>
    <tableColumn id="67" name="5,1" totalsRowDxfId="834"/>
    <tableColumn id="66" name="5,2" totalsRowDxfId="833"/>
    <tableColumn id="65" name="5,3" totalsRowDxfId="832"/>
    <tableColumn id="64" name="5,4" totalsRowDxfId="831"/>
    <tableColumn id="63" name="5,5" totalsRowDxfId="830"/>
    <tableColumn id="62" name="5,7" totalsRowDxfId="829"/>
    <tableColumn id="103" name="6,2" dataDxfId="828" totalsRowDxfId="827"/>
    <tableColumn id="99" name="APP" dataDxfId="826" totalsRowDxfId="825"/>
    <tableColumn id="54" name="heure d’absence TD" dataDxfId="824" totalsRowDxfId="823">
      <calculatedColumnFormula>SUM((AH11*1)+(AI11*1.5)+(AJ11*2)+(AK11*3)+(AP11*5)+(AQ11*6)+(AR11*7)+(AU11*2)+(AX11*3)+(AY11*4)+(AZ11*5)+(BB11*3)+(BA11*2)+(BG11*2)+(BC11*2)+(BD11*2))</calculatedColumnFormula>
    </tableColumn>
    <tableColumn id="55" name="d'heure d’absence CM" dataDxfId="822" totalsRowDxfId="821">
      <calculatedColumnFormula>SUM((AN11*1)+(AM11*2)+(AO11*3)+(AP11*4)+(AT11*5)+(AU11*7)+(AV11*7)+(AW11*7)+(AX11*4)+(AY11*3)+(BB11*2)+(BC11*4)+(AZ11*1)+(BG11*2)+(BA11*5)+(BD11*1))</calculatedColumnFormula>
    </tableColumn>
    <tableColumn id="61" name="Suivi Pedago" dataDxfId="820" totalsRowDxfId="819">
      <calculatedColumnFormula>BH11*1+BL11*3</calculatedColumnFormula>
    </tableColumn>
    <tableColumn id="56" name="d'heure d’absence Stage" dataDxfId="818" totalsRowDxfId="817">
      <calculatedColumnFormula>SUM((BI11*7),(BJ11*10),(BK11*12))</calculatedColumnFormula>
    </tableColumn>
  </tableColumns>
  <tableStyleInfo name="Employee Absence Table" showFirstColumn="0" showLastColumn="1" showRowStripes="1" showColumnStripes="1"/>
  <extLst>
    <ext xmlns:x14="http://schemas.microsoft.com/office/spreadsheetml/2009/9/main" uri="{504A1905-F514-4f6f-8877-14C23A59335A}">
      <x14:table altText="Fiche de présence d’août" altTextSummary="Permet d’assurer le suivi de présence des élèves (R=en retard, E=excusé, N=non excusé, P=présent, N=école fermée) pour le mois d’aôut."/>
    </ext>
  </extLst>
</table>
</file>

<file path=xl/tables/table12.xml><?xml version="1.0" encoding="utf-8"?>
<table xmlns="http://schemas.openxmlformats.org/spreadsheetml/2006/main" id="20" name="ParicipationJuillet1" displayName="ParicipationJuillet1" ref="A10:CY157" totalsRowCount="1" totalsRowDxfId="816">
  <tableColumns count="103">
    <tableColumn id="38" name="Référence" totalsRowDxfId="743"/>
    <tableColumn id="1" name="Nom de l’élève" dataDxfId="815" totalsRowDxfId="742">
      <calculatedColumnFormula>IFERROR(VLOOKUP(ParicipationJuillet1[[#This Row],[Référence]],ListeÉtudiants1[],18,FALSE),"")</calculatedColumnFormula>
    </tableColumn>
    <tableColumn id="2" name="1" totalsRowDxfId="741"/>
    <tableColumn id="3" name="2" totalsRowDxfId="740"/>
    <tableColumn id="4" name="3" totalsRowDxfId="739"/>
    <tableColumn id="5" name="4" totalsRowDxfId="738"/>
    <tableColumn id="6" name="5" totalsRowDxfId="737"/>
    <tableColumn id="7" name="6" totalsRowDxfId="736"/>
    <tableColumn id="8" name="7" totalsRowDxfId="735"/>
    <tableColumn id="9" name="8" totalsRowDxfId="734"/>
    <tableColumn id="10" name="9" totalsRowDxfId="733"/>
    <tableColumn id="11" name="10" totalsRowDxfId="732"/>
    <tableColumn id="12" name="11" totalsRowDxfId="731"/>
    <tableColumn id="13" name="12" totalsRowDxfId="730"/>
    <tableColumn id="14" name="13" totalsRowDxfId="729"/>
    <tableColumn id="15" name="14" totalsRowDxfId="728"/>
    <tableColumn id="16" name="15" totalsRowDxfId="727"/>
    <tableColumn id="17" name="16" totalsRowDxfId="726"/>
    <tableColumn id="18" name="17" totalsRowDxfId="725"/>
    <tableColumn id="19" name="18" totalsRowDxfId="724"/>
    <tableColumn id="20" name="19" totalsRowDxfId="723"/>
    <tableColumn id="21" name="20" totalsRowDxfId="722"/>
    <tableColumn id="22" name="21" totalsRowDxfId="721"/>
    <tableColumn id="23" name="22" totalsRowDxfId="720"/>
    <tableColumn id="24" name="23" totalsRowDxfId="719"/>
    <tableColumn id="25" name="24" totalsRowDxfId="718"/>
    <tableColumn id="26" name="25" totalsRowDxfId="717"/>
    <tableColumn id="27" name="26" totalsRowDxfId="716"/>
    <tableColumn id="28" name="27" totalsRowDxfId="715"/>
    <tableColumn id="29" name="28" totalsRowDxfId="714"/>
    <tableColumn id="30" name="29" totalsRowDxfId="713"/>
    <tableColumn id="31" name="30" totalsRowDxfId="712"/>
    <tableColumn id="32" name="31" dataDxfId="814" totalsRowDxfId="711"/>
    <tableColumn id="35" name="A" dataDxfId="813" totalsRowDxfId="710">
      <calculatedColumnFormula>COUNTIF(ParicipationJuillet1[[#This Row],[1]:[31]],Code1)</calculatedColumnFormula>
    </tableColumn>
    <tableColumn id="58" name="A1" dataDxfId="812" totalsRowDxfId="709">
      <calculatedColumnFormula>COUNTIF(ParicipationJuillet1[[#This Row],[1]:[31]],code22)</calculatedColumnFormula>
    </tableColumn>
    <tableColumn id="34" name="B" dataDxfId="811" totalsRowDxfId="708">
      <calculatedColumnFormula>COUNTIF(ParicipationJuillet1[[#This Row],[1]:[31]],Code2)</calculatedColumnFormula>
    </tableColumn>
    <tableColumn id="37" name="C" dataDxfId="810" totalsRowDxfId="707">
      <calculatedColumnFormula>COUNTIF(ParicipationJuillet1[[#This Row],[1]:[31]],Code3)</calculatedColumnFormula>
    </tableColumn>
    <tableColumn id="36" name="D" dataDxfId="809" totalsRowDxfId="706">
      <calculatedColumnFormula>COUNTIF(ParicipationJuillet1[[#This Row],[1]:[31]],Code4)</calculatedColumnFormula>
    </tableColumn>
    <tableColumn id="40" name="E" dataDxfId="808" totalsRowDxfId="705">
      <calculatedColumnFormula>COUNTIF(ParicipationJuillet1[[#This Row],[1]:[31]],Code5)</calculatedColumnFormula>
    </tableColumn>
    <tableColumn id="59" name="E1" dataDxfId="807" totalsRowDxfId="704">
      <calculatedColumnFormula>COUNTIF(ParicipationJuillet1[[#This Row],[1]:[31]],Code23)</calculatedColumnFormula>
    </tableColumn>
    <tableColumn id="41" name="F" dataDxfId="806" totalsRowDxfId="703">
      <calculatedColumnFormula>COUNTIF(ParicipationJuillet1[[#This Row],[1]:[31]],Code6)</calculatedColumnFormula>
    </tableColumn>
    <tableColumn id="42" name="G" dataDxfId="805" totalsRowDxfId="702">
      <calculatedColumnFormula>COUNTIF(ParicipationJuillet1[[#This Row],[1]:[31]],Code7)</calculatedColumnFormula>
    </tableColumn>
    <tableColumn id="52" name="H" dataDxfId="804" totalsRowDxfId="701">
      <calculatedColumnFormula>COUNTIF(ParicipationJuillet1[[#This Row],[1]:[31]],Code8)</calculatedColumnFormula>
    </tableColumn>
    <tableColumn id="51" name="I" dataDxfId="803" totalsRowDxfId="700">
      <calculatedColumnFormula>COUNTIF(ParicipationJuillet1[[#This Row],[1]:[31]],Code9)</calculatedColumnFormula>
    </tableColumn>
    <tableColumn id="50" name="J" dataDxfId="802" totalsRowDxfId="699">
      <calculatedColumnFormula>COUNTIF(ParicipationJuillet1[[#This Row],[1]:[31]],Code10)</calculatedColumnFormula>
    </tableColumn>
    <tableColumn id="49" name="K" dataDxfId="801" totalsRowDxfId="698">
      <calculatedColumnFormula>COUNTIF(ParicipationJuillet1[[#This Row],[1]:[31]],Code11)</calculatedColumnFormula>
    </tableColumn>
    <tableColumn id="48" name="L" dataDxfId="800" totalsRowDxfId="697">
      <calculatedColumnFormula>COUNTIF(ParicipationJuillet1[[#This Row],[1]:[31]],Code12)</calculatedColumnFormula>
    </tableColumn>
    <tableColumn id="47" name="S" dataDxfId="799" totalsRowDxfId="696">
      <calculatedColumnFormula>COUNTIF(ParicipationJuillet1[[#This Row],[1]:[31]],Code13)</calculatedColumnFormula>
    </tableColumn>
    <tableColumn id="46" name="M" dataDxfId="798" totalsRowDxfId="695">
      <calculatedColumnFormula>COUNTIF(ParicipationJuillet1[[#This Row],[1]:[31]],Code14)</calculatedColumnFormula>
    </tableColumn>
    <tableColumn id="45" name="T" dataDxfId="797" totalsRowDxfId="694">
      <calculatedColumnFormula>COUNTIF(ParicipationJuillet1[[#This Row],[1]:[31]],Code15)</calculatedColumnFormula>
    </tableColumn>
    <tableColumn id="44" name="U" dataDxfId="796" totalsRowDxfId="693">
      <calculatedColumnFormula>COUNTIF(ParicipationJuillet1[[#This Row],[1]:[31]],Code16)</calculatedColumnFormula>
    </tableColumn>
    <tableColumn id="100" name="V" dataDxfId="795" totalsRowDxfId="692">
      <calculatedColumnFormula>COUNTIF(ParicipationJuillet1[[#This Row],[1]:[31]],Code17)</calculatedColumnFormula>
    </tableColumn>
    <tableColumn id="96" name="V1" dataDxfId="794" totalsRowDxfId="691">
      <calculatedColumnFormula>COUNTIF(ParicipationJuillet1[[#This Row],[1]:[31]],Code25)</calculatedColumnFormula>
    </tableColumn>
    <tableColumn id="95" name="V2" dataDxfId="793" totalsRowDxfId="690">
      <calculatedColumnFormula>COUNTIF(ParicipationJuillet1[[#This Row],[1]:[31]],Code26)</calculatedColumnFormula>
    </tableColumn>
    <tableColumn id="101" name="V3" dataDxfId="792" totalsRowDxfId="689">
      <calculatedColumnFormula>COUNTIF(ParicipationJuillet1[[#This Row],[1]:[31]],Code27)</calculatedColumnFormula>
    </tableColumn>
    <tableColumn id="97" name="V4" dataDxfId="791" totalsRowDxfId="688">
      <calculatedColumnFormula>COUNTIF(ParicipationJuillet1[[#This Row],[1]:[31]],Code28)</calculatedColumnFormula>
    </tableColumn>
    <tableColumn id="102" name="V5" dataDxfId="790" totalsRowDxfId="687">
      <calculatedColumnFormula>COUNTIF(ParicipationJuillet1[[#This Row],[1]:[31]],code30)</calculatedColumnFormula>
    </tableColumn>
    <tableColumn id="98" name="V6" dataDxfId="789" totalsRowDxfId="686">
      <calculatedColumnFormula>COUNTIF(ParicipationJuillet1[[#This Row],[1]:[31]],Code31)</calculatedColumnFormula>
    </tableColumn>
    <tableColumn id="57" name="W" dataDxfId="788" totalsRowDxfId="685">
      <calculatedColumnFormula>COUNTIF(ParicipationJuillet1[[#This Row],[1]:[31]],code21)</calculatedColumnFormula>
    </tableColumn>
    <tableColumn id="60" name="SP" dataDxfId="787" totalsRowDxfId="684">
      <calculatedColumnFormula>COUNTIF(ParicipationJuillet1[[#This Row],[1]:[31]],Code24)</calculatedColumnFormula>
    </tableColumn>
    <tableColumn id="33" name="St1" dataDxfId="786" totalsRowDxfId="683">
      <calculatedColumnFormula>COUNTIF(ParicipationJuillet1[[#This Row],[1]:[31]],code18)</calculatedColumnFormula>
    </tableColumn>
    <tableColumn id="43" name="St2" dataDxfId="785" totalsRowDxfId="682">
      <calculatedColumnFormula>COUNTIF(ParicipationJuillet1[[#This Row],[1]:[31]],code19)</calculatedColumnFormula>
    </tableColumn>
    <tableColumn id="53" name="St3" dataDxfId="784" totalsRowDxfId="681">
      <calculatedColumnFormula>COUNTIF(ParicipationJuillet1[[#This Row],[1]:[31]],code20)</calculatedColumnFormula>
    </tableColumn>
    <tableColumn id="39" name="SP1" dataDxfId="783" totalsRowDxfId="680">
      <calculatedColumnFormula>COUNTIF(ParicipationJuillet1[[#This Row],[1]:[31]],code29)</calculatedColumnFormula>
    </tableColumn>
    <tableColumn id="94" name="1,1" dataDxfId="782" totalsRowDxfId="679"/>
    <tableColumn id="93" name="1,2" dataDxfId="781" totalsRowDxfId="678"/>
    <tableColumn id="92" name="1,3" dataDxfId="780" totalsRowDxfId="677"/>
    <tableColumn id="91" name="2,1" dataDxfId="779" totalsRowDxfId="676"/>
    <tableColumn id="90" name="2,2" dataDxfId="778" totalsRowDxfId="675"/>
    <tableColumn id="89" name="2,3" dataDxfId="777" totalsRowDxfId="674"/>
    <tableColumn id="88" name="2,4" dataDxfId="776" totalsRowDxfId="673"/>
    <tableColumn id="87" name="2,5" dataDxfId="775" totalsRowDxfId="672"/>
    <tableColumn id="86" name="2,6" dataDxfId="774" totalsRowDxfId="671"/>
    <tableColumn id="85" name="2,7" dataDxfId="773" totalsRowDxfId="670"/>
    <tableColumn id="84" name="2,8" dataDxfId="772" totalsRowDxfId="669"/>
    <tableColumn id="83" name="2,9" dataDxfId="771" totalsRowDxfId="668"/>
    <tableColumn id="82" name="2,10" dataDxfId="770" totalsRowDxfId="667"/>
    <tableColumn id="81" name="2,11" dataDxfId="769" totalsRowDxfId="666"/>
    <tableColumn id="80" name="3,1" dataDxfId="768" totalsRowDxfId="665"/>
    <tableColumn id="79" name="3,2" dataDxfId="767" totalsRowDxfId="664"/>
    <tableColumn id="78" name="3,3" dataDxfId="766" totalsRowDxfId="663"/>
    <tableColumn id="77" name="3,4" dataDxfId="765" totalsRowDxfId="662"/>
    <tableColumn id="76" name="3,5" dataDxfId="764" totalsRowDxfId="661"/>
    <tableColumn id="75" name="4,1" dataDxfId="763" totalsRowDxfId="660"/>
    <tableColumn id="74" name="4,2" dataDxfId="762" totalsRowDxfId="659"/>
    <tableColumn id="73" name="4,3" dataDxfId="761" totalsRowDxfId="658"/>
    <tableColumn id="72" name="4,4" dataDxfId="760" totalsRowDxfId="657"/>
    <tableColumn id="71" name="4,5" dataDxfId="759" totalsRowDxfId="656"/>
    <tableColumn id="70" name="4,6" dataDxfId="758" totalsRowDxfId="655"/>
    <tableColumn id="69" name="4,7" dataDxfId="757" totalsRowDxfId="654"/>
    <tableColumn id="68" name="4,8" dataDxfId="756" totalsRowDxfId="653"/>
    <tableColumn id="67" name="5,1" dataDxfId="755" totalsRowDxfId="652"/>
    <tableColumn id="66" name="5,2" dataDxfId="754" totalsRowDxfId="651"/>
    <tableColumn id="65" name="5,3" dataDxfId="753" totalsRowDxfId="650"/>
    <tableColumn id="64" name="5,4" dataDxfId="752" totalsRowDxfId="649"/>
    <tableColumn id="63" name="5,5" dataDxfId="751" totalsRowDxfId="648"/>
    <tableColumn id="62" name="5,7" dataDxfId="750" totalsRowDxfId="647"/>
    <tableColumn id="103" name="6,2" dataDxfId="749" totalsRowDxfId="646"/>
    <tableColumn id="99" name="APP" dataDxfId="748" totalsRowDxfId="645"/>
    <tableColumn id="54" name="heure d’absence TD" dataDxfId="747" totalsRowDxfId="644">
      <calculatedColumnFormula>SUM((AH11*1)+(AI11*1.5)+(AJ11*2)+(AK11*3)+(AP11*5)+(AQ11*6)+(AR11*7)+(AU11*2)+(AX11*3)+(AY11*4)+(AZ11*5)+(BB11*3)+(BA11*2)+(BG11*2)+(BC11*2)+(BD11*2))</calculatedColumnFormula>
    </tableColumn>
    <tableColumn id="55" name="d'heure d’absence CM" dataDxfId="746" totalsRowDxfId="643">
      <calculatedColumnFormula>SUM((AO11*1)+(AN11*2)+(AP11*3)+(AQ11*4)+(AU11*5)+(AV11*7)+(AW11*7)+(AX11*7)+(AY11*4)+(BA11*3)+(AZ11*2)+(BD11*4)+(BC11*1)+(BH11*2)+(BB11*5)+(BG11*1))</calculatedColumnFormula>
    </tableColumn>
    <tableColumn id="61" name="Suivi Pedago" dataDxfId="745" totalsRowDxfId="642">
      <calculatedColumnFormula>BH11*1+BL11*3</calculatedColumnFormula>
    </tableColumn>
    <tableColumn id="56" name="d'heure d’absence Stage" dataDxfId="744" totalsRowDxfId="641">
      <calculatedColumnFormula>SUM((BI11*7)+(BJ11*10)+(BK11*12))</calculatedColumnFormula>
    </tableColumn>
  </tableColumns>
  <tableStyleInfo name="Employee Absence Table" showFirstColumn="0" showLastColumn="1" showRowStripes="1" showColumnStripes="1"/>
  <extLst>
    <ext xmlns:x14="http://schemas.microsoft.com/office/spreadsheetml/2009/9/main" uri="{504A1905-F514-4f6f-8877-14C23A59335A}">
      <x14:table altText="Fiche de présence d’août" altTextSummary="Permet d’assurer le suivi de présence des élèves (R=en retard, E=excusé, N=non excusé, P=présent, N=école fermée) pour le mois d’aôut."/>
    </ext>
  </extLst>
</table>
</file>

<file path=xl/theme/theme1.xml><?xml version="1.0" encoding="utf-8"?>
<a:theme xmlns:a="http://schemas.openxmlformats.org/drawingml/2006/main" name="Office Theme">
  <a:themeElements>
    <a:clrScheme name="Bleu">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Student Attendance Record">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ffice.microsoft.com/client/helppreview14.aspx?AssetId=HA010354866&amp;lcid=1036&amp;NS=EXCEL&amp;Version=14&amp;tl=2&amp;respos=0&amp;CTT=1&amp;queryid=d38d00d08c94494fb55f055eb667c2c9" TargetMode="External"/><Relationship Id="rId1" Type="http://schemas.openxmlformats.org/officeDocument/2006/relationships/hyperlink" Target="http://office.microsoft.com/client/helppreview14.aspx?AssetId=HA010354866&amp;lcid=1033&amp;NS=EXCEL&amp;Version=14&amp;tl=2&amp;respos=0&amp;CTT=1&amp;queryid=d38d00d08c94494fb55f055eb667c2c9"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32"/>
  <sheetViews>
    <sheetView showGridLines="0" showRowColHeaders="0" topLeftCell="A13" workbookViewId="0">
      <selection activeCell="G17" sqref="G17"/>
    </sheetView>
  </sheetViews>
  <sheetFormatPr baseColWidth="10" defaultColWidth="9.140625" defaultRowHeight="13.5"/>
  <cols>
    <col min="1" max="3" width="3.28515625" customWidth="1"/>
    <col min="4" max="4" width="3.85546875" customWidth="1"/>
    <col min="13" max="13" width="17.85546875" customWidth="1"/>
    <col min="14" max="14" width="2.42578125" hidden="1" customWidth="1"/>
  </cols>
  <sheetData>
    <row r="1" spans="1:16" ht="42" customHeight="1">
      <c r="A1" s="49" t="s">
        <v>90</v>
      </c>
      <c r="B1" s="49"/>
      <c r="C1" s="49"/>
      <c r="D1" s="49"/>
      <c r="E1" s="26"/>
      <c r="F1" s="26"/>
      <c r="G1" s="26"/>
      <c r="H1" s="26"/>
      <c r="I1" s="26"/>
      <c r="J1" s="26"/>
      <c r="K1" s="26"/>
      <c r="L1" s="26"/>
      <c r="M1" s="26"/>
      <c r="N1" s="26"/>
      <c r="O1" s="57"/>
      <c r="P1" s="57"/>
    </row>
    <row r="2" spans="1:16" ht="6.75" customHeight="1"/>
    <row r="3" spans="1:16" ht="17.25">
      <c r="B3" s="50" t="s">
        <v>81</v>
      </c>
      <c r="C3" s="50"/>
      <c r="D3" s="50"/>
      <c r="E3" s="50"/>
      <c r="F3" s="50"/>
    </row>
    <row r="4" spans="1:16" ht="28.5" customHeight="1">
      <c r="C4" s="649" t="s">
        <v>85</v>
      </c>
      <c r="D4" s="649"/>
      <c r="E4" s="649"/>
      <c r="F4" s="649"/>
      <c r="G4" s="649"/>
      <c r="H4" s="649"/>
      <c r="I4" s="649"/>
      <c r="J4" s="649"/>
      <c r="K4" s="649"/>
      <c r="L4" s="649"/>
      <c r="M4" s="649"/>
    </row>
    <row r="5" spans="1:16" ht="101.25" customHeight="1">
      <c r="D5" s="56" t="s">
        <v>77</v>
      </c>
      <c r="E5" s="648" t="s">
        <v>103</v>
      </c>
      <c r="F5" s="648"/>
      <c r="G5" s="648"/>
      <c r="H5" s="648"/>
      <c r="I5" s="648"/>
      <c r="J5" s="648"/>
      <c r="K5" s="648"/>
      <c r="L5" s="648"/>
      <c r="M5" s="648"/>
      <c r="N5" s="51"/>
    </row>
    <row r="6" spans="1:16" ht="61.5" customHeight="1">
      <c r="C6" s="51"/>
      <c r="D6" s="56" t="s">
        <v>78</v>
      </c>
      <c r="E6" s="648" t="s">
        <v>92</v>
      </c>
      <c r="F6" s="648"/>
      <c r="G6" s="648"/>
      <c r="H6" s="648"/>
      <c r="I6" s="648"/>
      <c r="J6" s="648"/>
      <c r="K6" s="648"/>
      <c r="L6" s="648"/>
      <c r="M6" s="648"/>
      <c r="N6" s="51"/>
    </row>
    <row r="7" spans="1:16" ht="104.25" customHeight="1">
      <c r="C7" s="51"/>
      <c r="D7" s="56" t="s">
        <v>79</v>
      </c>
      <c r="E7" s="648" t="s">
        <v>93</v>
      </c>
      <c r="F7" s="648"/>
      <c r="G7" s="648"/>
      <c r="H7" s="648"/>
      <c r="I7" s="648"/>
      <c r="J7" s="648"/>
      <c r="K7" s="648"/>
      <c r="L7" s="648"/>
      <c r="M7" s="648"/>
      <c r="N7" s="51"/>
    </row>
    <row r="8" spans="1:16" ht="57" customHeight="1">
      <c r="C8" s="51"/>
      <c r="D8" s="56"/>
      <c r="E8" s="650" t="s">
        <v>94</v>
      </c>
      <c r="F8" s="650"/>
      <c r="G8" s="650"/>
      <c r="H8" s="650"/>
      <c r="I8" s="650"/>
      <c r="J8" s="650"/>
      <c r="K8" s="650"/>
      <c r="L8" s="650"/>
      <c r="M8" s="650"/>
      <c r="N8" s="51"/>
    </row>
    <row r="9" spans="1:16" ht="16.5" customHeight="1">
      <c r="E9" s="651" t="s">
        <v>91</v>
      </c>
      <c r="F9" s="651"/>
      <c r="G9" s="651"/>
      <c r="H9" s="651"/>
    </row>
    <row r="10" spans="1:16" ht="6.75" customHeight="1"/>
    <row r="11" spans="1:16" ht="16.5" customHeight="1">
      <c r="B11" s="50" t="s">
        <v>82</v>
      </c>
      <c r="C11" s="50"/>
      <c r="D11" s="50"/>
      <c r="E11" s="50"/>
      <c r="F11" s="50"/>
      <c r="G11" s="50"/>
      <c r="H11" s="50"/>
      <c r="I11" s="50"/>
    </row>
    <row r="12" spans="1:16" s="52" customFormat="1" ht="35.25" customHeight="1">
      <c r="C12" s="649" t="s">
        <v>80</v>
      </c>
      <c r="D12" s="649"/>
      <c r="E12" s="649"/>
      <c r="F12" s="649"/>
      <c r="G12" s="649"/>
      <c r="H12" s="649"/>
      <c r="I12" s="649"/>
      <c r="J12" s="649"/>
      <c r="K12" s="649"/>
      <c r="L12" s="649"/>
      <c r="M12" s="649"/>
    </row>
    <row r="13" spans="1:16" ht="47.25" customHeight="1">
      <c r="D13" s="56" t="s">
        <v>77</v>
      </c>
      <c r="E13" s="648" t="s">
        <v>95</v>
      </c>
      <c r="F13" s="648"/>
      <c r="G13" s="648"/>
      <c r="H13" s="648"/>
      <c r="I13" s="648"/>
      <c r="J13" s="648"/>
      <c r="K13" s="648"/>
      <c r="L13" s="648"/>
      <c r="M13" s="648"/>
      <c r="N13" s="51"/>
      <c r="O13" s="51"/>
    </row>
    <row r="14" spans="1:16" ht="47.25" customHeight="1">
      <c r="D14" s="56"/>
      <c r="E14" s="648" t="s">
        <v>96</v>
      </c>
      <c r="F14" s="648"/>
      <c r="G14" s="648"/>
      <c r="H14" s="648"/>
      <c r="I14" s="648"/>
      <c r="J14" s="648"/>
      <c r="K14" s="648"/>
      <c r="L14" s="648"/>
      <c r="M14" s="648"/>
      <c r="N14" s="60"/>
      <c r="O14" s="60"/>
    </row>
    <row r="15" spans="1:16" s="53" customFormat="1" ht="73.5" customHeight="1">
      <c r="D15" s="56" t="s">
        <v>78</v>
      </c>
      <c r="E15" s="648" t="s">
        <v>97</v>
      </c>
      <c r="F15" s="648"/>
      <c r="G15" s="648"/>
      <c r="H15" s="648"/>
      <c r="I15" s="648"/>
      <c r="J15" s="648"/>
      <c r="K15" s="648"/>
      <c r="L15" s="648"/>
      <c r="M15" s="648"/>
      <c r="N15" s="54"/>
      <c r="O15" s="54"/>
    </row>
    <row r="16" spans="1:16" ht="6.75" customHeight="1"/>
    <row r="17" spans="2:13" ht="17.25">
      <c r="B17" s="50" t="s">
        <v>83</v>
      </c>
      <c r="C17" s="50"/>
      <c r="D17" s="50"/>
      <c r="E17" s="50"/>
      <c r="F17" s="50"/>
      <c r="G17" s="50"/>
      <c r="H17" s="50"/>
      <c r="I17" s="50"/>
      <c r="J17" s="50"/>
    </row>
    <row r="18" spans="2:13" ht="30.75" customHeight="1">
      <c r="B18" s="52"/>
      <c r="C18" s="649" t="s">
        <v>98</v>
      </c>
      <c r="D18" s="649"/>
      <c r="E18" s="649"/>
      <c r="F18" s="649"/>
      <c r="G18" s="649"/>
      <c r="H18" s="649"/>
      <c r="I18" s="649"/>
      <c r="J18" s="649"/>
      <c r="K18" s="649"/>
      <c r="L18" s="649"/>
      <c r="M18" s="649"/>
    </row>
    <row r="19" spans="2:13" ht="34.5" customHeight="1">
      <c r="B19" s="52"/>
      <c r="C19" s="58"/>
      <c r="D19" s="53" t="s">
        <v>76</v>
      </c>
      <c r="E19" s="649" t="s">
        <v>87</v>
      </c>
      <c r="F19" s="649"/>
      <c r="G19" s="649"/>
      <c r="H19" s="649"/>
      <c r="I19" s="649"/>
      <c r="J19" s="649"/>
      <c r="K19" s="649"/>
      <c r="L19" s="649"/>
      <c r="M19" s="649"/>
    </row>
    <row r="20" spans="2:13" s="53" customFormat="1" ht="34.5" customHeight="1">
      <c r="D20" s="53" t="s">
        <v>76</v>
      </c>
      <c r="E20" s="648" t="s">
        <v>101</v>
      </c>
      <c r="F20" s="648"/>
      <c r="G20" s="648"/>
      <c r="H20" s="648"/>
      <c r="I20" s="648"/>
      <c r="J20" s="648"/>
      <c r="K20" s="648"/>
      <c r="L20" s="648"/>
      <c r="M20" s="648"/>
    </row>
    <row r="21" spans="2:13" s="53" customFormat="1" ht="34.5" customHeight="1">
      <c r="D21" s="53" t="s">
        <v>76</v>
      </c>
      <c r="E21" s="648" t="s">
        <v>100</v>
      </c>
      <c r="F21" s="648"/>
      <c r="G21" s="648"/>
      <c r="H21" s="648"/>
      <c r="I21" s="648"/>
      <c r="J21" s="648"/>
      <c r="K21" s="648"/>
      <c r="L21" s="648"/>
      <c r="M21" s="648"/>
    </row>
    <row r="22" spans="2:13" s="53" customFormat="1" ht="46.5" customHeight="1">
      <c r="D22" s="53" t="s">
        <v>76</v>
      </c>
      <c r="E22" s="648" t="s">
        <v>88</v>
      </c>
      <c r="F22" s="648"/>
      <c r="G22" s="648"/>
      <c r="H22" s="648"/>
      <c r="I22" s="648"/>
      <c r="J22" s="648"/>
      <c r="K22" s="648"/>
      <c r="L22" s="648"/>
      <c r="M22" s="648"/>
    </row>
    <row r="23" spans="2:13" ht="6.75" customHeight="1"/>
    <row r="24" spans="2:13" s="53" customFormat="1" ht="16.5" customHeight="1">
      <c r="B24" s="59" t="s">
        <v>84</v>
      </c>
      <c r="C24" s="59"/>
      <c r="D24" s="59"/>
      <c r="E24" s="59"/>
      <c r="F24" s="59"/>
      <c r="G24" s="59"/>
      <c r="H24" s="59"/>
      <c r="I24" s="59"/>
      <c r="J24" s="59"/>
      <c r="K24" s="59"/>
    </row>
    <row r="25" spans="2:13" s="53" customFormat="1" ht="102" customHeight="1">
      <c r="C25" s="649" t="s">
        <v>99</v>
      </c>
      <c r="D25" s="649"/>
      <c r="E25" s="649"/>
      <c r="F25" s="649"/>
      <c r="G25" s="649"/>
      <c r="H25" s="649"/>
      <c r="I25" s="649"/>
      <c r="J25" s="649"/>
      <c r="K25" s="649"/>
      <c r="L25" s="649"/>
      <c r="M25" s="649"/>
    </row>
    <row r="26" spans="2:13" s="53" customFormat="1" ht="16.5" customHeight="1"/>
    <row r="27" spans="2:13" s="53" customFormat="1" ht="16.5" customHeight="1"/>
    <row r="28" spans="2:13" s="53" customFormat="1" ht="16.5" customHeight="1"/>
    <row r="29" spans="2:13" s="53" customFormat="1" ht="16.5" customHeight="1"/>
    <row r="30" spans="2:13" s="53" customFormat="1" ht="16.5" customHeight="1"/>
    <row r="31" spans="2:13" s="53" customFormat="1" ht="16.5" customHeight="1"/>
    <row r="32" spans="2:13" ht="16.5" customHeight="1"/>
  </sheetData>
  <mergeCells count="16">
    <mergeCell ref="C12:M12"/>
    <mergeCell ref="C4:M4"/>
    <mergeCell ref="E5:M5"/>
    <mergeCell ref="E6:M6"/>
    <mergeCell ref="E7:M7"/>
    <mergeCell ref="E8:M8"/>
    <mergeCell ref="E9:H9"/>
    <mergeCell ref="E22:M22"/>
    <mergeCell ref="C25:M25"/>
    <mergeCell ref="E13:M13"/>
    <mergeCell ref="E15:M15"/>
    <mergeCell ref="C18:M18"/>
    <mergeCell ref="E19:M19"/>
    <mergeCell ref="E20:M20"/>
    <mergeCell ref="E21:M21"/>
    <mergeCell ref="E14:M14"/>
  </mergeCells>
  <phoneticPr fontId="42" type="noConversion"/>
  <hyperlinks>
    <hyperlink ref="E9:F9" r:id="rId1" location="_Toc261352312" display="Customize a document theme."/>
    <hyperlink ref="E9:H9" r:id="rId2" location="_Toc261352312" display="Personnaliser un thème de document."/>
  </hyperlinks>
  <printOptions horizontalCentered="1"/>
  <pageMargins left="0.25" right="0.25" top="0.75" bottom="0.75" header="0.3" footer="0.3"/>
  <pageSetup scale="71" orientation="portrait" r:id="rId3"/>
  <ignoredErrors>
    <ignoredError sqref="D15 D5:D7 D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S246"/>
  <sheetViews>
    <sheetView showFormulas="1" showGridLines="0" zoomScaleNormal="100" workbookViewId="0">
      <pane xSplit="2" ySplit="3" topLeftCell="C124" activePane="bottomRight" state="frozen"/>
      <selection activeCell="G17" sqref="G17"/>
      <selection pane="topRight" activeCell="G17" sqref="G17"/>
      <selection pane="bottomLeft" activeCell="G17" sqref="G17"/>
      <selection pane="bottomRight" activeCell="C146" sqref="C146"/>
    </sheetView>
  </sheetViews>
  <sheetFormatPr baseColWidth="10" defaultColWidth="9.140625" defaultRowHeight="13.5"/>
  <cols>
    <col min="1" max="1" width="18.28515625" style="506" customWidth="1"/>
    <col min="2" max="2" width="14.42578125" customWidth="1"/>
    <col min="3" max="3" width="22.42578125" customWidth="1"/>
    <col min="4" max="4" width="18" customWidth="1"/>
    <col min="5" max="5" width="12.7109375" customWidth="1"/>
    <col min="6" max="6" width="22.7109375" customWidth="1"/>
    <col min="7" max="7" width="20.28515625" customWidth="1"/>
    <col min="8" max="8" width="26.85546875" customWidth="1"/>
    <col min="9" max="9" width="24.42578125" customWidth="1"/>
    <col min="10" max="10" width="22.28515625" customWidth="1"/>
    <col min="11" max="11" width="20.5703125" customWidth="1"/>
    <col min="12" max="12" width="25.5703125" customWidth="1"/>
    <col min="13" max="13" width="22.28515625" customWidth="1"/>
    <col min="14" max="14" width="22.42578125" customWidth="1"/>
    <col min="15" max="16" width="20.5703125" customWidth="1"/>
    <col min="17" max="17" width="22.7109375" customWidth="1"/>
    <col min="18" max="18" width="22.140625" customWidth="1"/>
    <col min="19" max="19" width="26.140625" customWidth="1"/>
  </cols>
  <sheetData>
    <row r="1" spans="1:19" ht="42" customHeight="1">
      <c r="A1" s="511" t="s">
        <v>112</v>
      </c>
      <c r="B1" s="46"/>
      <c r="C1" s="46"/>
      <c r="D1" s="46"/>
      <c r="E1" s="46"/>
      <c r="F1" s="46"/>
      <c r="G1" s="46"/>
      <c r="H1" s="46"/>
      <c r="I1" s="46"/>
      <c r="J1" s="46"/>
      <c r="K1" s="46"/>
      <c r="L1" s="46"/>
      <c r="M1" s="46"/>
      <c r="N1" s="46"/>
      <c r="O1" s="46"/>
      <c r="P1" s="46"/>
      <c r="Q1" s="46"/>
      <c r="R1" s="46"/>
      <c r="S1" s="26"/>
    </row>
    <row r="3" spans="1:19" s="13" customFormat="1" ht="42" customHeight="1">
      <c r="A3" s="47" t="s">
        <v>33</v>
      </c>
      <c r="B3" s="48" t="s">
        <v>31</v>
      </c>
      <c r="C3" s="48" t="s">
        <v>32</v>
      </c>
      <c r="D3" s="47" t="s">
        <v>37</v>
      </c>
      <c r="E3" s="47" t="s">
        <v>38</v>
      </c>
      <c r="F3" s="47" t="s">
        <v>62</v>
      </c>
      <c r="G3" s="47" t="s">
        <v>63</v>
      </c>
      <c r="H3" s="47" t="s">
        <v>89</v>
      </c>
      <c r="I3" s="47" t="s">
        <v>64</v>
      </c>
      <c r="J3" s="47" t="s">
        <v>68</v>
      </c>
      <c r="K3" s="47" t="s">
        <v>65</v>
      </c>
      <c r="L3" s="47" t="s">
        <v>66</v>
      </c>
      <c r="M3" s="47" t="s">
        <v>67</v>
      </c>
      <c r="N3" s="47" t="s">
        <v>46</v>
      </c>
      <c r="O3" s="47" t="s">
        <v>47</v>
      </c>
      <c r="P3" s="47" t="s">
        <v>48</v>
      </c>
      <c r="Q3" s="47" t="s">
        <v>49</v>
      </c>
      <c r="R3" s="47" t="s">
        <v>102</v>
      </c>
    </row>
    <row r="4" spans="1:19" ht="15.75" customHeight="1">
      <c r="A4" s="506" t="s">
        <v>71</v>
      </c>
      <c r="B4" s="57" t="s">
        <v>113</v>
      </c>
      <c r="C4" s="488" t="s">
        <v>240</v>
      </c>
      <c r="D4" s="14"/>
      <c r="E4" s="71"/>
      <c r="F4" s="12"/>
      <c r="G4" s="12"/>
      <c r="H4" s="18"/>
      <c r="I4" s="18"/>
      <c r="J4" s="16"/>
      <c r="K4" s="16"/>
      <c r="L4" s="18"/>
      <c r="M4" s="18"/>
      <c r="N4" s="12"/>
      <c r="O4" s="12"/>
      <c r="P4" s="18"/>
      <c r="Q4" s="18"/>
      <c r="R4" t="str">
        <f>ListeÉtudiants1[[#This Row],[Prénom de l’élève]]&amp;" " &amp;ListeÉtudiants1[[#This Row],[Nom de l’élève]]</f>
        <v>ABDESSEMED MOUNIA</v>
      </c>
    </row>
    <row r="5" spans="1:19" ht="15.75" customHeight="1">
      <c r="A5" s="534" t="s">
        <v>72</v>
      </c>
      <c r="B5" s="486" t="s">
        <v>114</v>
      </c>
      <c r="C5" s="487" t="s">
        <v>241</v>
      </c>
      <c r="D5" s="14"/>
      <c r="E5" s="15"/>
      <c r="F5" s="12"/>
      <c r="G5" s="12"/>
      <c r="H5" s="18"/>
      <c r="I5" s="18"/>
      <c r="J5" s="16"/>
      <c r="K5" s="16"/>
      <c r="L5" s="18"/>
      <c r="M5" s="18"/>
      <c r="N5" s="12"/>
      <c r="O5" s="12"/>
      <c r="P5" s="18"/>
      <c r="Q5" s="18"/>
      <c r="R5" t="str">
        <f>ListeÉtudiants1[[#This Row],[Prénom de l’élève]]&amp;" " &amp;ListeÉtudiants1[[#This Row],[Nom de l’élève]]</f>
        <v>ABOSI MAIWENN</v>
      </c>
    </row>
    <row r="6" spans="1:19" ht="15.75" customHeight="1">
      <c r="A6" s="506" t="s">
        <v>73</v>
      </c>
      <c r="B6" s="57" t="s">
        <v>115</v>
      </c>
      <c r="C6" s="488" t="s">
        <v>242</v>
      </c>
      <c r="D6" s="14"/>
      <c r="E6" s="15"/>
      <c r="F6" s="12"/>
      <c r="G6" s="12"/>
      <c r="H6" s="18"/>
      <c r="I6" s="18"/>
      <c r="J6" s="16"/>
      <c r="K6" s="16"/>
      <c r="L6" s="18"/>
      <c r="M6" s="18"/>
      <c r="N6" s="12"/>
      <c r="O6" s="12"/>
      <c r="P6" s="18"/>
      <c r="Q6" s="18"/>
      <c r="R6" t="str">
        <f>ListeÉtudiants1[[#This Row],[Prénom de l’élève]]&amp;" " &amp;ListeÉtudiants1[[#This Row],[Nom de l’élève]]</f>
        <v>AFKIR SOUMIA</v>
      </c>
    </row>
    <row r="7" spans="1:19" ht="15.75" customHeight="1">
      <c r="A7" s="534" t="s">
        <v>74</v>
      </c>
      <c r="B7" s="486" t="s">
        <v>116</v>
      </c>
      <c r="C7" s="487" t="s">
        <v>243</v>
      </c>
      <c r="D7" s="14"/>
      <c r="E7" s="15"/>
      <c r="F7" s="12"/>
      <c r="G7" s="12"/>
      <c r="H7" s="18"/>
      <c r="I7" s="18"/>
      <c r="J7" s="16"/>
      <c r="K7" s="16"/>
      <c r="L7" s="18"/>
      <c r="M7" s="18"/>
      <c r="N7" s="12"/>
      <c r="O7" s="12"/>
      <c r="P7" s="18"/>
      <c r="Q7" s="18"/>
      <c r="R7" t="str">
        <f>ListeÉtudiants1[[#This Row],[Prénom de l’élève]]&amp;" " &amp;ListeÉtudiants1[[#This Row],[Nom de l’élève]]</f>
        <v>AFRICA NADINE</v>
      </c>
    </row>
    <row r="8" spans="1:19" ht="15.75" customHeight="1">
      <c r="A8" s="506" t="s">
        <v>75</v>
      </c>
      <c r="B8" t="s">
        <v>117</v>
      </c>
      <c r="C8" s="12" t="s">
        <v>244</v>
      </c>
      <c r="D8" s="14"/>
      <c r="E8" s="15"/>
      <c r="F8" s="12"/>
      <c r="G8" s="12"/>
      <c r="H8" s="18"/>
      <c r="I8" s="18"/>
      <c r="J8" s="16"/>
      <c r="K8" s="16"/>
      <c r="L8" s="18"/>
      <c r="M8" s="18"/>
      <c r="N8" s="12"/>
      <c r="O8" s="12"/>
      <c r="P8" s="18"/>
      <c r="Q8" s="18"/>
      <c r="R8" t="str">
        <f>ListeÉtudiants1[[#This Row],[Prénom de l’élève]]&amp;" " &amp;ListeÉtudiants1[[#This Row],[Nom de l’élève]]</f>
        <v>AINAUD  MATHILDE</v>
      </c>
    </row>
    <row r="9" spans="1:19" ht="15.75" customHeight="1">
      <c r="A9" s="534" t="s">
        <v>357</v>
      </c>
      <c r="B9" s="486" t="s">
        <v>118</v>
      </c>
      <c r="C9" s="487" t="s">
        <v>245</v>
      </c>
      <c r="D9" s="14"/>
      <c r="E9" s="82"/>
      <c r="F9" s="12"/>
      <c r="G9" s="12"/>
      <c r="H9" s="18"/>
      <c r="I9" s="18"/>
      <c r="J9" s="16"/>
      <c r="K9" s="16"/>
      <c r="L9" s="18"/>
      <c r="M9" s="18"/>
      <c r="N9" s="12"/>
      <c r="O9" s="12"/>
      <c r="P9" s="18"/>
      <c r="Q9" s="18"/>
      <c r="R9" s="83" t="str">
        <f>ListeÉtudiants1[[#This Row],[Prénom de l’élève]]&amp;" " &amp;ListeÉtudiants1[[#This Row],[Nom de l’élève]]</f>
        <v>AIT CHALALET SELENA</v>
      </c>
    </row>
    <row r="10" spans="1:19" ht="15.75" customHeight="1">
      <c r="A10" s="534" t="s">
        <v>358</v>
      </c>
      <c r="B10" s="486" t="s">
        <v>119</v>
      </c>
      <c r="C10" s="487" t="s">
        <v>246</v>
      </c>
      <c r="D10" s="14"/>
      <c r="E10" s="82"/>
      <c r="F10" s="12"/>
      <c r="G10" s="12"/>
      <c r="H10" s="18"/>
      <c r="I10" s="18"/>
      <c r="J10" s="16"/>
      <c r="K10" s="16"/>
      <c r="L10" s="18"/>
      <c r="M10" s="18"/>
      <c r="N10" s="12"/>
      <c r="O10" s="12"/>
      <c r="P10" s="18"/>
      <c r="Q10" s="18"/>
      <c r="R10" s="83" t="str">
        <f>ListeÉtudiants1[[#This Row],[Prénom de l’élève]]&amp;" " &amp;ListeÉtudiants1[[#This Row],[Nom de l’élève]]</f>
        <v>AJINCA NATHAN</v>
      </c>
    </row>
    <row r="11" spans="1:19" ht="15.75" customHeight="1">
      <c r="A11" s="506" t="s">
        <v>359</v>
      </c>
      <c r="B11" t="s">
        <v>120</v>
      </c>
      <c r="C11" s="12" t="s">
        <v>247</v>
      </c>
      <c r="D11" s="14"/>
      <c r="E11" s="82"/>
      <c r="F11" s="12"/>
      <c r="G11" s="12"/>
      <c r="H11" s="18"/>
      <c r="I11" s="18"/>
      <c r="J11" s="16"/>
      <c r="K11" s="16"/>
      <c r="L11" s="18"/>
      <c r="M11" s="18"/>
      <c r="N11" s="12"/>
      <c r="O11" s="12"/>
      <c r="P11" s="18"/>
      <c r="Q11" s="18"/>
      <c r="R11" s="83" t="str">
        <f>ListeÉtudiants1[[#This Row],[Prénom de l’élève]]&amp;" " &amp;ListeÉtudiants1[[#This Row],[Nom de l’élève]]</f>
        <v>ALBINA IONA</v>
      </c>
    </row>
    <row r="12" spans="1:19" ht="15.75" customHeight="1">
      <c r="A12" s="534" t="s">
        <v>360</v>
      </c>
      <c r="B12" s="486" t="s">
        <v>121</v>
      </c>
      <c r="C12" s="487" t="s">
        <v>248</v>
      </c>
      <c r="D12" s="14"/>
      <c r="E12" s="82"/>
      <c r="F12" s="12"/>
      <c r="G12" s="12"/>
      <c r="H12" s="18"/>
      <c r="I12" s="18"/>
      <c r="J12" s="16"/>
      <c r="K12" s="16"/>
      <c r="L12" s="18"/>
      <c r="M12" s="18"/>
      <c r="N12" s="12"/>
      <c r="O12" s="12"/>
      <c r="P12" s="18"/>
      <c r="Q12" s="18"/>
      <c r="R12" s="83" t="str">
        <f>ListeÉtudiants1[[#This Row],[Prénom de l’élève]]&amp;" " &amp;ListeÉtudiants1[[#This Row],[Nom de l’élève]]</f>
        <v>ALCHEK MONA</v>
      </c>
    </row>
    <row r="13" spans="1:19" ht="15.75" customHeight="1">
      <c r="A13" s="506" t="s">
        <v>361</v>
      </c>
      <c r="B13" t="s">
        <v>122</v>
      </c>
      <c r="C13" s="12" t="s">
        <v>249</v>
      </c>
      <c r="D13" s="14"/>
      <c r="E13" s="82"/>
      <c r="F13" s="12"/>
      <c r="G13" s="12"/>
      <c r="H13" s="18"/>
      <c r="I13" s="18"/>
      <c r="J13" s="16"/>
      <c r="K13" s="16"/>
      <c r="L13" s="18"/>
      <c r="M13" s="18"/>
      <c r="N13" s="12"/>
      <c r="O13" s="12"/>
      <c r="P13" s="18"/>
      <c r="Q13" s="18"/>
      <c r="R13" s="83" t="str">
        <f>ListeÉtudiants1[[#This Row],[Prénom de l’élève]]&amp;" " &amp;ListeÉtudiants1[[#This Row],[Nom de l’élève]]</f>
        <v>ALLOUCH EINAT</v>
      </c>
    </row>
    <row r="14" spans="1:19" ht="15.75" customHeight="1">
      <c r="A14" s="534" t="s">
        <v>362</v>
      </c>
      <c r="B14" s="486" t="s">
        <v>123</v>
      </c>
      <c r="C14" s="487" t="s">
        <v>250</v>
      </c>
      <c r="D14" s="14"/>
      <c r="E14" s="82"/>
      <c r="F14" s="12"/>
      <c r="G14" s="12"/>
      <c r="H14" s="18"/>
      <c r="I14" s="18"/>
      <c r="J14" s="16"/>
      <c r="K14" s="16"/>
      <c r="L14" s="18"/>
      <c r="M14" s="18"/>
      <c r="N14" s="12"/>
      <c r="O14" s="12"/>
      <c r="P14" s="18"/>
      <c r="Q14" s="18"/>
      <c r="R14" s="83" t="str">
        <f>ListeÉtudiants1[[#This Row],[Prénom de l’élève]]&amp;" " &amp;ListeÉtudiants1[[#This Row],[Nom de l’élève]]</f>
        <v>ANCELE-VALCIN KATIANA</v>
      </c>
    </row>
    <row r="15" spans="1:19" ht="15.75" customHeight="1">
      <c r="A15" s="506" t="s">
        <v>363</v>
      </c>
      <c r="B15" s="57" t="s">
        <v>124</v>
      </c>
      <c r="C15" s="488" t="s">
        <v>251</v>
      </c>
      <c r="D15" s="14"/>
      <c r="E15" s="82"/>
      <c r="F15" s="12"/>
      <c r="G15" s="12"/>
      <c r="H15" s="18"/>
      <c r="I15" s="18"/>
      <c r="J15" s="16"/>
      <c r="K15" s="16"/>
      <c r="L15" s="18"/>
      <c r="M15" s="18"/>
      <c r="N15" s="12"/>
      <c r="O15" s="12"/>
      <c r="P15" s="18"/>
      <c r="Q15" s="18"/>
      <c r="R15" s="83" t="str">
        <f>ListeÉtudiants1[[#This Row],[Prénom de l’élève]]&amp;" " &amp;ListeÉtudiants1[[#This Row],[Nom de l’élève]]</f>
        <v>ANDRE ORNELLA</v>
      </c>
    </row>
    <row r="16" spans="1:19" ht="15.75" customHeight="1">
      <c r="A16" s="534" t="s">
        <v>364</v>
      </c>
      <c r="B16" s="486" t="s">
        <v>125</v>
      </c>
      <c r="C16" s="487" t="s">
        <v>252</v>
      </c>
      <c r="D16" s="14"/>
      <c r="E16" s="82"/>
      <c r="F16" s="12"/>
      <c r="G16" s="12"/>
      <c r="H16" s="18"/>
      <c r="I16" s="18"/>
      <c r="J16" s="16"/>
      <c r="K16" s="16"/>
      <c r="L16" s="18"/>
      <c r="M16" s="18"/>
      <c r="N16" s="12"/>
      <c r="O16" s="12"/>
      <c r="P16" s="18"/>
      <c r="Q16" s="18"/>
      <c r="R16" s="83" t="str">
        <f>ListeÉtudiants1[[#This Row],[Prénom de l’élève]]&amp;" " &amp;ListeÉtudiants1[[#This Row],[Nom de l’élève]]</f>
        <v>ANGRE GRACE</v>
      </c>
    </row>
    <row r="17" spans="1:18" ht="15.75" customHeight="1">
      <c r="A17" s="534" t="s">
        <v>365</v>
      </c>
      <c r="B17" s="486" t="s">
        <v>126</v>
      </c>
      <c r="C17" s="487" t="s">
        <v>253</v>
      </c>
      <c r="D17" s="14"/>
      <c r="E17" s="82"/>
      <c r="F17" s="12"/>
      <c r="G17" s="12"/>
      <c r="H17" s="18"/>
      <c r="I17" s="18"/>
      <c r="J17" s="16"/>
      <c r="K17" s="16"/>
      <c r="L17" s="18"/>
      <c r="M17" s="18"/>
      <c r="N17" s="12"/>
      <c r="O17" s="12"/>
      <c r="P17" s="18"/>
      <c r="Q17" s="18"/>
      <c r="R17" s="83" t="str">
        <f>ListeÉtudiants1[[#This Row],[Prénom de l’élève]]&amp;" " &amp;ListeÉtudiants1[[#This Row],[Nom de l’élève]]</f>
        <v>BAESSA ELISA</v>
      </c>
    </row>
    <row r="18" spans="1:18" ht="15.75" customHeight="1">
      <c r="A18" s="506" t="s">
        <v>366</v>
      </c>
      <c r="B18" s="57" t="s">
        <v>127</v>
      </c>
      <c r="C18" s="488" t="s">
        <v>254</v>
      </c>
      <c r="D18" s="14"/>
      <c r="E18" s="82"/>
      <c r="F18" s="12"/>
      <c r="G18" s="12"/>
      <c r="H18" s="18"/>
      <c r="I18" s="18"/>
      <c r="J18" s="16"/>
      <c r="K18" s="16"/>
      <c r="L18" s="18"/>
      <c r="M18" s="18"/>
      <c r="N18" s="12"/>
      <c r="O18" s="12"/>
      <c r="P18" s="18"/>
      <c r="Q18" s="18"/>
      <c r="R18" s="83" t="str">
        <f>ListeÉtudiants1[[#This Row],[Prénom de l’élève]]&amp;" " &amp;ListeÉtudiants1[[#This Row],[Nom de l’élève]]</f>
        <v>BARREIROS  KATIE</v>
      </c>
    </row>
    <row r="19" spans="1:18" ht="15.75" customHeight="1">
      <c r="A19" s="506" t="s">
        <v>367</v>
      </c>
      <c r="B19" t="s">
        <v>128</v>
      </c>
      <c r="C19" s="12" t="s">
        <v>255</v>
      </c>
      <c r="D19" s="14"/>
      <c r="E19" s="82"/>
      <c r="F19" s="12"/>
      <c r="G19" s="12"/>
      <c r="H19" s="18"/>
      <c r="I19" s="18"/>
      <c r="J19" s="16"/>
      <c r="K19" s="16"/>
      <c r="L19" s="18"/>
      <c r="M19" s="18"/>
      <c r="N19" s="12"/>
      <c r="O19" s="12"/>
      <c r="P19" s="18"/>
      <c r="Q19" s="18"/>
      <c r="R19" s="83" t="str">
        <f>ListeÉtudiants1[[#This Row],[Prénom de l’élève]]&amp;" " &amp;ListeÉtudiants1[[#This Row],[Nom de l’élève]]</f>
        <v>BASTARDIE JULIEN</v>
      </c>
    </row>
    <row r="20" spans="1:18" ht="15.75" customHeight="1">
      <c r="A20" s="506" t="s">
        <v>368</v>
      </c>
      <c r="B20" t="s">
        <v>129</v>
      </c>
      <c r="C20" s="12" t="s">
        <v>256</v>
      </c>
      <c r="D20" s="14"/>
      <c r="E20" s="82"/>
      <c r="F20" s="12"/>
      <c r="G20" s="12"/>
      <c r="H20" s="18"/>
      <c r="I20" s="18"/>
      <c r="J20" s="16"/>
      <c r="K20" s="16"/>
      <c r="L20" s="18"/>
      <c r="M20" s="18"/>
      <c r="N20" s="12"/>
      <c r="O20" s="12"/>
      <c r="P20" s="18"/>
      <c r="Q20" s="18"/>
      <c r="R20" s="83" t="str">
        <f>ListeÉtudiants1[[#This Row],[Prénom de l’élève]]&amp;" " &amp;ListeÉtudiants1[[#This Row],[Nom de l’élève]]</f>
        <v>BAUDET M0RGANE</v>
      </c>
    </row>
    <row r="21" spans="1:18" ht="15.75" customHeight="1">
      <c r="A21" s="506" t="s">
        <v>369</v>
      </c>
      <c r="B21" t="s">
        <v>130</v>
      </c>
      <c r="C21" s="12" t="s">
        <v>257</v>
      </c>
      <c r="D21" s="14"/>
      <c r="E21" s="82"/>
      <c r="F21" s="12"/>
      <c r="G21" s="12"/>
      <c r="H21" s="18"/>
      <c r="I21" s="18"/>
      <c r="J21" s="16"/>
      <c r="K21" s="16"/>
      <c r="L21" s="18"/>
      <c r="M21" s="18"/>
      <c r="N21" s="12"/>
      <c r="O21" s="12"/>
      <c r="P21" s="18"/>
      <c r="Q21" s="18"/>
      <c r="R21" s="83" t="str">
        <f>ListeÉtudiants1[[#This Row],[Prénom de l’élève]]&amp;" " &amp;ListeÉtudiants1[[#This Row],[Nom de l’élève]]</f>
        <v>BENOIST SANDY</v>
      </c>
    </row>
    <row r="22" spans="1:18" ht="15.75" customHeight="1">
      <c r="A22" s="534" t="s">
        <v>370</v>
      </c>
      <c r="B22" s="486" t="s">
        <v>131</v>
      </c>
      <c r="C22" s="487" t="s">
        <v>258</v>
      </c>
      <c r="D22" s="14"/>
      <c r="E22" s="82"/>
      <c r="F22" s="12"/>
      <c r="G22" s="12"/>
      <c r="H22" s="18"/>
      <c r="I22" s="18"/>
      <c r="J22" s="16"/>
      <c r="K22" s="16"/>
      <c r="L22" s="18"/>
      <c r="M22" s="18"/>
      <c r="N22" s="12"/>
      <c r="O22" s="12"/>
      <c r="P22" s="18"/>
      <c r="Q22" s="18"/>
      <c r="R22" s="83" t="str">
        <f>ListeÉtudiants1[[#This Row],[Prénom de l’élève]]&amp;" " &amp;ListeÉtudiants1[[#This Row],[Nom de l’élève]]</f>
        <v>BENOUARETH NAWEL</v>
      </c>
    </row>
    <row r="23" spans="1:18" ht="15.75" customHeight="1">
      <c r="A23" s="506" t="s">
        <v>371</v>
      </c>
      <c r="B23" t="s">
        <v>132</v>
      </c>
      <c r="C23" s="12" t="s">
        <v>259</v>
      </c>
      <c r="D23" s="14"/>
      <c r="E23" s="82"/>
      <c r="F23" s="12"/>
      <c r="G23" s="12"/>
      <c r="H23" s="18"/>
      <c r="I23" s="18"/>
      <c r="J23" s="16"/>
      <c r="K23" s="16"/>
      <c r="L23" s="18"/>
      <c r="M23" s="18"/>
      <c r="N23" s="12"/>
      <c r="O23" s="12"/>
      <c r="P23" s="18"/>
      <c r="Q23" s="18"/>
      <c r="R23" s="83" t="str">
        <f>ListeÉtudiants1[[#This Row],[Prénom de l’élève]]&amp;" " &amp;ListeÉtudiants1[[#This Row],[Nom de l’élève]]</f>
        <v>BERNARD LUDOVIC</v>
      </c>
    </row>
    <row r="24" spans="1:18" ht="15.75" customHeight="1">
      <c r="A24" s="534" t="s">
        <v>372</v>
      </c>
      <c r="B24" s="486" t="s">
        <v>133</v>
      </c>
      <c r="C24" s="487" t="s">
        <v>260</v>
      </c>
      <c r="D24" s="14"/>
      <c r="E24" s="82"/>
      <c r="F24" s="12"/>
      <c r="G24" s="12"/>
      <c r="H24" s="18"/>
      <c r="I24" s="18"/>
      <c r="J24" s="16"/>
      <c r="K24" s="16"/>
      <c r="L24" s="18"/>
      <c r="M24" s="18"/>
      <c r="N24" s="12"/>
      <c r="O24" s="12"/>
      <c r="P24" s="18"/>
      <c r="Q24" s="18"/>
      <c r="R24" s="83" t="str">
        <f>ListeÉtudiants1[[#This Row],[Prénom de l’élève]]&amp;" " &amp;ListeÉtudiants1[[#This Row],[Nom de l’élève]]</f>
        <v>BESTEL AGATHE</v>
      </c>
    </row>
    <row r="25" spans="1:18" ht="15.75" customHeight="1">
      <c r="A25" s="506" t="s">
        <v>373</v>
      </c>
      <c r="B25" s="57" t="s">
        <v>134</v>
      </c>
      <c r="C25" s="488" t="s">
        <v>261</v>
      </c>
      <c r="D25" s="14"/>
      <c r="E25" s="82"/>
      <c r="F25" s="12"/>
      <c r="G25" s="12"/>
      <c r="H25" s="18"/>
      <c r="I25" s="18"/>
      <c r="J25" s="16"/>
      <c r="K25" s="16"/>
      <c r="L25" s="18"/>
      <c r="M25" s="18"/>
      <c r="N25" s="12"/>
      <c r="O25" s="12"/>
      <c r="P25" s="18"/>
      <c r="Q25" s="18"/>
      <c r="R25" s="83" t="str">
        <f>ListeÉtudiants1[[#This Row],[Prénom de l’élève]]&amp;" " &amp;ListeÉtudiants1[[#This Row],[Nom de l’élève]]</f>
        <v>BLOT  WENDY</v>
      </c>
    </row>
    <row r="26" spans="1:18" ht="15.75" customHeight="1">
      <c r="A26" s="506" t="s">
        <v>374</v>
      </c>
      <c r="B26" t="s">
        <v>135</v>
      </c>
      <c r="C26" s="12" t="s">
        <v>262</v>
      </c>
      <c r="D26" s="14"/>
      <c r="E26" s="82"/>
      <c r="F26" s="12"/>
      <c r="G26" s="12"/>
      <c r="H26" s="18"/>
      <c r="I26" s="18"/>
      <c r="J26" s="16"/>
      <c r="K26" s="16"/>
      <c r="L26" s="18"/>
      <c r="M26" s="18"/>
      <c r="N26" s="12"/>
      <c r="O26" s="12"/>
      <c r="P26" s="18"/>
      <c r="Q26" s="18"/>
      <c r="R26" s="83" t="str">
        <f>ListeÉtudiants1[[#This Row],[Prénom de l’élève]]&amp;" " &amp;ListeÉtudiants1[[#This Row],[Nom de l’élève]]</f>
        <v>BOISSELET CHRISTELLE</v>
      </c>
    </row>
    <row r="27" spans="1:18" ht="15.75" customHeight="1">
      <c r="A27" s="534" t="s">
        <v>375</v>
      </c>
      <c r="B27" s="486" t="s">
        <v>136</v>
      </c>
      <c r="C27" s="487" t="s">
        <v>263</v>
      </c>
      <c r="D27" s="14"/>
      <c r="E27" s="82"/>
      <c r="F27" s="12"/>
      <c r="G27" s="12"/>
      <c r="H27" s="18"/>
      <c r="I27" s="18"/>
      <c r="J27" s="16"/>
      <c r="K27" s="16"/>
      <c r="L27" s="18"/>
      <c r="M27" s="18"/>
      <c r="N27" s="12"/>
      <c r="O27" s="12"/>
      <c r="P27" s="18"/>
      <c r="Q27" s="18"/>
      <c r="R27" s="83" t="str">
        <f>ListeÉtudiants1[[#This Row],[Prénom de l’élève]]&amp;" " &amp;ListeÉtudiants1[[#This Row],[Nom de l’élève]]</f>
        <v>BOUCAUD  CHRISTINE</v>
      </c>
    </row>
    <row r="28" spans="1:18" ht="15.75" customHeight="1">
      <c r="A28" s="506" t="s">
        <v>376</v>
      </c>
      <c r="B28" t="s">
        <v>137</v>
      </c>
      <c r="C28" s="12" t="s">
        <v>264</v>
      </c>
      <c r="D28" s="14"/>
      <c r="E28" s="82"/>
      <c r="F28" s="12"/>
      <c r="G28" s="12"/>
      <c r="H28" s="18"/>
      <c r="I28" s="18"/>
      <c r="J28" s="16"/>
      <c r="K28" s="16"/>
      <c r="L28" s="18"/>
      <c r="M28" s="18"/>
      <c r="N28" s="12"/>
      <c r="O28" s="12"/>
      <c r="P28" s="18"/>
      <c r="Q28" s="18"/>
      <c r="R28" s="83" t="str">
        <f>ListeÉtudiants1[[#This Row],[Prénom de l’élève]]&amp;" " &amp;ListeÉtudiants1[[#This Row],[Nom de l’élève]]</f>
        <v>BOUKHARAZ MARINA</v>
      </c>
    </row>
    <row r="29" spans="1:18" ht="15.75" customHeight="1">
      <c r="A29" s="506" t="s">
        <v>377</v>
      </c>
      <c r="B29" t="s">
        <v>138</v>
      </c>
      <c r="C29" s="12" t="s">
        <v>265</v>
      </c>
      <c r="D29" s="14"/>
      <c r="E29" s="82"/>
      <c r="F29" s="12"/>
      <c r="G29" s="12"/>
      <c r="H29" s="18"/>
      <c r="I29" s="18"/>
      <c r="J29" s="16"/>
      <c r="K29" s="16"/>
      <c r="L29" s="18"/>
      <c r="M29" s="18"/>
      <c r="N29" s="12"/>
      <c r="O29" s="12"/>
      <c r="P29" s="18"/>
      <c r="Q29" s="18"/>
      <c r="R29" s="83" t="str">
        <f>ListeÉtudiants1[[#This Row],[Prénom de l’élève]]&amp;" " &amp;ListeÉtudiants1[[#This Row],[Nom de l’élève]]</f>
        <v>BOUTILLIER LAETITIA</v>
      </c>
    </row>
    <row r="30" spans="1:18" ht="15.75" customHeight="1">
      <c r="A30" s="506" t="s">
        <v>378</v>
      </c>
      <c r="B30" s="57" t="s">
        <v>139</v>
      </c>
      <c r="C30" s="488" t="s">
        <v>266</v>
      </c>
      <c r="D30" s="14"/>
      <c r="E30" s="82"/>
      <c r="F30" s="12"/>
      <c r="G30" s="12"/>
      <c r="H30" s="18"/>
      <c r="I30" s="18"/>
      <c r="J30" s="16"/>
      <c r="K30" s="16"/>
      <c r="L30" s="18"/>
      <c r="M30" s="18"/>
      <c r="N30" s="12"/>
      <c r="O30" s="12"/>
      <c r="P30" s="18"/>
      <c r="Q30" s="18"/>
      <c r="R30" s="83" t="str">
        <f>ListeÉtudiants1[[#This Row],[Prénom de l’élève]]&amp;" " &amp;ListeÉtudiants1[[#This Row],[Nom de l’élève]]</f>
        <v>BRIAND OCEANE</v>
      </c>
    </row>
    <row r="31" spans="1:18" ht="15.75" customHeight="1">
      <c r="A31" s="534" t="s">
        <v>379</v>
      </c>
      <c r="B31" s="486" t="s">
        <v>140</v>
      </c>
      <c r="C31" s="487" t="s">
        <v>267</v>
      </c>
      <c r="D31" s="14"/>
      <c r="E31" s="82"/>
      <c r="F31" s="12"/>
      <c r="G31" s="12"/>
      <c r="H31" s="18"/>
      <c r="I31" s="18"/>
      <c r="J31" s="16"/>
      <c r="K31" s="16"/>
      <c r="L31" s="18"/>
      <c r="M31" s="18"/>
      <c r="N31" s="12"/>
      <c r="O31" s="12"/>
      <c r="P31" s="18"/>
      <c r="Q31" s="18"/>
      <c r="R31" s="83" t="str">
        <f>ListeÉtudiants1[[#This Row],[Prénom de l’élève]]&amp;" " &amp;ListeÉtudiants1[[#This Row],[Nom de l’élève]]</f>
        <v>BRITES TRACA ELODIE</v>
      </c>
    </row>
    <row r="32" spans="1:18" ht="15.75" customHeight="1">
      <c r="A32" s="506" t="s">
        <v>380</v>
      </c>
      <c r="B32" t="s">
        <v>141</v>
      </c>
      <c r="C32" s="12" t="s">
        <v>268</v>
      </c>
      <c r="D32" s="14"/>
      <c r="E32" s="82"/>
      <c r="F32" s="12"/>
      <c r="G32" s="12"/>
      <c r="H32" s="18"/>
      <c r="I32" s="18"/>
      <c r="J32" s="16"/>
      <c r="K32" s="16"/>
      <c r="L32" s="18"/>
      <c r="M32" s="18"/>
      <c r="N32" s="12"/>
      <c r="O32" s="12"/>
      <c r="P32" s="18"/>
      <c r="Q32" s="18"/>
      <c r="R32" s="83" t="str">
        <f>ListeÉtudiants1[[#This Row],[Prénom de l’élève]]&amp;" " &amp;ListeÉtudiants1[[#This Row],[Nom de l’élève]]</f>
        <v>BRONZE  MARINE</v>
      </c>
    </row>
    <row r="33" spans="1:18" ht="15.75" customHeight="1">
      <c r="A33" s="506" t="s">
        <v>381</v>
      </c>
      <c r="B33" t="s">
        <v>142</v>
      </c>
      <c r="C33" s="12" t="s">
        <v>269</v>
      </c>
      <c r="D33" s="14"/>
      <c r="E33" s="82"/>
      <c r="F33" s="12"/>
      <c r="G33" s="12"/>
      <c r="H33" s="18"/>
      <c r="I33" s="18"/>
      <c r="J33" s="16"/>
      <c r="K33" s="16"/>
      <c r="L33" s="18"/>
      <c r="M33" s="18"/>
      <c r="N33" s="12"/>
      <c r="O33" s="12"/>
      <c r="P33" s="18"/>
      <c r="Q33" s="18"/>
      <c r="R33" s="83" t="str">
        <f>ListeÉtudiants1[[#This Row],[Prénom de l’élève]]&amp;" " &amp;ListeÉtudiants1[[#This Row],[Nom de l’élève]]</f>
        <v>CAMISON VICTORIA</v>
      </c>
    </row>
    <row r="34" spans="1:18" ht="15.75" customHeight="1">
      <c r="A34" s="506" t="s">
        <v>382</v>
      </c>
      <c r="B34" t="s">
        <v>143</v>
      </c>
      <c r="C34" s="12" t="s">
        <v>270</v>
      </c>
      <c r="D34" s="14"/>
      <c r="E34" s="82"/>
      <c r="F34" s="12"/>
      <c r="G34" s="12"/>
      <c r="H34" s="18"/>
      <c r="I34" s="18"/>
      <c r="J34" s="16"/>
      <c r="K34" s="16"/>
      <c r="L34" s="18"/>
      <c r="M34" s="18"/>
      <c r="N34" s="12"/>
      <c r="O34" s="12"/>
      <c r="P34" s="18"/>
      <c r="Q34" s="18"/>
      <c r="R34" s="83" t="str">
        <f>ListeÉtudiants1[[#This Row],[Prénom de l’élève]]&amp;" " &amp;ListeÉtudiants1[[#This Row],[Nom de l’élève]]</f>
        <v>CEBIN AMANDINE</v>
      </c>
    </row>
    <row r="35" spans="1:18" ht="15.75" customHeight="1">
      <c r="A35" s="534" t="s">
        <v>383</v>
      </c>
      <c r="B35" s="486" t="s">
        <v>144</v>
      </c>
      <c r="C35" s="487" t="s">
        <v>271</v>
      </c>
      <c r="D35" s="14"/>
      <c r="E35" s="82"/>
      <c r="F35" s="12"/>
      <c r="G35" s="12"/>
      <c r="H35" s="18"/>
      <c r="I35" s="18"/>
      <c r="J35" s="16"/>
      <c r="K35" s="16"/>
      <c r="L35" s="18"/>
      <c r="M35" s="18"/>
      <c r="N35" s="12"/>
      <c r="O35" s="12"/>
      <c r="P35" s="18"/>
      <c r="Q35" s="18"/>
      <c r="R35" s="83" t="str">
        <f>ListeÉtudiants1[[#This Row],[Prénom de l’élève]]&amp;" " &amp;ListeÉtudiants1[[#This Row],[Nom de l’élève]]</f>
        <v>CHARPAGNE MORGANE</v>
      </c>
    </row>
    <row r="36" spans="1:18" ht="15.75" customHeight="1">
      <c r="A36" s="534" t="s">
        <v>384</v>
      </c>
      <c r="B36" s="486" t="s">
        <v>145</v>
      </c>
      <c r="C36" s="487" t="s">
        <v>272</v>
      </c>
      <c r="D36" s="14"/>
      <c r="E36" s="82"/>
      <c r="F36" s="12"/>
      <c r="G36" s="12"/>
      <c r="H36" s="18"/>
      <c r="I36" s="18"/>
      <c r="J36" s="16"/>
      <c r="K36" s="16"/>
      <c r="L36" s="18"/>
      <c r="M36" s="18"/>
      <c r="N36" s="12"/>
      <c r="O36" s="12"/>
      <c r="P36" s="18"/>
      <c r="Q36" s="18"/>
      <c r="R36" s="83" t="str">
        <f>ListeÉtudiants1[[#This Row],[Prénom de l’élève]]&amp;" " &amp;ListeÉtudiants1[[#This Row],[Nom de l’élève]]</f>
        <v>CIRACI AYLA</v>
      </c>
    </row>
    <row r="37" spans="1:18" ht="15.75" customHeight="1">
      <c r="A37" s="506" t="s">
        <v>385</v>
      </c>
      <c r="B37" t="s">
        <v>146</v>
      </c>
      <c r="C37" s="12" t="s">
        <v>273</v>
      </c>
      <c r="D37" s="14"/>
      <c r="E37" s="82"/>
      <c r="F37" s="12"/>
      <c r="G37" s="12"/>
      <c r="H37" s="18"/>
      <c r="I37" s="18"/>
      <c r="J37" s="16"/>
      <c r="K37" s="16"/>
      <c r="L37" s="18"/>
      <c r="M37" s="18"/>
      <c r="N37" s="12"/>
      <c r="O37" s="12"/>
      <c r="P37" s="18"/>
      <c r="Q37" s="18"/>
      <c r="R37" s="83" t="str">
        <f>ListeÉtudiants1[[#This Row],[Prénom de l’élève]]&amp;" " &amp;ListeÉtudiants1[[#This Row],[Nom de l’élève]]</f>
        <v>CLARY VERONIQUE</v>
      </c>
    </row>
    <row r="38" spans="1:18" ht="15.75" customHeight="1">
      <c r="A38" s="534" t="s">
        <v>386</v>
      </c>
      <c r="B38" s="486" t="s">
        <v>147</v>
      </c>
      <c r="C38" s="487" t="s">
        <v>274</v>
      </c>
      <c r="D38" s="14"/>
      <c r="E38" s="82"/>
      <c r="F38" s="12"/>
      <c r="G38" s="12"/>
      <c r="H38" s="18"/>
      <c r="I38" s="18"/>
      <c r="J38" s="16"/>
      <c r="K38" s="16"/>
      <c r="L38" s="18"/>
      <c r="M38" s="18"/>
      <c r="N38" s="12"/>
      <c r="O38" s="12"/>
      <c r="P38" s="18"/>
      <c r="Q38" s="18"/>
      <c r="R38" s="83" t="str">
        <f>ListeÉtudiants1[[#This Row],[Prénom de l’élève]]&amp;" " &amp;ListeÉtudiants1[[#This Row],[Nom de l’élève]]</f>
        <v>CLAUDIN LAURENE</v>
      </c>
    </row>
    <row r="39" spans="1:18" ht="15.75" customHeight="1">
      <c r="A39" s="506" t="s">
        <v>387</v>
      </c>
      <c r="B39" t="s">
        <v>148</v>
      </c>
      <c r="C39" s="12" t="s">
        <v>275</v>
      </c>
      <c r="D39" s="14"/>
      <c r="E39" s="82"/>
      <c r="F39" s="12"/>
      <c r="G39" s="12"/>
      <c r="H39" s="18"/>
      <c r="I39" s="18"/>
      <c r="J39" s="16"/>
      <c r="K39" s="16"/>
      <c r="L39" s="18"/>
      <c r="M39" s="18"/>
      <c r="N39" s="12"/>
      <c r="O39" s="12"/>
      <c r="P39" s="18"/>
      <c r="Q39" s="18"/>
      <c r="R39" s="83" t="str">
        <f>ListeÉtudiants1[[#This Row],[Prénom de l’élève]]&amp;" " &amp;ListeÉtudiants1[[#This Row],[Nom de l’élève]]</f>
        <v>CORDEREIX MARIE</v>
      </c>
    </row>
    <row r="40" spans="1:18" ht="15.75" customHeight="1">
      <c r="A40" s="506" t="s">
        <v>388</v>
      </c>
      <c r="B40" t="s">
        <v>149</v>
      </c>
      <c r="C40" s="12" t="s">
        <v>276</v>
      </c>
      <c r="D40" s="14"/>
      <c r="E40" s="82"/>
      <c r="F40" s="12"/>
      <c r="G40" s="12"/>
      <c r="H40" s="18"/>
      <c r="I40" s="18"/>
      <c r="J40" s="16"/>
      <c r="K40" s="16"/>
      <c r="L40" s="18"/>
      <c r="M40" s="18"/>
      <c r="N40" s="12"/>
      <c r="O40" s="12"/>
      <c r="P40" s="18"/>
      <c r="Q40" s="18"/>
      <c r="R40" s="83" t="str">
        <f>ListeÉtudiants1[[#This Row],[Prénom de l’élève]]&amp;" " &amp;ListeÉtudiants1[[#This Row],[Nom de l’élève]]</f>
        <v>CORNELIS  ESTELLE</v>
      </c>
    </row>
    <row r="41" spans="1:18" ht="15.75" customHeight="1">
      <c r="A41" s="506" t="s">
        <v>389</v>
      </c>
      <c r="B41" t="s">
        <v>150</v>
      </c>
      <c r="C41" s="12" t="s">
        <v>277</v>
      </c>
      <c r="D41" s="14"/>
      <c r="E41" s="82"/>
      <c r="F41" s="12"/>
      <c r="G41" s="12"/>
      <c r="H41" s="18"/>
      <c r="I41" s="18"/>
      <c r="J41" s="16"/>
      <c r="K41" s="16"/>
      <c r="L41" s="18"/>
      <c r="M41" s="18"/>
      <c r="N41" s="12"/>
      <c r="O41" s="12"/>
      <c r="P41" s="18"/>
      <c r="Q41" s="18"/>
      <c r="R41" s="83" t="str">
        <f>ListeÉtudiants1[[#This Row],[Prénom de l’élève]]&amp;" " &amp;ListeÉtudiants1[[#This Row],[Nom de l’élève]]</f>
        <v>COULIBALY COLLO</v>
      </c>
    </row>
    <row r="42" spans="1:18" ht="15.75" customHeight="1">
      <c r="A42" s="506" t="s">
        <v>390</v>
      </c>
      <c r="B42" t="s">
        <v>151</v>
      </c>
      <c r="C42" s="12" t="s">
        <v>278</v>
      </c>
      <c r="D42" s="14"/>
      <c r="E42" s="82"/>
      <c r="F42" s="12"/>
      <c r="G42" s="12"/>
      <c r="H42" s="18"/>
      <c r="I42" s="18"/>
      <c r="J42" s="16"/>
      <c r="K42" s="16"/>
      <c r="L42" s="18"/>
      <c r="M42" s="18"/>
      <c r="N42" s="12"/>
      <c r="O42" s="12"/>
      <c r="P42" s="18"/>
      <c r="Q42" s="18"/>
      <c r="R42" s="83" t="str">
        <f>ListeÉtudiants1[[#This Row],[Prénom de l’élève]]&amp;" " &amp;ListeÉtudiants1[[#This Row],[Nom de l’élève]]</f>
        <v>DAGNET ANNAH</v>
      </c>
    </row>
    <row r="43" spans="1:18" ht="15.75" customHeight="1">
      <c r="A43" s="506" t="s">
        <v>391</v>
      </c>
      <c r="B43" t="s">
        <v>152</v>
      </c>
      <c r="C43" s="12" t="s">
        <v>279</v>
      </c>
      <c r="D43" s="14"/>
      <c r="E43" s="82"/>
      <c r="F43" s="12"/>
      <c r="G43" s="12"/>
      <c r="H43" s="18"/>
      <c r="I43" s="18"/>
      <c r="J43" s="16"/>
      <c r="K43" s="16"/>
      <c r="L43" s="18"/>
      <c r="M43" s="18"/>
      <c r="N43" s="12"/>
      <c r="O43" s="12"/>
      <c r="P43" s="18"/>
      <c r="Q43" s="18"/>
      <c r="R43" s="83" t="str">
        <f>ListeÉtudiants1[[#This Row],[Prénom de l’élève]]&amp;" " &amp;ListeÉtudiants1[[#This Row],[Nom de l’élève]]</f>
        <v>DAHMANI LUANA</v>
      </c>
    </row>
    <row r="44" spans="1:18" ht="15.75" customHeight="1">
      <c r="A44" s="534" t="s">
        <v>392</v>
      </c>
      <c r="B44" s="486" t="s">
        <v>153</v>
      </c>
      <c r="C44" s="487" t="s">
        <v>280</v>
      </c>
      <c r="D44" s="14"/>
      <c r="E44" s="82"/>
      <c r="F44" s="12"/>
      <c r="G44" s="12"/>
      <c r="H44" s="18"/>
      <c r="I44" s="18"/>
      <c r="J44" s="16"/>
      <c r="K44" s="16"/>
      <c r="L44" s="18"/>
      <c r="M44" s="18"/>
      <c r="N44" s="12"/>
      <c r="O44" s="12"/>
      <c r="P44" s="18"/>
      <c r="Q44" s="18"/>
      <c r="R44" s="83" t="str">
        <f>ListeÉtudiants1[[#This Row],[Prénom de l’élève]]&amp;" " &amp;ListeÉtudiants1[[#This Row],[Nom de l’élève]]</f>
        <v>DALI SOUAD</v>
      </c>
    </row>
    <row r="45" spans="1:18" ht="15.75" customHeight="1">
      <c r="A45" s="506" t="s">
        <v>393</v>
      </c>
      <c r="B45" t="s">
        <v>154</v>
      </c>
      <c r="C45" s="12" t="s">
        <v>281</v>
      </c>
      <c r="D45" s="14"/>
      <c r="E45" s="82"/>
      <c r="F45" s="12"/>
      <c r="G45" s="12"/>
      <c r="H45" s="18"/>
      <c r="I45" s="18"/>
      <c r="J45" s="16"/>
      <c r="K45" s="16"/>
      <c r="L45" s="18"/>
      <c r="M45" s="18"/>
      <c r="N45" s="12"/>
      <c r="O45" s="12"/>
      <c r="P45" s="18"/>
      <c r="Q45" s="18"/>
      <c r="R45" s="83" t="str">
        <f>ListeÉtudiants1[[#This Row],[Prénom de l’élève]]&amp;" " &amp;ListeÉtudiants1[[#This Row],[Nom de l’élève]]</f>
        <v>DANION LUCIE</v>
      </c>
    </row>
    <row r="46" spans="1:18" ht="15.75" customHeight="1">
      <c r="A46" s="506" t="s">
        <v>394</v>
      </c>
      <c r="B46" t="s">
        <v>155</v>
      </c>
      <c r="C46" s="12" t="s">
        <v>282</v>
      </c>
      <c r="D46" s="14"/>
      <c r="E46" s="82"/>
      <c r="F46" s="12"/>
      <c r="G46" s="12"/>
      <c r="H46" s="18"/>
      <c r="I46" s="18"/>
      <c r="J46" s="16"/>
      <c r="K46" s="16"/>
      <c r="L46" s="18"/>
      <c r="M46" s="18"/>
      <c r="N46" s="12"/>
      <c r="O46" s="12"/>
      <c r="P46" s="18"/>
      <c r="Q46" s="18"/>
      <c r="R46" s="83" t="str">
        <f>ListeÉtudiants1[[#This Row],[Prénom de l’élève]]&amp;" " &amp;ListeÉtudiants1[[#This Row],[Nom de l’élève]]</f>
        <v>DE LUISE STELLA</v>
      </c>
    </row>
    <row r="47" spans="1:18" ht="15.75" customHeight="1">
      <c r="A47" s="534" t="s">
        <v>395</v>
      </c>
      <c r="B47" s="486" t="s">
        <v>156</v>
      </c>
      <c r="C47" s="487" t="s">
        <v>283</v>
      </c>
      <c r="D47" s="14"/>
      <c r="E47" s="82"/>
      <c r="F47" s="12"/>
      <c r="G47" s="12"/>
      <c r="H47" s="18"/>
      <c r="I47" s="18"/>
      <c r="J47" s="16"/>
      <c r="K47" s="16"/>
      <c r="L47" s="18"/>
      <c r="M47" s="18"/>
      <c r="N47" s="12"/>
      <c r="O47" s="12"/>
      <c r="P47" s="18"/>
      <c r="Q47" s="18"/>
      <c r="R47" s="83" t="str">
        <f>ListeÉtudiants1[[#This Row],[Prénom de l’élève]]&amp;" " &amp;ListeÉtudiants1[[#This Row],[Nom de l’élève]]</f>
        <v>DIAOUNE MAJULA</v>
      </c>
    </row>
    <row r="48" spans="1:18" ht="15.75" customHeight="1">
      <c r="A48" s="506" t="s">
        <v>396</v>
      </c>
      <c r="B48" t="s">
        <v>157</v>
      </c>
      <c r="C48" s="12" t="s">
        <v>284</v>
      </c>
      <c r="D48" s="14"/>
      <c r="E48" s="82"/>
      <c r="F48" s="12"/>
      <c r="G48" s="12"/>
      <c r="H48" s="18"/>
      <c r="I48" s="18"/>
      <c r="J48" s="16"/>
      <c r="K48" s="16"/>
      <c r="L48" s="18"/>
      <c r="M48" s="18"/>
      <c r="N48" s="12"/>
      <c r="O48" s="12"/>
      <c r="P48" s="18"/>
      <c r="Q48" s="18"/>
      <c r="R48" s="83" t="str">
        <f>ListeÉtudiants1[[#This Row],[Prénom de l’élève]]&amp;" " &amp;ListeÉtudiants1[[#This Row],[Nom de l’élève]]</f>
        <v>DOS SANTOS SILVA CELIA</v>
      </c>
    </row>
    <row r="49" spans="1:18" ht="15.75" customHeight="1">
      <c r="A49" s="534" t="s">
        <v>397</v>
      </c>
      <c r="B49" s="486" t="s">
        <v>158</v>
      </c>
      <c r="C49" s="487" t="s">
        <v>276</v>
      </c>
      <c r="D49" s="14"/>
      <c r="E49" s="82"/>
      <c r="F49" s="12"/>
      <c r="G49" s="12"/>
      <c r="H49" s="18"/>
      <c r="I49" s="18"/>
      <c r="J49" s="16"/>
      <c r="K49" s="16"/>
      <c r="L49" s="18"/>
      <c r="M49" s="18"/>
      <c r="N49" s="12"/>
      <c r="O49" s="12"/>
      <c r="P49" s="18"/>
      <c r="Q49" s="18"/>
      <c r="R49" s="83" t="str">
        <f>ListeÉtudiants1[[#This Row],[Prénom de l’élève]]&amp;" " &amp;ListeÉtudiants1[[#This Row],[Nom de l’élève]]</f>
        <v>DOSSOU ESTELLE</v>
      </c>
    </row>
    <row r="50" spans="1:18" ht="15.75" customHeight="1">
      <c r="A50" s="506" t="s">
        <v>398</v>
      </c>
      <c r="B50" t="s">
        <v>159</v>
      </c>
      <c r="C50" s="12" t="s">
        <v>285</v>
      </c>
      <c r="D50" s="14"/>
      <c r="E50" s="82"/>
      <c r="F50" s="12"/>
      <c r="G50" s="12"/>
      <c r="H50" s="18"/>
      <c r="I50" s="18"/>
      <c r="J50" s="16"/>
      <c r="K50" s="16"/>
      <c r="L50" s="18"/>
      <c r="M50" s="18"/>
      <c r="N50" s="12"/>
      <c r="O50" s="12"/>
      <c r="P50" s="18"/>
      <c r="Q50" s="18"/>
      <c r="R50" s="83" t="str">
        <f>ListeÉtudiants1[[#This Row],[Prénom de l’élève]]&amp;" " &amp;ListeÉtudiants1[[#This Row],[Nom de l’élève]]</f>
        <v>DUFFO FELIX</v>
      </c>
    </row>
    <row r="51" spans="1:18" ht="15.75" customHeight="1">
      <c r="A51" s="506" t="s">
        <v>399</v>
      </c>
      <c r="B51" s="57" t="s">
        <v>641</v>
      </c>
      <c r="C51" s="488" t="s">
        <v>286</v>
      </c>
      <c r="D51" s="14"/>
      <c r="E51" s="82"/>
      <c r="F51" s="12"/>
      <c r="G51" s="12"/>
      <c r="H51" s="18"/>
      <c r="I51" s="18"/>
      <c r="J51" s="16"/>
      <c r="K51" s="16"/>
      <c r="L51" s="18"/>
      <c r="M51" s="18"/>
      <c r="N51" s="12"/>
      <c r="O51" s="12"/>
      <c r="P51" s="18"/>
      <c r="Q51" s="18"/>
      <c r="R51" s="83" t="str">
        <f>ListeÉtudiants1[[#This Row],[Prénom de l’élève]]&amp;" " &amp;ListeÉtudiants1[[#This Row],[Nom de l’élève]]</f>
        <v>DUPUY JULINE</v>
      </c>
    </row>
    <row r="52" spans="1:18" ht="15.75" customHeight="1">
      <c r="A52" s="506" t="s">
        <v>400</v>
      </c>
      <c r="B52" t="s">
        <v>160</v>
      </c>
      <c r="C52" s="12" t="s">
        <v>287</v>
      </c>
      <c r="D52" s="14"/>
      <c r="E52" s="82"/>
      <c r="F52" s="12"/>
      <c r="G52" s="12"/>
      <c r="H52" s="18"/>
      <c r="I52" s="18"/>
      <c r="J52" s="16"/>
      <c r="K52" s="16"/>
      <c r="L52" s="18"/>
      <c r="M52" s="18"/>
      <c r="N52" s="12"/>
      <c r="O52" s="12"/>
      <c r="P52" s="18"/>
      <c r="Q52" s="18"/>
      <c r="R52" s="83" t="str">
        <f>ListeÉtudiants1[[#This Row],[Prénom de l’élève]]&amp;" " &amp;ListeÉtudiants1[[#This Row],[Nom de l’élève]]</f>
        <v>EDERY JEFFREY</v>
      </c>
    </row>
    <row r="53" spans="1:18" ht="15.75" customHeight="1">
      <c r="A53" s="506" t="s">
        <v>401</v>
      </c>
      <c r="B53" t="s">
        <v>161</v>
      </c>
      <c r="C53" s="12" t="s">
        <v>288</v>
      </c>
      <c r="D53" s="14"/>
      <c r="E53" s="82"/>
      <c r="F53" s="12"/>
      <c r="G53" s="12"/>
      <c r="H53" s="18"/>
      <c r="I53" s="18"/>
      <c r="J53" s="16"/>
      <c r="K53" s="16"/>
      <c r="L53" s="18"/>
      <c r="M53" s="18"/>
      <c r="N53" s="12"/>
      <c r="O53" s="12"/>
      <c r="P53" s="18"/>
      <c r="Q53" s="18"/>
      <c r="R53" s="83" t="str">
        <f>ListeÉtudiants1[[#This Row],[Prénom de l’élève]]&amp;" " &amp;ListeÉtudiants1[[#This Row],[Nom de l’élève]]</f>
        <v>EL MAZGHI GHITA</v>
      </c>
    </row>
    <row r="54" spans="1:18" ht="15.75" customHeight="1">
      <c r="A54" s="506" t="s">
        <v>402</v>
      </c>
      <c r="B54" t="s">
        <v>162</v>
      </c>
      <c r="C54" s="12" t="s">
        <v>289</v>
      </c>
      <c r="D54" s="14"/>
      <c r="E54" s="82"/>
      <c r="F54" s="12"/>
      <c r="G54" s="12"/>
      <c r="H54" s="18"/>
      <c r="I54" s="18"/>
      <c r="J54" s="16"/>
      <c r="K54" s="16"/>
      <c r="L54" s="18"/>
      <c r="M54" s="18"/>
      <c r="N54" s="12"/>
      <c r="O54" s="12"/>
      <c r="P54" s="18"/>
      <c r="Q54" s="18"/>
      <c r="R54" s="83" t="str">
        <f>ListeÉtudiants1[[#This Row],[Prénom de l’élève]]&amp;" " &amp;ListeÉtudiants1[[#This Row],[Nom de l’élève]]</f>
        <v>ELIE ODILE</v>
      </c>
    </row>
    <row r="55" spans="1:18" ht="15.75" customHeight="1">
      <c r="A55" s="534" t="s">
        <v>403</v>
      </c>
      <c r="B55" s="486" t="s">
        <v>163</v>
      </c>
      <c r="C55" s="487" t="s">
        <v>290</v>
      </c>
      <c r="D55" s="14"/>
      <c r="E55" s="82"/>
      <c r="F55" s="12"/>
      <c r="G55" s="12"/>
      <c r="H55" s="18"/>
      <c r="I55" s="18"/>
      <c r="J55" s="16"/>
      <c r="K55" s="16"/>
      <c r="L55" s="18"/>
      <c r="M55" s="18"/>
      <c r="N55" s="12"/>
      <c r="O55" s="12"/>
      <c r="P55" s="18"/>
      <c r="Q55" s="18"/>
      <c r="R55" s="83" t="str">
        <f>ListeÉtudiants1[[#This Row],[Prénom de l’élève]]&amp;" " &amp;ListeÉtudiants1[[#This Row],[Nom de l’élève]]</f>
        <v>ETIENNE MYLENE</v>
      </c>
    </row>
    <row r="56" spans="1:18" ht="15.75" customHeight="1">
      <c r="A56" s="534" t="s">
        <v>404</v>
      </c>
      <c r="B56" s="486" t="s">
        <v>164</v>
      </c>
      <c r="C56" s="487" t="s">
        <v>291</v>
      </c>
      <c r="D56" s="14"/>
      <c r="E56" s="82"/>
      <c r="F56" s="12"/>
      <c r="G56" s="12"/>
      <c r="H56" s="18"/>
      <c r="I56" s="18"/>
      <c r="J56" s="16"/>
      <c r="K56" s="16"/>
      <c r="L56" s="18"/>
      <c r="M56" s="18"/>
      <c r="N56" s="12"/>
      <c r="O56" s="12"/>
      <c r="P56" s="18"/>
      <c r="Q56" s="18"/>
      <c r="R56" s="83" t="str">
        <f>ListeÉtudiants1[[#This Row],[Prénom de l’élève]]&amp;" " &amp;ListeÉtudiants1[[#This Row],[Nom de l’élève]]</f>
        <v>FIRPION ALLISON</v>
      </c>
    </row>
    <row r="57" spans="1:18" ht="15.75" customHeight="1">
      <c r="A57" s="506" t="s">
        <v>405</v>
      </c>
      <c r="B57" t="s">
        <v>165</v>
      </c>
      <c r="C57" s="12" t="s">
        <v>281</v>
      </c>
      <c r="D57" s="14"/>
      <c r="E57" s="82"/>
      <c r="F57" s="12"/>
      <c r="G57" s="12"/>
      <c r="H57" s="18"/>
      <c r="I57" s="18"/>
      <c r="J57" s="16"/>
      <c r="K57" s="16"/>
      <c r="L57" s="18"/>
      <c r="M57" s="18"/>
      <c r="N57" s="12"/>
      <c r="O57" s="12"/>
      <c r="P57" s="18"/>
      <c r="Q57" s="18"/>
      <c r="R57" s="83" t="str">
        <f>ListeÉtudiants1[[#This Row],[Prénom de l’élève]]&amp;" " &amp;ListeÉtudiants1[[#This Row],[Nom de l’élève]]</f>
        <v>GARGIULO  LUCIE</v>
      </c>
    </row>
    <row r="58" spans="1:18" ht="15.75" customHeight="1">
      <c r="A58" s="506" t="s">
        <v>406</v>
      </c>
      <c r="B58" t="s">
        <v>166</v>
      </c>
      <c r="C58" s="12" t="s">
        <v>292</v>
      </c>
      <c r="D58" s="14"/>
      <c r="E58" s="82"/>
      <c r="F58" s="12"/>
      <c r="G58" s="12"/>
      <c r="H58" s="18"/>
      <c r="I58" s="18"/>
      <c r="J58" s="16"/>
      <c r="K58" s="16"/>
      <c r="L58" s="18"/>
      <c r="M58" s="18"/>
      <c r="N58" s="12"/>
      <c r="O58" s="12"/>
      <c r="P58" s="18"/>
      <c r="Q58" s="18"/>
      <c r="R58" s="83" t="str">
        <f>ListeÉtudiants1[[#This Row],[Prénom de l’élève]]&amp;" " &amp;ListeÉtudiants1[[#This Row],[Nom de l’élève]]</f>
        <v>GASQUET ANTOINE</v>
      </c>
    </row>
    <row r="59" spans="1:18" ht="15.75" customHeight="1">
      <c r="A59" s="534" t="s">
        <v>407</v>
      </c>
      <c r="B59" s="486" t="s">
        <v>167</v>
      </c>
      <c r="C59" s="487" t="s">
        <v>293</v>
      </c>
      <c r="D59" s="14"/>
      <c r="E59" s="82"/>
      <c r="F59" s="12"/>
      <c r="G59" s="12"/>
      <c r="H59" s="18"/>
      <c r="I59" s="18"/>
      <c r="J59" s="16"/>
      <c r="K59" s="16"/>
      <c r="L59" s="18"/>
      <c r="M59" s="18"/>
      <c r="N59" s="12"/>
      <c r="O59" s="12"/>
      <c r="P59" s="18"/>
      <c r="Q59" s="18"/>
      <c r="R59" s="83" t="str">
        <f>ListeÉtudiants1[[#This Row],[Prénom de l’élève]]&amp;" " &amp;ListeÉtudiants1[[#This Row],[Nom de l’élève]]</f>
        <v>GATIBELZA LESLEY</v>
      </c>
    </row>
    <row r="60" spans="1:18" ht="15.75" customHeight="1">
      <c r="A60" s="534" t="s">
        <v>408</v>
      </c>
      <c r="B60" s="486" t="s">
        <v>168</v>
      </c>
      <c r="C60" s="487" t="s">
        <v>294</v>
      </c>
      <c r="D60" s="14"/>
      <c r="E60" s="82"/>
      <c r="F60" s="12"/>
      <c r="G60" s="12"/>
      <c r="H60" s="18"/>
      <c r="I60" s="18"/>
      <c r="J60" s="16"/>
      <c r="K60" s="16"/>
      <c r="L60" s="18"/>
      <c r="M60" s="18"/>
      <c r="N60" s="12"/>
      <c r="O60" s="12"/>
      <c r="P60" s="18"/>
      <c r="Q60" s="18"/>
      <c r="R60" s="83" t="str">
        <f>ListeÉtudiants1[[#This Row],[Prénom de l’élève]]&amp;" " &amp;ListeÉtudiants1[[#This Row],[Nom de l’élève]]</f>
        <v>GOMES SEMEDO LUCY</v>
      </c>
    </row>
    <row r="61" spans="1:18" ht="15.75" customHeight="1">
      <c r="A61" s="534" t="s">
        <v>409</v>
      </c>
      <c r="B61" s="486" t="s">
        <v>169</v>
      </c>
      <c r="C61" s="487" t="s">
        <v>295</v>
      </c>
      <c r="D61" s="14"/>
      <c r="E61" s="82"/>
      <c r="F61" s="12"/>
      <c r="G61" s="12"/>
      <c r="H61" s="18"/>
      <c r="I61" s="18"/>
      <c r="J61" s="16"/>
      <c r="K61" s="16"/>
      <c r="L61" s="18"/>
      <c r="M61" s="18"/>
      <c r="N61" s="12"/>
      <c r="O61" s="12"/>
      <c r="P61" s="18"/>
      <c r="Q61" s="18"/>
      <c r="R61" s="83" t="str">
        <f>ListeÉtudiants1[[#This Row],[Prénom de l’élève]]&amp;" " &amp;ListeÉtudiants1[[#This Row],[Nom de l’élève]]</f>
        <v>GORDON  MAIVA</v>
      </c>
    </row>
    <row r="62" spans="1:18" ht="15.75" customHeight="1">
      <c r="A62" s="506" t="s">
        <v>410</v>
      </c>
      <c r="B62" t="s">
        <v>170</v>
      </c>
      <c r="C62" s="12" t="s">
        <v>296</v>
      </c>
      <c r="D62" s="14"/>
      <c r="E62" s="82"/>
      <c r="F62" s="12"/>
      <c r="G62" s="12"/>
      <c r="H62" s="18"/>
      <c r="I62" s="18"/>
      <c r="J62" s="16"/>
      <c r="K62" s="16"/>
      <c r="L62" s="18"/>
      <c r="M62" s="18"/>
      <c r="N62" s="12"/>
      <c r="O62" s="12"/>
      <c r="P62" s="18"/>
      <c r="Q62" s="18"/>
      <c r="R62" s="83" t="str">
        <f>ListeÉtudiants1[[#This Row],[Prénom de l’élève]]&amp;" " &amp;ListeÉtudiants1[[#This Row],[Nom de l’élève]]</f>
        <v>GRANCHON-RIOLZIR DOROTHEE</v>
      </c>
    </row>
    <row r="63" spans="1:18" ht="15.75" customHeight="1">
      <c r="A63" s="506" t="s">
        <v>411</v>
      </c>
      <c r="B63" t="s">
        <v>171</v>
      </c>
      <c r="C63" s="12" t="s">
        <v>297</v>
      </c>
      <c r="D63" s="14"/>
      <c r="E63" s="82"/>
      <c r="F63" s="12"/>
      <c r="G63" s="12"/>
      <c r="H63" s="18"/>
      <c r="I63" s="18"/>
      <c r="J63" s="16"/>
      <c r="K63" s="16"/>
      <c r="L63" s="18"/>
      <c r="M63" s="18"/>
      <c r="N63" s="12"/>
      <c r="O63" s="12"/>
      <c r="P63" s="18"/>
      <c r="Q63" s="18"/>
      <c r="R63" s="83" t="str">
        <f>ListeÉtudiants1[[#This Row],[Prénom de l’élève]]&amp;" " &amp;ListeÉtudiants1[[#This Row],[Nom de l’élève]]</f>
        <v>GROEVIUS EMILIE</v>
      </c>
    </row>
    <row r="64" spans="1:18" ht="15.75" customHeight="1">
      <c r="A64" s="534" t="s">
        <v>412</v>
      </c>
      <c r="B64" s="486" t="s">
        <v>172</v>
      </c>
      <c r="C64" s="487" t="s">
        <v>298</v>
      </c>
      <c r="D64" s="14"/>
      <c r="E64" s="82"/>
      <c r="F64" s="12"/>
      <c r="G64" s="12"/>
      <c r="H64" s="18"/>
      <c r="I64" s="18"/>
      <c r="J64" s="16"/>
      <c r="K64" s="16"/>
      <c r="L64" s="18"/>
      <c r="M64" s="18"/>
      <c r="N64" s="12"/>
      <c r="O64" s="12"/>
      <c r="P64" s="18"/>
      <c r="Q64" s="18"/>
      <c r="R64" s="83" t="str">
        <f>ListeÉtudiants1[[#This Row],[Prénom de l’élève]]&amp;" " &amp;ListeÉtudiants1[[#This Row],[Nom de l’élève]]</f>
        <v>GUECHI DOUNIA</v>
      </c>
    </row>
    <row r="65" spans="1:18" ht="15.75" customHeight="1">
      <c r="A65" s="534" t="s">
        <v>413</v>
      </c>
      <c r="B65" s="486" t="s">
        <v>173</v>
      </c>
      <c r="C65" s="487" t="s">
        <v>299</v>
      </c>
      <c r="D65" s="14"/>
      <c r="E65" s="82"/>
      <c r="F65" s="12"/>
      <c r="G65" s="12"/>
      <c r="H65" s="18"/>
      <c r="I65" s="18"/>
      <c r="J65" s="16"/>
      <c r="K65" s="16"/>
      <c r="L65" s="18"/>
      <c r="M65" s="18"/>
      <c r="N65" s="12"/>
      <c r="O65" s="12"/>
      <c r="P65" s="18"/>
      <c r="Q65" s="18"/>
      <c r="R65" s="83" t="str">
        <f>ListeÉtudiants1[[#This Row],[Prénom de l’élève]]&amp;" " &amp;ListeÉtudiants1[[#This Row],[Nom de l’élève]]</f>
        <v>HASSANI CHERINE</v>
      </c>
    </row>
    <row r="66" spans="1:18" ht="15.75" customHeight="1">
      <c r="A66" s="506" t="s">
        <v>414</v>
      </c>
      <c r="B66" t="s">
        <v>174</v>
      </c>
      <c r="C66" s="12" t="s">
        <v>300</v>
      </c>
      <c r="D66" s="14"/>
      <c r="E66" s="82"/>
      <c r="F66" s="12"/>
      <c r="G66" s="12"/>
      <c r="H66" s="18"/>
      <c r="I66" s="18"/>
      <c r="J66" s="16"/>
      <c r="K66" s="16"/>
      <c r="L66" s="18"/>
      <c r="M66" s="18"/>
      <c r="N66" s="12"/>
      <c r="O66" s="12"/>
      <c r="P66" s="18"/>
      <c r="Q66" s="18"/>
      <c r="R66" s="83" t="str">
        <f>ListeÉtudiants1[[#This Row],[Prénom de l’élève]]&amp;" " &amp;ListeÉtudiants1[[#This Row],[Nom de l’élève]]</f>
        <v>HERMANN-MANETTE  CORALIE</v>
      </c>
    </row>
    <row r="67" spans="1:18" ht="15.75" customHeight="1">
      <c r="A67" s="534" t="s">
        <v>415</v>
      </c>
      <c r="B67" s="486" t="s">
        <v>175</v>
      </c>
      <c r="C67" s="487" t="s">
        <v>301</v>
      </c>
      <c r="D67" s="14"/>
      <c r="E67" s="82"/>
      <c r="F67" s="12"/>
      <c r="G67" s="12"/>
      <c r="H67" s="18"/>
      <c r="I67" s="18"/>
      <c r="J67" s="16"/>
      <c r="K67" s="16"/>
      <c r="L67" s="18"/>
      <c r="M67" s="18"/>
      <c r="N67" s="12"/>
      <c r="O67" s="12"/>
      <c r="P67" s="18"/>
      <c r="Q67" s="18"/>
      <c r="R67" s="83" t="str">
        <f>ListeÉtudiants1[[#This Row],[Prénom de l’élève]]&amp;" " &amp;ListeÉtudiants1[[#This Row],[Nom de l’élève]]</f>
        <v>HOSTI MATHIAS</v>
      </c>
    </row>
    <row r="68" spans="1:18" ht="15.75" customHeight="1">
      <c r="A68" s="534" t="s">
        <v>416</v>
      </c>
      <c r="B68" s="486" t="s">
        <v>176</v>
      </c>
      <c r="C68" s="487" t="s">
        <v>302</v>
      </c>
      <c r="D68" s="14"/>
      <c r="E68" s="82"/>
      <c r="F68" s="12"/>
      <c r="G68" s="12"/>
      <c r="H68" s="18"/>
      <c r="I68" s="18"/>
      <c r="J68" s="16"/>
      <c r="K68" s="16"/>
      <c r="L68" s="18"/>
      <c r="M68" s="18"/>
      <c r="N68" s="12"/>
      <c r="O68" s="12"/>
      <c r="P68" s="18"/>
      <c r="Q68" s="18"/>
      <c r="R68" s="83" t="str">
        <f>ListeÉtudiants1[[#This Row],[Prénom de l’élève]]&amp;" " &amp;ListeÉtudiants1[[#This Row],[Nom de l’élève]]</f>
        <v>ITSOTSO MEGGIE</v>
      </c>
    </row>
    <row r="69" spans="1:18" ht="15.75" customHeight="1">
      <c r="A69" s="506" t="s">
        <v>417</v>
      </c>
      <c r="B69" t="s">
        <v>177</v>
      </c>
      <c r="C69" s="12" t="s">
        <v>274</v>
      </c>
      <c r="D69" s="14"/>
      <c r="E69" s="82"/>
      <c r="F69" s="12"/>
      <c r="G69" s="12"/>
      <c r="H69" s="18"/>
      <c r="I69" s="18"/>
      <c r="J69" s="16"/>
      <c r="K69" s="16"/>
      <c r="L69" s="18"/>
      <c r="M69" s="18"/>
      <c r="N69" s="12"/>
      <c r="O69" s="12"/>
      <c r="P69" s="18"/>
      <c r="Q69" s="18"/>
      <c r="R69" s="83" t="str">
        <f>ListeÉtudiants1[[#This Row],[Prénom de l’élève]]&amp;" " &amp;ListeÉtudiants1[[#This Row],[Nom de l’élève]]</f>
        <v>JACQUIN  LAURENE</v>
      </c>
    </row>
    <row r="70" spans="1:18" ht="15.75" customHeight="1">
      <c r="A70" s="534" t="s">
        <v>418</v>
      </c>
      <c r="B70" s="486" t="s">
        <v>178</v>
      </c>
      <c r="C70" s="487" t="s">
        <v>303</v>
      </c>
      <c r="D70" s="14"/>
      <c r="E70" s="82"/>
      <c r="F70" s="12"/>
      <c r="G70" s="12"/>
      <c r="H70" s="18"/>
      <c r="I70" s="18"/>
      <c r="J70" s="16"/>
      <c r="K70" s="16"/>
      <c r="L70" s="18"/>
      <c r="M70" s="18"/>
      <c r="N70" s="12"/>
      <c r="O70" s="12"/>
      <c r="P70" s="18"/>
      <c r="Q70" s="18"/>
      <c r="R70" s="83" t="str">
        <f>ListeÉtudiants1[[#This Row],[Prénom de l’élève]]&amp;" " &amp;ListeÉtudiants1[[#This Row],[Nom de l’élève]]</f>
        <v>JOSEPH PALOUNA</v>
      </c>
    </row>
    <row r="71" spans="1:18" ht="15.75" customHeight="1">
      <c r="A71" s="506" t="s">
        <v>419</v>
      </c>
      <c r="B71" s="57" t="s">
        <v>179</v>
      </c>
      <c r="C71" s="488" t="s">
        <v>304</v>
      </c>
      <c r="D71" s="14"/>
      <c r="E71" s="82"/>
      <c r="F71" s="12"/>
      <c r="G71" s="12"/>
      <c r="H71" s="18"/>
      <c r="I71" s="18"/>
      <c r="J71" s="16"/>
      <c r="K71" s="16"/>
      <c r="L71" s="18"/>
      <c r="M71" s="18"/>
      <c r="N71" s="12"/>
      <c r="O71" s="12"/>
      <c r="P71" s="18"/>
      <c r="Q71" s="18"/>
      <c r="R71" s="83" t="str">
        <f>ListeÉtudiants1[[#This Row],[Prénom de l’élève]]&amp;" " &amp;ListeÉtudiants1[[#This Row],[Nom de l’élève]]</f>
        <v>JUAN DORINE</v>
      </c>
    </row>
    <row r="72" spans="1:18" ht="15.75" customHeight="1">
      <c r="A72" s="534" t="s">
        <v>420</v>
      </c>
      <c r="B72" s="486" t="s">
        <v>180</v>
      </c>
      <c r="C72" s="487" t="s">
        <v>305</v>
      </c>
      <c r="D72" s="14"/>
      <c r="E72" s="82"/>
      <c r="F72" s="12"/>
      <c r="G72" s="12"/>
      <c r="H72" s="18"/>
      <c r="I72" s="18"/>
      <c r="J72" s="16"/>
      <c r="K72" s="16"/>
      <c r="L72" s="18"/>
      <c r="M72" s="18"/>
      <c r="N72" s="12"/>
      <c r="O72" s="12"/>
      <c r="P72" s="18"/>
      <c r="Q72" s="18"/>
      <c r="R72" s="83" t="str">
        <f>ListeÉtudiants1[[#This Row],[Prénom de l’élève]]&amp;" " &amp;ListeÉtudiants1[[#This Row],[Nom de l’élève]]</f>
        <v>KABOL HELENA</v>
      </c>
    </row>
    <row r="73" spans="1:18" ht="15.75" customHeight="1">
      <c r="A73" s="534" t="s">
        <v>421</v>
      </c>
      <c r="B73" s="486" t="s">
        <v>181</v>
      </c>
      <c r="C73" s="487" t="s">
        <v>306</v>
      </c>
      <c r="D73" s="14"/>
      <c r="E73" s="82"/>
      <c r="F73" s="12"/>
      <c r="G73" s="12"/>
      <c r="H73" s="18"/>
      <c r="I73" s="18"/>
      <c r="J73" s="16"/>
      <c r="K73" s="16"/>
      <c r="L73" s="18"/>
      <c r="M73" s="18"/>
      <c r="N73" s="12"/>
      <c r="O73" s="12"/>
      <c r="P73" s="18"/>
      <c r="Q73" s="18"/>
      <c r="R73" s="83" t="str">
        <f>ListeÉtudiants1[[#This Row],[Prénom de l’élève]]&amp;" " &amp;ListeÉtudiants1[[#This Row],[Nom de l’élève]]</f>
        <v>KANTE TIGUIDA</v>
      </c>
    </row>
    <row r="74" spans="1:18" ht="15.75" customHeight="1">
      <c r="A74" s="506" t="s">
        <v>422</v>
      </c>
      <c r="B74" t="s">
        <v>182</v>
      </c>
      <c r="C74" s="12" t="s">
        <v>307</v>
      </c>
      <c r="D74" s="14"/>
      <c r="E74" s="82"/>
      <c r="F74" s="12"/>
      <c r="G74" s="12"/>
      <c r="H74" s="18"/>
      <c r="I74" s="18"/>
      <c r="J74" s="16"/>
      <c r="K74" s="16"/>
      <c r="L74" s="18"/>
      <c r="M74" s="18"/>
      <c r="N74" s="12"/>
      <c r="O74" s="12"/>
      <c r="P74" s="18"/>
      <c r="Q74" s="18"/>
      <c r="R74" s="83" t="str">
        <f>ListeÉtudiants1[[#This Row],[Prénom de l’élève]]&amp;" " &amp;ListeÉtudiants1[[#This Row],[Nom de l’élève]]</f>
        <v>KERMESH NELLY</v>
      </c>
    </row>
    <row r="75" spans="1:18" ht="15.75" customHeight="1">
      <c r="A75" s="534" t="s">
        <v>423</v>
      </c>
      <c r="B75" s="486" t="s">
        <v>183</v>
      </c>
      <c r="C75" s="487" t="s">
        <v>308</v>
      </c>
      <c r="D75" s="14"/>
      <c r="E75" s="82"/>
      <c r="F75" s="12"/>
      <c r="G75" s="12"/>
      <c r="H75" s="18"/>
      <c r="I75" s="18"/>
      <c r="J75" s="16"/>
      <c r="K75" s="16"/>
      <c r="L75" s="18"/>
      <c r="M75" s="18"/>
      <c r="N75" s="12"/>
      <c r="O75" s="12"/>
      <c r="P75" s="18"/>
      <c r="Q75" s="18"/>
      <c r="R75" s="83" t="str">
        <f>ListeÉtudiants1[[#This Row],[Prénom de l’élève]]&amp;" " &amp;ListeÉtudiants1[[#This Row],[Nom de l’élève]]</f>
        <v>KESSIE INES</v>
      </c>
    </row>
    <row r="76" spans="1:18" ht="15.75" customHeight="1">
      <c r="A76" s="534" t="s">
        <v>424</v>
      </c>
      <c r="B76" s="486" t="s">
        <v>184</v>
      </c>
      <c r="C76" s="487" t="s">
        <v>309</v>
      </c>
      <c r="D76" s="14"/>
      <c r="E76" s="82"/>
      <c r="F76" s="12"/>
      <c r="G76" s="12"/>
      <c r="H76" s="18"/>
      <c r="I76" s="18"/>
      <c r="J76" s="16"/>
      <c r="K76" s="16"/>
      <c r="L76" s="18"/>
      <c r="M76" s="18"/>
      <c r="N76" s="12"/>
      <c r="O76" s="12"/>
      <c r="P76" s="18"/>
      <c r="Q76" s="18"/>
      <c r="R76" s="83" t="str">
        <f>ListeÉtudiants1[[#This Row],[Prénom de l’élève]]&amp;" " &amp;ListeÉtudiants1[[#This Row],[Nom de l’élève]]</f>
        <v>KIFIA ALI HILDA</v>
      </c>
    </row>
    <row r="77" spans="1:18" ht="15.75" customHeight="1">
      <c r="A77" s="534" t="s">
        <v>425</v>
      </c>
      <c r="B77" s="486" t="s">
        <v>185</v>
      </c>
      <c r="C77" s="487" t="s">
        <v>310</v>
      </c>
      <c r="D77" s="14"/>
      <c r="E77" s="82"/>
      <c r="F77" s="12"/>
      <c r="G77" s="12"/>
      <c r="H77" s="18"/>
      <c r="I77" s="18"/>
      <c r="J77" s="16"/>
      <c r="K77" s="16"/>
      <c r="L77" s="18"/>
      <c r="M77" s="18"/>
      <c r="N77" s="12"/>
      <c r="O77" s="12"/>
      <c r="P77" s="18"/>
      <c r="Q77" s="18"/>
      <c r="R77" s="83" t="str">
        <f>ListeÉtudiants1[[#This Row],[Prénom de l’élève]]&amp;" " &amp;ListeÉtudiants1[[#This Row],[Nom de l’élève]]</f>
        <v>KONATE FATOUMATA</v>
      </c>
    </row>
    <row r="78" spans="1:18" ht="15.75" customHeight="1">
      <c r="A78" s="506" t="s">
        <v>426</v>
      </c>
      <c r="B78" t="s">
        <v>186</v>
      </c>
      <c r="C78" s="12" t="s">
        <v>311</v>
      </c>
      <c r="D78" s="14"/>
      <c r="E78" s="82"/>
      <c r="F78" s="12"/>
      <c r="G78" s="12"/>
      <c r="H78" s="18"/>
      <c r="I78" s="18"/>
      <c r="J78" s="16"/>
      <c r="K78" s="16"/>
      <c r="L78" s="18"/>
      <c r="M78" s="18"/>
      <c r="N78" s="12"/>
      <c r="O78" s="12"/>
      <c r="P78" s="18"/>
      <c r="Q78" s="18"/>
      <c r="R78" s="83" t="str">
        <f>ListeÉtudiants1[[#This Row],[Prénom de l’élève]]&amp;" " &amp;ListeÉtudiants1[[#This Row],[Nom de l’élève]]</f>
        <v>KRIR DINA</v>
      </c>
    </row>
    <row r="79" spans="1:18" ht="15.75" customHeight="1">
      <c r="A79" s="506" t="s">
        <v>427</v>
      </c>
      <c r="B79" t="s">
        <v>187</v>
      </c>
      <c r="C79" s="12" t="s">
        <v>312</v>
      </c>
      <c r="D79" s="14"/>
      <c r="E79" s="82"/>
      <c r="F79" s="12"/>
      <c r="G79" s="12"/>
      <c r="H79" s="18"/>
      <c r="I79" s="18"/>
      <c r="J79" s="16"/>
      <c r="K79" s="16"/>
      <c r="L79" s="18"/>
      <c r="M79" s="18"/>
      <c r="N79" s="12"/>
      <c r="O79" s="12"/>
      <c r="P79" s="18"/>
      <c r="Q79" s="18"/>
      <c r="R79" s="83" t="str">
        <f>ListeÉtudiants1[[#This Row],[Prénom de l’élève]]&amp;" " &amp;ListeÉtudiants1[[#This Row],[Nom de l’élève]]</f>
        <v>LACROIX LORRY</v>
      </c>
    </row>
    <row r="80" spans="1:18" ht="15.75" customHeight="1">
      <c r="A80" s="534" t="s">
        <v>428</v>
      </c>
      <c r="B80" s="486" t="s">
        <v>188</v>
      </c>
      <c r="C80" s="487" t="s">
        <v>313</v>
      </c>
      <c r="D80" s="14"/>
      <c r="E80" s="82"/>
      <c r="F80" s="12"/>
      <c r="G80" s="12"/>
      <c r="H80" s="18"/>
      <c r="I80" s="18"/>
      <c r="J80" s="16"/>
      <c r="K80" s="16"/>
      <c r="L80" s="18"/>
      <c r="M80" s="18"/>
      <c r="N80" s="12"/>
      <c r="O80" s="12"/>
      <c r="P80" s="18"/>
      <c r="Q80" s="18"/>
      <c r="R80" s="83" t="str">
        <f>ListeÉtudiants1[[#This Row],[Prénom de l’élève]]&amp;" " &amp;ListeÉtudiants1[[#This Row],[Nom de l’élève]]</f>
        <v>LADERVAL TATIANA</v>
      </c>
    </row>
    <row r="81" spans="1:18" ht="15.75" customHeight="1">
      <c r="A81" s="506" t="s">
        <v>429</v>
      </c>
      <c r="B81" t="s">
        <v>189</v>
      </c>
      <c r="C81" s="12" t="s">
        <v>314</v>
      </c>
      <c r="D81" s="14"/>
      <c r="E81" s="82"/>
      <c r="F81" s="12"/>
      <c r="G81" s="12"/>
      <c r="H81" s="18"/>
      <c r="I81" s="18"/>
      <c r="J81" s="16"/>
      <c r="K81" s="16"/>
      <c r="L81" s="18"/>
      <c r="M81" s="18"/>
      <c r="N81" s="12"/>
      <c r="O81" s="12"/>
      <c r="P81" s="18"/>
      <c r="Q81" s="18"/>
      <c r="R81" s="83" t="str">
        <f>ListeÉtudiants1[[#This Row],[Prénom de l’élève]]&amp;" " &amp;ListeÉtudiants1[[#This Row],[Nom de l’élève]]</f>
        <v>LALARDIE EMMANUELLE</v>
      </c>
    </row>
    <row r="82" spans="1:18" ht="15.75" customHeight="1">
      <c r="A82" s="535" t="s">
        <v>430</v>
      </c>
      <c r="B82" t="s">
        <v>190</v>
      </c>
      <c r="C82" s="12" t="s">
        <v>315</v>
      </c>
      <c r="D82" s="14"/>
      <c r="E82" s="82"/>
      <c r="F82" s="12"/>
      <c r="G82" s="12"/>
      <c r="H82" s="18"/>
      <c r="I82" s="18"/>
      <c r="J82" s="16"/>
      <c r="K82" s="16"/>
      <c r="L82" s="18"/>
      <c r="M82" s="18"/>
      <c r="N82" s="12"/>
      <c r="O82" s="12"/>
      <c r="P82" s="18"/>
      <c r="Q82" s="18"/>
      <c r="R82" s="83" t="e">
        <f>ListeÉtudiants1[[#This Row],[Prénom de l’élève]]&amp;" " &amp;ListeÉtudiants1[[#This Row],[Nom de l’élève]],[1]Août!BM11-BM130</f>
        <v>#VALUE!</v>
      </c>
    </row>
    <row r="83" spans="1:18" ht="15.75" customHeight="1">
      <c r="A83" s="506" t="s">
        <v>431</v>
      </c>
      <c r="B83" t="s">
        <v>191</v>
      </c>
      <c r="C83" s="12" t="s">
        <v>316</v>
      </c>
      <c r="D83" s="14"/>
      <c r="E83" s="82"/>
      <c r="F83" s="12"/>
      <c r="G83" s="12"/>
      <c r="H83" s="18"/>
      <c r="I83" s="18"/>
      <c r="J83" s="16"/>
      <c r="K83" s="16"/>
      <c r="L83" s="18"/>
      <c r="M83" s="18"/>
      <c r="N83" s="12"/>
      <c r="O83" s="12"/>
      <c r="P83" s="18"/>
      <c r="Q83" s="18"/>
      <c r="R83" s="83" t="str">
        <f>ListeÉtudiants1[[#This Row],[Prénom de l’élève]]&amp;" " &amp;ListeÉtudiants1[[#This Row],[Nom de l’élève]]</f>
        <v>LAMETTE JENNYFER</v>
      </c>
    </row>
    <row r="84" spans="1:18" ht="15.75" customHeight="1">
      <c r="A84" s="534" t="s">
        <v>432</v>
      </c>
      <c r="B84" s="486" t="s">
        <v>192</v>
      </c>
      <c r="C84" s="487" t="s">
        <v>317</v>
      </c>
      <c r="D84" s="14"/>
      <c r="E84" s="82"/>
      <c r="F84" s="12"/>
      <c r="G84" s="12"/>
      <c r="H84" s="18"/>
      <c r="I84" s="18"/>
      <c r="J84" s="16"/>
      <c r="K84" s="16"/>
      <c r="L84" s="18"/>
      <c r="M84" s="18"/>
      <c r="N84" s="12"/>
      <c r="O84" s="12"/>
      <c r="P84" s="18"/>
      <c r="Q84" s="18"/>
      <c r="R84" s="83" t="str">
        <f>ListeÉtudiants1[[#This Row],[Prénom de l’élève]]&amp;" " &amp;ListeÉtudiants1[[#This Row],[Nom de l’élève]]</f>
        <v>LAMGHARI / DAHAN BOUCHRA</v>
      </c>
    </row>
    <row r="85" spans="1:18" ht="15.75" customHeight="1">
      <c r="A85" s="506" t="s">
        <v>433</v>
      </c>
      <c r="B85" t="s">
        <v>193</v>
      </c>
      <c r="C85" s="12" t="s">
        <v>318</v>
      </c>
      <c r="D85" s="14"/>
      <c r="E85" s="82"/>
      <c r="F85" s="12"/>
      <c r="G85" s="12"/>
      <c r="H85" s="18"/>
      <c r="I85" s="18"/>
      <c r="J85" s="16"/>
      <c r="K85" s="16"/>
      <c r="L85" s="18"/>
      <c r="M85" s="18"/>
      <c r="N85" s="12"/>
      <c r="O85" s="12"/>
      <c r="P85" s="18"/>
      <c r="Q85" s="18"/>
      <c r="R85" s="83" t="str">
        <f>ListeÉtudiants1[[#This Row],[Prénom de l’élève]]&amp;" " &amp;ListeÉtudiants1[[#This Row],[Nom de l’élève]]</f>
        <v>LAURENT GUILLAUME</v>
      </c>
    </row>
    <row r="86" spans="1:18" ht="15.75" customHeight="1">
      <c r="A86" s="506" t="s">
        <v>434</v>
      </c>
      <c r="B86" t="s">
        <v>194</v>
      </c>
      <c r="C86" s="12" t="s">
        <v>319</v>
      </c>
      <c r="D86" s="14"/>
      <c r="E86" s="82"/>
      <c r="F86" s="12"/>
      <c r="G86" s="12"/>
      <c r="H86" s="18"/>
      <c r="I86" s="18"/>
      <c r="J86" s="16"/>
      <c r="K86" s="16"/>
      <c r="L86" s="18"/>
      <c r="M86" s="18"/>
      <c r="N86" s="12"/>
      <c r="O86" s="12"/>
      <c r="P86" s="18"/>
      <c r="Q86" s="18"/>
      <c r="R86" s="83" t="str">
        <f>ListeÉtudiants1[[#This Row],[Prénom de l’élève]]&amp;" " &amp;ListeÉtudiants1[[#This Row],[Nom de l’élève]]</f>
        <v>LEMAIRE SHANONE</v>
      </c>
    </row>
    <row r="87" spans="1:18" ht="15.75" customHeight="1">
      <c r="A87" s="506" t="s">
        <v>435</v>
      </c>
      <c r="B87" t="s">
        <v>195</v>
      </c>
      <c r="C87" s="12" t="s">
        <v>320</v>
      </c>
      <c r="D87" s="14"/>
      <c r="E87" s="82"/>
      <c r="F87" s="12"/>
      <c r="G87" s="12"/>
      <c r="H87" s="18"/>
      <c r="I87" s="18"/>
      <c r="J87" s="16"/>
      <c r="K87" s="16"/>
      <c r="L87" s="18"/>
      <c r="M87" s="18"/>
      <c r="N87" s="12"/>
      <c r="O87" s="12"/>
      <c r="P87" s="18"/>
      <c r="Q87" s="18"/>
      <c r="R87" s="83" t="str">
        <f>ListeÉtudiants1[[#This Row],[Prénom de l’élève]]&amp;" " &amp;ListeÉtudiants1[[#This Row],[Nom de l’élève]]</f>
        <v>L'HERMITTE ROMAIN</v>
      </c>
    </row>
    <row r="88" spans="1:18" ht="15.75" customHeight="1">
      <c r="A88" s="534" t="s">
        <v>436</v>
      </c>
      <c r="B88" s="486" t="s">
        <v>196</v>
      </c>
      <c r="C88" s="487" t="s">
        <v>321</v>
      </c>
      <c r="D88" s="14"/>
      <c r="E88" s="82"/>
      <c r="F88" s="12"/>
      <c r="G88" s="12"/>
      <c r="H88" s="18"/>
      <c r="I88" s="18"/>
      <c r="J88" s="16"/>
      <c r="K88" s="16"/>
      <c r="L88" s="18"/>
      <c r="M88" s="18"/>
      <c r="N88" s="12"/>
      <c r="O88" s="12"/>
      <c r="P88" s="18"/>
      <c r="Q88" s="18"/>
      <c r="R88" s="83" t="str">
        <f>ListeÉtudiants1[[#This Row],[Prénom de l’élève]]&amp;" " &amp;ListeÉtudiants1[[#This Row],[Nom de l’élève]]</f>
        <v>LIBON ADRIANA</v>
      </c>
    </row>
    <row r="89" spans="1:18" ht="15.75" customHeight="1">
      <c r="A89" s="534" t="s">
        <v>437</v>
      </c>
      <c r="B89" s="486" t="s">
        <v>197</v>
      </c>
      <c r="C89" s="487" t="s">
        <v>322</v>
      </c>
      <c r="D89" s="14"/>
      <c r="E89" s="82"/>
      <c r="F89" s="12"/>
      <c r="G89" s="12"/>
      <c r="H89" s="18"/>
      <c r="I89" s="18"/>
      <c r="J89" s="16"/>
      <c r="K89" s="16"/>
      <c r="L89" s="18"/>
      <c r="M89" s="18"/>
      <c r="N89" s="12"/>
      <c r="O89" s="12"/>
      <c r="P89" s="18"/>
      <c r="Q89" s="18"/>
      <c r="R89" s="83" t="str">
        <f>ListeÉtudiants1[[#This Row],[Prénom de l’élève]]&amp;" " &amp;ListeÉtudiants1[[#This Row],[Nom de l’élève]]</f>
        <v>LIGER MARION</v>
      </c>
    </row>
    <row r="90" spans="1:18" ht="15.75" customHeight="1">
      <c r="A90" s="534" t="s">
        <v>438</v>
      </c>
      <c r="B90" s="486" t="s">
        <v>198</v>
      </c>
      <c r="C90" s="487" t="s">
        <v>323</v>
      </c>
      <c r="D90" s="14"/>
      <c r="E90" s="82"/>
      <c r="F90" s="12"/>
      <c r="G90" s="12"/>
      <c r="H90" s="18"/>
      <c r="I90" s="18"/>
      <c r="J90" s="16"/>
      <c r="K90" s="16"/>
      <c r="L90" s="18"/>
      <c r="M90" s="18"/>
      <c r="N90" s="12"/>
      <c r="O90" s="12"/>
      <c r="P90" s="18"/>
      <c r="Q90" s="18"/>
      <c r="R90" s="83" t="str">
        <f>ListeÉtudiants1[[#This Row],[Prénom de l’élève]]&amp;" " &amp;ListeÉtudiants1[[#This Row],[Nom de l’élève]]</f>
        <v>MARCHAL RAPHAEL</v>
      </c>
    </row>
    <row r="91" spans="1:18" ht="15.75" customHeight="1">
      <c r="A91" s="506" t="s">
        <v>439</v>
      </c>
      <c r="B91" t="s">
        <v>199</v>
      </c>
      <c r="C91" s="12" t="s">
        <v>324</v>
      </c>
      <c r="D91" s="14"/>
      <c r="E91" s="82"/>
      <c r="F91" s="12"/>
      <c r="G91" s="12"/>
      <c r="H91" s="18"/>
      <c r="I91" s="18"/>
      <c r="J91" s="16"/>
      <c r="K91" s="16"/>
      <c r="L91" s="18"/>
      <c r="M91" s="18"/>
      <c r="N91" s="12"/>
      <c r="O91" s="12"/>
      <c r="P91" s="18"/>
      <c r="Q91" s="18"/>
      <c r="R91" s="83" t="str">
        <f>ListeÉtudiants1[[#This Row],[Prénom de l’élève]]&amp;" " &amp;ListeÉtudiants1[[#This Row],[Nom de l’élève]]</f>
        <v>MARIE-ANAIS OLIVIER</v>
      </c>
    </row>
    <row r="92" spans="1:18" ht="15.75" customHeight="1">
      <c r="A92" s="506" t="s">
        <v>440</v>
      </c>
      <c r="B92" t="s">
        <v>200</v>
      </c>
      <c r="C92" s="12" t="s">
        <v>325</v>
      </c>
      <c r="D92" s="14"/>
      <c r="E92" s="82"/>
      <c r="F92" s="12"/>
      <c r="G92" s="12"/>
      <c r="H92" s="18"/>
      <c r="I92" s="18"/>
      <c r="J92" s="16"/>
      <c r="K92" s="16"/>
      <c r="L92" s="18"/>
      <c r="M92" s="18"/>
      <c r="N92" s="12"/>
      <c r="O92" s="12"/>
      <c r="P92" s="18"/>
      <c r="Q92" s="18"/>
      <c r="R92" s="83" t="str">
        <f>ListeÉtudiants1[[#This Row],[Prénom de l’élève]]&amp;" " &amp;ListeÉtudiants1[[#This Row],[Nom de l’élève]]</f>
        <v>MATEUS ANDREA</v>
      </c>
    </row>
    <row r="93" spans="1:18" ht="15.75" customHeight="1">
      <c r="A93" s="534" t="s">
        <v>441</v>
      </c>
      <c r="B93" s="486" t="s">
        <v>201</v>
      </c>
      <c r="C93" s="487" t="s">
        <v>326</v>
      </c>
      <c r="D93" s="14"/>
      <c r="E93" s="82"/>
      <c r="F93" s="12"/>
      <c r="G93" s="12"/>
      <c r="H93" s="18"/>
      <c r="I93" s="18"/>
      <c r="J93" s="16"/>
      <c r="K93" s="16"/>
      <c r="L93" s="18"/>
      <c r="M93" s="18"/>
      <c r="N93" s="12"/>
      <c r="O93" s="12"/>
      <c r="P93" s="18"/>
      <c r="Q93" s="18"/>
      <c r="R93" s="83" t="str">
        <f>ListeÉtudiants1[[#This Row],[Prénom de l’élève]]&amp;" " &amp;ListeÉtudiants1[[#This Row],[Nom de l’élève]]</f>
        <v>MAWETE  JESSICA</v>
      </c>
    </row>
    <row r="94" spans="1:18" ht="15.75" customHeight="1">
      <c r="A94" s="506" t="s">
        <v>442</v>
      </c>
      <c r="B94" t="s">
        <v>202</v>
      </c>
      <c r="C94" s="12" t="s">
        <v>327</v>
      </c>
      <c r="D94" s="14"/>
      <c r="E94" s="82"/>
      <c r="F94" s="12"/>
      <c r="G94" s="12"/>
      <c r="H94" s="18"/>
      <c r="I94" s="18"/>
      <c r="J94" s="16"/>
      <c r="K94" s="16"/>
      <c r="L94" s="18"/>
      <c r="M94" s="18"/>
      <c r="N94" s="12"/>
      <c r="O94" s="12"/>
      <c r="P94" s="18"/>
      <c r="Q94" s="18"/>
      <c r="R94" s="83" t="str">
        <f>ListeÉtudiants1[[#This Row],[Prénom de l’élève]]&amp;" " &amp;ListeÉtudiants1[[#This Row],[Nom de l’élève]]</f>
        <v>MAZIERS LAURENCE</v>
      </c>
    </row>
    <row r="95" spans="1:18" ht="15.75" customHeight="1">
      <c r="A95" s="506" t="s">
        <v>443</v>
      </c>
      <c r="B95" t="s">
        <v>203</v>
      </c>
      <c r="C95" s="12" t="s">
        <v>328</v>
      </c>
      <c r="D95" s="14"/>
      <c r="E95" s="82"/>
      <c r="F95" s="12"/>
      <c r="G95" s="12"/>
      <c r="H95" s="18"/>
      <c r="I95" s="18"/>
      <c r="J95" s="16"/>
      <c r="K95" s="16"/>
      <c r="L95" s="18"/>
      <c r="M95" s="18"/>
      <c r="N95" s="12"/>
      <c r="O95" s="12"/>
      <c r="P95" s="18"/>
      <c r="Q95" s="18"/>
      <c r="R95" s="83" t="str">
        <f>ListeÉtudiants1[[#This Row],[Prénom de l’élève]]&amp;" " &amp;ListeÉtudiants1[[#This Row],[Nom de l’élève]]</f>
        <v>MENDES CORREIA GLADYS</v>
      </c>
    </row>
    <row r="96" spans="1:18" ht="15.75" customHeight="1">
      <c r="A96" s="534" t="s">
        <v>444</v>
      </c>
      <c r="B96" s="486" t="s">
        <v>204</v>
      </c>
      <c r="C96" s="487" t="s">
        <v>329</v>
      </c>
      <c r="D96" s="14"/>
      <c r="E96" s="82"/>
      <c r="F96" s="12"/>
      <c r="G96" s="12"/>
      <c r="H96" s="18"/>
      <c r="I96" s="18"/>
      <c r="J96" s="16"/>
      <c r="K96" s="16"/>
      <c r="L96" s="18"/>
      <c r="M96" s="18"/>
      <c r="N96" s="12"/>
      <c r="O96" s="12"/>
      <c r="P96" s="18"/>
      <c r="Q96" s="18"/>
      <c r="R96" s="83" t="str">
        <f>ListeÉtudiants1[[#This Row],[Prénom de l’élève]]&amp;" " &amp;ListeÉtudiants1[[#This Row],[Nom de l’élève]]</f>
        <v>MITRAN IONELA</v>
      </c>
    </row>
    <row r="97" spans="1:18" ht="15.75" customHeight="1">
      <c r="A97" s="506" t="s">
        <v>445</v>
      </c>
      <c r="B97" t="s">
        <v>205</v>
      </c>
      <c r="C97" s="12" t="s">
        <v>330</v>
      </c>
      <c r="D97" s="14"/>
      <c r="E97" s="82"/>
      <c r="F97" s="12"/>
      <c r="G97" s="12"/>
      <c r="H97" s="18"/>
      <c r="I97" s="18"/>
      <c r="J97" s="16"/>
      <c r="K97" s="16"/>
      <c r="L97" s="18"/>
      <c r="M97" s="18"/>
      <c r="N97" s="12"/>
      <c r="O97" s="12"/>
      <c r="P97" s="18"/>
      <c r="Q97" s="18"/>
      <c r="R97" s="83" t="str">
        <f>ListeÉtudiants1[[#This Row],[Prénom de l’élève]]&amp;" " &amp;ListeÉtudiants1[[#This Row],[Nom de l’élève]]</f>
        <v>MOREAU NOEMIE</v>
      </c>
    </row>
    <row r="98" spans="1:18" ht="15.75" customHeight="1">
      <c r="A98" s="534" t="s">
        <v>446</v>
      </c>
      <c r="B98" s="486" t="s">
        <v>206</v>
      </c>
      <c r="C98" s="487" t="s">
        <v>331</v>
      </c>
      <c r="D98" s="14"/>
      <c r="E98" s="82"/>
      <c r="F98" s="12"/>
      <c r="G98" s="12"/>
      <c r="H98" s="18"/>
      <c r="I98" s="18"/>
      <c r="J98" s="16"/>
      <c r="K98" s="16"/>
      <c r="L98" s="18"/>
      <c r="M98" s="18"/>
      <c r="N98" s="12"/>
      <c r="O98" s="12"/>
      <c r="P98" s="18"/>
      <c r="Q98" s="18"/>
      <c r="R98" s="83" t="str">
        <f>ListeÉtudiants1[[#This Row],[Prénom de l’élève]]&amp;" " &amp;ListeÉtudiants1[[#This Row],[Nom de l’élève]]</f>
        <v>MOUNIER JEANNE</v>
      </c>
    </row>
    <row r="99" spans="1:18" ht="15.75" customHeight="1">
      <c r="A99" s="506" t="s">
        <v>447</v>
      </c>
      <c r="B99" t="s">
        <v>207</v>
      </c>
      <c r="C99" s="12" t="s">
        <v>332</v>
      </c>
      <c r="D99" s="14"/>
      <c r="E99" s="82"/>
      <c r="F99" s="12"/>
      <c r="G99" s="12"/>
      <c r="H99" s="18"/>
      <c r="I99" s="18"/>
      <c r="J99" s="16"/>
      <c r="K99" s="16"/>
      <c r="L99" s="18"/>
      <c r="M99" s="18"/>
      <c r="N99" s="12"/>
      <c r="O99" s="12"/>
      <c r="P99" s="18"/>
      <c r="Q99" s="18"/>
      <c r="R99" s="83" t="str">
        <f>ListeÉtudiants1[[#This Row],[Prénom de l’élève]]&amp;" " &amp;ListeÉtudiants1[[#This Row],[Nom de l’élève]]</f>
        <v>NGAMFULANGOMA ALEXANDRINE</v>
      </c>
    </row>
    <row r="100" spans="1:18" ht="15.75" customHeight="1">
      <c r="A100" s="506" t="s">
        <v>448</v>
      </c>
      <c r="B100" t="s">
        <v>208</v>
      </c>
      <c r="C100" s="12" t="s">
        <v>333</v>
      </c>
      <c r="D100" s="14"/>
      <c r="E100" s="82"/>
      <c r="F100" s="12"/>
      <c r="G100" s="12"/>
      <c r="H100" s="18"/>
      <c r="I100" s="18"/>
      <c r="J100" s="16"/>
      <c r="K100" s="16"/>
      <c r="L100" s="18"/>
      <c r="M100" s="18"/>
      <c r="N100" s="12"/>
      <c r="O100" s="12"/>
      <c r="P100" s="18"/>
      <c r="Q100" s="18"/>
      <c r="R100" s="83" t="str">
        <f>ListeÉtudiants1[[#This Row],[Prénom de l’élève]]&amp;" " &amp;ListeÉtudiants1[[#This Row],[Nom de l’élève]]</f>
        <v>NGO BONJE ERNESTINE</v>
      </c>
    </row>
    <row r="101" spans="1:18" ht="15.75" customHeight="1">
      <c r="A101" s="506" t="s">
        <v>449</v>
      </c>
      <c r="B101" t="s">
        <v>209</v>
      </c>
      <c r="C101" s="12" t="s">
        <v>334</v>
      </c>
      <c r="D101" s="14"/>
      <c r="E101" s="82"/>
      <c r="F101" s="12"/>
      <c r="G101" s="12"/>
      <c r="H101" s="18"/>
      <c r="I101" s="18"/>
      <c r="J101" s="16"/>
      <c r="K101" s="16"/>
      <c r="L101" s="18"/>
      <c r="M101" s="18"/>
      <c r="N101" s="12"/>
      <c r="O101" s="12"/>
      <c r="P101" s="18"/>
      <c r="Q101" s="18"/>
      <c r="R101" s="83" t="str">
        <f>ListeÉtudiants1[[#This Row],[Prénom de l’élève]]&amp;" " &amp;ListeÉtudiants1[[#This Row],[Nom de l’élève]]</f>
        <v>NIRDE NICOLAS</v>
      </c>
    </row>
    <row r="102" spans="1:18" ht="15.75" customHeight="1">
      <c r="A102" s="506" t="s">
        <v>450</v>
      </c>
      <c r="B102" t="s">
        <v>210</v>
      </c>
      <c r="C102" s="12" t="s">
        <v>335</v>
      </c>
      <c r="D102" s="14"/>
      <c r="E102" s="82"/>
      <c r="F102" s="12"/>
      <c r="G102" s="12"/>
      <c r="H102" s="18"/>
      <c r="I102" s="18"/>
      <c r="J102" s="16"/>
      <c r="K102" s="16"/>
      <c r="L102" s="18"/>
      <c r="M102" s="18"/>
      <c r="N102" s="12"/>
      <c r="O102" s="12"/>
      <c r="P102" s="18"/>
      <c r="Q102" s="18"/>
      <c r="R102" s="83" t="str">
        <f>ListeÉtudiants1[[#This Row],[Prénom de l’élève]]&amp;" " &amp;ListeÉtudiants1[[#This Row],[Nom de l’élève]]</f>
        <v>NOBIAL FABIENNE</v>
      </c>
    </row>
    <row r="103" spans="1:18" ht="15.75" customHeight="1">
      <c r="A103" s="534" t="s">
        <v>451</v>
      </c>
      <c r="B103" s="486" t="s">
        <v>211</v>
      </c>
      <c r="C103" s="487" t="s">
        <v>336</v>
      </c>
      <c r="D103" s="14"/>
      <c r="E103" s="82"/>
      <c r="F103" s="12"/>
      <c r="G103" s="12"/>
      <c r="H103" s="18"/>
      <c r="I103" s="18"/>
      <c r="J103" s="16"/>
      <c r="K103" s="16"/>
      <c r="L103" s="18"/>
      <c r="M103" s="18"/>
      <c r="N103" s="12"/>
      <c r="O103" s="12"/>
      <c r="P103" s="18"/>
      <c r="Q103" s="18"/>
      <c r="R103" s="83" t="str">
        <f>ListeÉtudiants1[[#This Row],[Prénom de l’élève]]&amp;" " &amp;ListeÉtudiants1[[#This Row],[Nom de l’élève]]</f>
        <v>OUSSENI-COMBO ROMINAH</v>
      </c>
    </row>
    <row r="104" spans="1:18" ht="15.75" customHeight="1">
      <c r="A104" s="506" t="s">
        <v>452</v>
      </c>
      <c r="B104" t="s">
        <v>212</v>
      </c>
      <c r="C104" s="12" t="s">
        <v>337</v>
      </c>
      <c r="D104" s="14"/>
      <c r="E104" s="82"/>
      <c r="F104" s="12"/>
      <c r="G104" s="12"/>
      <c r="H104" s="18"/>
      <c r="I104" s="18"/>
      <c r="J104" s="16"/>
      <c r="K104" s="16"/>
      <c r="L104" s="18"/>
      <c r="M104" s="18"/>
      <c r="N104" s="12"/>
      <c r="O104" s="12"/>
      <c r="P104" s="18"/>
      <c r="Q104" s="18"/>
      <c r="R104" s="83" t="str">
        <f>ListeÉtudiants1[[#This Row],[Prénom de l’élève]]&amp;" " &amp;ListeÉtudiants1[[#This Row],[Nom de l’élève]]</f>
        <v>PAPAIL SIMON</v>
      </c>
    </row>
    <row r="105" spans="1:18" ht="15.75" customHeight="1">
      <c r="A105" s="506" t="s">
        <v>453</v>
      </c>
      <c r="B105" t="s">
        <v>213</v>
      </c>
      <c r="C105" s="12" t="s">
        <v>338</v>
      </c>
      <c r="D105" s="14"/>
      <c r="E105" s="82"/>
      <c r="F105" s="12"/>
      <c r="G105" s="12"/>
      <c r="H105" s="18"/>
      <c r="I105" s="18"/>
      <c r="J105" s="16"/>
      <c r="K105" s="16"/>
      <c r="L105" s="18"/>
      <c r="M105" s="18"/>
      <c r="N105" s="12"/>
      <c r="O105" s="12"/>
      <c r="P105" s="18"/>
      <c r="Q105" s="18"/>
      <c r="R105" s="83" t="str">
        <f>ListeÉtudiants1[[#This Row],[Prénom de l’élève]]&amp;" " &amp;ListeÉtudiants1[[#This Row],[Nom de l’élève]]</f>
        <v>PICARDET LISSANNDRA</v>
      </c>
    </row>
    <row r="106" spans="1:18" ht="15.75" customHeight="1">
      <c r="A106" s="506" t="s">
        <v>454</v>
      </c>
      <c r="B106" t="s">
        <v>214</v>
      </c>
      <c r="C106" s="12" t="s">
        <v>339</v>
      </c>
      <c r="D106" s="14"/>
      <c r="E106" s="82"/>
      <c r="F106" s="12"/>
      <c r="G106" s="12"/>
      <c r="H106" s="18"/>
      <c r="I106" s="18"/>
      <c r="J106" s="16"/>
      <c r="K106" s="16"/>
      <c r="L106" s="18"/>
      <c r="M106" s="18"/>
      <c r="N106" s="12"/>
      <c r="O106" s="12"/>
      <c r="P106" s="18"/>
      <c r="Q106" s="18"/>
      <c r="R106" s="83" t="str">
        <f>ListeÉtudiants1[[#This Row],[Prénom de l’élève]]&amp;" " &amp;ListeÉtudiants1[[#This Row],[Nom de l’élève]]</f>
        <v>PIRES KEVIN</v>
      </c>
    </row>
    <row r="107" spans="1:18" ht="15.75" customHeight="1">
      <c r="A107" s="534" t="s">
        <v>455</v>
      </c>
      <c r="B107" s="486" t="s">
        <v>215</v>
      </c>
      <c r="C107" s="487" t="s">
        <v>326</v>
      </c>
      <c r="D107" s="14"/>
      <c r="E107" s="82"/>
      <c r="F107" s="12"/>
      <c r="G107" s="12"/>
      <c r="H107" s="18"/>
      <c r="I107" s="18"/>
      <c r="J107" s="16"/>
      <c r="K107" s="16"/>
      <c r="L107" s="18"/>
      <c r="M107" s="18"/>
      <c r="N107" s="12"/>
      <c r="O107" s="12"/>
      <c r="P107" s="18"/>
      <c r="Q107" s="18"/>
      <c r="R107" s="83" t="str">
        <f>ListeÉtudiants1[[#This Row],[Prénom de l’élève]]&amp;" " &amp;ListeÉtudiants1[[#This Row],[Nom de l’élève]]</f>
        <v>PITKIAYE MPOUTOU JESSICA</v>
      </c>
    </row>
    <row r="108" spans="1:18" ht="15.75" customHeight="1">
      <c r="A108" s="506" t="s">
        <v>456</v>
      </c>
      <c r="B108" t="s">
        <v>216</v>
      </c>
      <c r="C108" s="12" t="s">
        <v>340</v>
      </c>
      <c r="D108" s="14"/>
      <c r="E108" s="82"/>
      <c r="F108" s="12"/>
      <c r="G108" s="12"/>
      <c r="H108" s="18"/>
      <c r="I108" s="18"/>
      <c r="J108" s="16"/>
      <c r="K108" s="16"/>
      <c r="L108" s="18"/>
      <c r="M108" s="18"/>
      <c r="N108" s="12"/>
      <c r="O108" s="12"/>
      <c r="P108" s="18"/>
      <c r="Q108" s="18"/>
      <c r="R108" s="83" t="str">
        <f>ListeÉtudiants1[[#This Row],[Prénom de l’élève]]&amp;" " &amp;ListeÉtudiants1[[#This Row],[Nom de l’élève]]</f>
        <v>QUINTAIS ALEXANDRE</v>
      </c>
    </row>
    <row r="109" spans="1:18" ht="15.75" customHeight="1">
      <c r="A109" s="506" t="s">
        <v>457</v>
      </c>
      <c r="B109" t="s">
        <v>217</v>
      </c>
      <c r="C109" s="12" t="s">
        <v>322</v>
      </c>
      <c r="D109" s="14"/>
      <c r="E109" s="82"/>
      <c r="F109" s="12"/>
      <c r="G109" s="12"/>
      <c r="H109" s="18"/>
      <c r="I109" s="18"/>
      <c r="J109" s="16"/>
      <c r="K109" s="16"/>
      <c r="L109" s="18"/>
      <c r="M109" s="18"/>
      <c r="N109" s="12"/>
      <c r="O109" s="12"/>
      <c r="P109" s="18"/>
      <c r="Q109" s="18"/>
      <c r="R109" s="83" t="str">
        <f>ListeÉtudiants1[[#This Row],[Prénom de l’élève]]&amp;" " &amp;ListeÉtudiants1[[#This Row],[Nom de l’élève]]</f>
        <v>RAMOS MARION</v>
      </c>
    </row>
    <row r="110" spans="1:18" ht="15.75" customHeight="1">
      <c r="A110" s="506" t="s">
        <v>458</v>
      </c>
      <c r="B110" t="s">
        <v>218</v>
      </c>
      <c r="C110" s="12" t="s">
        <v>341</v>
      </c>
      <c r="D110" s="14"/>
      <c r="E110" s="82"/>
      <c r="F110" s="12"/>
      <c r="G110" s="12"/>
      <c r="H110" s="18"/>
      <c r="I110" s="18"/>
      <c r="J110" s="16"/>
      <c r="K110" s="16"/>
      <c r="L110" s="18"/>
      <c r="M110" s="18"/>
      <c r="N110" s="12"/>
      <c r="O110" s="12"/>
      <c r="P110" s="18"/>
      <c r="Q110" s="18"/>
      <c r="R110" s="83" t="str">
        <f>ListeÉtudiants1[[#This Row],[Prénom de l’élève]]&amp;" " &amp;ListeÉtudiants1[[#This Row],[Nom de l’élève]]</f>
        <v>REMIR REBECCA</v>
      </c>
    </row>
    <row r="111" spans="1:18" ht="15.75" customHeight="1">
      <c r="A111" s="506" t="s">
        <v>459</v>
      </c>
      <c r="B111" t="s">
        <v>219</v>
      </c>
      <c r="C111" s="12" t="s">
        <v>342</v>
      </c>
      <c r="D111" s="14"/>
      <c r="E111" s="82"/>
      <c r="F111" s="12"/>
      <c r="G111" s="12"/>
      <c r="H111" s="18"/>
      <c r="I111" s="18"/>
      <c r="J111" s="16"/>
      <c r="K111" s="16"/>
      <c r="L111" s="18"/>
      <c r="M111" s="18"/>
      <c r="N111" s="12"/>
      <c r="O111" s="12"/>
      <c r="P111" s="18"/>
      <c r="Q111" s="18"/>
      <c r="R111" s="83" t="str">
        <f>ListeÉtudiants1[[#This Row],[Prénom de l’élève]]&amp;" " &amp;ListeÉtudiants1[[#This Row],[Nom de l’élève]]</f>
        <v>RODRIGUES AFONSO CHARLOTTE</v>
      </c>
    </row>
    <row r="112" spans="1:18" ht="15.75" customHeight="1">
      <c r="A112" s="534" t="s">
        <v>460</v>
      </c>
      <c r="B112" s="486" t="s">
        <v>220</v>
      </c>
      <c r="C112" s="487" t="s">
        <v>343</v>
      </c>
      <c r="D112" s="14"/>
      <c r="E112" s="82"/>
      <c r="F112" s="12"/>
      <c r="G112" s="12"/>
      <c r="H112" s="18"/>
      <c r="I112" s="18"/>
      <c r="J112" s="16"/>
      <c r="K112" s="16"/>
      <c r="L112" s="18"/>
      <c r="M112" s="18"/>
      <c r="N112" s="12"/>
      <c r="O112" s="12"/>
      <c r="P112" s="18"/>
      <c r="Q112" s="18"/>
      <c r="R112" s="83" t="str">
        <f>ListeÉtudiants1[[#This Row],[Prénom de l’élève]]&amp;" " &amp;ListeÉtudiants1[[#This Row],[Nom de l’élève]]</f>
        <v>SARAOUI KATIA</v>
      </c>
    </row>
    <row r="113" spans="1:18" ht="15.75" customHeight="1">
      <c r="A113" s="534" t="s">
        <v>461</v>
      </c>
      <c r="B113" s="486" t="s">
        <v>221</v>
      </c>
      <c r="C113" s="487" t="s">
        <v>344</v>
      </c>
      <c r="D113" s="14"/>
      <c r="E113" s="82"/>
      <c r="F113" s="12"/>
      <c r="G113" s="12"/>
      <c r="H113" s="18"/>
      <c r="I113" s="18"/>
      <c r="J113" s="16"/>
      <c r="K113" s="16"/>
      <c r="L113" s="18"/>
      <c r="M113" s="18"/>
      <c r="N113" s="12"/>
      <c r="O113" s="12"/>
      <c r="P113" s="18"/>
      <c r="Q113" s="18"/>
      <c r="R113" s="83" t="str">
        <f>ListeÉtudiants1[[#This Row],[Prénom de l’élève]]&amp;" " &amp;ListeÉtudiants1[[#This Row],[Nom de l’élève]]</f>
        <v>SAUBER SEBASTIEN</v>
      </c>
    </row>
    <row r="114" spans="1:18" ht="15.75" customHeight="1">
      <c r="A114" s="536" t="s">
        <v>462</v>
      </c>
      <c r="B114" t="s">
        <v>222</v>
      </c>
      <c r="C114" s="12" t="s">
        <v>345</v>
      </c>
      <c r="D114" s="14"/>
      <c r="E114" s="82"/>
      <c r="F114" s="12"/>
      <c r="G114" s="12"/>
      <c r="H114" s="18"/>
      <c r="I114" s="18"/>
      <c r="J114" s="16"/>
      <c r="K114" s="16"/>
      <c r="L114" s="18"/>
      <c r="M114" s="18"/>
      <c r="N114" s="12"/>
      <c r="O114" s="12"/>
      <c r="P114" s="18"/>
      <c r="Q114" s="18"/>
      <c r="R114" s="83" t="str">
        <f>ListeÉtudiants1[[#This Row],[Prénom de l’élève]]&amp;" " &amp;ListeÉtudiants1[[#This Row],[Nom de l’élève]]</f>
        <v>SCHUTZ LAURA</v>
      </c>
    </row>
    <row r="115" spans="1:18" ht="15.75" customHeight="1">
      <c r="A115" s="506" t="s">
        <v>463</v>
      </c>
      <c r="B115" t="s">
        <v>223</v>
      </c>
      <c r="C115" s="12" t="s">
        <v>308</v>
      </c>
      <c r="D115" s="14"/>
      <c r="E115" s="82"/>
      <c r="F115" s="12"/>
      <c r="G115" s="12"/>
      <c r="H115" s="18"/>
      <c r="I115" s="18"/>
      <c r="J115" s="16"/>
      <c r="K115" s="16"/>
      <c r="L115" s="18"/>
      <c r="M115" s="18"/>
      <c r="N115" s="12"/>
      <c r="O115" s="12"/>
      <c r="P115" s="18"/>
      <c r="Q115" s="18"/>
      <c r="R115" s="83" t="str">
        <f>ListeÉtudiants1[[#This Row],[Prénom de l’élève]]&amp;" " &amp;ListeÉtudiants1[[#This Row],[Nom de l’élève]]</f>
        <v>SEHIMI  INES</v>
      </c>
    </row>
    <row r="116" spans="1:18" ht="15.75" customHeight="1">
      <c r="A116" s="536" t="s">
        <v>464</v>
      </c>
      <c r="B116" t="s">
        <v>224</v>
      </c>
      <c r="C116" s="12" t="s">
        <v>346</v>
      </c>
      <c r="D116" s="14"/>
      <c r="E116" s="82"/>
      <c r="F116" s="12"/>
      <c r="G116" s="12"/>
      <c r="H116" s="18"/>
      <c r="I116" s="18"/>
      <c r="J116" s="16"/>
      <c r="K116" s="16"/>
      <c r="L116" s="18"/>
      <c r="M116" s="18"/>
      <c r="N116" s="12"/>
      <c r="O116" s="12"/>
      <c r="P116" s="18"/>
      <c r="Q116" s="18"/>
      <c r="R116" s="83" t="str">
        <f>ListeÉtudiants1[[#This Row],[Prénom de l’élève]]&amp;" " &amp;ListeÉtudiants1[[#This Row],[Nom de l’élève]]</f>
        <v>SEINGUERLET CONSTANCE</v>
      </c>
    </row>
    <row r="117" spans="1:18" ht="15.75" customHeight="1">
      <c r="A117" s="536" t="s">
        <v>465</v>
      </c>
      <c r="B117" t="s">
        <v>225</v>
      </c>
      <c r="C117" s="12" t="s">
        <v>322</v>
      </c>
      <c r="D117" s="14"/>
      <c r="E117" s="82"/>
      <c r="F117" s="12"/>
      <c r="G117" s="12"/>
      <c r="H117" s="18"/>
      <c r="I117" s="18"/>
      <c r="J117" s="16"/>
      <c r="K117" s="16"/>
      <c r="L117" s="18"/>
      <c r="M117" s="18"/>
      <c r="N117" s="12"/>
      <c r="O117" s="12"/>
      <c r="P117" s="18"/>
      <c r="Q117" s="18"/>
      <c r="R117" s="83" t="str">
        <f>ListeÉtudiants1[[#This Row],[Prénom de l’élève]]&amp;" " &amp;ListeÉtudiants1[[#This Row],[Nom de l’élève]]</f>
        <v>SERVENT MARION</v>
      </c>
    </row>
    <row r="118" spans="1:18" ht="15.75" customHeight="1">
      <c r="A118" s="534" t="s">
        <v>466</v>
      </c>
      <c r="B118" s="486" t="s">
        <v>226</v>
      </c>
      <c r="C118" s="487" t="s">
        <v>347</v>
      </c>
      <c r="D118" s="14"/>
      <c r="E118" s="82"/>
      <c r="F118" s="12"/>
      <c r="G118" s="12"/>
      <c r="H118" s="18"/>
      <c r="I118" s="18"/>
      <c r="J118" s="16"/>
      <c r="K118" s="16"/>
      <c r="L118" s="18"/>
      <c r="M118" s="18"/>
      <c r="N118" s="12"/>
      <c r="O118" s="12"/>
      <c r="P118" s="18"/>
      <c r="Q118" s="18"/>
      <c r="R118" s="83" t="str">
        <f>ListeÉtudiants1[[#This Row],[Prénom de l’élève]]&amp;" " &amp;ListeÉtudiants1[[#This Row],[Nom de l’élève]]</f>
        <v>SHEIKBOUDOU MACILIA</v>
      </c>
    </row>
    <row r="119" spans="1:18" ht="15.75" customHeight="1">
      <c r="A119" s="534" t="s">
        <v>467</v>
      </c>
      <c r="B119" s="486" t="s">
        <v>227</v>
      </c>
      <c r="C119" s="487" t="s">
        <v>348</v>
      </c>
      <c r="D119" s="14"/>
      <c r="E119" s="82"/>
      <c r="F119" s="12"/>
      <c r="G119" s="12"/>
      <c r="H119" s="18"/>
      <c r="I119" s="18"/>
      <c r="J119" s="16"/>
      <c r="K119" s="16"/>
      <c r="L119" s="18"/>
      <c r="M119" s="18"/>
      <c r="N119" s="12"/>
      <c r="O119" s="12"/>
      <c r="P119" s="18"/>
      <c r="Q119" s="18"/>
      <c r="R119" s="83" t="str">
        <f>ListeÉtudiants1[[#This Row],[Prénom de l’élève]]&amp;" " &amp;ListeÉtudiants1[[#This Row],[Nom de l’élève]]</f>
        <v>SILVERE SHERLEY</v>
      </c>
    </row>
    <row r="120" spans="1:18" ht="15.75" customHeight="1">
      <c r="A120" s="506" t="s">
        <v>468</v>
      </c>
      <c r="B120" t="s">
        <v>228</v>
      </c>
      <c r="C120" s="12" t="s">
        <v>349</v>
      </c>
      <c r="D120" s="14"/>
      <c r="E120" s="82"/>
      <c r="F120" s="12"/>
      <c r="G120" s="12"/>
      <c r="H120" s="18"/>
      <c r="I120" s="18"/>
      <c r="J120" s="16"/>
      <c r="K120" s="16"/>
      <c r="L120" s="18"/>
      <c r="M120" s="18"/>
      <c r="N120" s="12"/>
      <c r="O120" s="12"/>
      <c r="P120" s="18"/>
      <c r="Q120" s="18"/>
      <c r="R120" s="83" t="str">
        <f>ListeÉtudiants1[[#This Row],[Prénom de l’élève]]&amp;" " &amp;ListeÉtudiants1[[#This Row],[Nom de l’élève]]</f>
        <v>SOUQUERE LAURANA</v>
      </c>
    </row>
    <row r="121" spans="1:18" ht="15.75" customHeight="1">
      <c r="A121" s="534" t="s">
        <v>469</v>
      </c>
      <c r="B121" s="486" t="s">
        <v>229</v>
      </c>
      <c r="C121" s="487" t="s">
        <v>350</v>
      </c>
      <c r="D121" s="14"/>
      <c r="E121" s="82"/>
      <c r="F121" s="12"/>
      <c r="G121" s="12"/>
      <c r="H121" s="18"/>
      <c r="I121" s="18"/>
      <c r="J121" s="16"/>
      <c r="K121" s="16"/>
      <c r="L121" s="18"/>
      <c r="M121" s="18"/>
      <c r="N121" s="12"/>
      <c r="O121" s="12"/>
      <c r="P121" s="18"/>
      <c r="Q121" s="18"/>
      <c r="R121" s="83" t="str">
        <f>ListeÉtudiants1[[#This Row],[Prénom de l’élève]]&amp;" " &amp;ListeÉtudiants1[[#This Row],[Nom de l’élève]]</f>
        <v>TABUDI DARLENE</v>
      </c>
    </row>
    <row r="122" spans="1:18" ht="15.75" customHeight="1">
      <c r="A122" s="534" t="s">
        <v>470</v>
      </c>
      <c r="B122" s="486" t="s">
        <v>230</v>
      </c>
      <c r="C122" s="487" t="s">
        <v>351</v>
      </c>
      <c r="D122" s="14"/>
      <c r="E122" s="82"/>
      <c r="F122" s="12"/>
      <c r="G122" s="12"/>
      <c r="H122" s="18"/>
      <c r="I122" s="18"/>
      <c r="J122" s="16"/>
      <c r="K122" s="16"/>
      <c r="L122" s="18"/>
      <c r="M122" s="18"/>
      <c r="N122" s="12"/>
      <c r="O122" s="12"/>
      <c r="P122" s="18"/>
      <c r="Q122" s="18"/>
      <c r="R122" s="83" t="str">
        <f>ListeÉtudiants1[[#This Row],[Prénom de l’élève]]&amp;" " &amp;ListeÉtudiants1[[#This Row],[Nom de l’élève]]</f>
        <v>TAKERKART SIRINE</v>
      </c>
    </row>
    <row r="123" spans="1:18" ht="15.75" customHeight="1">
      <c r="A123" s="506" t="s">
        <v>471</v>
      </c>
      <c r="B123" t="s">
        <v>231</v>
      </c>
      <c r="C123" s="12" t="s">
        <v>352</v>
      </c>
      <c r="D123" s="14"/>
      <c r="E123" s="82"/>
      <c r="F123" s="12"/>
      <c r="G123" s="12"/>
      <c r="H123" s="18"/>
      <c r="I123" s="18"/>
      <c r="J123" s="16"/>
      <c r="K123" s="16"/>
      <c r="L123" s="18"/>
      <c r="M123" s="18"/>
      <c r="N123" s="12"/>
      <c r="O123" s="12"/>
      <c r="P123" s="18"/>
      <c r="Q123" s="18"/>
      <c r="R123" s="83" t="str">
        <f>ListeÉtudiants1[[#This Row],[Prénom de l’élève]]&amp;" " &amp;ListeÉtudiants1[[#This Row],[Nom de l’élève]]</f>
        <v>THENARD FLORENCE</v>
      </c>
    </row>
    <row r="124" spans="1:18" ht="15.75" customHeight="1">
      <c r="A124" s="506" t="s">
        <v>472</v>
      </c>
      <c r="B124" t="s">
        <v>232</v>
      </c>
      <c r="C124" s="12" t="s">
        <v>257</v>
      </c>
      <c r="D124" s="14"/>
      <c r="E124" s="82"/>
      <c r="F124" s="12"/>
      <c r="G124" s="12"/>
      <c r="H124" s="18"/>
      <c r="I124" s="18"/>
      <c r="J124" s="16"/>
      <c r="K124" s="16"/>
      <c r="L124" s="18"/>
      <c r="M124" s="18"/>
      <c r="N124" s="12"/>
      <c r="O124" s="12"/>
      <c r="P124" s="18"/>
      <c r="Q124" s="18"/>
      <c r="R124" s="83" t="str">
        <f>ListeÉtudiants1[[#This Row],[Prénom de l’élève]]&amp;" " &amp;ListeÉtudiants1[[#This Row],[Nom de l’élève]]</f>
        <v>TOTO SANDY</v>
      </c>
    </row>
    <row r="125" spans="1:18" ht="15.75" customHeight="1">
      <c r="A125" s="534" t="s">
        <v>473</v>
      </c>
      <c r="B125" s="486" t="s">
        <v>233</v>
      </c>
      <c r="C125" s="487" t="s">
        <v>353</v>
      </c>
      <c r="D125" s="14"/>
      <c r="E125" s="82"/>
      <c r="F125" s="12"/>
      <c r="G125" s="12"/>
      <c r="H125" s="18"/>
      <c r="I125" s="18"/>
      <c r="J125" s="16"/>
      <c r="K125" s="16"/>
      <c r="L125" s="18"/>
      <c r="M125" s="18"/>
      <c r="N125" s="12"/>
      <c r="O125" s="12"/>
      <c r="P125" s="18"/>
      <c r="Q125" s="18"/>
      <c r="R125" s="83" t="str">
        <f>ListeÉtudiants1[[#This Row],[Prénom de l’élève]]&amp;" " &amp;ListeÉtudiants1[[#This Row],[Nom de l’élève]]</f>
        <v>TOUAZI EMMA</v>
      </c>
    </row>
    <row r="126" spans="1:18" ht="15.75" customHeight="1">
      <c r="A126" s="506" t="s">
        <v>474</v>
      </c>
      <c r="B126" t="s">
        <v>234</v>
      </c>
      <c r="C126" s="12" t="s">
        <v>269</v>
      </c>
      <c r="D126" s="14"/>
      <c r="E126" s="82"/>
      <c r="F126" s="12"/>
      <c r="G126" s="12"/>
      <c r="H126" s="18"/>
      <c r="I126" s="18"/>
      <c r="J126" s="16"/>
      <c r="K126" s="16"/>
      <c r="L126" s="18"/>
      <c r="M126" s="18"/>
      <c r="N126" s="12"/>
      <c r="O126" s="12"/>
      <c r="P126" s="18"/>
      <c r="Q126" s="18"/>
      <c r="R126" s="83" t="str">
        <f>ListeÉtudiants1[[#This Row],[Prénom de l’élève]]&amp;" " &amp;ListeÉtudiants1[[#This Row],[Nom de l’élève]]</f>
        <v>TOUIDJINE VICTORIA</v>
      </c>
    </row>
    <row r="127" spans="1:18" ht="15.75" customHeight="1">
      <c r="A127" s="506" t="s">
        <v>475</v>
      </c>
      <c r="B127" t="s">
        <v>235</v>
      </c>
      <c r="C127" s="12" t="s">
        <v>354</v>
      </c>
      <c r="D127" s="14"/>
      <c r="E127" s="82"/>
      <c r="F127" s="12"/>
      <c r="G127" s="12"/>
      <c r="H127" s="18"/>
      <c r="I127" s="18"/>
      <c r="J127" s="16"/>
      <c r="K127" s="16"/>
      <c r="L127" s="18"/>
      <c r="M127" s="18"/>
      <c r="N127" s="12"/>
      <c r="O127" s="12"/>
      <c r="P127" s="18"/>
      <c r="Q127" s="18"/>
      <c r="R127" s="83" t="str">
        <f>ListeÉtudiants1[[#This Row],[Prénom de l’élève]]&amp;" " &amp;ListeÉtudiants1[[#This Row],[Nom de l’élève]]</f>
        <v>TOURE SIPA</v>
      </c>
    </row>
    <row r="128" spans="1:18" ht="15.75" customHeight="1">
      <c r="A128" s="536" t="s">
        <v>476</v>
      </c>
      <c r="B128" t="s">
        <v>236</v>
      </c>
      <c r="C128" s="12" t="s">
        <v>270</v>
      </c>
      <c r="D128" s="14"/>
      <c r="E128" s="82"/>
      <c r="F128" s="12"/>
      <c r="G128" s="12"/>
      <c r="H128" s="18"/>
      <c r="I128" s="18"/>
      <c r="J128" s="16"/>
      <c r="K128" s="16"/>
      <c r="L128" s="18"/>
      <c r="M128" s="18"/>
      <c r="N128" s="12"/>
      <c r="O128" s="12"/>
      <c r="P128" s="18"/>
      <c r="Q128" s="18"/>
      <c r="R128" s="83" t="str">
        <f>ListeÉtudiants1[[#This Row],[Prénom de l’élève]]&amp;" " &amp;ListeÉtudiants1[[#This Row],[Nom de l’élève]]</f>
        <v>TRIPET AMANDINE</v>
      </c>
    </row>
    <row r="129" spans="1:18" ht="15.75" customHeight="1">
      <c r="A129" s="506" t="s">
        <v>477</v>
      </c>
      <c r="B129" t="s">
        <v>237</v>
      </c>
      <c r="C129" s="12" t="s">
        <v>355</v>
      </c>
      <c r="D129" s="14"/>
      <c r="E129" s="82"/>
      <c r="F129" s="12"/>
      <c r="G129" s="12"/>
      <c r="H129" s="18"/>
      <c r="I129" s="18"/>
      <c r="J129" s="16"/>
      <c r="K129" s="16"/>
      <c r="L129" s="18"/>
      <c r="M129" s="18"/>
      <c r="N129" s="12"/>
      <c r="O129" s="12"/>
      <c r="P129" s="18"/>
      <c r="Q129" s="18"/>
      <c r="R129" s="83" t="str">
        <f>ListeÉtudiants1[[#This Row],[Prénom de l’élève]]&amp;" " &amp;ListeÉtudiants1[[#This Row],[Nom de l’élève]]</f>
        <v>UGOLIN MARIE-ROSE</v>
      </c>
    </row>
    <row r="130" spans="1:18" ht="15.75" customHeight="1">
      <c r="A130" s="506" t="s">
        <v>478</v>
      </c>
      <c r="B130" t="s">
        <v>238</v>
      </c>
      <c r="C130" s="12" t="s">
        <v>356</v>
      </c>
      <c r="D130" s="14"/>
      <c r="E130" s="82"/>
      <c r="F130" s="12"/>
      <c r="G130" s="12"/>
      <c r="H130" s="18"/>
      <c r="I130" s="18"/>
      <c r="J130" s="16"/>
      <c r="K130" s="16"/>
      <c r="L130" s="18"/>
      <c r="M130" s="18"/>
      <c r="N130" s="12"/>
      <c r="O130" s="12"/>
      <c r="P130" s="18"/>
      <c r="Q130" s="18"/>
      <c r="R130" s="83" t="str">
        <f>ListeÉtudiants1[[#This Row],[Prénom de l’élève]]&amp;" " &amp;ListeÉtudiants1[[#This Row],[Nom de l’élève]]</f>
        <v>VERKEST LEA</v>
      </c>
    </row>
    <row r="131" spans="1:18" ht="15.75" customHeight="1">
      <c r="A131" s="534" t="s">
        <v>479</v>
      </c>
      <c r="B131" s="486" t="s">
        <v>239</v>
      </c>
      <c r="C131" s="487" t="s">
        <v>270</v>
      </c>
      <c r="D131" s="14"/>
      <c r="E131" s="82"/>
      <c r="F131" s="12"/>
      <c r="G131" s="12"/>
      <c r="H131" s="18"/>
      <c r="I131" s="18"/>
      <c r="J131" s="16"/>
      <c r="K131" s="16"/>
      <c r="L131" s="18"/>
      <c r="M131" s="18"/>
      <c r="N131" s="12"/>
      <c r="O131" s="12"/>
      <c r="P131" s="18"/>
      <c r="Q131" s="18"/>
      <c r="R131" s="83" t="str">
        <f>ListeÉtudiants1[[#This Row],[Prénom de l’élève]]&amp;" " &amp;ListeÉtudiants1[[#This Row],[Nom de l’élève]]</f>
        <v>VIRIN AMANDINE</v>
      </c>
    </row>
    <row r="132" spans="1:18" ht="15.75" customHeight="1">
      <c r="A132" s="567" t="s">
        <v>578</v>
      </c>
      <c r="B132" s="486" t="s">
        <v>586</v>
      </c>
      <c r="C132" s="487" t="s">
        <v>587</v>
      </c>
      <c r="D132" s="329"/>
      <c r="E132" s="82"/>
      <c r="F132" s="12"/>
      <c r="G132" s="12"/>
      <c r="H132" s="18"/>
      <c r="I132" s="18"/>
      <c r="J132" s="16"/>
      <c r="K132" s="16"/>
      <c r="L132" s="18"/>
      <c r="M132" s="18"/>
      <c r="N132" s="12"/>
      <c r="O132" s="12"/>
      <c r="P132" s="18"/>
      <c r="Q132" s="18"/>
      <c r="R132" s="83" t="str">
        <f>ListeÉtudiants1[[#This Row],[Prénom de l’élève]]&amp;" " &amp;ListeÉtudiants1[[#This Row],[Nom de l’élève]]</f>
        <v>ASSOUMANI ASMINA</v>
      </c>
    </row>
    <row r="133" spans="1:18" ht="15.75" customHeight="1">
      <c r="A133" s="567" t="s">
        <v>579</v>
      </c>
      <c r="B133" t="s">
        <v>580</v>
      </c>
      <c r="C133" s="12" t="s">
        <v>581</v>
      </c>
      <c r="D133" s="329"/>
      <c r="E133" s="82"/>
      <c r="F133" s="12"/>
      <c r="G133" s="12"/>
      <c r="H133" s="18"/>
      <c r="I133" s="18"/>
      <c r="J133" s="16"/>
      <c r="K133" s="16"/>
      <c r="L133" s="18"/>
      <c r="M133" s="18"/>
      <c r="N133" s="12"/>
      <c r="O133" s="12"/>
      <c r="P133" s="18"/>
      <c r="Q133" s="18"/>
      <c r="R133" s="83" t="str">
        <f>ListeÉtudiants1[[#This Row],[Prénom de l’élève]]&amp;" " &amp;ListeÉtudiants1[[#This Row],[Nom de l’élève]]</f>
        <v>ATSE KIMBERLEY</v>
      </c>
    </row>
    <row r="134" spans="1:18" ht="15.75" customHeight="1">
      <c r="A134" s="567" t="s">
        <v>582</v>
      </c>
      <c r="B134" t="s">
        <v>646</v>
      </c>
      <c r="C134" s="12" t="s">
        <v>647</v>
      </c>
      <c r="D134" s="329"/>
      <c r="E134" s="82"/>
      <c r="F134" s="12"/>
      <c r="G134" s="12"/>
      <c r="H134" s="18"/>
      <c r="I134" s="18"/>
      <c r="J134" s="16"/>
      <c r="K134" s="16"/>
      <c r="L134" s="18"/>
      <c r="M134" s="18"/>
      <c r="N134" s="12"/>
      <c r="O134" s="12"/>
      <c r="P134" s="18"/>
      <c r="Q134" s="18"/>
      <c r="R134" s="83" t="str">
        <f>ListeÉtudiants1[[#This Row],[Prénom de l’élève]]&amp;" " &amp;ListeÉtudiants1[[#This Row],[Nom de l’élève]]</f>
        <v>BOLINGO  Malise</v>
      </c>
    </row>
    <row r="135" spans="1:18" ht="15.75" customHeight="1">
      <c r="A135" s="567" t="s">
        <v>584</v>
      </c>
      <c r="B135" t="s">
        <v>648</v>
      </c>
      <c r="C135" s="12" t="s">
        <v>649</v>
      </c>
      <c r="D135" s="329"/>
      <c r="E135" s="82"/>
      <c r="F135" s="12"/>
      <c r="G135" s="12"/>
      <c r="H135" s="18"/>
      <c r="I135" s="18"/>
      <c r="J135" s="16"/>
      <c r="K135" s="16"/>
      <c r="L135" s="18"/>
      <c r="M135" s="18"/>
      <c r="N135" s="12"/>
      <c r="O135" s="12"/>
      <c r="P135" s="18"/>
      <c r="Q135" s="18"/>
      <c r="R135" s="83" t="str">
        <f>ListeÉtudiants1[[#This Row],[Prénom de l’élève]]&amp;" " &amp;ListeÉtudiants1[[#This Row],[Nom de l’élève]]</f>
        <v>CAPAROS Maia</v>
      </c>
    </row>
    <row r="136" spans="1:18" ht="15.75" customHeight="1">
      <c r="A136" s="534" t="s">
        <v>585</v>
      </c>
      <c r="B136" s="486" t="s">
        <v>615</v>
      </c>
      <c r="C136" s="487" t="s">
        <v>616</v>
      </c>
      <c r="D136" s="510"/>
      <c r="E136" s="82"/>
      <c r="F136" s="12"/>
      <c r="G136" s="12"/>
      <c r="H136" s="18"/>
      <c r="I136" s="18"/>
      <c r="J136" s="16"/>
      <c r="K136" s="16"/>
      <c r="L136" s="18"/>
      <c r="M136" s="18"/>
      <c r="N136" s="12"/>
      <c r="O136" s="12"/>
      <c r="P136" s="18"/>
      <c r="Q136" s="18"/>
      <c r="R136" s="83" t="str">
        <f>ListeÉtudiants1[[#This Row],[Prénom de l’élève]]&amp;" " &amp;ListeÉtudiants1[[#This Row],[Nom de l’élève]]</f>
        <v>COLLADO ALICIA</v>
      </c>
    </row>
    <row r="137" spans="1:18" ht="15.75" customHeight="1">
      <c r="A137" s="567" t="s">
        <v>588</v>
      </c>
      <c r="B137" t="s">
        <v>583</v>
      </c>
      <c r="C137" s="12" t="s">
        <v>650</v>
      </c>
      <c r="D137" s="330"/>
      <c r="E137" s="82"/>
      <c r="F137" s="12"/>
      <c r="G137" s="12"/>
      <c r="H137" s="18"/>
      <c r="I137" s="18"/>
      <c r="J137" s="16"/>
      <c r="K137" s="16"/>
      <c r="L137" s="18"/>
      <c r="M137" s="18"/>
      <c r="N137" s="12"/>
      <c r="O137" s="12"/>
      <c r="P137" s="18"/>
      <c r="Q137" s="18"/>
      <c r="R137" s="83" t="str">
        <f>ListeÉtudiants1[[#This Row],[Prénom de l’élève]]&amp;" " &amp;ListeÉtudiants1[[#This Row],[Nom de l’élève]]</f>
        <v>FERGUENE Chaineze</v>
      </c>
    </row>
    <row r="138" spans="1:18" ht="15.75" customHeight="1">
      <c r="A138" s="567" t="s">
        <v>590</v>
      </c>
      <c r="B138" s="57" t="s">
        <v>589</v>
      </c>
      <c r="C138" s="488" t="s">
        <v>339</v>
      </c>
      <c r="D138" s="330"/>
      <c r="E138" s="82"/>
      <c r="F138" s="12"/>
      <c r="G138" s="12"/>
      <c r="H138" s="18"/>
      <c r="I138" s="18"/>
      <c r="J138" s="16"/>
      <c r="K138" s="16"/>
      <c r="L138" s="18"/>
      <c r="M138" s="18"/>
      <c r="N138" s="12"/>
      <c r="O138" s="12"/>
      <c r="P138" s="18"/>
      <c r="Q138" s="18"/>
      <c r="R138" s="83" t="str">
        <f>ListeÉtudiants1[[#This Row],[Prénom de l’élève]]&amp;" " &amp;ListeÉtudiants1[[#This Row],[Nom de l’élève]]</f>
        <v>HAMEAU KEVIN</v>
      </c>
    </row>
    <row r="139" spans="1:18" ht="15.75" customHeight="1">
      <c r="A139" s="567" t="s">
        <v>593</v>
      </c>
      <c r="B139" t="s">
        <v>607</v>
      </c>
      <c r="C139" s="12" t="s">
        <v>651</v>
      </c>
      <c r="D139" s="330"/>
      <c r="E139" s="82"/>
      <c r="F139" s="12"/>
      <c r="G139" s="12"/>
      <c r="H139" s="18"/>
      <c r="I139" s="18"/>
      <c r="J139" s="16"/>
      <c r="K139" s="16"/>
      <c r="L139" s="18"/>
      <c r="M139" s="18"/>
      <c r="N139" s="12"/>
      <c r="O139" s="12"/>
      <c r="P139" s="18"/>
      <c r="Q139" s="18"/>
      <c r="R139" s="83" t="str">
        <f>ListeÉtudiants1[[#This Row],[Prénom de l’élève]]&amp;" " &amp;ListeÉtudiants1[[#This Row],[Nom de l’élève]]</f>
        <v>KIOLO Carine Laure</v>
      </c>
    </row>
    <row r="140" spans="1:18" ht="15.75" customHeight="1">
      <c r="A140" s="567" t="s">
        <v>596</v>
      </c>
      <c r="B140" t="s">
        <v>591</v>
      </c>
      <c r="C140" s="12" t="s">
        <v>592</v>
      </c>
      <c r="D140" s="330"/>
      <c r="E140" s="82"/>
      <c r="F140" s="12"/>
      <c r="G140" s="12"/>
      <c r="H140" s="18"/>
      <c r="I140" s="18"/>
      <c r="J140" s="16"/>
      <c r="K140" s="16"/>
      <c r="L140" s="18"/>
      <c r="M140" s="18"/>
      <c r="N140" s="12"/>
      <c r="O140" s="12"/>
      <c r="P140" s="18"/>
      <c r="Q140" s="18"/>
      <c r="R140" s="83" t="str">
        <f>ListeÉtudiants1[[#This Row],[Prénom de l’élève]]&amp;" " &amp;ListeÉtudiants1[[#This Row],[Nom de l’élève]]</f>
        <v>LESUEUR GERALDINE</v>
      </c>
    </row>
    <row r="141" spans="1:18" ht="15.75" customHeight="1">
      <c r="A141" s="567" t="s">
        <v>599</v>
      </c>
      <c r="B141" t="s">
        <v>594</v>
      </c>
      <c r="C141" s="12" t="s">
        <v>595</v>
      </c>
      <c r="D141" s="330"/>
      <c r="E141" s="82"/>
      <c r="F141" s="12"/>
      <c r="G141" s="12"/>
      <c r="H141" s="18"/>
      <c r="I141" s="18"/>
      <c r="J141" s="16"/>
      <c r="K141" s="16"/>
      <c r="L141" s="18"/>
      <c r="M141" s="18"/>
      <c r="N141" s="12"/>
      <c r="O141" s="12"/>
      <c r="P141" s="18"/>
      <c r="Q141" s="18"/>
      <c r="R141" s="83" t="str">
        <f>ListeÉtudiants1[[#This Row],[Prénom de l’élève]]&amp;" " &amp;ListeÉtudiants1[[#This Row],[Nom de l’élève]]</f>
        <v>LOVE SAMUEL</v>
      </c>
    </row>
    <row r="142" spans="1:18" ht="15.75" customHeight="1">
      <c r="A142" s="567" t="s">
        <v>602</v>
      </c>
      <c r="B142" t="s">
        <v>597</v>
      </c>
      <c r="C142" s="12" t="s">
        <v>598</v>
      </c>
      <c r="D142" s="330"/>
      <c r="E142" s="82"/>
      <c r="F142" s="12"/>
      <c r="G142" s="12"/>
      <c r="H142" s="18"/>
      <c r="I142" s="18"/>
      <c r="J142" s="16"/>
      <c r="K142" s="16"/>
      <c r="L142" s="18"/>
      <c r="M142" s="18"/>
      <c r="N142" s="12"/>
      <c r="O142" s="12"/>
      <c r="P142" s="18"/>
      <c r="Q142" s="18"/>
      <c r="R142" s="83" t="str">
        <f>ListeÉtudiants1[[#This Row],[Prénom de l’élève]]&amp;" " &amp;ListeÉtudiants1[[#This Row],[Nom de l’élève]]</f>
        <v>LOVELY JOSELITA</v>
      </c>
    </row>
    <row r="143" spans="1:18" ht="15.75" customHeight="1">
      <c r="A143" s="567" t="s">
        <v>606</v>
      </c>
      <c r="B143" t="s">
        <v>600</v>
      </c>
      <c r="C143" s="12" t="s">
        <v>601</v>
      </c>
      <c r="D143" s="330"/>
      <c r="E143" s="82"/>
      <c r="F143" s="12"/>
      <c r="G143" s="12"/>
      <c r="H143" s="18"/>
      <c r="I143" s="18"/>
      <c r="J143" s="16"/>
      <c r="K143" s="16"/>
      <c r="L143" s="18"/>
      <c r="M143" s="18"/>
      <c r="N143" s="12"/>
      <c r="O143" s="12"/>
      <c r="P143" s="18"/>
      <c r="Q143" s="18"/>
      <c r="R143" s="83" t="str">
        <f>ListeÉtudiants1[[#This Row],[Prénom de l’élève]]&amp;" " &amp;ListeÉtudiants1[[#This Row],[Nom de l’élève]]</f>
        <v>MALULU INGRID</v>
      </c>
    </row>
    <row r="144" spans="1:18" ht="15.75" customHeight="1">
      <c r="A144" s="567" t="s">
        <v>608</v>
      </c>
      <c r="B144" t="s">
        <v>618</v>
      </c>
      <c r="C144" s="12" t="s">
        <v>619</v>
      </c>
      <c r="D144" s="330"/>
      <c r="E144" s="82"/>
      <c r="F144" s="12"/>
      <c r="G144" s="12"/>
      <c r="H144" s="18"/>
      <c r="I144" s="18"/>
      <c r="J144" s="16"/>
      <c r="K144" s="16"/>
      <c r="L144" s="18"/>
      <c r="M144" s="18"/>
      <c r="N144" s="12"/>
      <c r="O144" s="12"/>
      <c r="P144" s="18"/>
      <c r="Q144" s="18"/>
      <c r="R144" s="83" t="str">
        <f>ListeÉtudiants1[[#This Row],[Prénom de l’élève]]&amp;" " &amp;ListeÉtudiants1[[#This Row],[Nom de l’élève]]</f>
        <v>NGOME BEKOMBO CASIMIR</v>
      </c>
    </row>
    <row r="145" spans="1:18" ht="15.75" customHeight="1">
      <c r="A145" s="567" t="s">
        <v>609</v>
      </c>
      <c r="B145" t="s">
        <v>652</v>
      </c>
      <c r="C145" s="12" t="s">
        <v>653</v>
      </c>
      <c r="D145" s="332"/>
      <c r="E145" s="82"/>
      <c r="F145" s="12"/>
      <c r="G145" s="12"/>
      <c r="H145" s="18"/>
      <c r="I145" s="18"/>
      <c r="J145" s="16"/>
      <c r="K145" s="16"/>
      <c r="L145" s="18"/>
      <c r="M145" s="18"/>
      <c r="N145" s="12"/>
      <c r="O145" s="12"/>
      <c r="P145" s="18"/>
      <c r="Q145" s="18"/>
      <c r="R145" s="83" t="str">
        <f>ListeÉtudiants1[[#This Row],[Prénom de l’élève]]&amp;" " &amp;ListeÉtudiants1[[#This Row],[Nom de l’élève]]</f>
        <v>SAINTRAY  Dorian</v>
      </c>
    </row>
    <row r="146" spans="1:18" ht="15.75" customHeight="1">
      <c r="A146" s="567" t="s">
        <v>613</v>
      </c>
      <c r="B146" t="s">
        <v>654</v>
      </c>
      <c r="C146" s="12"/>
      <c r="D146" s="332"/>
      <c r="E146" s="82"/>
      <c r="F146" s="12"/>
      <c r="G146" s="12"/>
      <c r="H146" s="18"/>
      <c r="I146" s="18"/>
      <c r="J146" s="16"/>
      <c r="K146" s="16"/>
      <c r="L146" s="18"/>
      <c r="M146" s="18"/>
      <c r="N146" s="12"/>
      <c r="O146" s="12"/>
      <c r="P146" s="18"/>
      <c r="Q146" s="18"/>
      <c r="R146" s="83" t="str">
        <f>ListeÉtudiants1[[#This Row],[Prénom de l’élève]]&amp;" " &amp;ListeÉtudiants1[[#This Row],[Nom de l’élève]]</f>
        <v xml:space="preserve">SISSOKO </v>
      </c>
    </row>
    <row r="147" spans="1:18" ht="15.75" customHeight="1">
      <c r="A147" s="567" t="s">
        <v>614</v>
      </c>
      <c r="B147" t="s">
        <v>603</v>
      </c>
      <c r="C147" s="12" t="s">
        <v>655</v>
      </c>
      <c r="D147" s="338"/>
      <c r="E147" s="82"/>
      <c r="F147" s="12"/>
      <c r="G147" s="12"/>
      <c r="H147" s="18"/>
      <c r="I147" s="18"/>
      <c r="J147" s="16"/>
      <c r="K147" s="16"/>
      <c r="L147" s="18"/>
      <c r="M147" s="18"/>
      <c r="N147" s="12"/>
      <c r="O147" s="12"/>
      <c r="P147" s="18"/>
      <c r="Q147" s="18"/>
      <c r="R147" s="83" t="str">
        <f>ListeÉtudiants1[[#This Row],[Prénom de l’élève]]&amp;" " &amp;ListeÉtudiants1[[#This Row],[Nom de l’élève]]</f>
        <v>ZAKHOUR Samantha</v>
      </c>
    </row>
    <row r="148" spans="1:18" ht="15.75" customHeight="1">
      <c r="C148" s="12"/>
      <c r="D148" s="363"/>
      <c r="E148" s="82"/>
      <c r="F148" s="12"/>
      <c r="G148" s="12"/>
      <c r="H148" s="18"/>
      <c r="I148" s="18"/>
      <c r="J148" s="16"/>
      <c r="K148" s="16"/>
      <c r="L148" s="18"/>
      <c r="M148" s="18"/>
      <c r="N148" s="12"/>
      <c r="O148" s="12"/>
      <c r="P148" s="18"/>
      <c r="Q148" s="18"/>
      <c r="R148" s="83" t="str">
        <f>ListeÉtudiants1[[#This Row],[Prénom de l’élève]]&amp;" " &amp;ListeÉtudiants1[[#This Row],[Nom de l’élève]]</f>
        <v xml:space="preserve"> </v>
      </c>
    </row>
    <row r="149" spans="1:18" ht="15.75" customHeight="1"/>
    <row r="150" spans="1:18" ht="15.75" customHeight="1"/>
    <row r="151" spans="1:18" ht="15.75" customHeight="1"/>
    <row r="152" spans="1:18" ht="15.75" customHeight="1"/>
    <row r="153" spans="1:18" ht="15.75" customHeight="1"/>
    <row r="154" spans="1:18" ht="15.75" customHeight="1"/>
    <row r="155" spans="1:18" ht="15.75" customHeight="1"/>
    <row r="156" spans="1:18" ht="15.75" customHeight="1"/>
    <row r="157" spans="1:18" ht="15.75" customHeight="1"/>
    <row r="158" spans="1:18" ht="15.75" customHeight="1"/>
    <row r="159" spans="1:18" ht="15.75" customHeight="1"/>
    <row r="160" spans="1:18"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sheetData>
  <phoneticPr fontId="42" type="noConversion"/>
  <pageMargins left="0.25" right="0.25" top="0.75" bottom="0.75" header="0.3" footer="0.3"/>
  <pageSetup scale="85" fitToWidth="0" fitToHeight="0" orientation="landscape" verticalDpi="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1:DF361"/>
  <sheetViews>
    <sheetView showGridLines="0" topLeftCell="BM7" zoomScaleNormal="100" workbookViewId="0">
      <selection activeCell="CV34" sqref="CV34"/>
    </sheetView>
  </sheetViews>
  <sheetFormatPr baseColWidth="10" defaultColWidth="9.140625" defaultRowHeight="15" customHeight="1"/>
  <cols>
    <col min="1" max="1" width="15" style="10" customWidth="1"/>
    <col min="2" max="2" width="26.42578125" style="11" customWidth="1"/>
    <col min="3" max="3" width="4.5703125" style="9" customWidth="1"/>
    <col min="4" max="4" width="6.28515625" style="9" customWidth="1"/>
    <col min="5" max="5" width="5" style="9" customWidth="1"/>
    <col min="6" max="6" width="7.140625" style="9" customWidth="1"/>
    <col min="7" max="7" width="5" style="9" customWidth="1"/>
    <col min="8" max="8" width="8.28515625" style="9" customWidth="1"/>
    <col min="9" max="9" width="5" style="9" customWidth="1"/>
    <col min="10" max="10" width="6.7109375" style="9" customWidth="1"/>
    <col min="11" max="11" width="4" style="9" customWidth="1"/>
    <col min="12" max="13" width="5" style="9" customWidth="1"/>
    <col min="14" max="14" width="4" style="9" customWidth="1"/>
    <col min="15" max="16" width="5" style="9" customWidth="1"/>
    <col min="17" max="17" width="6.5703125" style="9" customWidth="1"/>
    <col min="18" max="21" width="5" style="9" customWidth="1"/>
    <col min="22" max="22" width="10.140625" style="9" customWidth="1"/>
    <col min="23" max="23" width="5" style="9" customWidth="1"/>
    <col min="24" max="24" width="10.28515625" style="9" customWidth="1"/>
    <col min="25" max="26" width="5" style="9" customWidth="1"/>
    <col min="27" max="27" width="10.28515625" style="9" customWidth="1"/>
    <col min="28" max="28" width="5" style="9" customWidth="1"/>
    <col min="29" max="29" width="10.85546875" style="9" customWidth="1"/>
    <col min="30" max="33" width="5" style="9" customWidth="1"/>
    <col min="34" max="34" width="4.7109375" style="8" customWidth="1"/>
    <col min="35" max="35" width="3.7109375" style="8" customWidth="1"/>
    <col min="36" max="36" width="3.85546875" style="9" customWidth="1"/>
    <col min="37" max="38" width="3.85546875" style="10" customWidth="1"/>
    <col min="39" max="39" width="3" style="10" customWidth="1"/>
    <col min="40" max="40" width="3.85546875" style="10" customWidth="1"/>
    <col min="41" max="41" width="3.42578125" style="10" customWidth="1"/>
    <col min="42" max="42" width="2.85546875" style="10" customWidth="1"/>
    <col min="43" max="43" width="3.5703125" style="10" customWidth="1"/>
    <col min="44" max="44" width="3.140625" style="10" customWidth="1"/>
    <col min="45" max="45" width="3.5703125" style="10" customWidth="1"/>
    <col min="46" max="46" width="3" style="10" customWidth="1"/>
    <col min="47" max="51" width="3.5703125" style="10" customWidth="1"/>
    <col min="52" max="60" width="2.85546875" style="10" customWidth="1"/>
    <col min="61" max="61" width="3.5703125" style="10" customWidth="1"/>
    <col min="62" max="62" width="3.7109375" style="10" customWidth="1"/>
    <col min="63" max="96" width="3.85546875" style="10" customWidth="1"/>
    <col min="97" max="97" width="5.85546875" style="10" customWidth="1"/>
    <col min="98" max="98" width="16.7109375" customWidth="1"/>
    <col min="99" max="100" width="18.85546875" customWidth="1"/>
    <col min="101" max="101" width="20.85546875" customWidth="1"/>
    <col min="102" max="102" width="12.5703125" style="10" customWidth="1"/>
    <col min="103" max="103" width="9.140625" style="10"/>
    <col min="104" max="104" width="11.7109375" style="10" customWidth="1"/>
    <col min="105" max="105" width="4.28515625" style="10" customWidth="1"/>
    <col min="106" max="106" width="9.140625" style="10"/>
    <col min="107" max="107" width="11.7109375" style="10" customWidth="1"/>
    <col min="108" max="16384" width="9.140625" style="10"/>
  </cols>
  <sheetData>
    <row r="1" spans="1:110" s="1" customFormat="1" ht="42" customHeight="1">
      <c r="A1" s="654" t="s">
        <v>504</v>
      </c>
      <c r="B1" s="655"/>
      <c r="C1" s="22"/>
      <c r="D1" s="22"/>
      <c r="E1" s="22"/>
      <c r="F1" s="22"/>
      <c r="G1" s="22"/>
      <c r="H1" s="22"/>
      <c r="I1" s="22"/>
      <c r="J1" s="22"/>
      <c r="K1" s="22"/>
      <c r="L1" s="22"/>
      <c r="M1" s="22"/>
      <c r="N1" s="22"/>
      <c r="O1" s="22"/>
      <c r="P1" s="22"/>
      <c r="Q1" s="22"/>
      <c r="R1" s="22"/>
      <c r="S1" s="22"/>
      <c r="T1" s="22"/>
      <c r="U1" s="22"/>
      <c r="V1" s="22"/>
      <c r="W1" s="22"/>
      <c r="X1" s="22"/>
      <c r="Y1" s="22"/>
      <c r="Z1" s="22"/>
      <c r="AA1" s="22"/>
      <c r="AB1" s="21"/>
      <c r="AC1" s="21"/>
      <c r="AD1" s="21"/>
      <c r="AE1" s="21"/>
      <c r="AF1" s="23"/>
      <c r="AG1" s="21"/>
      <c r="AH1" s="21"/>
      <c r="AI1" s="21"/>
      <c r="AJ1" s="24"/>
      <c r="AK1" s="21"/>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3"/>
      <c r="CU1" s="33"/>
      <c r="CV1" s="33"/>
      <c r="CW1" s="33"/>
      <c r="CX1" s="89"/>
      <c r="CY1" s="89"/>
      <c r="CZ1" s="89"/>
      <c r="DA1" s="89"/>
      <c r="DB1" s="89"/>
      <c r="DC1" s="89"/>
      <c r="DD1" s="89"/>
      <c r="DE1" s="89"/>
      <c r="DF1" s="89"/>
    </row>
    <row r="2" spans="1:110" customFormat="1" ht="13.5">
      <c r="CU2" s="88"/>
      <c r="CV2" s="88"/>
      <c r="CW2" s="88"/>
    </row>
    <row r="3" spans="1:110" s="20" customFormat="1" ht="12.75" customHeight="1">
      <c r="B3" s="27" t="s">
        <v>86</v>
      </c>
      <c r="C3" s="31" t="s">
        <v>104</v>
      </c>
      <c r="D3" s="208" t="s">
        <v>514</v>
      </c>
      <c r="E3" s="236" t="s">
        <v>527</v>
      </c>
      <c r="F3" s="207" t="s">
        <v>528</v>
      </c>
      <c r="G3" s="209" t="s">
        <v>105</v>
      </c>
      <c r="H3" s="210" t="s">
        <v>515</v>
      </c>
      <c r="I3" s="211" t="s">
        <v>106</v>
      </c>
      <c r="J3" s="210" t="s">
        <v>516</v>
      </c>
      <c r="K3" s="212" t="s">
        <v>107</v>
      </c>
      <c r="L3" s="210" t="s">
        <v>517</v>
      </c>
      <c r="M3" s="207"/>
      <c r="N3" s="213" t="s">
        <v>483</v>
      </c>
      <c r="O3" s="210" t="s">
        <v>518</v>
      </c>
      <c r="P3" s="210"/>
      <c r="Q3" s="214" t="s">
        <v>484</v>
      </c>
      <c r="R3" s="207" t="s">
        <v>526</v>
      </c>
      <c r="S3" s="215"/>
      <c r="T3" s="216" t="s">
        <v>485</v>
      </c>
      <c r="U3" s="207" t="s">
        <v>525</v>
      </c>
      <c r="V3" s="207"/>
      <c r="W3" s="217" t="s">
        <v>489</v>
      </c>
      <c r="X3" s="207" t="s">
        <v>510</v>
      </c>
      <c r="Y3" s="218" t="s">
        <v>490</v>
      </c>
      <c r="Z3" s="207" t="s">
        <v>511</v>
      </c>
      <c r="AA3" s="207"/>
      <c r="AB3" s="219" t="s">
        <v>491</v>
      </c>
      <c r="AC3" s="207" t="s">
        <v>512</v>
      </c>
      <c r="AD3" s="220" t="s">
        <v>492</v>
      </c>
      <c r="AE3" s="207" t="s">
        <v>513</v>
      </c>
      <c r="AF3" s="207"/>
      <c r="AG3" s="207"/>
      <c r="AK3"/>
    </row>
    <row r="4" spans="1:110" customFormat="1" ht="16.5" customHeight="1" thickBot="1">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CU4" s="88"/>
      <c r="CV4" s="88"/>
      <c r="CW4" s="88"/>
    </row>
    <row r="5" spans="1:110" customFormat="1" ht="16.5" customHeight="1">
      <c r="C5" s="234" t="s">
        <v>529</v>
      </c>
      <c r="D5" s="221" t="s">
        <v>530</v>
      </c>
      <c r="E5" s="222" t="s">
        <v>35</v>
      </c>
      <c r="F5" s="210" t="s">
        <v>519</v>
      </c>
      <c r="G5" s="223" t="s">
        <v>108</v>
      </c>
      <c r="H5" s="43" t="s">
        <v>520</v>
      </c>
      <c r="I5" s="224" t="s">
        <v>109</v>
      </c>
      <c r="J5" s="207" t="s">
        <v>521</v>
      </c>
      <c r="K5" s="225" t="s">
        <v>486</v>
      </c>
      <c r="L5" s="207" t="s">
        <v>522</v>
      </c>
      <c r="M5" s="207"/>
      <c r="N5" s="226" t="s">
        <v>487</v>
      </c>
      <c r="O5" s="207" t="s">
        <v>523</v>
      </c>
      <c r="P5" s="207"/>
      <c r="Q5" s="227" t="s">
        <v>488</v>
      </c>
      <c r="R5" s="228" t="s">
        <v>524</v>
      </c>
      <c r="S5" s="9"/>
      <c r="T5" s="233" t="s">
        <v>507</v>
      </c>
      <c r="U5" s="207" t="s">
        <v>508</v>
      </c>
      <c r="V5" s="9"/>
      <c r="W5" s="229" t="s">
        <v>496</v>
      </c>
      <c r="X5" s="207" t="s">
        <v>499</v>
      </c>
      <c r="Y5" s="230" t="s">
        <v>497</v>
      </c>
      <c r="Z5" s="207" t="s">
        <v>500</v>
      </c>
      <c r="AA5" s="9"/>
      <c r="AB5" s="231" t="s">
        <v>498</v>
      </c>
      <c r="AC5" s="207" t="s">
        <v>501</v>
      </c>
      <c r="AD5" s="235" t="s">
        <v>531</v>
      </c>
      <c r="AE5" s="43" t="s">
        <v>532</v>
      </c>
      <c r="AF5" s="9"/>
      <c r="AG5" s="9"/>
      <c r="AH5" s="8"/>
      <c r="AI5" s="8"/>
      <c r="AJ5" s="9"/>
      <c r="AK5" s="10"/>
      <c r="AL5" s="10"/>
      <c r="AM5" s="10"/>
      <c r="AN5" s="10"/>
      <c r="AO5" s="10"/>
      <c r="AP5" s="10"/>
      <c r="AQ5" s="10"/>
      <c r="CU5" s="88"/>
      <c r="CV5" s="88"/>
      <c r="CW5" s="88"/>
    </row>
    <row r="6" spans="1:110" customFormat="1" ht="16.5" customHeight="1">
      <c r="C6" s="9"/>
      <c r="D6" s="9"/>
      <c r="E6" s="20"/>
      <c r="F6" s="9"/>
      <c r="G6" s="9"/>
      <c r="H6" s="9"/>
      <c r="I6" s="9"/>
      <c r="J6" s="9"/>
      <c r="K6" s="9"/>
      <c r="L6" s="9"/>
      <c r="M6" s="9"/>
      <c r="N6" s="9"/>
      <c r="O6" s="9"/>
      <c r="P6" s="9"/>
      <c r="Q6" s="9"/>
      <c r="R6" s="9"/>
      <c r="T6" s="9"/>
      <c r="U6" s="9"/>
      <c r="V6" s="9"/>
      <c r="W6" s="9"/>
      <c r="X6" s="9"/>
      <c r="Y6" s="9"/>
      <c r="AA6" s="9"/>
      <c r="AB6" s="9"/>
      <c r="AC6" s="9"/>
      <c r="AD6" s="9"/>
      <c r="AE6" s="9"/>
      <c r="AF6" s="9"/>
      <c r="CU6" s="88"/>
      <c r="CV6" s="88"/>
      <c r="CW6" s="88"/>
    </row>
    <row r="7" spans="1:110" customFormat="1" ht="16.5" customHeight="1">
      <c r="C7" s="334" t="s">
        <v>604</v>
      </c>
      <c r="D7" s="656" t="s">
        <v>605</v>
      </c>
      <c r="E7" s="657"/>
      <c r="F7" s="657"/>
      <c r="G7" s="344" t="s">
        <v>620</v>
      </c>
      <c r="H7" s="656" t="s">
        <v>621</v>
      </c>
      <c r="I7" s="658"/>
      <c r="J7" s="9"/>
      <c r="K7" s="394" t="s">
        <v>627</v>
      </c>
      <c r="L7" s="656" t="s">
        <v>628</v>
      </c>
      <c r="M7" s="658"/>
      <c r="N7" s="9"/>
      <c r="O7" s="418" t="s">
        <v>631</v>
      </c>
      <c r="P7" s="656" t="s">
        <v>632</v>
      </c>
      <c r="Q7" s="658"/>
      <c r="R7" s="9"/>
      <c r="S7" s="445" t="s">
        <v>634</v>
      </c>
      <c r="T7" s="43" t="s">
        <v>633</v>
      </c>
      <c r="U7" s="458" t="s">
        <v>637</v>
      </c>
      <c r="V7" s="357" t="s">
        <v>638</v>
      </c>
      <c r="W7" s="465" t="s">
        <v>639</v>
      </c>
      <c r="X7" s="357" t="s">
        <v>640</v>
      </c>
      <c r="Y7" s="9"/>
      <c r="AA7" s="9"/>
      <c r="AB7" s="9"/>
      <c r="AC7" s="9"/>
      <c r="AD7" s="9"/>
      <c r="AE7" s="9"/>
      <c r="AF7" s="9"/>
      <c r="CU7" s="88"/>
      <c r="CV7" s="88"/>
      <c r="CW7" s="88"/>
    </row>
    <row r="8" spans="1:110" customFormat="1" ht="16.5" customHeight="1">
      <c r="C8" s="9"/>
      <c r="D8" s="9"/>
      <c r="E8" s="20"/>
      <c r="F8" s="9"/>
      <c r="G8" s="9"/>
      <c r="H8" s="9"/>
      <c r="I8" s="9"/>
      <c r="J8" s="9"/>
      <c r="K8" s="9"/>
      <c r="L8" s="9"/>
      <c r="M8" s="9"/>
      <c r="N8" s="9"/>
      <c r="O8" s="9"/>
      <c r="P8" s="9"/>
      <c r="Q8" s="9"/>
      <c r="R8" s="9"/>
      <c r="T8" s="9"/>
      <c r="U8" s="9"/>
      <c r="V8" s="9"/>
      <c r="W8" s="9"/>
      <c r="X8" s="9"/>
      <c r="Y8" s="9"/>
      <c r="AA8" s="9"/>
      <c r="AB8" s="9"/>
      <c r="AC8" s="9"/>
      <c r="AD8" s="9"/>
      <c r="AE8" s="9"/>
      <c r="AF8" s="9"/>
      <c r="CU8" s="88"/>
      <c r="CV8" s="88"/>
      <c r="CW8" s="88"/>
    </row>
    <row r="9" spans="1:110" s="2" customFormat="1" ht="18" customHeight="1" thickBot="1">
      <c r="A9" s="72">
        <f>DATE(2018,8,1)</f>
        <v>43313</v>
      </c>
      <c r="B9" s="153"/>
      <c r="C9" s="25" t="str">
        <f>TEXT(WEEKDAY(DATE(2017,8,1),1),"[$-40c]aaa")</f>
        <v>1900</v>
      </c>
      <c r="D9" s="25" t="str">
        <f>TEXT(WEEKDAY(DATE(2017,8,2),1),"[$-40c]aaa")</f>
        <v>1900</v>
      </c>
      <c r="E9" s="25" t="str">
        <f>TEXT(WEEKDAY(DATE(2018,8,3),1),"[$-40c]aaa")</f>
        <v>1900</v>
      </c>
      <c r="F9" s="25" t="str">
        <f>TEXT(WEEKDAY(DATE(2018,8,4),1),"[$-40c]aaa")</f>
        <v>1900</v>
      </c>
      <c r="G9" s="25" t="str">
        <f>TEXT(WEEKDAY(DATE(2018,8,5),1),"[$-40c]aaa")</f>
        <v>1900</v>
      </c>
      <c r="H9" s="25" t="str">
        <f>TEXT(WEEKDAY(DATE(2018,8,6),1),"[$-40c]aaa")</f>
        <v>1900</v>
      </c>
      <c r="I9" s="25" t="str">
        <f>TEXT(WEEKDAY(DATE(2018,8,7),1),"[$-40c]aaa")</f>
        <v>1900</v>
      </c>
      <c r="J9" s="25" t="str">
        <f>TEXT(WEEKDAY(DATE(2018,8,1),1),"[$-40c]aaa")</f>
        <v>1900</v>
      </c>
      <c r="K9" s="25" t="str">
        <f>TEXT(WEEKDAY(DATE(2018,8,9),1),"[$-40c]aaa")</f>
        <v>1900</v>
      </c>
      <c r="L9" s="25" t="str">
        <f>TEXT(WEEKDAY(DATE(2018,8,10),1),"[$-40c]aaa")</f>
        <v>1900</v>
      </c>
      <c r="M9" s="25" t="str">
        <f>TEXT(WEEKDAY(DATE(2018,8,11),1),"[$-40c]aaa")</f>
        <v>1900</v>
      </c>
      <c r="N9" s="25" t="str">
        <f>TEXT(WEEKDAY(DATE(2018,8,2),1),"[$-40c]aaa")</f>
        <v>1900</v>
      </c>
      <c r="O9" s="25" t="str">
        <f>TEXT(WEEKDAY(DATE(2018,8,13),1),"[$-40c]aaa")</f>
        <v>1900</v>
      </c>
      <c r="P9" s="25" t="str">
        <f>TEXT(WEEKDAY(DATE(2018,8,14),1),"[$-40c]aaa")</f>
        <v>1900</v>
      </c>
      <c r="Q9" s="25" t="str">
        <f>TEXT(WEEKDAY(DATE(2018,8,15),1),"[$-40c]aaa")</f>
        <v>1900</v>
      </c>
      <c r="R9" s="25" t="str">
        <f>TEXT(WEEKDAY(DATE(2018,8,16),1),"[$-40c]aaa")</f>
        <v>1900</v>
      </c>
      <c r="S9" s="25" t="str">
        <f>TEXT(WEEKDAY(DATE(2018,8,17),1),"[$-40c]aaa")</f>
        <v>1900</v>
      </c>
      <c r="T9" s="25" t="str">
        <f>TEXT(WEEKDAY(DATE(2018,8,18),1),"[$-40c]aaa")</f>
        <v>1900</v>
      </c>
      <c r="U9" s="25" t="str">
        <f>TEXT(WEEKDAY(DATE(2018,8,19),1),"[$-40c]aaa")</f>
        <v>1900</v>
      </c>
      <c r="V9" s="25" t="str">
        <f>TEXT(WEEKDAY(DATE(2018,8,20),1),"[$-40c]aaa")</f>
        <v>1900</v>
      </c>
      <c r="W9" s="25" t="str">
        <f>TEXT(WEEKDAY(DATE(2018,8,21),1),"[$-40c]aaa")</f>
        <v>1900</v>
      </c>
      <c r="X9" s="25" t="str">
        <f>TEXT(WEEKDAY(DATE(2018,8,22),1),"[$-40c]aaa")</f>
        <v>1900</v>
      </c>
      <c r="Y9" s="25" t="str">
        <f>TEXT(WEEKDAY(DATE(2018,8,23),1),"[$-40c]aaa")</f>
        <v>1900</v>
      </c>
      <c r="Z9" s="25" t="str">
        <f>TEXT(WEEKDAY(DATE(2018,8,24),1),"[$-40c]aaa")</f>
        <v>1900</v>
      </c>
      <c r="AA9" s="25" t="str">
        <f>TEXT(WEEKDAY(DATE(2018,8,25),1),"[$-40c]aaa")</f>
        <v>1900</v>
      </c>
      <c r="AB9" s="25" t="str">
        <f>TEXT(WEEKDAY(DATE(2018,8,26),1),"[$-40c]aaa")</f>
        <v>1900</v>
      </c>
      <c r="AC9" s="25" t="str">
        <f>TEXT(WEEKDAY(DATE(2018,8,27),1),"[$-40c]aaa")</f>
        <v>1900</v>
      </c>
      <c r="AD9" s="25" t="str">
        <f>TEXT(WEEKDAY(DATE(2018,8,28),1),"[$-40c]aaa")</f>
        <v>1900</v>
      </c>
      <c r="AE9" s="25" t="str">
        <f>TEXT(WEEKDAY(DATE(2018,8,29),1),"[$-40c]aaa")</f>
        <v>1900</v>
      </c>
      <c r="AF9" s="25" t="str">
        <f>TEXT(WEEKDAY(DATE(2018,8,30),1),"[$-40c]aaa")</f>
        <v>1900</v>
      </c>
      <c r="AG9" s="142" t="str">
        <f>TEXT(WEEKDAY(DATE(2018,8,31),1),"[$-40c]aaa")</f>
        <v>1900</v>
      </c>
      <c r="AH9" s="652" t="s">
        <v>36</v>
      </c>
      <c r="AI9" s="652"/>
      <c r="AJ9" s="652"/>
      <c r="AK9" s="652"/>
      <c r="AL9" s="652"/>
      <c r="AM9" s="652"/>
      <c r="AN9" s="652"/>
      <c r="AO9" s="652"/>
      <c r="AP9" s="652"/>
      <c r="AQ9" s="652"/>
      <c r="AR9" s="652"/>
      <c r="AS9" s="652"/>
      <c r="AT9" s="652"/>
      <c r="AU9" s="652"/>
      <c r="AV9" s="652"/>
      <c r="AW9" s="652"/>
      <c r="AX9" s="652"/>
      <c r="AY9" s="652"/>
      <c r="AZ9" s="652"/>
      <c r="BA9" s="652"/>
      <c r="BB9" s="652"/>
      <c r="BC9" s="652"/>
      <c r="BD9" s="652"/>
      <c r="BE9" s="652"/>
      <c r="BF9" s="652"/>
      <c r="BG9" s="652"/>
      <c r="BH9" s="652"/>
      <c r="BI9" s="652"/>
      <c r="BJ9" s="652"/>
      <c r="BK9" s="653"/>
      <c r="BL9" s="251"/>
      <c r="BM9" s="251"/>
      <c r="BN9" s="251"/>
      <c r="BO9" s="312"/>
      <c r="BP9" s="251"/>
      <c r="BQ9" s="251"/>
      <c r="BR9" s="251"/>
      <c r="BS9" s="251"/>
      <c r="BT9" s="251"/>
      <c r="BU9" s="251"/>
      <c r="BV9" s="251"/>
      <c r="BW9" s="251"/>
      <c r="BX9" s="251"/>
      <c r="BY9" s="251"/>
      <c r="BZ9" s="251" t="s">
        <v>575</v>
      </c>
      <c r="CA9" s="251"/>
      <c r="CB9" s="251"/>
      <c r="CC9" s="251"/>
      <c r="CD9" s="251"/>
      <c r="CE9" s="251"/>
      <c r="CF9" s="251"/>
      <c r="CG9" s="251"/>
      <c r="CH9" s="251"/>
      <c r="CI9" s="251"/>
      <c r="CJ9" s="251"/>
      <c r="CK9" s="251"/>
      <c r="CL9" s="251"/>
      <c r="CM9" s="251"/>
      <c r="CN9" s="251"/>
      <c r="CO9" s="251"/>
      <c r="CP9" s="251"/>
      <c r="CQ9" s="251"/>
      <c r="CR9" s="251"/>
      <c r="CS9" s="251"/>
      <c r="CT9" s="85"/>
      <c r="CU9" s="87"/>
      <c r="CV9" s="87"/>
      <c r="CW9" s="87"/>
    </row>
    <row r="10" spans="1:110" s="5" customFormat="1" ht="14.25" customHeight="1" thickTop="1" thickBot="1">
      <c r="A10" s="28" t="s">
        <v>33</v>
      </c>
      <c r="B10" s="154" t="s">
        <v>34</v>
      </c>
      <c r="C10" s="3" t="s">
        <v>0</v>
      </c>
      <c r="D10" s="3" t="s">
        <v>1</v>
      </c>
      <c r="E10" s="3" t="s">
        <v>2</v>
      </c>
      <c r="F10" s="3" t="s">
        <v>3</v>
      </c>
      <c r="G10" s="3" t="s">
        <v>4</v>
      </c>
      <c r="H10" s="3" t="s">
        <v>5</v>
      </c>
      <c r="I10" s="3" t="s">
        <v>6</v>
      </c>
      <c r="J10" s="3" t="s">
        <v>7</v>
      </c>
      <c r="K10" s="3" t="s">
        <v>8</v>
      </c>
      <c r="L10" s="3" t="s">
        <v>9</v>
      </c>
      <c r="M10" s="3" t="s">
        <v>10</v>
      </c>
      <c r="N10" s="3" t="s">
        <v>11</v>
      </c>
      <c r="O10" s="3" t="s">
        <v>12</v>
      </c>
      <c r="P10" s="3" t="s">
        <v>13</v>
      </c>
      <c r="Q10" s="3" t="s">
        <v>14</v>
      </c>
      <c r="R10" s="3" t="s">
        <v>15</v>
      </c>
      <c r="S10" s="3" t="s">
        <v>16</v>
      </c>
      <c r="T10" s="3" t="s">
        <v>17</v>
      </c>
      <c r="U10" s="3" t="s">
        <v>18</v>
      </c>
      <c r="V10" s="3" t="s">
        <v>19</v>
      </c>
      <c r="W10" s="3" t="s">
        <v>20</v>
      </c>
      <c r="X10" s="3" t="s">
        <v>21</v>
      </c>
      <c r="Y10" s="3" t="s">
        <v>22</v>
      </c>
      <c r="Z10" s="3" t="s">
        <v>23</v>
      </c>
      <c r="AA10" s="3" t="s">
        <v>24</v>
      </c>
      <c r="AB10" s="3" t="s">
        <v>25</v>
      </c>
      <c r="AC10" s="3" t="s">
        <v>26</v>
      </c>
      <c r="AD10" s="3" t="s">
        <v>27</v>
      </c>
      <c r="AE10" s="3" t="s">
        <v>28</v>
      </c>
      <c r="AF10" s="3" t="s">
        <v>29</v>
      </c>
      <c r="AG10" s="143" t="s">
        <v>30</v>
      </c>
      <c r="AH10" s="113" t="s">
        <v>104</v>
      </c>
      <c r="AI10" s="236" t="s">
        <v>527</v>
      </c>
      <c r="AJ10" s="114" t="s">
        <v>105</v>
      </c>
      <c r="AK10" s="115" t="s">
        <v>106</v>
      </c>
      <c r="AL10" s="116" t="s">
        <v>107</v>
      </c>
      <c r="AM10" s="117" t="s">
        <v>35</v>
      </c>
      <c r="AN10" s="234" t="s">
        <v>529</v>
      </c>
      <c r="AO10" s="118" t="s">
        <v>108</v>
      </c>
      <c r="AP10" s="119" t="s">
        <v>109</v>
      </c>
      <c r="AQ10" s="120" t="s">
        <v>483</v>
      </c>
      <c r="AR10" s="121" t="s">
        <v>484</v>
      </c>
      <c r="AS10" s="122" t="s">
        <v>485</v>
      </c>
      <c r="AT10" s="123" t="s">
        <v>486</v>
      </c>
      <c r="AU10" s="124" t="s">
        <v>487</v>
      </c>
      <c r="AV10" s="130" t="s">
        <v>489</v>
      </c>
      <c r="AW10" s="125" t="s">
        <v>488</v>
      </c>
      <c r="AX10" s="126" t="s">
        <v>490</v>
      </c>
      <c r="AY10" s="127" t="s">
        <v>491</v>
      </c>
      <c r="AZ10" s="128" t="s">
        <v>492</v>
      </c>
      <c r="BA10" s="123" t="s">
        <v>604</v>
      </c>
      <c r="BB10" s="348" t="s">
        <v>620</v>
      </c>
      <c r="BC10" s="434" t="s">
        <v>627</v>
      </c>
      <c r="BD10" s="419" t="s">
        <v>631</v>
      </c>
      <c r="BE10" s="466" t="s">
        <v>637</v>
      </c>
      <c r="BF10" s="467" t="s">
        <v>639</v>
      </c>
      <c r="BG10" s="197" t="s">
        <v>507</v>
      </c>
      <c r="BH10" s="235" t="s">
        <v>531</v>
      </c>
      <c r="BI10" s="133" t="s">
        <v>496</v>
      </c>
      <c r="BJ10" s="135" t="s">
        <v>497</v>
      </c>
      <c r="BK10" s="320" t="s">
        <v>498</v>
      </c>
      <c r="BL10" s="146" t="s">
        <v>544</v>
      </c>
      <c r="BM10" s="146" t="s">
        <v>545</v>
      </c>
      <c r="BN10" s="146" t="s">
        <v>546</v>
      </c>
      <c r="BO10" s="146" t="s">
        <v>542</v>
      </c>
      <c r="BP10" s="146" t="s">
        <v>543</v>
      </c>
      <c r="BQ10" s="146" t="s">
        <v>547</v>
      </c>
      <c r="BR10" s="146" t="s">
        <v>548</v>
      </c>
      <c r="BS10" s="146" t="s">
        <v>549</v>
      </c>
      <c r="BT10" s="146" t="s">
        <v>550</v>
      </c>
      <c r="BU10" s="146" t="s">
        <v>551</v>
      </c>
      <c r="BV10" s="146" t="s">
        <v>552</v>
      </c>
      <c r="BW10" s="146" t="s">
        <v>553</v>
      </c>
      <c r="BX10" s="146" t="s">
        <v>574</v>
      </c>
      <c r="BY10" s="146" t="s">
        <v>554</v>
      </c>
      <c r="BZ10" s="146" t="s">
        <v>555</v>
      </c>
      <c r="CA10" s="146" t="s">
        <v>556</v>
      </c>
      <c r="CB10" s="146" t="s">
        <v>558</v>
      </c>
      <c r="CC10" s="146" t="s">
        <v>557</v>
      </c>
      <c r="CD10" s="146" t="s">
        <v>559</v>
      </c>
      <c r="CE10" s="146" t="s">
        <v>560</v>
      </c>
      <c r="CF10" s="146" t="s">
        <v>561</v>
      </c>
      <c r="CG10" s="146" t="s">
        <v>562</v>
      </c>
      <c r="CH10" s="146" t="s">
        <v>563</v>
      </c>
      <c r="CI10" s="146" t="s">
        <v>564</v>
      </c>
      <c r="CJ10" s="146" t="s">
        <v>565</v>
      </c>
      <c r="CK10" s="146" t="s">
        <v>566</v>
      </c>
      <c r="CL10" s="146" t="s">
        <v>567</v>
      </c>
      <c r="CM10" s="146" t="s">
        <v>568</v>
      </c>
      <c r="CN10" s="146" t="s">
        <v>569</v>
      </c>
      <c r="CO10" s="146" t="s">
        <v>570</v>
      </c>
      <c r="CP10" s="146" t="s">
        <v>571</v>
      </c>
      <c r="CQ10" s="146" t="s">
        <v>572</v>
      </c>
      <c r="CR10" s="309" t="s">
        <v>573</v>
      </c>
      <c r="CS10" s="310" t="s">
        <v>611</v>
      </c>
      <c r="CT10" s="160" t="s">
        <v>494</v>
      </c>
      <c r="CU10" s="166" t="s">
        <v>495</v>
      </c>
      <c r="CV10" s="264" t="s">
        <v>533</v>
      </c>
      <c r="CW10" s="167" t="s">
        <v>502</v>
      </c>
    </row>
    <row r="11" spans="1:110" s="5" customFormat="1" ht="16.5" customHeight="1" thickTop="1" thickBot="1">
      <c r="A11" s="29"/>
      <c r="B11" s="152" t="str">
        <f>IFERROR(VLOOKUP(ParticipationAoût[[#This Row],[Référence]],ListeÉtudiants1[],18,FALSE),"")</f>
        <v/>
      </c>
      <c r="C11" s="19"/>
      <c r="D11" s="19"/>
      <c r="E11" s="19"/>
      <c r="F11" s="19"/>
      <c r="G11" s="19"/>
      <c r="H11" s="19"/>
      <c r="I11" s="19"/>
      <c r="J11" s="19"/>
      <c r="K11" s="19"/>
      <c r="L11" s="19"/>
      <c r="M11" s="19"/>
      <c r="N11" s="19"/>
      <c r="O11" s="19"/>
      <c r="P11" s="19"/>
      <c r="Q11" s="19"/>
      <c r="R11" s="19"/>
      <c r="S11" s="19"/>
      <c r="T11" s="19"/>
      <c r="U11" s="19"/>
      <c r="V11" s="19"/>
      <c r="W11" s="19"/>
      <c r="X11" s="19"/>
      <c r="Y11" s="19"/>
      <c r="Z11" s="81"/>
      <c r="AA11" s="19"/>
      <c r="AB11" s="19"/>
      <c r="AC11" s="19"/>
      <c r="AD11" s="19"/>
      <c r="AE11" s="19"/>
      <c r="AF11" s="19"/>
      <c r="AG11" s="144"/>
      <c r="AH11" s="6">
        <f>COUNTIF(ParticipationAoût[[#This Row],[1]:[31]],Code1)</f>
        <v>0</v>
      </c>
      <c r="AI11" s="6">
        <f>COUNTIF(ParticipationAoût[[#This Row],[1]:[31]],code22)</f>
        <v>0</v>
      </c>
      <c r="AJ11" s="30">
        <f>COUNTIF(ParticipationAoût[[#This Row],[1]:[31]],Code2)</f>
        <v>0</v>
      </c>
      <c r="AK11" s="30">
        <f>COUNTIF(ParticipationAoût[[#This Row],[1]:[31]],Code3)</f>
        <v>0</v>
      </c>
      <c r="AL11" s="30">
        <f>COUNTIF(ParticipationAoût[[#This Row],[1]:[31]],Code4)</f>
        <v>0</v>
      </c>
      <c r="AM11" s="30">
        <f>COUNTIF(ParticipationAoût[[#This Row],[1]:[31]],Code5)</f>
        <v>0</v>
      </c>
      <c r="AN11" s="30">
        <f>COUNTIF(ParticipationAoût[[#This Row],[1]:[31]],Code23)</f>
        <v>0</v>
      </c>
      <c r="AO11" s="30">
        <f>COUNTIF(ParticipationAoût[[#This Row],[1]:[31]],Code6)</f>
        <v>0</v>
      </c>
      <c r="AP11" s="30">
        <f>COUNTIF(ParticipationAoût[[#This Row],[1]:[31]],Code7)</f>
        <v>0</v>
      </c>
      <c r="AQ11" s="30">
        <f>COUNTIF(ParticipationAoût[[#This Row],[1]:[31]],Code8)</f>
        <v>0</v>
      </c>
      <c r="AR11" s="30">
        <f>COUNTIF(ParticipationAoût[[#This Row],[1]:[31]],Code9)</f>
        <v>0</v>
      </c>
      <c r="AS11" s="30">
        <f>COUNTIF(ParticipationAoût[[#This Row],[1]:[31]],Code10)</f>
        <v>0</v>
      </c>
      <c r="AT11" s="30">
        <f>COUNTIF(ParticipationAoût[[#This Row],[1]:[31]],Code11)</f>
        <v>0</v>
      </c>
      <c r="AU11" s="30">
        <f>COUNTIF(ParticipationAoût[[#This Row],[1]:[31]],Code12)</f>
        <v>0</v>
      </c>
      <c r="AV11" s="30">
        <f>COUNTIF(ParticipationAoût[[#This Row],[1]:[31]],Code13)</f>
        <v>0</v>
      </c>
      <c r="AW11" s="30">
        <f>COUNTIF(ParticipationAoût[[#This Row],[1]:[31]],Code14)</f>
        <v>0</v>
      </c>
      <c r="AX11" s="30">
        <f>COUNTIF(ParticipationAoût[[#This Row],[1]:[31]],Code15)</f>
        <v>0</v>
      </c>
      <c r="AY11" s="30">
        <f>COUNTIF(ParticipationAoût[[#This Row],[1]:[31]],Code16)</f>
        <v>0</v>
      </c>
      <c r="AZ11" s="30">
        <f>COUNTIF(ParticipationAoût[[#This Row],[1]:[31]],Code17)</f>
        <v>0</v>
      </c>
      <c r="BA11" s="30">
        <f>COUNTIF(ParticipationAoût[[#This Row],[1]:[31]],Code25)</f>
        <v>0</v>
      </c>
      <c r="BB11" s="30">
        <f>COUNTIF(ParticipationAoût[[#This Row],[1]:[31]],Code26)</f>
        <v>0</v>
      </c>
      <c r="BC11" s="30">
        <f>COUNTIF(ParticipationAoût[[#This Row],[1]:[31]],Code27)</f>
        <v>0</v>
      </c>
      <c r="BD11" s="30">
        <f>COUNTIF(ParticipationAoût[[#This Row],[1]:[31]],Code28)</f>
        <v>0</v>
      </c>
      <c r="BE11" s="30">
        <f>COUNTIF(ParticipationAoût[[#This Row],[1]:[31]],code30)</f>
        <v>0</v>
      </c>
      <c r="BF11" s="30">
        <f>COUNTIF(ParticipationAoût[[#This Row],[1]:[31]],Code31)</f>
        <v>0</v>
      </c>
      <c r="BG11" s="30">
        <f>COUNTIF(ParticipationAoût[[#This Row],[1]:[31]],code21)</f>
        <v>0</v>
      </c>
      <c r="BH11" s="30">
        <f>COUNTIF(ParticipationAoût[[#This Row],[1]:[31]],Code24)</f>
        <v>0</v>
      </c>
      <c r="BI11" s="30">
        <f>COUNTIF(ParticipationAoût[[#This Row],[1]:[31]],code18)</f>
        <v>0</v>
      </c>
      <c r="BJ11" s="30">
        <f>COUNTIF(ParticipationAoût[[#This Row],[1]:[31]],code19)</f>
        <v>0</v>
      </c>
      <c r="BK11" s="164">
        <f>COUNTIF(ParticipationAoût[[#This Row],[1]:[31]],code20)</f>
        <v>0</v>
      </c>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6"/>
      <c r="CT11" s="191">
        <f>SUM((AH11*1)+(AI11*1.5)+(AJ11*2)+(AK11*3)+(AL11*4)+(AQ11*5)+(AR11*6)+(AS11*7)+(AW11*2)+(AX11*3)+(AY11*4)+(AZ11*5)+(BA11*2)+(BB11*3)+(BG11*2)+(BE11*3)+(BF11*3))</f>
        <v>0</v>
      </c>
      <c r="CU11" s="192">
        <f>SUM((AN11*1)+(AM11*2)+(AO11*3)+(AP11*4)+(AT11*5)+(AU11*7)+(AV11*7)+(AW11*7)+(AX11*4)+(AY11*3)+(BB11*2)+(BD11*4)+(BA11*1)+(BH11*2)+(AZ11*5)+(BG11*1)+(BE11*2)+(BF11*3))</f>
        <v>0</v>
      </c>
      <c r="CV11" s="237">
        <f>BH11*2</f>
        <v>0</v>
      </c>
      <c r="CW11" s="245">
        <f>SUM((BI11*7)+(BJ11*10)+(BK11*12))</f>
        <v>0</v>
      </c>
    </row>
    <row r="12" spans="1:110" s="5" customFormat="1" ht="16.5" customHeight="1" thickTop="1" thickBot="1">
      <c r="A12" s="29"/>
      <c r="B12" s="152" t="str">
        <f>IFERROR(VLOOKUP(ParticipationAoût[[#This Row],[Référence]],ListeÉtudiants1[],18,FALSE),"")</f>
        <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44"/>
      <c r="AH12" s="6">
        <f>COUNTIF(ParticipationAoût[[#This Row],[1]:[31]],Code1)</f>
        <v>0</v>
      </c>
      <c r="AI12" s="6">
        <f>COUNTIF(ParticipationAoût[[#This Row],[1]:[31]],code22)</f>
        <v>0</v>
      </c>
      <c r="AJ12" s="30">
        <f>COUNTIF(ParticipationAoût[[#This Row],[1]:[31]],Code2)</f>
        <v>0</v>
      </c>
      <c r="AK12" s="30">
        <f>COUNTIF(ParticipationAoût[[#This Row],[1]:[31]],Code3)</f>
        <v>0</v>
      </c>
      <c r="AL12" s="30">
        <f>COUNTIF(ParticipationAoût[[#This Row],[1]:[31]],Code4)</f>
        <v>0</v>
      </c>
      <c r="AM12" s="30">
        <f>COUNTIF(ParticipationAoût[[#This Row],[1]:[31]],Code5)</f>
        <v>0</v>
      </c>
      <c r="AN12" s="30">
        <f>COUNTIF(ParticipationAoût[[#This Row],[1]:[31]],Code23)</f>
        <v>0</v>
      </c>
      <c r="AO12" s="30">
        <f>COUNTIF(ParticipationAoût[[#This Row],[1]:[31]],Code6)</f>
        <v>0</v>
      </c>
      <c r="AP12" s="30">
        <f>COUNTIF(ParticipationAoût[[#This Row],[1]:[31]],Code7)</f>
        <v>0</v>
      </c>
      <c r="AQ12" s="30">
        <f>COUNTIF(ParticipationAoût[[#This Row],[1]:[31]],Code8)</f>
        <v>0</v>
      </c>
      <c r="AR12" s="30">
        <f>COUNTIF(ParticipationAoût[[#This Row],[1]:[31]],Code9)</f>
        <v>0</v>
      </c>
      <c r="AS12" s="30">
        <f>COUNTIF(ParticipationAoût[[#This Row],[1]:[31]],Code10)</f>
        <v>0</v>
      </c>
      <c r="AT12" s="30">
        <f>COUNTIF(ParticipationAoût[[#This Row],[1]:[31]],Code11)</f>
        <v>0</v>
      </c>
      <c r="AU12" s="30">
        <f>COUNTIF(ParticipationAoût[[#This Row],[1]:[31]],Code12)</f>
        <v>0</v>
      </c>
      <c r="AV12" s="30">
        <f>COUNTIF(ParticipationAoût[[#This Row],[1]:[31]],Code13)</f>
        <v>0</v>
      </c>
      <c r="AW12" s="30">
        <f>COUNTIF(ParticipationAoût[[#This Row],[1]:[31]],Code14)</f>
        <v>0</v>
      </c>
      <c r="AX12" s="30">
        <f>COUNTIF(ParticipationAoût[[#This Row],[1]:[31]],Code15)</f>
        <v>0</v>
      </c>
      <c r="AY12" s="30">
        <f>COUNTIF(ParticipationAoût[[#This Row],[1]:[31]],Code16)</f>
        <v>0</v>
      </c>
      <c r="AZ12" s="30">
        <f>COUNTIF(ParticipationAoût[[#This Row],[1]:[31]],Code17)</f>
        <v>0</v>
      </c>
      <c r="BA12" s="30">
        <f>COUNTIF(ParticipationAoût[[#This Row],[1]:[31]],Code25)</f>
        <v>0</v>
      </c>
      <c r="BB12" s="30">
        <f>COUNTIF(ParticipationAoût[[#This Row],[1]:[31]],Code26)</f>
        <v>0</v>
      </c>
      <c r="BC12" s="433">
        <f>COUNTIF(ParticipationAoût[[#This Row],[1]:[31]],Code27)</f>
        <v>0</v>
      </c>
      <c r="BD12" s="30">
        <f>COUNTIF(ParticipationAoût[[#This Row],[1]:[31]],Code28)</f>
        <v>0</v>
      </c>
      <c r="BE12" s="30">
        <f>COUNTIF(ParticipationAoût[[#This Row],[1]:[31]],code30)</f>
        <v>0</v>
      </c>
      <c r="BF12" s="30">
        <f>COUNTIF(ParticipationAoût[[#This Row],[1]:[31]],Code31)</f>
        <v>0</v>
      </c>
      <c r="BG12" s="30">
        <f>COUNTIF(ParticipationAoût[[#This Row],[1]:[31]],code21)</f>
        <v>0</v>
      </c>
      <c r="BH12" s="30">
        <f>COUNTIF(ParticipationAoût[[#This Row],[1]:[31]],Code24)</f>
        <v>0</v>
      </c>
      <c r="BI12" s="30">
        <f>COUNTIF(ParticipationAoût[[#This Row],[1]:[31]],code18)</f>
        <v>0</v>
      </c>
      <c r="BJ12" s="30">
        <f>COUNTIF(ParticipationAoût[[#This Row],[1]:[31]],code19)</f>
        <v>0</v>
      </c>
      <c r="BK12" s="164">
        <f>COUNTIF(ParticipationAoût[[#This Row],[1]:[31]],code20)</f>
        <v>0</v>
      </c>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314"/>
      <c r="CT12" s="191">
        <f t="shared" ref="CT12:CT30" si="0">SUM((AH12*1)+(AI12*1.5)+(AJ12*2)+(AK12*3)+(AL12*4)+(AQ12*5)+(AR12*6)+(AS12*7)+(AW12*2)+(AX12*3)+(AY12*4)+(AZ12*5)+(BA12*2)+(BB12*3)+(BG12*2)+(BE12*3)+(BF12*3))</f>
        <v>0</v>
      </c>
      <c r="CU12" s="192">
        <f t="shared" ref="CU12:CU30" si="1">SUM((AN12*1)+(AM12*2)+(AO12*3)+(AP12*4)+(AT12*5)+(AU12*7)+(AV12*7)+(AW12*7)+(AX12*4)+(AY12*3)+(BB12*2)+(BD12*4)+(BA12*1)+(BH12*2)+(AZ12*5)+(BG12*1)+(BE12*2)+(BF12*3))</f>
        <v>0</v>
      </c>
      <c r="CV12" s="237">
        <f t="shared" ref="CV12:CV30" si="2">BH12*2</f>
        <v>0</v>
      </c>
      <c r="CW12" s="194">
        <f t="shared" ref="CW12:CW30" si="3">SUM((BI12*7)+(BJ12*10)+(BK12*12))</f>
        <v>0</v>
      </c>
    </row>
    <row r="13" spans="1:110" s="7" customFormat="1" ht="16.5" customHeight="1" thickTop="1" thickBot="1">
      <c r="A13" s="29"/>
      <c r="B13" s="152" t="str">
        <f>IFERROR(VLOOKUP(ParticipationAoût[[#This Row],[Référence]],ListeÉtudiants1[],18,FALSE),"")</f>
        <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44"/>
      <c r="AH13" s="6">
        <f>COUNTIF(ParticipationAoût[[#This Row],[1]:[31]],Code1)</f>
        <v>0</v>
      </c>
      <c r="AI13" s="6">
        <f>COUNTIF(ParticipationAoût[[#This Row],[1]:[31]],code22)</f>
        <v>0</v>
      </c>
      <c r="AJ13" s="30">
        <f>COUNTIF(ParticipationAoût[[#This Row],[1]:[31]],Code2)</f>
        <v>0</v>
      </c>
      <c r="AK13" s="30">
        <f>COUNTIF(ParticipationAoût[[#This Row],[1]:[31]],Code3)</f>
        <v>0</v>
      </c>
      <c r="AL13" s="30">
        <f>COUNTIF(ParticipationAoût[[#This Row],[1]:[31]],Code4)</f>
        <v>0</v>
      </c>
      <c r="AM13" s="30">
        <f>COUNTIF(ParticipationAoût[[#This Row],[1]:[31]],Code5)</f>
        <v>0</v>
      </c>
      <c r="AN13" s="30">
        <f>COUNTIF(ParticipationAoût[[#This Row],[1]:[31]],Code23)</f>
        <v>0</v>
      </c>
      <c r="AO13" s="30">
        <f>COUNTIF(ParticipationAoût[[#This Row],[1]:[31]],Code6)</f>
        <v>0</v>
      </c>
      <c r="AP13" s="30">
        <f>COUNTIF(ParticipationAoût[[#This Row],[1]:[31]],Code7)</f>
        <v>0</v>
      </c>
      <c r="AQ13" s="30">
        <f>COUNTIF(ParticipationAoût[[#This Row],[1]:[31]],Code8)</f>
        <v>0</v>
      </c>
      <c r="AR13" s="30">
        <f>COUNTIF(ParticipationAoût[[#This Row],[1]:[31]],Code9)</f>
        <v>0</v>
      </c>
      <c r="AS13" s="30">
        <f>COUNTIF(ParticipationAoût[[#This Row],[1]:[31]],Code10)</f>
        <v>0</v>
      </c>
      <c r="AT13" s="30">
        <f>COUNTIF(ParticipationAoût[[#This Row],[1]:[31]],Code11)</f>
        <v>0</v>
      </c>
      <c r="AU13" s="30">
        <f>COUNTIF(ParticipationAoût[[#This Row],[1]:[31]],Code12)</f>
        <v>0</v>
      </c>
      <c r="AV13" s="30">
        <f>COUNTIF(ParticipationAoût[[#This Row],[1]:[31]],Code13)</f>
        <v>0</v>
      </c>
      <c r="AW13" s="30">
        <f>COUNTIF(ParticipationAoût[[#This Row],[1]:[31]],Code14)</f>
        <v>0</v>
      </c>
      <c r="AX13" s="30">
        <f>COUNTIF(ParticipationAoût[[#This Row],[1]:[31]],Code15)</f>
        <v>0</v>
      </c>
      <c r="AY13" s="30">
        <f>COUNTIF(ParticipationAoût[[#This Row],[1]:[31]],Code16)</f>
        <v>0</v>
      </c>
      <c r="AZ13" s="30">
        <f>COUNTIF(ParticipationAoût[[#This Row],[1]:[31]],Code17)</f>
        <v>0</v>
      </c>
      <c r="BA13" s="30">
        <f>COUNTIF(ParticipationAoût[[#This Row],[1]:[31]],Code25)</f>
        <v>0</v>
      </c>
      <c r="BB13" s="30">
        <f>COUNTIF(ParticipationAoût[[#This Row],[1]:[31]],Code26)</f>
        <v>0</v>
      </c>
      <c r="BC13" s="433">
        <f>COUNTIF(ParticipationAoût[[#This Row],[1]:[31]],Code27)</f>
        <v>0</v>
      </c>
      <c r="BD13" s="30">
        <f>COUNTIF(ParticipationAoût[[#This Row],[1]:[31]],Code28)</f>
        <v>0</v>
      </c>
      <c r="BE13" s="30">
        <f>COUNTIF(ParticipationAoût[[#This Row],[1]:[31]],code30)</f>
        <v>0</v>
      </c>
      <c r="BF13" s="30">
        <f>COUNTIF(ParticipationAoût[[#This Row],[1]:[31]],Code31)</f>
        <v>0</v>
      </c>
      <c r="BG13" s="30">
        <f>COUNTIF(ParticipationAoût[[#This Row],[1]:[31]],code21)</f>
        <v>0</v>
      </c>
      <c r="BH13" s="30">
        <f>COUNTIF(ParticipationAoût[[#This Row],[1]:[31]],Code24)</f>
        <v>0</v>
      </c>
      <c r="BI13" s="30">
        <f>COUNTIF(ParticipationAoût[[#This Row],[1]:[31]],code18)</f>
        <v>0</v>
      </c>
      <c r="BJ13" s="30">
        <f>COUNTIF(ParticipationAoût[[#This Row],[1]:[31]],code19)</f>
        <v>0</v>
      </c>
      <c r="BK13" s="164">
        <f>COUNTIF(ParticipationAoût[[#This Row],[1]:[31]],code20)</f>
        <v>0</v>
      </c>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30"/>
      <c r="CT13" s="191">
        <f t="shared" si="0"/>
        <v>0</v>
      </c>
      <c r="CU13" s="192">
        <f t="shared" si="1"/>
        <v>0</v>
      </c>
      <c r="CV13" s="237">
        <f t="shared" si="2"/>
        <v>0</v>
      </c>
      <c r="CW13" s="194">
        <f t="shared" si="3"/>
        <v>0</v>
      </c>
    </row>
    <row r="14" spans="1:110" ht="16.5" customHeight="1" thickTop="1" thickBot="1">
      <c r="A14" s="29"/>
      <c r="B14" s="152" t="str">
        <f>IFERROR(VLOOKUP(ParticipationAoût[[#This Row],[Référence]],ListeÉtudiants1[],18,FALSE),"")</f>
        <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44"/>
      <c r="AH14" s="6">
        <f>COUNTIF(ParticipationAoût[[#This Row],[1]:[31]],Code1)</f>
        <v>0</v>
      </c>
      <c r="AI14" s="6">
        <f>COUNTIF(ParticipationAoût[[#This Row],[1]:[31]],code22)</f>
        <v>0</v>
      </c>
      <c r="AJ14" s="30">
        <f>COUNTIF(ParticipationAoût[[#This Row],[1]:[31]],Code2)</f>
        <v>0</v>
      </c>
      <c r="AK14" s="30">
        <f>COUNTIF(ParticipationAoût[[#This Row],[1]:[31]],Code3)</f>
        <v>0</v>
      </c>
      <c r="AL14" s="30">
        <f>COUNTIF(ParticipationAoût[[#This Row],[1]:[31]],Code4)</f>
        <v>0</v>
      </c>
      <c r="AM14" s="30">
        <f>COUNTIF(ParticipationAoût[[#This Row],[1]:[31]],Code5)</f>
        <v>0</v>
      </c>
      <c r="AN14" s="30">
        <f>COUNTIF(ParticipationAoût[[#This Row],[1]:[31]],Code23)</f>
        <v>0</v>
      </c>
      <c r="AO14" s="30">
        <f>COUNTIF(ParticipationAoût[[#This Row],[1]:[31]],Code6)</f>
        <v>0</v>
      </c>
      <c r="AP14" s="30">
        <f>COUNTIF(ParticipationAoût[[#This Row],[1]:[31]],Code7)</f>
        <v>0</v>
      </c>
      <c r="AQ14" s="30">
        <f>COUNTIF(ParticipationAoût[[#This Row],[1]:[31]],Code8)</f>
        <v>0</v>
      </c>
      <c r="AR14" s="30">
        <f>COUNTIF(ParticipationAoût[[#This Row],[1]:[31]],Code9)</f>
        <v>0</v>
      </c>
      <c r="AS14" s="30">
        <f>COUNTIF(ParticipationAoût[[#This Row],[1]:[31]],Code10)</f>
        <v>0</v>
      </c>
      <c r="AT14" s="30">
        <f>COUNTIF(ParticipationAoût[[#This Row],[1]:[31]],Code11)</f>
        <v>0</v>
      </c>
      <c r="AU14" s="30">
        <f>COUNTIF(ParticipationAoût[[#This Row],[1]:[31]],Code12)</f>
        <v>0</v>
      </c>
      <c r="AV14" s="30">
        <f>COUNTIF(ParticipationAoût[[#This Row],[1]:[31]],Code13)</f>
        <v>0</v>
      </c>
      <c r="AW14" s="30">
        <f>COUNTIF(ParticipationAoût[[#This Row],[1]:[31]],Code14)</f>
        <v>0</v>
      </c>
      <c r="AX14" s="30">
        <f>COUNTIF(ParticipationAoût[[#This Row],[1]:[31]],Code15)</f>
        <v>0</v>
      </c>
      <c r="AY14" s="30">
        <f>COUNTIF(ParticipationAoût[[#This Row],[1]:[31]],Code16)</f>
        <v>0</v>
      </c>
      <c r="AZ14" s="30">
        <f>COUNTIF(ParticipationAoût[[#This Row],[1]:[31]],Code17)</f>
        <v>0</v>
      </c>
      <c r="BA14" s="30">
        <f>COUNTIF(ParticipationAoût[[#This Row],[1]:[31]],Code25)</f>
        <v>0</v>
      </c>
      <c r="BB14" s="30">
        <f>COUNTIF(ParticipationAoût[[#This Row],[1]:[31]],Code26)</f>
        <v>0</v>
      </c>
      <c r="BC14" s="433">
        <f>COUNTIF(ParticipationAoût[[#This Row],[1]:[31]],Code27)</f>
        <v>0</v>
      </c>
      <c r="BD14" s="30">
        <f>COUNTIF(ParticipationAoût[[#This Row],[1]:[31]],Code28)</f>
        <v>0</v>
      </c>
      <c r="BE14" s="30">
        <f>COUNTIF(ParticipationAoût[[#This Row],[1]:[31]],code30)</f>
        <v>0</v>
      </c>
      <c r="BF14" s="30">
        <f>COUNTIF(ParticipationAoût[[#This Row],[1]:[31]],Code31)</f>
        <v>0</v>
      </c>
      <c r="BG14" s="30">
        <f>COUNTIF(ParticipationAoût[[#This Row],[1]:[31]],code21)</f>
        <v>0</v>
      </c>
      <c r="BH14" s="30">
        <f>COUNTIF(ParticipationAoût[[#This Row],[1]:[31]],Code24)</f>
        <v>0</v>
      </c>
      <c r="BI14" s="30">
        <f>COUNTIF(ParticipationAoût[[#This Row],[1]:[31]],code18)</f>
        <v>0</v>
      </c>
      <c r="BJ14" s="30">
        <f>COUNTIF(ParticipationAoût[[#This Row],[1]:[31]],code19)</f>
        <v>0</v>
      </c>
      <c r="BK14" s="164">
        <f>COUNTIF(ParticipationAoût[[#This Row],[1]:[31]],code20)</f>
        <v>0</v>
      </c>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314"/>
      <c r="CT14" s="191">
        <f t="shared" si="0"/>
        <v>0</v>
      </c>
      <c r="CU14" s="192">
        <f t="shared" si="1"/>
        <v>0</v>
      </c>
      <c r="CV14" s="237">
        <f t="shared" si="2"/>
        <v>0</v>
      </c>
      <c r="CW14" s="182">
        <f t="shared" si="3"/>
        <v>0</v>
      </c>
    </row>
    <row r="15" spans="1:110" ht="16.5" customHeight="1" thickTop="1" thickBot="1">
      <c r="A15" s="29"/>
      <c r="B15" s="152" t="str">
        <f>IFERROR(VLOOKUP(ParticipationAoût[[#This Row],[Référence]],ListeÉtudiants1[],18,FALSE),"")</f>
        <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44"/>
      <c r="AH15" s="6">
        <f>COUNTIF(ParticipationAoût[[#This Row],[1]:[31]],Code1)</f>
        <v>0</v>
      </c>
      <c r="AI15" s="6">
        <f>COUNTIF(ParticipationAoût[[#This Row],[1]:[31]],code22)</f>
        <v>0</v>
      </c>
      <c r="AJ15" s="30">
        <f>COUNTIF(ParticipationAoût[[#This Row],[1]:[31]],Code2)</f>
        <v>0</v>
      </c>
      <c r="AK15" s="30">
        <f>COUNTIF(ParticipationAoût[[#This Row],[1]:[31]],Code3)</f>
        <v>0</v>
      </c>
      <c r="AL15" s="30">
        <f>COUNTIF(ParticipationAoût[[#This Row],[1]:[31]],Code4)</f>
        <v>0</v>
      </c>
      <c r="AM15" s="84">
        <f>COUNTIF(ParticipationAoût[[#This Row],[1]:[31]],Code5)</f>
        <v>0</v>
      </c>
      <c r="AN15" s="30">
        <f>COUNTIF(ParticipationAoût[[#This Row],[1]:[31]],Code23)</f>
        <v>0</v>
      </c>
      <c r="AO15" s="84">
        <f>COUNTIF(ParticipationAoût[[#This Row],[1]:[31]],Code6)</f>
        <v>0</v>
      </c>
      <c r="AP15" s="84">
        <f>COUNTIF(ParticipationAoût[[#This Row],[1]:[31]],Code7)</f>
        <v>0</v>
      </c>
      <c r="AQ15" s="30">
        <f>COUNTIF(ParticipationAoût[[#This Row],[1]:[31]],Code8)</f>
        <v>0</v>
      </c>
      <c r="AR15" s="30">
        <f>COUNTIF(ParticipationAoût[[#This Row],[1]:[31]],Code9)</f>
        <v>0</v>
      </c>
      <c r="AS15" s="30">
        <f>COUNTIF(ParticipationAoût[[#This Row],[1]:[31]],Code10)</f>
        <v>0</v>
      </c>
      <c r="AT15" s="30">
        <f>COUNTIF(ParticipationAoût[[#This Row],[1]:[31]],Code11)</f>
        <v>0</v>
      </c>
      <c r="AU15" s="30">
        <f>COUNTIF(ParticipationAoût[[#This Row],[1]:[31]],Code12)</f>
        <v>0</v>
      </c>
      <c r="AV15" s="30">
        <f>COUNTIF(ParticipationAoût[[#This Row],[1]:[31]],Code13)</f>
        <v>0</v>
      </c>
      <c r="AW15" s="30">
        <f>COUNTIF(ParticipationAoût[[#This Row],[1]:[31]],Code14)</f>
        <v>0</v>
      </c>
      <c r="AX15" s="30">
        <f>COUNTIF(ParticipationAoût[[#This Row],[1]:[31]],Code15)</f>
        <v>0</v>
      </c>
      <c r="AY15" s="30">
        <f>COUNTIF(ParticipationAoût[[#This Row],[1]:[31]],Code16)</f>
        <v>0</v>
      </c>
      <c r="AZ15" s="30">
        <f>COUNTIF(ParticipationAoût[[#This Row],[1]:[31]],Code17)</f>
        <v>0</v>
      </c>
      <c r="BA15" s="30">
        <f>COUNTIF(ParticipationAoût[[#This Row],[1]:[31]],Code25)</f>
        <v>0</v>
      </c>
      <c r="BB15" s="30">
        <f>COUNTIF(ParticipationAoût[[#This Row],[1]:[31]],Code26)</f>
        <v>0</v>
      </c>
      <c r="BC15" s="433">
        <f>COUNTIF(ParticipationAoût[[#This Row],[1]:[31]],Code27)</f>
        <v>0</v>
      </c>
      <c r="BD15" s="30">
        <f>COUNTIF(ParticipationAoût[[#This Row],[1]:[31]],Code28)</f>
        <v>0</v>
      </c>
      <c r="BE15" s="30">
        <f>COUNTIF(ParticipationAoût[[#This Row],[1]:[31]],code30)</f>
        <v>0</v>
      </c>
      <c r="BF15" s="30">
        <f>COUNTIF(ParticipationAoût[[#This Row],[1]:[31]],Code31)</f>
        <v>0</v>
      </c>
      <c r="BG15" s="30">
        <f>COUNTIF(ParticipationAoût[[#This Row],[1]:[31]],code21)</f>
        <v>0</v>
      </c>
      <c r="BH15" s="30">
        <f>COUNTIF(ParticipationAoût[[#This Row],[1]:[31]],Code24)</f>
        <v>0</v>
      </c>
      <c r="BI15" s="30">
        <f>COUNTIF(ParticipationAoût[[#This Row],[1]:[31]],code18)</f>
        <v>0</v>
      </c>
      <c r="BJ15" s="30">
        <f>COUNTIF(ParticipationAoût[[#This Row],[1]:[31]],code19)</f>
        <v>0</v>
      </c>
      <c r="BK15" s="164">
        <f>COUNTIF(ParticipationAoût[[#This Row],[1]:[31]],code20)</f>
        <v>0</v>
      </c>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30"/>
      <c r="CT15" s="191">
        <f t="shared" si="0"/>
        <v>0</v>
      </c>
      <c r="CU15" s="192">
        <f t="shared" si="1"/>
        <v>0</v>
      </c>
      <c r="CV15" s="237">
        <f t="shared" si="2"/>
        <v>0</v>
      </c>
      <c r="CW15" s="194">
        <f t="shared" si="3"/>
        <v>0</v>
      </c>
    </row>
    <row r="16" spans="1:110" ht="16.5" customHeight="1" thickTop="1" thickBot="1">
      <c r="A16" s="29"/>
      <c r="B16" s="152" t="str">
        <f>IFERROR(VLOOKUP(ParticipationAoût[[#This Row],[Référence]],ListeÉtudiants1[],18,FALSE),"")</f>
        <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44"/>
      <c r="AH16" s="6">
        <f>COUNTIF(ParticipationAoût[[#This Row],[1]:[31]],Code1)</f>
        <v>0</v>
      </c>
      <c r="AI16" s="6">
        <f>COUNTIF(ParticipationAoût[[#This Row],[1]:[31]],code22)</f>
        <v>0</v>
      </c>
      <c r="AJ16" s="30">
        <f>COUNTIF(ParticipationAoût[[#This Row],[1]:[31]],Code2)</f>
        <v>0</v>
      </c>
      <c r="AK16" s="30">
        <f>COUNTIF(ParticipationAoût[[#This Row],[1]:[31]],Code3)</f>
        <v>0</v>
      </c>
      <c r="AL16" s="30">
        <f>COUNTIF(ParticipationAoût[[#This Row],[1]:[31]],Code4)</f>
        <v>0</v>
      </c>
      <c r="AM16" s="84">
        <f>COUNTIF(ParticipationAoût[[#This Row],[1]:[31]],Code5)</f>
        <v>0</v>
      </c>
      <c r="AN16" s="30">
        <f>COUNTIF(ParticipationAoût[[#This Row],[1]:[31]],Code23)</f>
        <v>0</v>
      </c>
      <c r="AO16" s="84">
        <f>COUNTIF(ParticipationAoût[[#This Row],[1]:[31]],Code6)</f>
        <v>0</v>
      </c>
      <c r="AP16" s="84">
        <f>COUNTIF(ParticipationAoût[[#This Row],[1]:[31]],Code7)</f>
        <v>0</v>
      </c>
      <c r="AQ16" s="30">
        <f>COUNTIF(ParticipationAoût[[#This Row],[1]:[31]],Code8)</f>
        <v>0</v>
      </c>
      <c r="AR16" s="30">
        <f>COUNTIF(ParticipationAoût[[#This Row],[1]:[31]],Code9)</f>
        <v>0</v>
      </c>
      <c r="AS16" s="30">
        <f>COUNTIF(ParticipationAoût[[#This Row],[1]:[31]],Code10)</f>
        <v>0</v>
      </c>
      <c r="AT16" s="30">
        <f>COUNTIF(ParticipationAoût[[#This Row],[1]:[31]],Code11)</f>
        <v>0</v>
      </c>
      <c r="AU16" s="30">
        <f>COUNTIF(ParticipationAoût[[#This Row],[1]:[31]],Code12)</f>
        <v>0</v>
      </c>
      <c r="AV16" s="30">
        <f>COUNTIF(ParticipationAoût[[#This Row],[1]:[31]],Code13)</f>
        <v>0</v>
      </c>
      <c r="AW16" s="30">
        <f>COUNTIF(ParticipationAoût[[#This Row],[1]:[31]],Code14)</f>
        <v>0</v>
      </c>
      <c r="AX16" s="30">
        <f>COUNTIF(ParticipationAoût[[#This Row],[1]:[31]],Code15)</f>
        <v>0</v>
      </c>
      <c r="AY16" s="30">
        <f>COUNTIF(ParticipationAoût[[#This Row],[1]:[31]],Code16)</f>
        <v>0</v>
      </c>
      <c r="AZ16" s="30">
        <f>COUNTIF(ParticipationAoût[[#This Row],[1]:[31]],Code17)</f>
        <v>0</v>
      </c>
      <c r="BA16" s="30">
        <f>COUNTIF(ParticipationAoût[[#This Row],[1]:[31]],Code25)</f>
        <v>0</v>
      </c>
      <c r="BB16" s="30">
        <f>COUNTIF(ParticipationAoût[[#This Row],[1]:[31]],Code26)</f>
        <v>0</v>
      </c>
      <c r="BC16" s="433">
        <f>COUNTIF(ParticipationAoût[[#This Row],[1]:[31]],Code27)</f>
        <v>0</v>
      </c>
      <c r="BD16" s="30">
        <f>COUNTIF(ParticipationAoût[[#This Row],[1]:[31]],Code28)</f>
        <v>0</v>
      </c>
      <c r="BE16" s="30">
        <f>COUNTIF(ParticipationAoût[[#This Row],[1]:[31]],code30)</f>
        <v>0</v>
      </c>
      <c r="BF16" s="30">
        <f>COUNTIF(ParticipationAoût[[#This Row],[1]:[31]],Code31)</f>
        <v>0</v>
      </c>
      <c r="BG16" s="30">
        <f>COUNTIF(ParticipationAoût[[#This Row],[1]:[31]],code21)</f>
        <v>0</v>
      </c>
      <c r="BH16" s="30">
        <f>COUNTIF(ParticipationAoût[[#This Row],[1]:[31]],Code24)</f>
        <v>0</v>
      </c>
      <c r="BI16" s="30">
        <f>COUNTIF(ParticipationAoût[[#This Row],[1]:[31]],code18)</f>
        <v>0</v>
      </c>
      <c r="BJ16" s="30">
        <f>COUNTIF(ParticipationAoût[[#This Row],[1]:[31]],code19)</f>
        <v>0</v>
      </c>
      <c r="BK16" s="164">
        <f>COUNTIF(ParticipationAoût[[#This Row],[1]:[31]],code20)</f>
        <v>0</v>
      </c>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314"/>
      <c r="CT16" s="191">
        <f t="shared" si="0"/>
        <v>0</v>
      </c>
      <c r="CU16" s="192">
        <f t="shared" si="1"/>
        <v>0</v>
      </c>
      <c r="CV16" s="237">
        <f t="shared" si="2"/>
        <v>0</v>
      </c>
      <c r="CW16" s="244">
        <f t="shared" si="3"/>
        <v>0</v>
      </c>
    </row>
    <row r="17" spans="1:102" ht="16.5" customHeight="1" thickTop="1" thickBot="1">
      <c r="A17" s="29"/>
      <c r="B17" s="152" t="str">
        <f>IFERROR(VLOOKUP(ParticipationAoût[[#This Row],[Référence]],ListeÉtudiants1[],18,FALSE),"")</f>
        <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44"/>
      <c r="AH17" s="6">
        <f>COUNTIF(ParticipationAoût[[#This Row],[1]:[31]],Code1)</f>
        <v>0</v>
      </c>
      <c r="AI17" s="6">
        <f>COUNTIF(ParticipationAoût[[#This Row],[1]:[31]],code22)</f>
        <v>0</v>
      </c>
      <c r="AJ17" s="30">
        <f>COUNTIF(ParticipationAoût[[#This Row],[1]:[31]],Code2)</f>
        <v>0</v>
      </c>
      <c r="AK17" s="30">
        <f>COUNTIF(ParticipationAoût[[#This Row],[1]:[31]],Code3)</f>
        <v>0</v>
      </c>
      <c r="AL17" s="30">
        <f>COUNTIF(ParticipationAoût[[#This Row],[1]:[31]],Code4)</f>
        <v>0</v>
      </c>
      <c r="AM17" s="84">
        <f>COUNTIF(ParticipationAoût[[#This Row],[1]:[31]],Code5)</f>
        <v>0</v>
      </c>
      <c r="AN17" s="30">
        <f>COUNTIF(ParticipationAoût[[#This Row],[1]:[31]],Code23)</f>
        <v>0</v>
      </c>
      <c r="AO17" s="84">
        <f>COUNTIF(ParticipationAoût[[#This Row],[1]:[31]],Code6)</f>
        <v>0</v>
      </c>
      <c r="AP17" s="84">
        <f>COUNTIF(ParticipationAoût[[#This Row],[1]:[31]],Code7)</f>
        <v>0</v>
      </c>
      <c r="AQ17" s="30">
        <f>COUNTIF(ParticipationAoût[[#This Row],[1]:[31]],Code8)</f>
        <v>0</v>
      </c>
      <c r="AR17" s="30">
        <f>COUNTIF(ParticipationAoût[[#This Row],[1]:[31]],Code9)</f>
        <v>0</v>
      </c>
      <c r="AS17" s="30">
        <f>COUNTIF(ParticipationAoût[[#This Row],[1]:[31]],Code10)</f>
        <v>0</v>
      </c>
      <c r="AT17" s="30">
        <f>COUNTIF(ParticipationAoût[[#This Row],[1]:[31]],Code11)</f>
        <v>0</v>
      </c>
      <c r="AU17" s="30">
        <f>COUNTIF(ParticipationAoût[[#This Row],[1]:[31]],Code12)</f>
        <v>0</v>
      </c>
      <c r="AV17" s="30">
        <f>COUNTIF(ParticipationAoût[[#This Row],[1]:[31]],Code13)</f>
        <v>0</v>
      </c>
      <c r="AW17" s="30">
        <f>COUNTIF(ParticipationAoût[[#This Row],[1]:[31]],Code14)</f>
        <v>0</v>
      </c>
      <c r="AX17" s="30">
        <f>COUNTIF(ParticipationAoût[[#This Row],[1]:[31]],Code15)</f>
        <v>0</v>
      </c>
      <c r="AY17" s="30">
        <f>COUNTIF(ParticipationAoût[[#This Row],[1]:[31]],Code16)</f>
        <v>0</v>
      </c>
      <c r="AZ17" s="30">
        <f>COUNTIF(ParticipationAoût[[#This Row],[1]:[31]],Code17)</f>
        <v>0</v>
      </c>
      <c r="BA17" s="30">
        <f>COUNTIF(ParticipationAoût[[#This Row],[1]:[31]],Code25)</f>
        <v>0</v>
      </c>
      <c r="BB17" s="30">
        <f>COUNTIF(ParticipationAoût[[#This Row],[1]:[31]],Code26)</f>
        <v>0</v>
      </c>
      <c r="BC17" s="433">
        <f>COUNTIF(ParticipationAoût[[#This Row],[1]:[31]],Code27)</f>
        <v>0</v>
      </c>
      <c r="BD17" s="30">
        <f>COUNTIF(ParticipationAoût[[#This Row],[1]:[31]],Code28)</f>
        <v>0</v>
      </c>
      <c r="BE17" s="30">
        <f>COUNTIF(ParticipationAoût[[#This Row],[1]:[31]],code30)</f>
        <v>0</v>
      </c>
      <c r="BF17" s="30">
        <f>COUNTIF(ParticipationAoût[[#This Row],[1]:[31]],Code31)</f>
        <v>0</v>
      </c>
      <c r="BG17" s="30">
        <f>COUNTIF(ParticipationAoût[[#This Row],[1]:[31]],code21)</f>
        <v>0</v>
      </c>
      <c r="BH17" s="30">
        <f>COUNTIF(ParticipationAoût[[#This Row],[1]:[31]],Code24)</f>
        <v>0</v>
      </c>
      <c r="BI17" s="30">
        <f>COUNTIF(ParticipationAoût[[#This Row],[1]:[31]],code18)</f>
        <v>0</v>
      </c>
      <c r="BJ17" s="30">
        <f>COUNTIF(ParticipationAoût[[#This Row],[1]:[31]],code19)</f>
        <v>0</v>
      </c>
      <c r="BK17" s="164">
        <f>COUNTIF(ParticipationAoût[[#This Row],[1]:[31]],code20)</f>
        <v>0</v>
      </c>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30"/>
      <c r="CT17" s="191">
        <f t="shared" si="0"/>
        <v>0</v>
      </c>
      <c r="CU17" s="192">
        <f t="shared" si="1"/>
        <v>0</v>
      </c>
      <c r="CV17" s="237">
        <f t="shared" si="2"/>
        <v>0</v>
      </c>
      <c r="CW17" s="244">
        <f t="shared" si="3"/>
        <v>0</v>
      </c>
    </row>
    <row r="18" spans="1:102" ht="16.5" customHeight="1" thickTop="1" thickBot="1">
      <c r="A18" s="29"/>
      <c r="B18" s="152" t="str">
        <f>IFERROR(VLOOKUP(ParticipationAoût[[#This Row],[Référence]],ListeÉtudiants1[],18,FALSE),"")</f>
        <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44"/>
      <c r="AH18" s="6">
        <f>COUNTIF(ParticipationAoût[[#This Row],[1]:[31]],Code1)</f>
        <v>0</v>
      </c>
      <c r="AI18" s="6">
        <f>COUNTIF(ParticipationAoût[[#This Row],[1]:[31]],code22)</f>
        <v>0</v>
      </c>
      <c r="AJ18" s="30">
        <f>COUNTIF(ParticipationAoût[[#This Row],[1]:[31]],Code2)</f>
        <v>0</v>
      </c>
      <c r="AK18" s="30">
        <f>COUNTIF(ParticipationAoût[[#This Row],[1]:[31]],Code3)</f>
        <v>0</v>
      </c>
      <c r="AL18" s="30">
        <f>COUNTIF(ParticipationAoût[[#This Row],[1]:[31]],Code4)</f>
        <v>0</v>
      </c>
      <c r="AM18" s="84">
        <f>COUNTIF(ParticipationAoût[[#This Row],[1]:[31]],Code5)</f>
        <v>0</v>
      </c>
      <c r="AN18" s="30">
        <f>COUNTIF(ParticipationAoût[[#This Row],[1]:[31]],Code23)</f>
        <v>0</v>
      </c>
      <c r="AO18" s="84">
        <f>COUNTIF(ParticipationAoût[[#This Row],[1]:[31]],Code6)</f>
        <v>0</v>
      </c>
      <c r="AP18" s="84">
        <f>COUNTIF(ParticipationAoût[[#This Row],[1]:[31]],Code7)</f>
        <v>0</v>
      </c>
      <c r="AQ18" s="30">
        <f>COUNTIF(ParticipationAoût[[#This Row],[1]:[31]],Code8)</f>
        <v>0</v>
      </c>
      <c r="AR18" s="30">
        <f>COUNTIF(ParticipationAoût[[#This Row],[1]:[31]],Code9)</f>
        <v>0</v>
      </c>
      <c r="AS18" s="30">
        <f>COUNTIF(ParticipationAoût[[#This Row],[1]:[31]],Code10)</f>
        <v>0</v>
      </c>
      <c r="AT18" s="30">
        <f>COUNTIF(ParticipationAoût[[#This Row],[1]:[31]],Code11)</f>
        <v>0</v>
      </c>
      <c r="AU18" s="30">
        <f>COUNTIF(ParticipationAoût[[#This Row],[1]:[31]],Code12)</f>
        <v>0</v>
      </c>
      <c r="AV18" s="30">
        <f>COUNTIF(ParticipationAoût[[#This Row],[1]:[31]],Code13)</f>
        <v>0</v>
      </c>
      <c r="AW18" s="30">
        <f>COUNTIF(ParticipationAoût[[#This Row],[1]:[31]],Code14)</f>
        <v>0</v>
      </c>
      <c r="AX18" s="30">
        <f>COUNTIF(ParticipationAoût[[#This Row],[1]:[31]],Code15)</f>
        <v>0</v>
      </c>
      <c r="AY18" s="30">
        <f>COUNTIF(ParticipationAoût[[#This Row],[1]:[31]],Code16)</f>
        <v>0</v>
      </c>
      <c r="AZ18" s="30">
        <f>COUNTIF(ParticipationAoût[[#This Row],[1]:[31]],Code17)</f>
        <v>0</v>
      </c>
      <c r="BA18" s="30">
        <f>COUNTIF(ParticipationAoût[[#This Row],[1]:[31]],Code25)</f>
        <v>0</v>
      </c>
      <c r="BB18" s="30">
        <f>COUNTIF(ParticipationAoût[[#This Row],[1]:[31]],Code26)</f>
        <v>0</v>
      </c>
      <c r="BC18" s="433">
        <f>COUNTIF(ParticipationAoût[[#This Row],[1]:[31]],Code27)</f>
        <v>0</v>
      </c>
      <c r="BD18" s="30">
        <f>COUNTIF(ParticipationAoût[[#This Row],[1]:[31]],Code28)</f>
        <v>0</v>
      </c>
      <c r="BE18" s="30">
        <f>COUNTIF(ParticipationAoût[[#This Row],[1]:[31]],code30)</f>
        <v>0</v>
      </c>
      <c r="BF18" s="30">
        <f>COUNTIF(ParticipationAoût[[#This Row],[1]:[31]],Code31)</f>
        <v>0</v>
      </c>
      <c r="BG18" s="30">
        <f>COUNTIF(ParticipationAoût[[#This Row],[1]:[31]],code21)</f>
        <v>0</v>
      </c>
      <c r="BH18" s="30">
        <f>COUNTIF(ParticipationAoût[[#This Row],[1]:[31]],Code24)</f>
        <v>0</v>
      </c>
      <c r="BI18" s="30">
        <f>COUNTIF(ParticipationAoût[[#This Row],[1]:[31]],code18)</f>
        <v>0</v>
      </c>
      <c r="BJ18" s="30">
        <f>COUNTIF(ParticipationAoût[[#This Row],[1]:[31]],code19)</f>
        <v>0</v>
      </c>
      <c r="BK18" s="164">
        <f>COUNTIF(ParticipationAoût[[#This Row],[1]:[31]],code20)</f>
        <v>0</v>
      </c>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314"/>
      <c r="CT18" s="191">
        <f t="shared" si="0"/>
        <v>0</v>
      </c>
      <c r="CU18" s="192">
        <f t="shared" si="1"/>
        <v>0</v>
      </c>
      <c r="CV18" s="237">
        <f t="shared" si="2"/>
        <v>0</v>
      </c>
      <c r="CW18" s="244">
        <f t="shared" si="3"/>
        <v>0</v>
      </c>
    </row>
    <row r="19" spans="1:102" ht="16.5" customHeight="1" thickTop="1" thickBot="1">
      <c r="A19" s="29"/>
      <c r="B19" s="152" t="str">
        <f>IFERROR(VLOOKUP(ParticipationAoût[[#This Row],[Référence]],ListeÉtudiants1[],18,FALSE),"")</f>
        <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44"/>
      <c r="AH19" s="6">
        <f>COUNTIF(ParticipationAoût[[#This Row],[1]:[31]],Code1)</f>
        <v>0</v>
      </c>
      <c r="AI19" s="6">
        <f>COUNTIF(ParticipationAoût[[#This Row],[1]:[31]],code22)</f>
        <v>0</v>
      </c>
      <c r="AJ19" s="30">
        <f>COUNTIF(ParticipationAoût[[#This Row],[1]:[31]],Code2)</f>
        <v>0</v>
      </c>
      <c r="AK19" s="30">
        <f>COUNTIF(ParticipationAoût[[#This Row],[1]:[31]],Code3)</f>
        <v>0</v>
      </c>
      <c r="AL19" s="30">
        <f>COUNTIF(ParticipationAoût[[#This Row],[1]:[31]],Code4)</f>
        <v>0</v>
      </c>
      <c r="AM19" s="84">
        <f>COUNTIF(ParticipationAoût[[#This Row],[1]:[31]],Code5)</f>
        <v>0</v>
      </c>
      <c r="AN19" s="30">
        <f>COUNTIF(ParticipationAoût[[#This Row],[1]:[31]],Code23)</f>
        <v>0</v>
      </c>
      <c r="AO19" s="84">
        <f>COUNTIF(ParticipationAoût[[#This Row],[1]:[31]],Code6)</f>
        <v>0</v>
      </c>
      <c r="AP19" s="84">
        <f>COUNTIF(ParticipationAoût[[#This Row],[1]:[31]],Code7)</f>
        <v>0</v>
      </c>
      <c r="AQ19" s="30">
        <f>COUNTIF(ParticipationAoût[[#This Row],[1]:[31]],Code8)</f>
        <v>0</v>
      </c>
      <c r="AR19" s="30">
        <f>COUNTIF(ParticipationAoût[[#This Row],[1]:[31]],Code9)</f>
        <v>0</v>
      </c>
      <c r="AS19" s="30">
        <f>COUNTIF(ParticipationAoût[[#This Row],[1]:[31]],Code10)</f>
        <v>0</v>
      </c>
      <c r="AT19" s="30">
        <f>COUNTIF(ParticipationAoût[[#This Row],[1]:[31]],Code11)</f>
        <v>0</v>
      </c>
      <c r="AU19" s="30">
        <f>COUNTIF(ParticipationAoût[[#This Row],[1]:[31]],Code12)</f>
        <v>0</v>
      </c>
      <c r="AV19" s="30">
        <f>COUNTIF(ParticipationAoût[[#This Row],[1]:[31]],Code13)</f>
        <v>0</v>
      </c>
      <c r="AW19" s="30">
        <f>COUNTIF(ParticipationAoût[[#This Row],[1]:[31]],Code14)</f>
        <v>0</v>
      </c>
      <c r="AX19" s="30">
        <f>COUNTIF(ParticipationAoût[[#This Row],[1]:[31]],Code15)</f>
        <v>0</v>
      </c>
      <c r="AY19" s="30">
        <f>COUNTIF(ParticipationAoût[[#This Row],[1]:[31]],Code16)</f>
        <v>0</v>
      </c>
      <c r="AZ19" s="30">
        <f>COUNTIF(ParticipationAoût[[#This Row],[1]:[31]],Code17)</f>
        <v>0</v>
      </c>
      <c r="BA19" s="30">
        <f>COUNTIF(ParticipationAoût[[#This Row],[1]:[31]],Code25)</f>
        <v>0</v>
      </c>
      <c r="BB19" s="30">
        <f>COUNTIF(ParticipationAoût[[#This Row],[1]:[31]],Code26)</f>
        <v>0</v>
      </c>
      <c r="BC19" s="433">
        <f>COUNTIF(ParticipationAoût[[#This Row],[1]:[31]],Code27)</f>
        <v>0</v>
      </c>
      <c r="BD19" s="30">
        <f>COUNTIF(ParticipationAoût[[#This Row],[1]:[31]],Code28)</f>
        <v>0</v>
      </c>
      <c r="BE19" s="30">
        <f>COUNTIF(ParticipationAoût[[#This Row],[1]:[31]],code30)</f>
        <v>0</v>
      </c>
      <c r="BF19" s="30">
        <f>COUNTIF(ParticipationAoût[[#This Row],[1]:[31]],Code31)</f>
        <v>0</v>
      </c>
      <c r="BG19" s="30">
        <f>COUNTIF(ParticipationAoût[[#This Row],[1]:[31]],code21)</f>
        <v>0</v>
      </c>
      <c r="BH19" s="30">
        <f>COUNTIF(ParticipationAoût[[#This Row],[1]:[31]],Code24)</f>
        <v>0</v>
      </c>
      <c r="BI19" s="30">
        <f>COUNTIF(ParticipationAoût[[#This Row],[1]:[31]],code18)</f>
        <v>0</v>
      </c>
      <c r="BJ19" s="30">
        <f>COUNTIF(ParticipationAoût[[#This Row],[1]:[31]],code19)</f>
        <v>0</v>
      </c>
      <c r="BK19" s="164">
        <f>COUNTIF(ParticipationAoût[[#This Row],[1]:[31]],code20)</f>
        <v>0</v>
      </c>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30"/>
      <c r="CT19" s="191">
        <f t="shared" si="0"/>
        <v>0</v>
      </c>
      <c r="CU19" s="192">
        <f t="shared" si="1"/>
        <v>0</v>
      </c>
      <c r="CV19" s="237">
        <f t="shared" si="2"/>
        <v>0</v>
      </c>
      <c r="CW19" s="182">
        <f t="shared" si="3"/>
        <v>0</v>
      </c>
    </row>
    <row r="20" spans="1:102" ht="16.5" customHeight="1" thickTop="1" thickBot="1">
      <c r="A20" s="29"/>
      <c r="B20" s="152" t="str">
        <f>IFERROR(VLOOKUP(ParticipationAoût[[#This Row],[Référence]],ListeÉtudiants1[],18,FALSE),"")</f>
        <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44"/>
      <c r="AH20" s="6">
        <f>COUNTIF(ParticipationAoût[[#This Row],[1]:[31]],Code1)</f>
        <v>0</v>
      </c>
      <c r="AI20" s="6">
        <f>COUNTIF(ParticipationAoût[[#This Row],[1]:[31]],code22)</f>
        <v>0</v>
      </c>
      <c r="AJ20" s="30">
        <f>COUNTIF(ParticipationAoût[[#This Row],[1]:[31]],Code2)</f>
        <v>0</v>
      </c>
      <c r="AK20" s="30">
        <f>COUNTIF(ParticipationAoût[[#This Row],[1]:[31]],Code3)</f>
        <v>0</v>
      </c>
      <c r="AL20" s="30">
        <f>COUNTIF(ParticipationAoût[[#This Row],[1]:[31]],Code4)</f>
        <v>0</v>
      </c>
      <c r="AM20" s="84">
        <f>COUNTIF(ParticipationAoût[[#This Row],[1]:[31]],Code5)</f>
        <v>0</v>
      </c>
      <c r="AN20" s="30">
        <f>COUNTIF(ParticipationAoût[[#This Row],[1]:[31]],Code23)</f>
        <v>0</v>
      </c>
      <c r="AO20" s="84">
        <f>COUNTIF(ParticipationAoût[[#This Row],[1]:[31]],Code6)</f>
        <v>0</v>
      </c>
      <c r="AP20" s="84">
        <f>COUNTIF(ParticipationAoût[[#This Row],[1]:[31]],Code7)</f>
        <v>0</v>
      </c>
      <c r="AQ20" s="30">
        <f>COUNTIF(ParticipationAoût[[#This Row],[1]:[31]],Code8)</f>
        <v>0</v>
      </c>
      <c r="AR20" s="30">
        <f>COUNTIF(ParticipationAoût[[#This Row],[1]:[31]],Code9)</f>
        <v>0</v>
      </c>
      <c r="AS20" s="30">
        <f>COUNTIF(ParticipationAoût[[#This Row],[1]:[31]],Code10)</f>
        <v>0</v>
      </c>
      <c r="AT20" s="30">
        <f>COUNTIF(ParticipationAoût[[#This Row],[1]:[31]],Code11)</f>
        <v>0</v>
      </c>
      <c r="AU20" s="30">
        <f>COUNTIF(ParticipationAoût[[#This Row],[1]:[31]],Code12)</f>
        <v>0</v>
      </c>
      <c r="AV20" s="30">
        <f>COUNTIF(ParticipationAoût[[#This Row],[1]:[31]],Code13)</f>
        <v>0</v>
      </c>
      <c r="AW20" s="30">
        <f>COUNTIF(ParticipationAoût[[#This Row],[1]:[31]],Code14)</f>
        <v>0</v>
      </c>
      <c r="AX20" s="30">
        <f>COUNTIF(ParticipationAoût[[#This Row],[1]:[31]],Code15)</f>
        <v>0</v>
      </c>
      <c r="AY20" s="30">
        <f>COUNTIF(ParticipationAoût[[#This Row],[1]:[31]],Code16)</f>
        <v>0</v>
      </c>
      <c r="AZ20" s="30">
        <f>COUNTIF(ParticipationAoût[[#This Row],[1]:[31]],Code17)</f>
        <v>0</v>
      </c>
      <c r="BA20" s="30">
        <f>COUNTIF(ParticipationAoût[[#This Row],[1]:[31]],Code25)</f>
        <v>0</v>
      </c>
      <c r="BB20" s="30">
        <f>COUNTIF(ParticipationAoût[[#This Row],[1]:[31]],Code26)</f>
        <v>0</v>
      </c>
      <c r="BC20" s="433">
        <f>COUNTIF(ParticipationAoût[[#This Row],[1]:[31]],Code27)</f>
        <v>0</v>
      </c>
      <c r="BD20" s="30">
        <f>COUNTIF(ParticipationAoût[[#This Row],[1]:[31]],Code28)</f>
        <v>0</v>
      </c>
      <c r="BE20" s="30">
        <f>COUNTIF(ParticipationAoût[[#This Row],[1]:[31]],code30)</f>
        <v>0</v>
      </c>
      <c r="BF20" s="30">
        <f>COUNTIF(ParticipationAoût[[#This Row],[1]:[31]],Code31)</f>
        <v>0</v>
      </c>
      <c r="BG20" s="30">
        <f>COUNTIF(ParticipationAoût[[#This Row],[1]:[31]],code21)</f>
        <v>0</v>
      </c>
      <c r="BH20" s="30">
        <f>COUNTIF(ParticipationAoût[[#This Row],[1]:[31]],Code24)</f>
        <v>0</v>
      </c>
      <c r="BI20" s="30">
        <f>COUNTIF(ParticipationAoût[[#This Row],[1]:[31]],code18)</f>
        <v>0</v>
      </c>
      <c r="BJ20" s="30">
        <f>COUNTIF(ParticipationAoût[[#This Row],[1]:[31]],code19)</f>
        <v>0</v>
      </c>
      <c r="BK20" s="164">
        <f>COUNTIF(ParticipationAoût[[#This Row],[1]:[31]],code20)</f>
        <v>0</v>
      </c>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314"/>
      <c r="CT20" s="191">
        <f t="shared" si="0"/>
        <v>0</v>
      </c>
      <c r="CU20" s="192">
        <f t="shared" si="1"/>
        <v>0</v>
      </c>
      <c r="CV20" s="237">
        <f t="shared" si="2"/>
        <v>0</v>
      </c>
      <c r="CW20" s="194">
        <f t="shared" si="3"/>
        <v>0</v>
      </c>
    </row>
    <row r="21" spans="1:102" ht="16.5" customHeight="1" thickTop="1" thickBot="1">
      <c r="A21" s="29"/>
      <c r="B21" s="152" t="str">
        <f>IFERROR(VLOOKUP(ParticipationAoût[[#This Row],[Référence]],ListeÉtudiants1[],18,FALSE),"")</f>
        <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44"/>
      <c r="AH21" s="6">
        <f>COUNTIF(ParticipationAoût[[#This Row],[1]:[31]],Code1)</f>
        <v>0</v>
      </c>
      <c r="AI21" s="6">
        <f>COUNTIF(ParticipationAoût[[#This Row],[1]:[31]],code22)</f>
        <v>0</v>
      </c>
      <c r="AJ21" s="30">
        <f>COUNTIF(ParticipationAoût[[#This Row],[1]:[31]],Code2)</f>
        <v>0</v>
      </c>
      <c r="AK21" s="30">
        <f>COUNTIF(ParticipationAoût[[#This Row],[1]:[31]],Code3)</f>
        <v>0</v>
      </c>
      <c r="AL21" s="30">
        <f>COUNTIF(ParticipationAoût[[#This Row],[1]:[31]],Code4)</f>
        <v>0</v>
      </c>
      <c r="AM21" s="84">
        <f>COUNTIF(ParticipationAoût[[#This Row],[1]:[31]],Code5)</f>
        <v>0</v>
      </c>
      <c r="AN21" s="30">
        <f>COUNTIF(ParticipationAoût[[#This Row],[1]:[31]],Code23)</f>
        <v>0</v>
      </c>
      <c r="AO21" s="84">
        <f>COUNTIF(ParticipationAoût[[#This Row],[1]:[31]],Code6)</f>
        <v>0</v>
      </c>
      <c r="AP21" s="84">
        <f>COUNTIF(ParticipationAoût[[#This Row],[1]:[31]],Code7)</f>
        <v>0</v>
      </c>
      <c r="AQ21" s="30">
        <f>COUNTIF(ParticipationAoût[[#This Row],[1]:[31]],Code8)</f>
        <v>0</v>
      </c>
      <c r="AR21" s="30">
        <f>COUNTIF(ParticipationAoût[[#This Row],[1]:[31]],Code9)</f>
        <v>0</v>
      </c>
      <c r="AS21" s="30">
        <f>COUNTIF(ParticipationAoût[[#This Row],[1]:[31]],Code10)</f>
        <v>0</v>
      </c>
      <c r="AT21" s="30">
        <f>COUNTIF(ParticipationAoût[[#This Row],[1]:[31]],Code11)</f>
        <v>0</v>
      </c>
      <c r="AU21" s="30">
        <f>COUNTIF(ParticipationAoût[[#This Row],[1]:[31]],Code12)</f>
        <v>0</v>
      </c>
      <c r="AV21" s="30">
        <f>COUNTIF(ParticipationAoût[[#This Row],[1]:[31]],Code13)</f>
        <v>0</v>
      </c>
      <c r="AW21" s="30">
        <f>COUNTIF(ParticipationAoût[[#This Row],[1]:[31]],Code14)</f>
        <v>0</v>
      </c>
      <c r="AX21" s="30">
        <f>COUNTIF(ParticipationAoût[[#This Row],[1]:[31]],Code15)</f>
        <v>0</v>
      </c>
      <c r="AY21" s="30">
        <f>COUNTIF(ParticipationAoût[[#This Row],[1]:[31]],Code16)</f>
        <v>0</v>
      </c>
      <c r="AZ21" s="30">
        <f>COUNTIF(ParticipationAoût[[#This Row],[1]:[31]],Code17)</f>
        <v>0</v>
      </c>
      <c r="BA21" s="30">
        <f>COUNTIF(ParticipationAoût[[#This Row],[1]:[31]],Code25)</f>
        <v>0</v>
      </c>
      <c r="BB21" s="30">
        <f>COUNTIF(ParticipationAoût[[#This Row],[1]:[31]],Code26)</f>
        <v>0</v>
      </c>
      <c r="BC21" s="433">
        <f>COUNTIF(ParticipationAoût[[#This Row],[1]:[31]],Code27)</f>
        <v>0</v>
      </c>
      <c r="BD21" s="30">
        <f>COUNTIF(ParticipationAoût[[#This Row],[1]:[31]],Code28)</f>
        <v>0</v>
      </c>
      <c r="BE21" s="30">
        <f>COUNTIF(ParticipationAoût[[#This Row],[1]:[31]],code30)</f>
        <v>0</v>
      </c>
      <c r="BF21" s="30">
        <f>COUNTIF(ParticipationAoût[[#This Row],[1]:[31]],Code31)</f>
        <v>0</v>
      </c>
      <c r="BG21" s="30">
        <f>COUNTIF(ParticipationAoût[[#This Row],[1]:[31]],code21)</f>
        <v>0</v>
      </c>
      <c r="BH21" s="30">
        <f>COUNTIF(ParticipationAoût[[#This Row],[1]:[31]],Code24)</f>
        <v>0</v>
      </c>
      <c r="BI21" s="30">
        <f>COUNTIF(ParticipationAoût[[#This Row],[1]:[31]],code18)</f>
        <v>0</v>
      </c>
      <c r="BJ21" s="30">
        <f>COUNTIF(ParticipationAoût[[#This Row],[1]:[31]],code19)</f>
        <v>0</v>
      </c>
      <c r="BK21" s="164">
        <f>COUNTIF(ParticipationAoût[[#This Row],[1]:[31]],code20)</f>
        <v>0</v>
      </c>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30"/>
      <c r="CT21" s="191">
        <f t="shared" si="0"/>
        <v>0</v>
      </c>
      <c r="CU21" s="192">
        <f t="shared" si="1"/>
        <v>0</v>
      </c>
      <c r="CV21" s="237">
        <f t="shared" si="2"/>
        <v>0</v>
      </c>
      <c r="CW21" s="194">
        <f t="shared" si="3"/>
        <v>0</v>
      </c>
    </row>
    <row r="22" spans="1:102" ht="16.5" customHeight="1" thickTop="1" thickBot="1">
      <c r="A22" s="29"/>
      <c r="B22" s="152" t="str">
        <f>IFERROR(VLOOKUP(ParticipationAoût[[#This Row],[Référence]],ListeÉtudiants1[],18,FALSE),"")</f>
        <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44"/>
      <c r="AH22" s="6">
        <f>COUNTIF(ParticipationAoût[[#This Row],[1]:[31]],Code1)</f>
        <v>0</v>
      </c>
      <c r="AI22" s="6">
        <f>COUNTIF(ParticipationAoût[[#This Row],[1]:[31]],code22)</f>
        <v>0</v>
      </c>
      <c r="AJ22" s="30">
        <f>COUNTIF(ParticipationAoût[[#This Row],[1]:[31]],Code2)</f>
        <v>0</v>
      </c>
      <c r="AK22" s="30">
        <f>COUNTIF(ParticipationAoût[[#This Row],[1]:[31]],Code3)</f>
        <v>0</v>
      </c>
      <c r="AL22" s="30">
        <f>COUNTIF(ParticipationAoût[[#This Row],[1]:[31]],Code4)</f>
        <v>0</v>
      </c>
      <c r="AM22" s="84">
        <f>COUNTIF(ParticipationAoût[[#This Row],[1]:[31]],Code5)</f>
        <v>0</v>
      </c>
      <c r="AN22" s="30">
        <f>COUNTIF(ParticipationAoût[[#This Row],[1]:[31]],Code23)</f>
        <v>0</v>
      </c>
      <c r="AO22" s="84">
        <f>COUNTIF(ParticipationAoût[[#This Row],[1]:[31]],Code6)</f>
        <v>0</v>
      </c>
      <c r="AP22" s="84">
        <f>COUNTIF(ParticipationAoût[[#This Row],[1]:[31]],Code7)</f>
        <v>0</v>
      </c>
      <c r="AQ22" s="30">
        <f>COUNTIF(ParticipationAoût[[#This Row],[1]:[31]],Code8)</f>
        <v>0</v>
      </c>
      <c r="AR22" s="30">
        <f>COUNTIF(ParticipationAoût[[#This Row],[1]:[31]],Code9)</f>
        <v>0</v>
      </c>
      <c r="AS22" s="30">
        <f>COUNTIF(ParticipationAoût[[#This Row],[1]:[31]],Code10)</f>
        <v>0</v>
      </c>
      <c r="AT22" s="30">
        <f>COUNTIF(ParticipationAoût[[#This Row],[1]:[31]],Code11)</f>
        <v>0</v>
      </c>
      <c r="AU22" s="30">
        <f>COUNTIF(ParticipationAoût[[#This Row],[1]:[31]],Code12)</f>
        <v>0</v>
      </c>
      <c r="AV22" s="30">
        <f>COUNTIF(ParticipationAoût[[#This Row],[1]:[31]],Code13)</f>
        <v>0</v>
      </c>
      <c r="AW22" s="30">
        <f>COUNTIF(ParticipationAoût[[#This Row],[1]:[31]],Code14)</f>
        <v>0</v>
      </c>
      <c r="AX22" s="30">
        <f>COUNTIF(ParticipationAoût[[#This Row],[1]:[31]],Code15)</f>
        <v>0</v>
      </c>
      <c r="AY22" s="30">
        <f>COUNTIF(ParticipationAoût[[#This Row],[1]:[31]],Code16)</f>
        <v>0</v>
      </c>
      <c r="AZ22" s="30">
        <f>COUNTIF(ParticipationAoût[[#This Row],[1]:[31]],Code17)</f>
        <v>0</v>
      </c>
      <c r="BA22" s="30">
        <f>COUNTIF(ParticipationAoût[[#This Row],[1]:[31]],Code25)</f>
        <v>0</v>
      </c>
      <c r="BB22" s="30">
        <f>COUNTIF(ParticipationAoût[[#This Row],[1]:[31]],Code26)</f>
        <v>0</v>
      </c>
      <c r="BC22" s="433">
        <f>COUNTIF(ParticipationAoût[[#This Row],[1]:[31]],Code27)</f>
        <v>0</v>
      </c>
      <c r="BD22" s="30">
        <f>COUNTIF(ParticipationAoût[[#This Row],[1]:[31]],Code28)</f>
        <v>0</v>
      </c>
      <c r="BE22" s="30">
        <f>COUNTIF(ParticipationAoût[[#This Row],[1]:[31]],code30)</f>
        <v>0</v>
      </c>
      <c r="BF22" s="30">
        <f>COUNTIF(ParticipationAoût[[#This Row],[1]:[31]],Code31)</f>
        <v>0</v>
      </c>
      <c r="BG22" s="30">
        <f>COUNTIF(ParticipationAoût[[#This Row],[1]:[31]],code21)</f>
        <v>0</v>
      </c>
      <c r="BH22" s="30">
        <f>COUNTIF(ParticipationAoût[[#This Row],[1]:[31]],Code24)</f>
        <v>0</v>
      </c>
      <c r="BI22" s="30">
        <f>COUNTIF(ParticipationAoût[[#This Row],[1]:[31]],code18)</f>
        <v>0</v>
      </c>
      <c r="BJ22" s="30">
        <f>COUNTIF(ParticipationAoût[[#This Row],[1]:[31]],code19)</f>
        <v>0</v>
      </c>
      <c r="BK22" s="164">
        <f>COUNTIF(ParticipationAoût[[#This Row],[1]:[31]],code20)</f>
        <v>0</v>
      </c>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314"/>
      <c r="CT22" s="191">
        <f t="shared" si="0"/>
        <v>0</v>
      </c>
      <c r="CU22" s="192">
        <f t="shared" si="1"/>
        <v>0</v>
      </c>
      <c r="CV22" s="237">
        <f t="shared" si="2"/>
        <v>0</v>
      </c>
      <c r="CW22" s="182">
        <f t="shared" si="3"/>
        <v>0</v>
      </c>
    </row>
    <row r="23" spans="1:102" ht="16.5" customHeight="1" thickTop="1" thickBot="1">
      <c r="A23" s="29"/>
      <c r="B23" s="152" t="str">
        <f>IFERROR(VLOOKUP(ParticipationAoût[[#This Row],[Référence]],ListeÉtudiants1[],18,FALSE),"")</f>
        <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44"/>
      <c r="AH23" s="6">
        <f>COUNTIF(ParticipationAoût[[#This Row],[1]:[31]],Code1)</f>
        <v>0</v>
      </c>
      <c r="AI23" s="6">
        <f>COUNTIF(ParticipationAoût[[#This Row],[1]:[31]],code22)</f>
        <v>0</v>
      </c>
      <c r="AJ23" s="30">
        <f>COUNTIF(ParticipationAoût[[#This Row],[1]:[31]],Code2)</f>
        <v>0</v>
      </c>
      <c r="AK23" s="30">
        <f>COUNTIF(ParticipationAoût[[#This Row],[1]:[31]],Code3)</f>
        <v>0</v>
      </c>
      <c r="AL23" s="30">
        <f>COUNTIF(ParticipationAoût[[#This Row],[1]:[31]],Code4)</f>
        <v>0</v>
      </c>
      <c r="AM23" s="84">
        <f>COUNTIF(ParticipationAoût[[#This Row],[1]:[31]],Code5)</f>
        <v>0</v>
      </c>
      <c r="AN23" s="30">
        <f>COUNTIF(ParticipationAoût[[#This Row],[1]:[31]],Code23)</f>
        <v>0</v>
      </c>
      <c r="AO23" s="84">
        <f>COUNTIF(ParticipationAoût[[#This Row],[1]:[31]],Code6)</f>
        <v>0</v>
      </c>
      <c r="AP23" s="84">
        <f>COUNTIF(ParticipationAoût[[#This Row],[1]:[31]],Code7)</f>
        <v>0</v>
      </c>
      <c r="AQ23" s="30">
        <f>COUNTIF(ParticipationAoût[[#This Row],[1]:[31]],Code8)</f>
        <v>0</v>
      </c>
      <c r="AR23" s="30">
        <f>COUNTIF(ParticipationAoût[[#This Row],[1]:[31]],Code9)</f>
        <v>0</v>
      </c>
      <c r="AS23" s="30">
        <f>COUNTIF(ParticipationAoût[[#This Row],[1]:[31]],Code10)</f>
        <v>0</v>
      </c>
      <c r="AT23" s="30">
        <f>COUNTIF(ParticipationAoût[[#This Row],[1]:[31]],Code11)</f>
        <v>0</v>
      </c>
      <c r="AU23" s="30">
        <f>COUNTIF(ParticipationAoût[[#This Row],[1]:[31]],Code12)</f>
        <v>0</v>
      </c>
      <c r="AV23" s="30">
        <f>COUNTIF(ParticipationAoût[[#This Row],[1]:[31]],Code13)</f>
        <v>0</v>
      </c>
      <c r="AW23" s="30">
        <f>COUNTIF(ParticipationAoût[[#This Row],[1]:[31]],Code14)</f>
        <v>0</v>
      </c>
      <c r="AX23" s="30">
        <f>COUNTIF(ParticipationAoût[[#This Row],[1]:[31]],Code15)</f>
        <v>0</v>
      </c>
      <c r="AY23" s="30">
        <f>COUNTIF(ParticipationAoût[[#This Row],[1]:[31]],Code16)</f>
        <v>0</v>
      </c>
      <c r="AZ23" s="30">
        <f>COUNTIF(ParticipationAoût[[#This Row],[1]:[31]],Code17)</f>
        <v>0</v>
      </c>
      <c r="BA23" s="30">
        <f>COUNTIF(ParticipationAoût[[#This Row],[1]:[31]],Code25)</f>
        <v>0</v>
      </c>
      <c r="BB23" s="30">
        <f>COUNTIF(ParticipationAoût[[#This Row],[1]:[31]],Code26)</f>
        <v>0</v>
      </c>
      <c r="BC23" s="433">
        <f>COUNTIF(ParticipationAoût[[#This Row],[1]:[31]],Code27)</f>
        <v>0</v>
      </c>
      <c r="BD23" s="30">
        <f>COUNTIF(ParticipationAoût[[#This Row],[1]:[31]],Code28)</f>
        <v>0</v>
      </c>
      <c r="BE23" s="30">
        <f>COUNTIF(ParticipationAoût[[#This Row],[1]:[31]],code30)</f>
        <v>0</v>
      </c>
      <c r="BF23" s="30">
        <f>COUNTIF(ParticipationAoût[[#This Row],[1]:[31]],Code31)</f>
        <v>0</v>
      </c>
      <c r="BG23" s="30">
        <f>COUNTIF(ParticipationAoût[[#This Row],[1]:[31]],code21)</f>
        <v>0</v>
      </c>
      <c r="BH23" s="30">
        <f>COUNTIF(ParticipationAoût[[#This Row],[1]:[31]],Code24)</f>
        <v>0</v>
      </c>
      <c r="BI23" s="30">
        <f>COUNTIF(ParticipationAoût[[#This Row],[1]:[31]],code18)</f>
        <v>0</v>
      </c>
      <c r="BJ23" s="30">
        <f>COUNTIF(ParticipationAoût[[#This Row],[1]:[31]],code19)</f>
        <v>0</v>
      </c>
      <c r="BK23" s="164">
        <f>COUNTIF(ParticipationAoût[[#This Row],[1]:[31]],code20)</f>
        <v>0</v>
      </c>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30"/>
      <c r="CT23" s="191">
        <f t="shared" si="0"/>
        <v>0</v>
      </c>
      <c r="CU23" s="192">
        <f t="shared" si="1"/>
        <v>0</v>
      </c>
      <c r="CV23" s="237">
        <f t="shared" si="2"/>
        <v>0</v>
      </c>
      <c r="CW23" s="194">
        <f t="shared" si="3"/>
        <v>0</v>
      </c>
    </row>
    <row r="24" spans="1:102" ht="16.5" customHeight="1" thickTop="1" thickBot="1">
      <c r="A24" s="29"/>
      <c r="B24" s="152" t="str">
        <f>IFERROR(VLOOKUP(ParticipationAoût[[#This Row],[Référence]],ListeÉtudiants1[],18,FALSE),"")</f>
        <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44"/>
      <c r="AH24" s="6">
        <f>COUNTIF(ParticipationAoût[[#This Row],[1]:[31]],Code1)</f>
        <v>0</v>
      </c>
      <c r="AI24" s="6">
        <f>COUNTIF(ParticipationAoût[[#This Row],[1]:[31]],code22)</f>
        <v>0</v>
      </c>
      <c r="AJ24" s="30">
        <f>COUNTIF(ParticipationAoût[[#This Row],[1]:[31]],Code2)</f>
        <v>0</v>
      </c>
      <c r="AK24" s="30">
        <f>COUNTIF(ParticipationAoût[[#This Row],[1]:[31]],Code3)</f>
        <v>0</v>
      </c>
      <c r="AL24" s="30">
        <f>COUNTIF(ParticipationAoût[[#This Row],[1]:[31]],Code4)</f>
        <v>0</v>
      </c>
      <c r="AM24" s="84">
        <f>COUNTIF(ParticipationAoût[[#This Row],[1]:[31]],Code5)</f>
        <v>0</v>
      </c>
      <c r="AN24" s="30">
        <f>COUNTIF(ParticipationAoût[[#This Row],[1]:[31]],Code23)</f>
        <v>0</v>
      </c>
      <c r="AO24" s="84">
        <f>COUNTIF(ParticipationAoût[[#This Row],[1]:[31]],Code6)</f>
        <v>0</v>
      </c>
      <c r="AP24" s="84">
        <f>COUNTIF(ParticipationAoût[[#This Row],[1]:[31]],Code7)</f>
        <v>0</v>
      </c>
      <c r="AQ24" s="30">
        <f>COUNTIF(ParticipationAoût[[#This Row],[1]:[31]],Code8)</f>
        <v>0</v>
      </c>
      <c r="AR24" s="30">
        <f>COUNTIF(ParticipationAoût[[#This Row],[1]:[31]],Code9)</f>
        <v>0</v>
      </c>
      <c r="AS24" s="30">
        <f>COUNTIF(ParticipationAoût[[#This Row],[1]:[31]],Code10)</f>
        <v>0</v>
      </c>
      <c r="AT24" s="30">
        <f>COUNTIF(ParticipationAoût[[#This Row],[1]:[31]],Code11)</f>
        <v>0</v>
      </c>
      <c r="AU24" s="30">
        <f>COUNTIF(ParticipationAoût[[#This Row],[1]:[31]],Code12)</f>
        <v>0</v>
      </c>
      <c r="AV24" s="30">
        <f>COUNTIF(ParticipationAoût[[#This Row],[1]:[31]],Code13)</f>
        <v>0</v>
      </c>
      <c r="AW24" s="30">
        <f>COUNTIF(ParticipationAoût[[#This Row],[1]:[31]],Code14)</f>
        <v>0</v>
      </c>
      <c r="AX24" s="30">
        <f>COUNTIF(ParticipationAoût[[#This Row],[1]:[31]],Code15)</f>
        <v>0</v>
      </c>
      <c r="AY24" s="30">
        <f>COUNTIF(ParticipationAoût[[#This Row],[1]:[31]],Code16)</f>
        <v>0</v>
      </c>
      <c r="AZ24" s="30">
        <f>COUNTIF(ParticipationAoût[[#This Row],[1]:[31]],Code17)</f>
        <v>0</v>
      </c>
      <c r="BA24" s="30">
        <f>COUNTIF(ParticipationAoût[[#This Row],[1]:[31]],Code25)</f>
        <v>0</v>
      </c>
      <c r="BB24" s="30">
        <f>COUNTIF(ParticipationAoût[[#This Row],[1]:[31]],Code26)</f>
        <v>0</v>
      </c>
      <c r="BC24" s="433">
        <f>COUNTIF(ParticipationAoût[[#This Row],[1]:[31]],Code27)</f>
        <v>0</v>
      </c>
      <c r="BD24" s="30">
        <f>COUNTIF(ParticipationAoût[[#This Row],[1]:[31]],Code28)</f>
        <v>0</v>
      </c>
      <c r="BE24" s="30">
        <f>COUNTIF(ParticipationAoût[[#This Row],[1]:[31]],code30)</f>
        <v>0</v>
      </c>
      <c r="BF24" s="30">
        <f>COUNTIF(ParticipationAoût[[#This Row],[1]:[31]],Code31)</f>
        <v>0</v>
      </c>
      <c r="BG24" s="30">
        <f>COUNTIF(ParticipationAoût[[#This Row],[1]:[31]],code21)</f>
        <v>0</v>
      </c>
      <c r="BH24" s="30">
        <f>COUNTIF(ParticipationAoût[[#This Row],[1]:[31]],Code24)</f>
        <v>0</v>
      </c>
      <c r="BI24" s="30">
        <f>COUNTIF(ParticipationAoût[[#This Row],[1]:[31]],code18)</f>
        <v>0</v>
      </c>
      <c r="BJ24" s="30">
        <f>COUNTIF(ParticipationAoût[[#This Row],[1]:[31]],code19)</f>
        <v>0</v>
      </c>
      <c r="BK24" s="164">
        <f>COUNTIF(ParticipationAoût[[#This Row],[1]:[31]],code20)</f>
        <v>0</v>
      </c>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314"/>
      <c r="CT24" s="191">
        <f t="shared" si="0"/>
        <v>0</v>
      </c>
      <c r="CU24" s="192">
        <f t="shared" si="1"/>
        <v>0</v>
      </c>
      <c r="CV24" s="237">
        <f t="shared" si="2"/>
        <v>0</v>
      </c>
      <c r="CW24" s="194">
        <f t="shared" si="3"/>
        <v>0</v>
      </c>
    </row>
    <row r="25" spans="1:102" ht="16.5" customHeight="1" thickTop="1" thickBot="1">
      <c r="A25" s="29"/>
      <c r="B25" s="152" t="str">
        <f>IFERROR(VLOOKUP(ParticipationAoût[[#This Row],[Référence]],ListeÉtudiants1[],18,FALSE),"")</f>
        <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44"/>
      <c r="AH25" s="6">
        <f>COUNTIF(ParticipationAoût[[#This Row],[1]:[31]],Code1)</f>
        <v>0</v>
      </c>
      <c r="AI25" s="6">
        <f>COUNTIF(ParticipationAoût[[#This Row],[1]:[31]],code22)</f>
        <v>0</v>
      </c>
      <c r="AJ25" s="30">
        <f>COUNTIF(ParticipationAoût[[#This Row],[1]:[31]],Code2)</f>
        <v>0</v>
      </c>
      <c r="AK25" s="30">
        <f>COUNTIF(ParticipationAoût[[#This Row],[1]:[31]],Code3)</f>
        <v>0</v>
      </c>
      <c r="AL25" s="30">
        <f>COUNTIF(ParticipationAoût[[#This Row],[1]:[31]],Code4)</f>
        <v>0</v>
      </c>
      <c r="AM25" s="84">
        <f>COUNTIF(ParticipationAoût[[#This Row],[1]:[31]],Code5)</f>
        <v>0</v>
      </c>
      <c r="AN25" s="30">
        <f>COUNTIF(ParticipationAoût[[#This Row],[1]:[31]],Code23)</f>
        <v>0</v>
      </c>
      <c r="AO25" s="84">
        <f>COUNTIF(ParticipationAoût[[#This Row],[1]:[31]],Code6)</f>
        <v>0</v>
      </c>
      <c r="AP25" s="84">
        <f>COUNTIF(ParticipationAoût[[#This Row],[1]:[31]],Code7)</f>
        <v>0</v>
      </c>
      <c r="AQ25" s="30">
        <f>COUNTIF(ParticipationAoût[[#This Row],[1]:[31]],Code8)</f>
        <v>0</v>
      </c>
      <c r="AR25" s="30">
        <f>COUNTIF(ParticipationAoût[[#This Row],[1]:[31]],Code9)</f>
        <v>0</v>
      </c>
      <c r="AS25" s="30">
        <f>COUNTIF(ParticipationAoût[[#This Row],[1]:[31]],Code10)</f>
        <v>0</v>
      </c>
      <c r="AT25" s="30">
        <f>COUNTIF(ParticipationAoût[[#This Row],[1]:[31]],Code11)</f>
        <v>0</v>
      </c>
      <c r="AU25" s="30">
        <f>COUNTIF(ParticipationAoût[[#This Row],[1]:[31]],Code12)</f>
        <v>0</v>
      </c>
      <c r="AV25" s="30">
        <f>COUNTIF(ParticipationAoût[[#This Row],[1]:[31]],Code13)</f>
        <v>0</v>
      </c>
      <c r="AW25" s="30">
        <f>COUNTIF(ParticipationAoût[[#This Row],[1]:[31]],Code14)</f>
        <v>0</v>
      </c>
      <c r="AX25" s="30">
        <f>COUNTIF(ParticipationAoût[[#This Row],[1]:[31]],Code15)</f>
        <v>0</v>
      </c>
      <c r="AY25" s="30">
        <f>COUNTIF(ParticipationAoût[[#This Row],[1]:[31]],Code16)</f>
        <v>0</v>
      </c>
      <c r="AZ25" s="30">
        <f>COUNTIF(ParticipationAoût[[#This Row],[1]:[31]],Code17)</f>
        <v>0</v>
      </c>
      <c r="BA25" s="30">
        <f>COUNTIF(ParticipationAoût[[#This Row],[1]:[31]],Code25)</f>
        <v>0</v>
      </c>
      <c r="BB25" s="30">
        <f>COUNTIF(ParticipationAoût[[#This Row],[1]:[31]],Code26)</f>
        <v>0</v>
      </c>
      <c r="BC25" s="433">
        <f>COUNTIF(ParticipationAoût[[#This Row],[1]:[31]],Code27)</f>
        <v>0</v>
      </c>
      <c r="BD25" s="30">
        <f>COUNTIF(ParticipationAoût[[#This Row],[1]:[31]],Code28)</f>
        <v>0</v>
      </c>
      <c r="BE25" s="30">
        <f>COUNTIF(ParticipationAoût[[#This Row],[1]:[31]],code30)</f>
        <v>0</v>
      </c>
      <c r="BF25" s="30">
        <f>COUNTIF(ParticipationAoût[[#This Row],[1]:[31]],Code31)</f>
        <v>0</v>
      </c>
      <c r="BG25" s="30">
        <f>COUNTIF(ParticipationAoût[[#This Row],[1]:[31]],code21)</f>
        <v>0</v>
      </c>
      <c r="BH25" s="30">
        <f>COUNTIF(ParticipationAoût[[#This Row],[1]:[31]],Code24)</f>
        <v>0</v>
      </c>
      <c r="BI25" s="30">
        <f>COUNTIF(ParticipationAoût[[#This Row],[1]:[31]],code18)</f>
        <v>0</v>
      </c>
      <c r="BJ25" s="30">
        <f>COUNTIF(ParticipationAoût[[#This Row],[1]:[31]],code19)</f>
        <v>0</v>
      </c>
      <c r="BK25" s="164">
        <f>COUNTIF(ParticipationAoût[[#This Row],[1]:[31]],code20)</f>
        <v>0</v>
      </c>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30"/>
      <c r="CT25" s="191">
        <f t="shared" si="0"/>
        <v>0</v>
      </c>
      <c r="CU25" s="192">
        <f t="shared" si="1"/>
        <v>0</v>
      </c>
      <c r="CV25" s="237">
        <f t="shared" si="2"/>
        <v>0</v>
      </c>
      <c r="CW25" s="194">
        <f t="shared" si="3"/>
        <v>0</v>
      </c>
    </row>
    <row r="26" spans="1:102" ht="16.5" customHeight="1" thickTop="1" thickBot="1">
      <c r="A26" s="29"/>
      <c r="B26" s="152" t="str">
        <f>IFERROR(VLOOKUP(ParticipationAoût[[#This Row],[Référence]],ListeÉtudiants1[],18,FALSE),"")</f>
        <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44"/>
      <c r="AH26" s="6">
        <f>COUNTIF(ParticipationAoût[[#This Row],[1]:[31]],Code1)</f>
        <v>0</v>
      </c>
      <c r="AI26" s="6">
        <f>COUNTIF(ParticipationAoût[[#This Row],[1]:[31]],code22)</f>
        <v>0</v>
      </c>
      <c r="AJ26" s="30">
        <f>COUNTIF(ParticipationAoût[[#This Row],[1]:[31]],Code2)</f>
        <v>0</v>
      </c>
      <c r="AK26" s="30">
        <f>COUNTIF(ParticipationAoût[[#This Row],[1]:[31]],Code3)</f>
        <v>0</v>
      </c>
      <c r="AL26" s="30">
        <f>COUNTIF(ParticipationAoût[[#This Row],[1]:[31]],Code4)</f>
        <v>0</v>
      </c>
      <c r="AM26" s="84">
        <f>COUNTIF(ParticipationAoût[[#This Row],[1]:[31]],Code5)</f>
        <v>0</v>
      </c>
      <c r="AN26" s="30">
        <f>COUNTIF(ParticipationAoût[[#This Row],[1]:[31]],Code23)</f>
        <v>0</v>
      </c>
      <c r="AO26" s="84">
        <f>COUNTIF(ParticipationAoût[[#This Row],[1]:[31]],Code6)</f>
        <v>0</v>
      </c>
      <c r="AP26" s="84">
        <f>COUNTIF(ParticipationAoût[[#This Row],[1]:[31]],Code7)</f>
        <v>0</v>
      </c>
      <c r="AQ26" s="30">
        <f>COUNTIF(ParticipationAoût[[#This Row],[1]:[31]],Code8)</f>
        <v>0</v>
      </c>
      <c r="AR26" s="30">
        <f>COUNTIF(ParticipationAoût[[#This Row],[1]:[31]],Code9)</f>
        <v>0</v>
      </c>
      <c r="AS26" s="30">
        <f>COUNTIF(ParticipationAoût[[#This Row],[1]:[31]],Code10)</f>
        <v>0</v>
      </c>
      <c r="AT26" s="30">
        <f>COUNTIF(ParticipationAoût[[#This Row],[1]:[31]],Code11)</f>
        <v>0</v>
      </c>
      <c r="AU26" s="30">
        <f>COUNTIF(ParticipationAoût[[#This Row],[1]:[31]],Code12)</f>
        <v>0</v>
      </c>
      <c r="AV26" s="30">
        <f>COUNTIF(ParticipationAoût[[#This Row],[1]:[31]],Code13)</f>
        <v>0</v>
      </c>
      <c r="AW26" s="30">
        <f>COUNTIF(ParticipationAoût[[#This Row],[1]:[31]],Code14)</f>
        <v>0</v>
      </c>
      <c r="AX26" s="30">
        <f>COUNTIF(ParticipationAoût[[#This Row],[1]:[31]],Code15)</f>
        <v>0</v>
      </c>
      <c r="AY26" s="30">
        <f>COUNTIF(ParticipationAoût[[#This Row],[1]:[31]],Code16)</f>
        <v>0</v>
      </c>
      <c r="AZ26" s="30">
        <f>COUNTIF(ParticipationAoût[[#This Row],[1]:[31]],Code17)</f>
        <v>0</v>
      </c>
      <c r="BA26" s="30">
        <f>COUNTIF(ParticipationAoût[[#This Row],[1]:[31]],Code25)</f>
        <v>0</v>
      </c>
      <c r="BB26" s="30">
        <f>COUNTIF(ParticipationAoût[[#This Row],[1]:[31]],Code26)</f>
        <v>0</v>
      </c>
      <c r="BC26" s="433">
        <f>COUNTIF(ParticipationAoût[[#This Row],[1]:[31]],Code27)</f>
        <v>0</v>
      </c>
      <c r="BD26" s="30">
        <f>COUNTIF(ParticipationAoût[[#This Row],[1]:[31]],Code28)</f>
        <v>0</v>
      </c>
      <c r="BE26" s="30">
        <f>COUNTIF(ParticipationAoût[[#This Row],[1]:[31]],code30)</f>
        <v>0</v>
      </c>
      <c r="BF26" s="30">
        <f>COUNTIF(ParticipationAoût[[#This Row],[1]:[31]],Code31)</f>
        <v>0</v>
      </c>
      <c r="BG26" s="30">
        <f>COUNTIF(ParticipationAoût[[#This Row],[1]:[31]],code21)</f>
        <v>0</v>
      </c>
      <c r="BH26" s="30">
        <f>COUNTIF(ParticipationAoût[[#This Row],[1]:[31]],Code24)</f>
        <v>0</v>
      </c>
      <c r="BI26" s="30">
        <f>COUNTIF(ParticipationAoût[[#This Row],[1]:[31]],code18)</f>
        <v>0</v>
      </c>
      <c r="BJ26" s="30">
        <f>COUNTIF(ParticipationAoût[[#This Row],[1]:[31]],code19)</f>
        <v>0</v>
      </c>
      <c r="BK26" s="164">
        <f>COUNTIF(ParticipationAoût[[#This Row],[1]:[31]],code20)</f>
        <v>0</v>
      </c>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314"/>
      <c r="CT26" s="191">
        <f t="shared" si="0"/>
        <v>0</v>
      </c>
      <c r="CU26" s="192">
        <f t="shared" si="1"/>
        <v>0</v>
      </c>
      <c r="CV26" s="237">
        <f t="shared" si="2"/>
        <v>0</v>
      </c>
      <c r="CW26" s="194">
        <f t="shared" si="3"/>
        <v>0</v>
      </c>
    </row>
    <row r="27" spans="1:102" ht="16.5" customHeight="1" thickTop="1" thickBot="1">
      <c r="A27" s="29"/>
      <c r="B27" s="152" t="str">
        <f>IFERROR(VLOOKUP(ParticipationAoût[[#This Row],[Référence]],ListeÉtudiants1[],18,FALSE),"")</f>
        <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44"/>
      <c r="AH27" s="6">
        <f>COUNTIF(ParticipationAoût[[#This Row],[1]:[31]],Code1)</f>
        <v>0</v>
      </c>
      <c r="AI27" s="6">
        <f>COUNTIF(ParticipationAoût[[#This Row],[1]:[31]],code22)</f>
        <v>0</v>
      </c>
      <c r="AJ27" s="30">
        <f>COUNTIF(ParticipationAoût[[#This Row],[1]:[31]],Code2)</f>
        <v>0</v>
      </c>
      <c r="AK27" s="30">
        <f>COUNTIF(ParticipationAoût[[#This Row],[1]:[31]],Code3)</f>
        <v>0</v>
      </c>
      <c r="AL27" s="30">
        <f>COUNTIF(ParticipationAoût[[#This Row],[1]:[31]],Code4)</f>
        <v>0</v>
      </c>
      <c r="AM27" s="84">
        <f>COUNTIF(ParticipationAoût[[#This Row],[1]:[31]],Code5)</f>
        <v>0</v>
      </c>
      <c r="AN27" s="30">
        <f>COUNTIF(ParticipationAoût[[#This Row],[1]:[31]],Code23)</f>
        <v>0</v>
      </c>
      <c r="AO27" s="84">
        <f>COUNTIF(ParticipationAoût[[#This Row],[1]:[31]],Code6)</f>
        <v>0</v>
      </c>
      <c r="AP27" s="84">
        <f>COUNTIF(ParticipationAoût[[#This Row],[1]:[31]],Code7)</f>
        <v>0</v>
      </c>
      <c r="AQ27" s="30">
        <f>COUNTIF(ParticipationAoût[[#This Row],[1]:[31]],Code8)</f>
        <v>0</v>
      </c>
      <c r="AR27" s="30">
        <f>COUNTIF(ParticipationAoût[[#This Row],[1]:[31]],Code9)</f>
        <v>0</v>
      </c>
      <c r="AS27" s="30">
        <f>COUNTIF(ParticipationAoût[[#This Row],[1]:[31]],Code10)</f>
        <v>0</v>
      </c>
      <c r="AT27" s="30">
        <f>COUNTIF(ParticipationAoût[[#This Row],[1]:[31]],Code11)</f>
        <v>0</v>
      </c>
      <c r="AU27" s="30">
        <f>COUNTIF(ParticipationAoût[[#This Row],[1]:[31]],Code12)</f>
        <v>0</v>
      </c>
      <c r="AV27" s="30">
        <f>COUNTIF(ParticipationAoût[[#This Row],[1]:[31]],Code13)</f>
        <v>0</v>
      </c>
      <c r="AW27" s="30">
        <f>COUNTIF(ParticipationAoût[[#This Row],[1]:[31]],Code14)</f>
        <v>0</v>
      </c>
      <c r="AX27" s="30">
        <f>COUNTIF(ParticipationAoût[[#This Row],[1]:[31]],Code15)</f>
        <v>0</v>
      </c>
      <c r="AY27" s="30">
        <f>COUNTIF(ParticipationAoût[[#This Row],[1]:[31]],Code16)</f>
        <v>0</v>
      </c>
      <c r="AZ27" s="30">
        <f>COUNTIF(ParticipationAoût[[#This Row],[1]:[31]],Code17)</f>
        <v>0</v>
      </c>
      <c r="BA27" s="30">
        <f>COUNTIF(ParticipationAoût[[#This Row],[1]:[31]],Code25)</f>
        <v>0</v>
      </c>
      <c r="BB27" s="30">
        <f>COUNTIF(ParticipationAoût[[#This Row],[1]:[31]],Code26)</f>
        <v>0</v>
      </c>
      <c r="BC27" s="433">
        <f>COUNTIF(ParticipationAoût[[#This Row],[1]:[31]],Code27)</f>
        <v>0</v>
      </c>
      <c r="BD27" s="30">
        <f>COUNTIF(ParticipationAoût[[#This Row],[1]:[31]],Code28)</f>
        <v>0</v>
      </c>
      <c r="BE27" s="30">
        <f>COUNTIF(ParticipationAoût[[#This Row],[1]:[31]],code30)</f>
        <v>0</v>
      </c>
      <c r="BF27" s="30">
        <f>COUNTIF(ParticipationAoût[[#This Row],[1]:[31]],Code31)</f>
        <v>0</v>
      </c>
      <c r="BG27" s="30">
        <f>COUNTIF(ParticipationAoût[[#This Row],[1]:[31]],code21)</f>
        <v>0</v>
      </c>
      <c r="BH27" s="30">
        <f>COUNTIF(ParticipationAoût[[#This Row],[1]:[31]],Code24)</f>
        <v>0</v>
      </c>
      <c r="BI27" s="30">
        <f>COUNTIF(ParticipationAoût[[#This Row],[1]:[31]],code18)</f>
        <v>0</v>
      </c>
      <c r="BJ27" s="30">
        <f>COUNTIF(ParticipationAoût[[#This Row],[1]:[31]],code19)</f>
        <v>0</v>
      </c>
      <c r="BK27" s="164">
        <f>COUNTIF(ParticipationAoût[[#This Row],[1]:[31]],code20)</f>
        <v>0</v>
      </c>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30"/>
      <c r="CT27" s="191">
        <f t="shared" si="0"/>
        <v>0</v>
      </c>
      <c r="CU27" s="192">
        <f t="shared" si="1"/>
        <v>0</v>
      </c>
      <c r="CV27" s="237">
        <f t="shared" si="2"/>
        <v>0</v>
      </c>
      <c r="CW27" s="194">
        <f t="shared" si="3"/>
        <v>0</v>
      </c>
    </row>
    <row r="28" spans="1:102" ht="16.5" customHeight="1" thickTop="1" thickBot="1">
      <c r="A28" s="29"/>
      <c r="B28" s="152" t="str">
        <f>IFERROR(VLOOKUP(ParticipationAoût[[#This Row],[Référence]],ListeÉtudiants1[],18,FALSE),"")</f>
        <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44"/>
      <c r="AH28" s="6">
        <f>COUNTIF(ParticipationAoût[[#This Row],[1]:[31]],Code1)</f>
        <v>0</v>
      </c>
      <c r="AI28" s="6">
        <f>COUNTIF(ParticipationAoût[[#This Row],[1]:[31]],code22)</f>
        <v>0</v>
      </c>
      <c r="AJ28" s="30">
        <f>COUNTIF(ParticipationAoût[[#This Row],[1]:[31]],Code2)</f>
        <v>0</v>
      </c>
      <c r="AK28" s="30">
        <f>COUNTIF(ParticipationAoût[[#This Row],[1]:[31]],Code3)</f>
        <v>0</v>
      </c>
      <c r="AL28" s="30">
        <f>COUNTIF(ParticipationAoût[[#This Row],[1]:[31]],Code4)</f>
        <v>0</v>
      </c>
      <c r="AM28" s="84">
        <f>COUNTIF(ParticipationAoût[[#This Row],[1]:[31]],Code5)</f>
        <v>0</v>
      </c>
      <c r="AN28" s="30">
        <f>COUNTIF(ParticipationAoût[[#This Row],[1]:[31]],Code23)</f>
        <v>0</v>
      </c>
      <c r="AO28" s="84">
        <f>COUNTIF(ParticipationAoût[[#This Row],[1]:[31]],Code6)</f>
        <v>0</v>
      </c>
      <c r="AP28" s="84">
        <f>COUNTIF(ParticipationAoût[[#This Row],[1]:[31]],Code7)</f>
        <v>0</v>
      </c>
      <c r="AQ28" s="30">
        <f>COUNTIF(ParticipationAoût[[#This Row],[1]:[31]],Code8)</f>
        <v>0</v>
      </c>
      <c r="AR28" s="30">
        <f>COUNTIF(ParticipationAoût[[#This Row],[1]:[31]],Code9)</f>
        <v>0</v>
      </c>
      <c r="AS28" s="30">
        <f>COUNTIF(ParticipationAoût[[#This Row],[1]:[31]],Code10)</f>
        <v>0</v>
      </c>
      <c r="AT28" s="30">
        <f>COUNTIF(ParticipationAoût[[#This Row],[1]:[31]],Code11)</f>
        <v>0</v>
      </c>
      <c r="AU28" s="30">
        <f>COUNTIF(ParticipationAoût[[#This Row],[1]:[31]],Code12)</f>
        <v>0</v>
      </c>
      <c r="AV28" s="30">
        <f>COUNTIF(ParticipationAoût[[#This Row],[1]:[31]],Code13)</f>
        <v>0</v>
      </c>
      <c r="AW28" s="30">
        <f>COUNTIF(ParticipationAoût[[#This Row],[1]:[31]],Code14)</f>
        <v>0</v>
      </c>
      <c r="AX28" s="30">
        <f>COUNTIF(ParticipationAoût[[#This Row],[1]:[31]],Code15)</f>
        <v>0</v>
      </c>
      <c r="AY28" s="30">
        <f>COUNTIF(ParticipationAoût[[#This Row],[1]:[31]],Code16)</f>
        <v>0</v>
      </c>
      <c r="AZ28" s="30">
        <f>COUNTIF(ParticipationAoût[[#This Row],[1]:[31]],Code17)</f>
        <v>0</v>
      </c>
      <c r="BA28" s="30">
        <f>COUNTIF(ParticipationAoût[[#This Row],[1]:[31]],Code25)</f>
        <v>0</v>
      </c>
      <c r="BB28" s="30">
        <f>COUNTIF(ParticipationAoût[[#This Row],[1]:[31]],Code26)</f>
        <v>0</v>
      </c>
      <c r="BC28" s="433">
        <f>COUNTIF(ParticipationAoût[[#This Row],[1]:[31]],Code27)</f>
        <v>0</v>
      </c>
      <c r="BD28" s="30">
        <f>COUNTIF(ParticipationAoût[[#This Row],[1]:[31]],Code28)</f>
        <v>0</v>
      </c>
      <c r="BE28" s="30">
        <f>COUNTIF(ParticipationAoût[[#This Row],[1]:[31]],code30)</f>
        <v>0</v>
      </c>
      <c r="BF28" s="30">
        <f>COUNTIF(ParticipationAoût[[#This Row],[1]:[31]],Code31)</f>
        <v>0</v>
      </c>
      <c r="BG28" s="30">
        <f>COUNTIF(ParticipationAoût[[#This Row],[1]:[31]],code21)</f>
        <v>0</v>
      </c>
      <c r="BH28" s="30">
        <f>COUNTIF(ParticipationAoût[[#This Row],[1]:[31]],Code24)</f>
        <v>0</v>
      </c>
      <c r="BI28" s="30">
        <f>COUNTIF(ParticipationAoût[[#This Row],[1]:[31]],code18)</f>
        <v>0</v>
      </c>
      <c r="BJ28" s="30">
        <f>COUNTIF(ParticipationAoût[[#This Row],[1]:[31]],code19)</f>
        <v>0</v>
      </c>
      <c r="BK28" s="164">
        <f>COUNTIF(ParticipationAoût[[#This Row],[1]:[31]],code20)</f>
        <v>0</v>
      </c>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314"/>
      <c r="CT28" s="191">
        <f t="shared" si="0"/>
        <v>0</v>
      </c>
      <c r="CU28" s="192">
        <f t="shared" si="1"/>
        <v>0</v>
      </c>
      <c r="CV28" s="237">
        <f t="shared" si="2"/>
        <v>0</v>
      </c>
      <c r="CW28" s="194">
        <f t="shared" si="3"/>
        <v>0</v>
      </c>
    </row>
    <row r="29" spans="1:102" ht="16.5" customHeight="1" thickTop="1" thickBot="1">
      <c r="A29" s="29"/>
      <c r="B29" s="152" t="str">
        <f>IFERROR(VLOOKUP(ParticipationAoût[[#This Row],[Référence]],ListeÉtudiants1[],18,FALSE),"")</f>
        <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44"/>
      <c r="AH29" s="6">
        <f>COUNTIF(ParticipationAoût[[#This Row],[1]:[31]],Code1)</f>
        <v>0</v>
      </c>
      <c r="AI29" s="6">
        <f>COUNTIF(ParticipationAoût[[#This Row],[1]:[31]],code22)</f>
        <v>0</v>
      </c>
      <c r="AJ29" s="30">
        <f>COUNTIF(ParticipationAoût[[#This Row],[1]:[31]],Code2)</f>
        <v>0</v>
      </c>
      <c r="AK29" s="30">
        <f>COUNTIF(ParticipationAoût[[#This Row],[1]:[31]],Code3)</f>
        <v>0</v>
      </c>
      <c r="AL29" s="30">
        <f>COUNTIF(ParticipationAoût[[#This Row],[1]:[31]],Code4)</f>
        <v>0</v>
      </c>
      <c r="AM29" s="84">
        <f>COUNTIF(ParticipationAoût[[#This Row],[1]:[31]],Code5)</f>
        <v>0</v>
      </c>
      <c r="AN29" s="30">
        <f>COUNTIF(ParticipationAoût[[#This Row],[1]:[31]],Code23)</f>
        <v>0</v>
      </c>
      <c r="AO29" s="84">
        <f>COUNTIF(ParticipationAoût[[#This Row],[1]:[31]],Code6)</f>
        <v>0</v>
      </c>
      <c r="AP29" s="84">
        <f>COUNTIF(ParticipationAoût[[#This Row],[1]:[31]],Code7)</f>
        <v>0</v>
      </c>
      <c r="AQ29" s="30">
        <f>COUNTIF(ParticipationAoût[[#This Row],[1]:[31]],Code8)</f>
        <v>0</v>
      </c>
      <c r="AR29" s="30">
        <f>COUNTIF(ParticipationAoût[[#This Row],[1]:[31]],Code9)</f>
        <v>0</v>
      </c>
      <c r="AS29" s="30">
        <f>COUNTIF(ParticipationAoût[[#This Row],[1]:[31]],Code10)</f>
        <v>0</v>
      </c>
      <c r="AT29" s="30">
        <f>COUNTIF(ParticipationAoût[[#This Row],[1]:[31]],Code11)</f>
        <v>0</v>
      </c>
      <c r="AU29" s="30">
        <f>COUNTIF(ParticipationAoût[[#This Row],[1]:[31]],Code12)</f>
        <v>0</v>
      </c>
      <c r="AV29" s="30">
        <f>COUNTIF(ParticipationAoût[[#This Row],[1]:[31]],Code13)</f>
        <v>0</v>
      </c>
      <c r="AW29" s="30">
        <f>COUNTIF(ParticipationAoût[[#This Row],[1]:[31]],Code14)</f>
        <v>0</v>
      </c>
      <c r="AX29" s="30">
        <f>COUNTIF(ParticipationAoût[[#This Row],[1]:[31]],Code15)</f>
        <v>0</v>
      </c>
      <c r="AY29" s="30">
        <f>COUNTIF(ParticipationAoût[[#This Row],[1]:[31]],Code16)</f>
        <v>0</v>
      </c>
      <c r="AZ29" s="30">
        <f>COUNTIF(ParticipationAoût[[#This Row],[1]:[31]],Code17)</f>
        <v>0</v>
      </c>
      <c r="BA29" s="30">
        <f>COUNTIF(ParticipationAoût[[#This Row],[1]:[31]],Code25)</f>
        <v>0</v>
      </c>
      <c r="BB29" s="30">
        <f>COUNTIF(ParticipationAoût[[#This Row],[1]:[31]],Code26)</f>
        <v>0</v>
      </c>
      <c r="BC29" s="433">
        <f>COUNTIF(ParticipationAoût[[#This Row],[1]:[31]],Code27)</f>
        <v>0</v>
      </c>
      <c r="BD29" s="30">
        <f>COUNTIF(ParticipationAoût[[#This Row],[1]:[31]],Code28)</f>
        <v>0</v>
      </c>
      <c r="BE29" s="30">
        <f>COUNTIF(ParticipationAoût[[#This Row],[1]:[31]],code30)</f>
        <v>0</v>
      </c>
      <c r="BF29" s="30">
        <f>COUNTIF(ParticipationAoût[[#This Row],[1]:[31]],Code31)</f>
        <v>0</v>
      </c>
      <c r="BG29" s="30">
        <f>COUNTIF(ParticipationAoût[[#This Row],[1]:[31]],code21)</f>
        <v>0</v>
      </c>
      <c r="BH29" s="30">
        <f>COUNTIF(ParticipationAoût[[#This Row],[1]:[31]],Code24)</f>
        <v>0</v>
      </c>
      <c r="BI29" s="30">
        <f>COUNTIF(ParticipationAoût[[#This Row],[1]:[31]],code18)</f>
        <v>0</v>
      </c>
      <c r="BJ29" s="30">
        <f>COUNTIF(ParticipationAoût[[#This Row],[1]:[31]],code19)</f>
        <v>0</v>
      </c>
      <c r="BK29" s="164">
        <f>COUNTIF(ParticipationAoût[[#This Row],[1]:[31]],code20)</f>
        <v>0</v>
      </c>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30"/>
      <c r="CT29" s="191">
        <f t="shared" si="0"/>
        <v>0</v>
      </c>
      <c r="CU29" s="192">
        <f t="shared" si="1"/>
        <v>0</v>
      </c>
      <c r="CV29" s="237">
        <f t="shared" si="2"/>
        <v>0</v>
      </c>
      <c r="CW29" s="194">
        <f t="shared" si="3"/>
        <v>0</v>
      </c>
    </row>
    <row r="30" spans="1:102" ht="16.5" customHeight="1" thickTop="1" thickBot="1">
      <c r="A30" s="145"/>
      <c r="B30" s="155"/>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8"/>
      <c r="AH30" s="6">
        <f>COUNTIF(ParticipationAoût[[#This Row],[1]:[31]],Code1)</f>
        <v>0</v>
      </c>
      <c r="AI30" s="149">
        <f>COUNTIF(ParticipationAoût[[#This Row],[1]:[31]],code22)</f>
        <v>0</v>
      </c>
      <c r="AJ30" s="172">
        <f>COUNTIF(ParticipationAoût[[#This Row],[1]:[31]],Code2)</f>
        <v>0</v>
      </c>
      <c r="AK30" s="172">
        <f>COUNTIF(ParticipationAoût[[#This Row],[1]:[31]],Code3)</f>
        <v>0</v>
      </c>
      <c r="AL30" s="172">
        <f>COUNTIF(ParticipationAoût[[#This Row],[1]:[31]],Code4)</f>
        <v>0</v>
      </c>
      <c r="AM30" s="172">
        <f>COUNTIF(ParticipationAoût[[#This Row],[1]:[31]],Code5)</f>
        <v>0</v>
      </c>
      <c r="AN30" s="172">
        <f>COUNTIF(ParticipationAoût[[#This Row],[1]:[31]],Code23)</f>
        <v>0</v>
      </c>
      <c r="AO30" s="172">
        <f>COUNTIF(ParticipationAoût[[#This Row],[1]:[31]],Code6)</f>
        <v>0</v>
      </c>
      <c r="AP30" s="172">
        <f>COUNTIF(ParticipationAoût[[#This Row],[1]:[31]],Code7)</f>
        <v>0</v>
      </c>
      <c r="AQ30" s="172">
        <f>COUNTIF(ParticipationAoût[[#This Row],[1]:[31]],Code8)</f>
        <v>0</v>
      </c>
      <c r="AR30" s="172">
        <f>COUNTIF(ParticipationAoût[[#This Row],[1]:[31]],Code9)</f>
        <v>0</v>
      </c>
      <c r="AS30" s="172">
        <f>COUNTIF(ParticipationAoût[[#This Row],[1]:[31]],Code10)</f>
        <v>0</v>
      </c>
      <c r="AT30" s="172">
        <f>COUNTIF(ParticipationAoût[[#This Row],[1]:[31]],Code11)</f>
        <v>0</v>
      </c>
      <c r="AU30" s="172">
        <f>COUNTIF(ParticipationAoût[[#This Row],[1]:[31]],Code12)</f>
        <v>0</v>
      </c>
      <c r="AV30" s="172">
        <f>COUNTIF(ParticipationAoût[[#This Row],[1]:[31]],Code13)</f>
        <v>0</v>
      </c>
      <c r="AW30" s="172">
        <f>COUNTIF(ParticipationAoût[[#This Row],[1]:[31]],Code14)</f>
        <v>0</v>
      </c>
      <c r="AX30" s="172">
        <f>COUNTIF(ParticipationAoût[[#This Row],[1]:[31]],Code15)</f>
        <v>0</v>
      </c>
      <c r="AY30" s="172">
        <f>COUNTIF(ParticipationAoût[[#This Row],[1]:[31]],Code16)</f>
        <v>0</v>
      </c>
      <c r="AZ30" s="172">
        <f>COUNTIF(ParticipationAoût[[#This Row],[1]:[31]],Code17)</f>
        <v>0</v>
      </c>
      <c r="BA30" s="30">
        <f>COUNTIF(ParticipationAoût[[#This Row],[1]:[31]],Code25)</f>
        <v>0</v>
      </c>
      <c r="BB30" s="30">
        <f>COUNTIF(ParticipationAoût[[#This Row],[1]:[31]],Code26)</f>
        <v>0</v>
      </c>
      <c r="BC30" s="433">
        <f>COUNTIF(ParticipationAoût[[#This Row],[1]:[31]],Code27)</f>
        <v>0</v>
      </c>
      <c r="BD30" s="30">
        <f>COUNTIF(ParticipationAoût[[#This Row],[1]:[31]],Code28)</f>
        <v>0</v>
      </c>
      <c r="BE30" s="30">
        <f>COUNTIF(ParticipationAoût[[#This Row],[1]:[31]],code30)</f>
        <v>0</v>
      </c>
      <c r="BF30" s="30">
        <f>COUNTIF(ParticipationAoût[[#This Row],[1]:[31]],Code31)</f>
        <v>0</v>
      </c>
      <c r="BG30" s="172">
        <f>COUNTIF(ParticipationAoût[[#This Row],[1]:[31]],code21)</f>
        <v>0</v>
      </c>
      <c r="BH30" s="172">
        <f>COUNTIF(ParticipationAoût[[#This Row],[1]:[31]],Code24)</f>
        <v>0</v>
      </c>
      <c r="BI30" s="172">
        <f>COUNTIF(ParticipationAoût[[#This Row],[1]:[31]],code18)</f>
        <v>0</v>
      </c>
      <c r="BJ30" s="172">
        <f>COUNTIF(ParticipationAoût[[#This Row],[1]:[31]],code19)</f>
        <v>0</v>
      </c>
      <c r="BK30" s="173">
        <f>COUNTIF(ParticipationAoût[[#This Row],[1]:[31]],code20)</f>
        <v>0</v>
      </c>
      <c r="BL30" s="324"/>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429"/>
      <c r="CS30" s="30"/>
      <c r="CT30" s="191">
        <f t="shared" si="0"/>
        <v>0</v>
      </c>
      <c r="CU30" s="192">
        <f t="shared" si="1"/>
        <v>0</v>
      </c>
      <c r="CV30" s="193">
        <f t="shared" si="2"/>
        <v>0</v>
      </c>
      <c r="CW30" s="183">
        <f t="shared" si="3"/>
        <v>0</v>
      </c>
    </row>
    <row r="31" spans="1:102" ht="16.5" customHeight="1" thickTop="1">
      <c r="A31" s="200"/>
      <c r="B31" s="201"/>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387"/>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323"/>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431"/>
      <c r="CT31" s="204"/>
      <c r="CU31" s="204"/>
      <c r="CV31" s="204"/>
      <c r="CW31" s="204"/>
      <c r="CX31" s="321"/>
    </row>
    <row r="32" spans="1:102" ht="16.5" customHeight="1">
      <c r="BK32" s="321"/>
      <c r="BL32" s="314"/>
      <c r="BM32" s="314"/>
      <c r="BN32" s="314"/>
      <c r="BO32" s="314"/>
      <c r="BP32" s="314"/>
      <c r="BQ32" s="314"/>
      <c r="BR32" s="314"/>
      <c r="BS32" s="314"/>
      <c r="BT32" s="314"/>
      <c r="BU32" s="314"/>
      <c r="BV32" s="314"/>
      <c r="BW32" s="314"/>
      <c r="BX32" s="314"/>
      <c r="BY32" s="314"/>
      <c r="BZ32" s="314"/>
      <c r="CA32" s="314"/>
      <c r="CB32" s="314"/>
      <c r="CC32" s="314"/>
      <c r="CD32" s="314"/>
      <c r="CE32" s="314"/>
      <c r="CF32" s="314"/>
      <c r="CG32" s="314"/>
      <c r="CH32" s="314"/>
      <c r="CI32" s="314"/>
      <c r="CJ32" s="314"/>
      <c r="CK32" s="314"/>
      <c r="CL32" s="314"/>
      <c r="CM32" s="314"/>
      <c r="CN32" s="314"/>
      <c r="CO32" s="314"/>
      <c r="CP32" s="314"/>
      <c r="CQ32" s="314"/>
      <c r="CR32" s="314"/>
      <c r="CS32" s="314"/>
    </row>
    <row r="33" spans="63:98" ht="16.5" customHeight="1">
      <c r="BK33" s="321"/>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88"/>
    </row>
    <row r="34" spans="63:98" ht="16.5" customHeight="1">
      <c r="BK34" s="321"/>
      <c r="BL34" s="322"/>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88"/>
    </row>
    <row r="35" spans="63:98" ht="16.5" customHeight="1">
      <c r="BL35" s="321"/>
      <c r="BM35" s="321"/>
      <c r="BN35" s="321"/>
      <c r="BO35" s="321"/>
      <c r="BP35" s="321"/>
      <c r="BQ35" s="321"/>
      <c r="BR35" s="321"/>
      <c r="BS35" s="321"/>
      <c r="BT35" s="321"/>
      <c r="BU35" s="321"/>
      <c r="BV35" s="321"/>
      <c r="BW35" s="321"/>
      <c r="BX35" s="321"/>
      <c r="BY35" s="321"/>
      <c r="BZ35" s="321"/>
      <c r="CA35" s="321"/>
      <c r="CB35" s="321"/>
      <c r="CC35" s="321"/>
      <c r="CD35" s="321"/>
      <c r="CE35" s="321"/>
      <c r="CF35" s="321"/>
      <c r="CG35" s="321"/>
      <c r="CH35" s="321"/>
      <c r="CI35" s="321"/>
      <c r="CJ35" s="321"/>
      <c r="CK35" s="321"/>
      <c r="CL35" s="321"/>
      <c r="CM35" s="321"/>
      <c r="CN35" s="321"/>
      <c r="CO35" s="321"/>
      <c r="CP35" s="321"/>
      <c r="CQ35" s="321"/>
      <c r="CR35" s="321"/>
      <c r="CS35" s="321"/>
      <c r="CT35" s="88"/>
    </row>
    <row r="36" spans="63:98" ht="16.5" customHeight="1"/>
    <row r="37" spans="63:98" ht="16.5" customHeight="1"/>
    <row r="38" spans="63:98" ht="16.5" customHeight="1"/>
    <row r="39" spans="63:98" ht="16.5" customHeight="1"/>
    <row r="40" spans="63:98" ht="16.5" customHeight="1"/>
    <row r="41" spans="63:98" ht="16.5" customHeight="1"/>
    <row r="42" spans="63:98" ht="16.5" customHeight="1"/>
    <row r="43" spans="63:98" ht="16.5" customHeight="1"/>
    <row r="44" spans="63:98" ht="16.5" customHeight="1"/>
    <row r="45" spans="63:98" ht="16.5" customHeight="1"/>
    <row r="46" spans="63:98" ht="16.5" customHeight="1"/>
    <row r="47" spans="63:98" ht="16.5" customHeight="1"/>
    <row r="48" spans="63:9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sheetData>
  <sheetProtection formatCells="0" formatColumns="0" formatRows="0" insertColumns="0" insertRows="0" insertHyperlinks="0" deleteColumns="0" deleteRows="0" sort="0" autoFilter="0" pivotTables="0"/>
  <mergeCells count="6">
    <mergeCell ref="AH9:BK9"/>
    <mergeCell ref="A1:B1"/>
    <mergeCell ref="D7:F7"/>
    <mergeCell ref="H7:I7"/>
    <mergeCell ref="L7:M7"/>
    <mergeCell ref="P7:Q7"/>
  </mergeCells>
  <phoneticPr fontId="42" type="noConversion"/>
  <conditionalFormatting sqref="C11:AG30">
    <cfRule type="expression" dxfId="640" priority="1">
      <formula>C11=Code31</formula>
    </cfRule>
    <cfRule type="expression" dxfId="639" priority="3">
      <formula>Code11=code30</formula>
    </cfRule>
    <cfRule type="expression" dxfId="638" priority="5">
      <formula>C11=code29</formula>
    </cfRule>
    <cfRule type="expression" dxfId="637" priority="6">
      <formula>C11=Code28</formula>
    </cfRule>
    <cfRule type="expression" dxfId="636" priority="7">
      <formula>C11=Code27</formula>
    </cfRule>
    <cfRule type="expression" dxfId="635" priority="8">
      <formula>C11=Code26</formula>
    </cfRule>
    <cfRule type="expression" dxfId="634" priority="9">
      <formula>C11=Code25</formula>
    </cfRule>
    <cfRule type="expression" dxfId="633" priority="11">
      <formula>C11=Code24</formula>
    </cfRule>
    <cfRule type="expression" dxfId="632" priority="12">
      <formula>C11=Code23</formula>
    </cfRule>
    <cfRule type="expression" dxfId="631" priority="13">
      <formula>C11=code22</formula>
    </cfRule>
    <cfRule type="expression" dxfId="630" priority="15" stopIfTrue="1">
      <formula>C11=code21</formula>
    </cfRule>
    <cfRule type="expression" dxfId="629" priority="16">
      <formula>C11=code20</formula>
    </cfRule>
    <cfRule type="expression" dxfId="628" priority="17">
      <formula>C11=code19</formula>
    </cfRule>
    <cfRule type="expression" dxfId="627" priority="18">
      <formula>C11=code18</formula>
    </cfRule>
    <cfRule type="expression" dxfId="626" priority="28" stopIfTrue="1">
      <formula>C11=Code17</formula>
    </cfRule>
    <cfRule type="expression" dxfId="625" priority="32" stopIfTrue="1">
      <formula>C11=Code16</formula>
    </cfRule>
    <cfRule type="expression" dxfId="624" priority="33" stopIfTrue="1">
      <formula>C11=Code15</formula>
    </cfRule>
    <cfRule type="expression" dxfId="623" priority="34" stopIfTrue="1">
      <formula>C11=Code13</formula>
    </cfRule>
    <cfRule type="expression" dxfId="622" priority="35" stopIfTrue="1">
      <formula>C11=Code14</formula>
    </cfRule>
    <cfRule type="expression" dxfId="621" priority="36" stopIfTrue="1">
      <formula>C11=Code12</formula>
    </cfRule>
    <cfRule type="expression" dxfId="620" priority="37" stopIfTrue="1">
      <formula>C11=Code11</formula>
    </cfRule>
    <cfRule type="expression" dxfId="619" priority="38" stopIfTrue="1">
      <formula>C11=Code10</formula>
    </cfRule>
    <cfRule type="expression" dxfId="618" priority="41" stopIfTrue="1">
      <formula>C11=Code8</formula>
    </cfRule>
    <cfRule type="expression" dxfId="617" priority="44" stopIfTrue="1">
      <formula>C11=Code7</formula>
    </cfRule>
    <cfRule type="expression" dxfId="616" priority="45" stopIfTrue="1">
      <formula>C11=Code9</formula>
    </cfRule>
    <cfRule type="expression" dxfId="615" priority="48" stopIfTrue="1">
      <formula>C11=Code6</formula>
    </cfRule>
    <cfRule type="expression" dxfId="614" priority="195" stopIfTrue="1">
      <formula>C11=Code5</formula>
    </cfRule>
    <cfRule type="expression" dxfId="613" priority="196" stopIfTrue="1">
      <formula>C11=Code4</formula>
    </cfRule>
    <cfRule type="expression" dxfId="612" priority="197" stopIfTrue="1">
      <formula>C11=Code3</formula>
    </cfRule>
    <cfRule type="expression" dxfId="611" priority="198" stopIfTrue="1">
      <formula>C11=Code1</formula>
    </cfRule>
  </conditionalFormatting>
  <conditionalFormatting sqref="C11:AI30">
    <cfRule type="expression" dxfId="610" priority="186" stopIfTrue="1">
      <formula>C11=Code2</formula>
    </cfRule>
  </conditionalFormatting>
  <conditionalFormatting sqref="CU31:CV31 CT11:CT31">
    <cfRule type="dataBar" priority="258">
      <dataBar>
        <cfvo type="min"/>
        <cfvo type="num" val="31"/>
        <color theme="4"/>
      </dataBar>
      <extLst>
        <ext xmlns:x14="http://schemas.microsoft.com/office/spreadsheetml/2009/9/main" uri="{B025F937-C7B1-47D3-B67F-A62EFF666E3E}">
          <x14:id>{2B4275E8-D6CF-4815-A0F7-98301503D593}</x14:id>
        </ext>
      </extLst>
    </cfRule>
  </conditionalFormatting>
  <conditionalFormatting sqref="CU11:CV30">
    <cfRule type="dataBar" priority="259">
      <dataBar>
        <cfvo type="min"/>
        <cfvo type="num" val="31"/>
        <color theme="4"/>
      </dataBar>
      <extLst>
        <ext xmlns:x14="http://schemas.microsoft.com/office/spreadsheetml/2009/9/main" uri="{B025F937-C7B1-47D3-B67F-A62EFF666E3E}">
          <x14:id>{6AEE58FE-AA6C-4783-A5DF-7666241CA051}</x14:id>
        </ext>
      </extLst>
    </cfRule>
  </conditionalFormatting>
  <conditionalFormatting sqref="AD3">
    <cfRule type="cellIs" priority="25" operator="equal">
      <formula>"V"</formula>
    </cfRule>
  </conditionalFormatting>
  <conditionalFormatting sqref="CW31">
    <cfRule type="dataBar" priority="22">
      <dataBar>
        <cfvo type="min"/>
        <cfvo type="num" val="31"/>
        <color theme="4"/>
      </dataBar>
      <extLst>
        <ext xmlns:x14="http://schemas.microsoft.com/office/spreadsheetml/2009/9/main" uri="{B025F937-C7B1-47D3-B67F-A62EFF666E3E}">
          <x14:id>{DD894B7A-F771-41AC-BD30-895257F743CE}</x14:id>
        </ext>
      </extLst>
    </cfRule>
  </conditionalFormatting>
  <conditionalFormatting sqref="CW11:CW30">
    <cfRule type="dataBar" priority="23">
      <dataBar>
        <cfvo type="min"/>
        <cfvo type="num" val="31"/>
        <color theme="4"/>
      </dataBar>
      <extLst>
        <ext xmlns:x14="http://schemas.microsoft.com/office/spreadsheetml/2009/9/main" uri="{B025F937-C7B1-47D3-B67F-A62EFF666E3E}">
          <x14:id>{B3B6D3A8-ED6A-497C-9B18-1ACB55FE7C0B}</x14:id>
        </ext>
      </extLst>
    </cfRule>
  </conditionalFormatting>
  <conditionalFormatting sqref="W5">
    <cfRule type="cellIs" dxfId="609" priority="21" operator="equal">
      <formula>"St1"</formula>
    </cfRule>
  </conditionalFormatting>
  <conditionalFormatting sqref="Y5">
    <cfRule type="cellIs" dxfId="608" priority="20" operator="equal">
      <formula>"St2"</formula>
    </cfRule>
  </conditionalFormatting>
  <conditionalFormatting sqref="AB5">
    <cfRule type="cellIs" dxfId="607" priority="19" operator="equal">
      <formula>"St3"</formula>
    </cfRule>
  </conditionalFormatting>
  <conditionalFormatting sqref="V7">
    <cfRule type="cellIs" dxfId="606" priority="4" operator="equal">
      <formula>"St2"</formula>
    </cfRule>
  </conditionalFormatting>
  <conditionalFormatting sqref="X7">
    <cfRule type="cellIs" dxfId="605" priority="2" operator="equal">
      <formula>"St3"</formula>
    </cfRule>
  </conditionalFormatting>
  <dataValidations count="1">
    <dataValidation type="list" errorStyle="warning" allowBlank="1" showInputMessage="1" showErrorMessage="1" errorTitle="Whoops!" error="The Student ID you entered isn't on the Student List sheet. You can click Yes to use what you entered but that Student ID won't be available on the Student Attendance Report sheet." sqref="A11:A30">
      <formula1>IDÉtudiant1</formula1>
    </dataValidation>
  </dataValidations>
  <printOptions horizontalCentered="1"/>
  <pageMargins left="0.5" right="0.5" top="0.75" bottom="0.75" header="0.3" footer="0.3"/>
  <pageSetup scale="56" fitToHeight="0" orientation="landscape" verticalDpi="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B4275E8-D6CF-4815-A0F7-98301503D593}">
            <x14:dataBar minLength="0" maxLength="100" border="1" negativeBarBorderColorSameAsPositive="0">
              <x14:cfvo type="autoMin"/>
              <x14:cfvo type="num">
                <xm:f>31</xm:f>
              </x14:cfvo>
              <x14:borderColor theme="4"/>
              <x14:negativeFillColor rgb="FFFF0000"/>
              <x14:negativeBorderColor rgb="FFFF0000"/>
              <x14:axisColor rgb="FF000000"/>
            </x14:dataBar>
          </x14:cfRule>
          <xm:sqref>CU31:CV31 CT11:CT31</xm:sqref>
        </x14:conditionalFormatting>
        <x14:conditionalFormatting xmlns:xm="http://schemas.microsoft.com/office/excel/2006/main">
          <x14:cfRule type="dataBar" id="{6AEE58FE-AA6C-4783-A5DF-7666241CA051}">
            <x14:dataBar minLength="0" maxLength="100" border="1" negativeBarBorderColorSameAsPositive="0">
              <x14:cfvo type="autoMin"/>
              <x14:cfvo type="num">
                <xm:f>31</xm:f>
              </x14:cfvo>
              <x14:borderColor theme="4"/>
              <x14:negativeFillColor rgb="FFFF0000"/>
              <x14:negativeBorderColor rgb="FFFF0000"/>
              <x14:axisColor rgb="FF000000"/>
            </x14:dataBar>
          </x14:cfRule>
          <xm:sqref>CU11:CV30</xm:sqref>
        </x14:conditionalFormatting>
        <x14:conditionalFormatting xmlns:xm="http://schemas.microsoft.com/office/excel/2006/main">
          <x14:cfRule type="dataBar" id="{DD894B7A-F771-41AC-BD30-895257F743CE}">
            <x14:dataBar minLength="0" maxLength="100" border="1" negativeBarBorderColorSameAsPositive="0">
              <x14:cfvo type="autoMin"/>
              <x14:cfvo type="num">
                <xm:f>31</xm:f>
              </x14:cfvo>
              <x14:borderColor theme="4"/>
              <x14:negativeFillColor rgb="FFFF0000"/>
              <x14:negativeBorderColor rgb="FFFF0000"/>
              <x14:axisColor rgb="FF000000"/>
            </x14:dataBar>
          </x14:cfRule>
          <xm:sqref>CW31</xm:sqref>
        </x14:conditionalFormatting>
        <x14:conditionalFormatting xmlns:xm="http://schemas.microsoft.com/office/excel/2006/main">
          <x14:cfRule type="dataBar" id="{B3B6D3A8-ED6A-497C-9B18-1ACB55FE7C0B}">
            <x14:dataBar minLength="0" maxLength="100" border="1" negativeBarBorderColorSameAsPositive="0">
              <x14:cfvo type="autoMin"/>
              <x14:cfvo type="num">
                <xm:f>31</xm:f>
              </x14:cfvo>
              <x14:borderColor theme="4"/>
              <x14:negativeFillColor rgb="FFFF0000"/>
              <x14:negativeBorderColor rgb="FFFF0000"/>
              <x14:axisColor rgb="FF000000"/>
            </x14:dataBar>
          </x14:cfRule>
          <xm:sqref>CW11:CW30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showGridLines="0" topLeftCell="BB2" zoomScale="95" zoomScaleNormal="95" workbookViewId="0">
      <selection activeCell="S7" sqref="S7"/>
    </sheetView>
  </sheetViews>
  <sheetFormatPr baseColWidth="10" defaultRowHeight="13.5"/>
  <cols>
    <col min="1" max="1" width="11.28515625" customWidth="1"/>
    <col min="2" max="2" width="25.7109375" customWidth="1"/>
    <col min="3" max="3" width="7.85546875" customWidth="1"/>
    <col min="4" max="4" width="5.28515625" customWidth="1"/>
    <col min="5" max="5" width="6.7109375" customWidth="1"/>
    <col min="6" max="6" width="4.85546875" customWidth="1"/>
    <col min="7" max="7" width="5.42578125" customWidth="1"/>
    <col min="8" max="8" width="5" customWidth="1"/>
    <col min="9" max="9" width="5.85546875" customWidth="1"/>
    <col min="10" max="10" width="4.7109375" customWidth="1"/>
    <col min="11" max="11" width="5.7109375" customWidth="1"/>
    <col min="12" max="12" width="4.5703125" customWidth="1"/>
    <col min="13" max="13" width="4.85546875" customWidth="1"/>
    <col min="14" max="14" width="4.5703125" customWidth="1"/>
    <col min="15" max="15" width="4.42578125" customWidth="1"/>
    <col min="16" max="16" width="5" customWidth="1"/>
    <col min="17" max="18" width="5.28515625" customWidth="1"/>
    <col min="19" max="19" width="5.7109375" customWidth="1"/>
    <col min="20" max="20" width="5.5703125" customWidth="1"/>
    <col min="21" max="22" width="5.28515625" customWidth="1"/>
    <col min="23" max="23" width="4.85546875" customWidth="1"/>
    <col min="24" max="24" width="5" customWidth="1"/>
    <col min="25" max="25" width="5.28515625" customWidth="1"/>
    <col min="26" max="26" width="5.5703125" customWidth="1"/>
    <col min="27" max="27" width="5.7109375" customWidth="1"/>
    <col min="28" max="28" width="5.140625" customWidth="1"/>
    <col min="29" max="29" width="5.5703125" customWidth="1"/>
    <col min="30" max="30" width="4.7109375" customWidth="1"/>
    <col min="31" max="31" width="4.5703125" customWidth="1"/>
    <col min="32" max="32" width="4.42578125" customWidth="1"/>
    <col min="33" max="33" width="4.140625" customWidth="1"/>
    <col min="34" max="34" width="3.28515625" customWidth="1"/>
    <col min="35" max="36" width="3" customWidth="1"/>
    <col min="37" max="37" width="2.42578125" customWidth="1"/>
    <col min="38" max="38" width="2.7109375" customWidth="1"/>
    <col min="39" max="39" width="3.42578125" customWidth="1"/>
    <col min="40" max="40" width="3" customWidth="1"/>
    <col min="41" max="41" width="2.85546875" customWidth="1"/>
    <col min="42" max="42" width="2.5703125" customWidth="1"/>
    <col min="43" max="43" width="2.85546875" customWidth="1"/>
    <col min="44" max="44" width="3.140625" customWidth="1"/>
    <col min="45" max="45" width="2.85546875" customWidth="1"/>
    <col min="46" max="46" width="2.42578125" customWidth="1"/>
    <col min="47" max="47" width="2.5703125" customWidth="1"/>
    <col min="48" max="49" width="2.7109375" customWidth="1"/>
    <col min="50" max="50" width="2.140625" customWidth="1"/>
    <col min="51" max="51" width="2.28515625" customWidth="1"/>
    <col min="52" max="52" width="3" customWidth="1"/>
    <col min="53" max="53" width="2.5703125" customWidth="1"/>
    <col min="54" max="54" width="3.140625" customWidth="1"/>
    <col min="55" max="55" width="3.42578125" customWidth="1"/>
    <col min="56" max="56" width="2.42578125" customWidth="1"/>
    <col min="57" max="58" width="3" customWidth="1"/>
    <col min="59" max="59" width="3.42578125" customWidth="1"/>
    <col min="60" max="60" width="3.7109375" customWidth="1"/>
    <col min="61" max="61" width="4.28515625" customWidth="1"/>
    <col min="62" max="63" width="3.28515625" customWidth="1"/>
    <col min="64" max="93" width="4.28515625" customWidth="1"/>
    <col min="94" max="94" width="6.28515625" customWidth="1"/>
    <col min="95" max="95" width="15.5703125" customWidth="1"/>
    <col min="96" max="96" width="15.42578125" customWidth="1"/>
    <col min="97" max="97" width="17.85546875" customWidth="1"/>
    <col min="98" max="98" width="11.7109375" customWidth="1"/>
    <col min="99" max="99" width="21.85546875" customWidth="1"/>
    <col min="100" max="102" width="11.42578125" customWidth="1"/>
  </cols>
  <sheetData>
    <row r="1" spans="1:99" ht="28.5">
      <c r="A1" s="654" t="s">
        <v>503</v>
      </c>
      <c r="B1" s="655"/>
      <c r="C1" s="655"/>
      <c r="D1" s="655"/>
      <c r="E1" s="655"/>
      <c r="F1" s="654"/>
      <c r="G1" s="655"/>
      <c r="H1" s="655"/>
      <c r="I1" s="655"/>
      <c r="J1" s="655"/>
      <c r="K1" s="654"/>
      <c r="L1" s="655"/>
      <c r="M1" s="655"/>
      <c r="N1" s="655"/>
      <c r="O1" s="655"/>
      <c r="P1" s="22"/>
      <c r="Q1" s="22"/>
      <c r="R1" s="22"/>
      <c r="S1" s="22"/>
      <c r="T1" s="22"/>
      <c r="U1" s="22"/>
      <c r="V1" s="22"/>
      <c r="W1" s="22"/>
      <c r="X1" s="22"/>
      <c r="Y1" s="22"/>
      <c r="Z1" s="22"/>
      <c r="AA1" s="22"/>
      <c r="AB1" s="22"/>
      <c r="AC1" s="21"/>
      <c r="AD1" s="21"/>
      <c r="AE1" s="21"/>
      <c r="AF1" s="21"/>
      <c r="AG1" s="23"/>
      <c r="AH1" s="21"/>
      <c r="AI1" s="21"/>
      <c r="AJ1" s="24"/>
      <c r="AK1" s="21"/>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3"/>
      <c r="CS1" s="33"/>
      <c r="CT1" s="33"/>
      <c r="CU1" s="33"/>
    </row>
    <row r="2" spans="1:99">
      <c r="CS2" s="88"/>
      <c r="CT2" s="88"/>
      <c r="CU2" s="88"/>
    </row>
    <row r="3" spans="1:99" ht="14.25">
      <c r="D3" s="31" t="s">
        <v>104</v>
      </c>
      <c r="E3" s="208" t="s">
        <v>514</v>
      </c>
      <c r="F3" s="232" t="s">
        <v>527</v>
      </c>
      <c r="G3" s="207" t="s">
        <v>528</v>
      </c>
      <c r="H3" s="209" t="s">
        <v>105</v>
      </c>
      <c r="I3" s="210" t="s">
        <v>515</v>
      </c>
      <c r="J3" s="211" t="s">
        <v>106</v>
      </c>
      <c r="K3" s="210" t="s">
        <v>516</v>
      </c>
      <c r="L3" s="212" t="s">
        <v>107</v>
      </c>
      <c r="M3" s="210" t="s">
        <v>517</v>
      </c>
      <c r="N3" s="207"/>
      <c r="O3" s="213" t="s">
        <v>483</v>
      </c>
      <c r="P3" s="210" t="s">
        <v>518</v>
      </c>
      <c r="Q3" s="210"/>
      <c r="R3" s="214" t="s">
        <v>484</v>
      </c>
      <c r="S3" s="207" t="s">
        <v>526</v>
      </c>
      <c r="T3" s="215"/>
      <c r="U3" s="216" t="s">
        <v>485</v>
      </c>
      <c r="V3" s="207" t="s">
        <v>525</v>
      </c>
      <c r="W3" s="207"/>
      <c r="X3" s="217" t="s">
        <v>489</v>
      </c>
      <c r="Y3" s="207" t="s">
        <v>510</v>
      </c>
      <c r="Z3" s="218" t="s">
        <v>490</v>
      </c>
      <c r="AA3" s="207" t="s">
        <v>511</v>
      </c>
      <c r="AB3" s="207"/>
      <c r="AC3" s="219" t="s">
        <v>491</v>
      </c>
      <c r="AD3" s="207" t="s">
        <v>512</v>
      </c>
      <c r="AE3" s="220" t="s">
        <v>492</v>
      </c>
      <c r="AF3" s="207" t="s">
        <v>513</v>
      </c>
      <c r="AG3" s="207"/>
      <c r="CS3" s="88"/>
      <c r="CT3" s="88"/>
      <c r="CU3" s="88"/>
    </row>
    <row r="4" spans="1:99" ht="15" thickBot="1">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CS4" s="88"/>
      <c r="CT4" s="88"/>
      <c r="CU4" s="88"/>
    </row>
    <row r="5" spans="1:99" ht="14.25">
      <c r="C5" t="s">
        <v>535</v>
      </c>
      <c r="D5" s="234" t="s">
        <v>529</v>
      </c>
      <c r="E5" s="221" t="s">
        <v>530</v>
      </c>
      <c r="F5" s="222" t="s">
        <v>35</v>
      </c>
      <c r="G5" s="210" t="s">
        <v>519</v>
      </c>
      <c r="H5" s="223" t="s">
        <v>108</v>
      </c>
      <c r="I5" s="43" t="s">
        <v>520</v>
      </c>
      <c r="J5" s="224" t="s">
        <v>109</v>
      </c>
      <c r="K5" s="207" t="s">
        <v>521</v>
      </c>
      <c r="L5" s="225" t="s">
        <v>486</v>
      </c>
      <c r="M5" s="207" t="s">
        <v>522</v>
      </c>
      <c r="N5" s="207"/>
      <c r="O5" s="226" t="s">
        <v>487</v>
      </c>
      <c r="P5" s="207" t="s">
        <v>523</v>
      </c>
      <c r="Q5" s="207"/>
      <c r="R5" s="227" t="s">
        <v>488</v>
      </c>
      <c r="S5" s="228" t="s">
        <v>524</v>
      </c>
      <c r="T5" s="9"/>
      <c r="U5" s="233" t="s">
        <v>507</v>
      </c>
      <c r="V5" s="207" t="s">
        <v>508</v>
      </c>
      <c r="W5" s="9"/>
      <c r="X5" s="229" t="s">
        <v>496</v>
      </c>
      <c r="Y5" s="207" t="s">
        <v>499</v>
      </c>
      <c r="Z5" s="230" t="s">
        <v>497</v>
      </c>
      <c r="AA5" s="207" t="s">
        <v>500</v>
      </c>
      <c r="AB5" s="9"/>
      <c r="AC5" s="231" t="s">
        <v>498</v>
      </c>
      <c r="AD5" s="207" t="s">
        <v>501</v>
      </c>
      <c r="AE5" s="235" t="s">
        <v>531</v>
      </c>
      <c r="AF5" s="43" t="s">
        <v>532</v>
      </c>
      <c r="CS5" s="88"/>
      <c r="CT5" s="88"/>
      <c r="CU5" s="88"/>
    </row>
    <row r="6" spans="1:99" ht="14.25">
      <c r="D6" s="349"/>
      <c r="E6" s="385"/>
      <c r="F6" s="351"/>
      <c r="G6" s="352"/>
      <c r="H6" s="353"/>
      <c r="I6" s="354"/>
      <c r="J6" s="355"/>
      <c r="K6" s="207"/>
      <c r="L6" s="355"/>
      <c r="M6" s="207"/>
      <c r="N6" s="207"/>
      <c r="O6" s="355"/>
      <c r="P6" s="207"/>
      <c r="Q6" s="207"/>
      <c r="R6" s="355"/>
      <c r="S6" s="228"/>
      <c r="T6" s="358"/>
      <c r="U6" s="356"/>
      <c r="V6" s="207"/>
      <c r="W6" s="358"/>
      <c r="X6" s="357"/>
      <c r="Y6" s="207"/>
      <c r="Z6" s="357"/>
      <c r="AA6" s="207"/>
      <c r="AB6" s="358"/>
      <c r="AC6" s="357"/>
      <c r="AD6" s="207"/>
      <c r="AE6" s="358"/>
      <c r="AF6" s="43"/>
      <c r="AG6" s="43"/>
      <c r="CS6" s="88"/>
      <c r="CT6" s="88"/>
      <c r="CU6" s="88"/>
    </row>
    <row r="7" spans="1:99" ht="14.25">
      <c r="D7" s="334" t="s">
        <v>604</v>
      </c>
      <c r="E7" s="335" t="s">
        <v>610</v>
      </c>
      <c r="F7" s="375"/>
      <c r="G7" s="375"/>
      <c r="H7" s="344" t="s">
        <v>620</v>
      </c>
      <c r="I7" s="656" t="s">
        <v>621</v>
      </c>
      <c r="J7" s="658"/>
      <c r="K7" s="374"/>
      <c r="L7" s="394" t="s">
        <v>627</v>
      </c>
      <c r="M7" s="656" t="s">
        <v>628</v>
      </c>
      <c r="N7" s="658"/>
      <c r="O7" s="418" t="s">
        <v>631</v>
      </c>
      <c r="P7" s="656" t="s">
        <v>632</v>
      </c>
      <c r="Q7" s="658"/>
      <c r="R7" s="355"/>
      <c r="S7" s="445" t="s">
        <v>634</v>
      </c>
      <c r="T7" s="43" t="s">
        <v>633</v>
      </c>
      <c r="U7" s="356"/>
      <c r="V7" s="207"/>
      <c r="W7" s="358"/>
      <c r="X7" s="357"/>
      <c r="Y7" s="207"/>
      <c r="Z7" s="357"/>
      <c r="AA7" s="207"/>
      <c r="AB7" s="358"/>
      <c r="AC7" s="357"/>
      <c r="AD7" s="207"/>
      <c r="AE7" s="358"/>
      <c r="AF7" s="43"/>
      <c r="AG7" s="43"/>
      <c r="CS7" s="88"/>
      <c r="CT7" s="88"/>
      <c r="CU7" s="88"/>
    </row>
    <row r="8" spans="1:99">
      <c r="CS8" s="88"/>
      <c r="CT8" s="88"/>
      <c r="CU8" s="88"/>
    </row>
    <row r="9" spans="1:99" ht="15" thickBot="1">
      <c r="A9" s="72">
        <f>DATE(2018,9,1)</f>
        <v>43344</v>
      </c>
      <c r="B9" s="153"/>
      <c r="C9" s="151" t="str">
        <f>TEXT(WEEKDAY(DATE(2018,9,1),1),"[$-40c]aaa")</f>
        <v>1900</v>
      </c>
      <c r="D9" s="25" t="str">
        <f>TEXT(WEEKDAY(DATE(2018,9,2),1),"[$-40c]aaa")</f>
        <v>1900</v>
      </c>
      <c r="E9" s="25" t="str">
        <f>TEXT(WEEKDAY(DATE(2018,9,3),1),"[$-40c]aaa")</f>
        <v>1900</v>
      </c>
      <c r="F9" s="25" t="str">
        <f>TEXT(WEEKDAY(DATE(2018,9,4),1),"[$-40c]aaa")</f>
        <v>1900</v>
      </c>
      <c r="G9" s="25" t="str">
        <f>TEXT(WEEKDAY(DATE(2018,9,5),1),"[$-40c]aaa")</f>
        <v>1900</v>
      </c>
      <c r="H9" s="25" t="str">
        <f>TEXT(WEEKDAY(DATE(2018,9,6),1),"[$-40c]aaa")</f>
        <v>1900</v>
      </c>
      <c r="I9" s="25" t="str">
        <f>TEXT(WEEKDAY(DATE(2018,9,7),1),"[$-40c]aaa")</f>
        <v>1900</v>
      </c>
      <c r="J9" s="25" t="str">
        <f>TEXT(WEEKDAY(DATE(2018,9,8),1),"[$-40c]aaa")</f>
        <v>1900</v>
      </c>
      <c r="K9" s="25" t="str">
        <f>TEXT(WEEKDAY(DATE(2018,9,9),1),"[$-40c]aaa")</f>
        <v>1900</v>
      </c>
      <c r="L9" s="25" t="str">
        <f>TEXT(WEEKDAY(DATE(2018,9,10),1),"[$-40c]aaa")</f>
        <v>1900</v>
      </c>
      <c r="M9" s="25" t="str">
        <f>TEXT(WEEKDAY(DATE(2018,9,11),1),"[$-40c]aaa")</f>
        <v>1900</v>
      </c>
      <c r="N9" s="25" t="str">
        <f>TEXT(WEEKDAY(DATE(2018,9,12),1),"[$-40c]aaa")</f>
        <v>1900</v>
      </c>
      <c r="O9" s="25" t="str">
        <f>TEXT(WEEKDAY(DATE(2018,9,13),1),"[$-40c]aaa")</f>
        <v>1900</v>
      </c>
      <c r="P9" s="25" t="str">
        <f>TEXT(WEEKDAY(DATE(2018,9,14),1),"[$-40c]aaa")</f>
        <v>1900</v>
      </c>
      <c r="Q9" s="25" t="str">
        <f>TEXT(WEEKDAY(DATE(2018,9,15),1),"[$-40c]aaa")</f>
        <v>1900</v>
      </c>
      <c r="R9" s="25" t="str">
        <f>TEXT(WEEKDAY(DATE(2018,9,16),1),"[$-40c]aaa")</f>
        <v>1900</v>
      </c>
      <c r="S9" s="25" t="str">
        <f>TEXT(WEEKDAY(DATE(2018,9,17),1),"[$-40c]aaa")</f>
        <v>1900</v>
      </c>
      <c r="T9" s="25" t="str">
        <f>TEXT(WEEKDAY(DATE(2018,9,18),1),"[$-40c]aaa")</f>
        <v>1900</v>
      </c>
      <c r="U9" s="25" t="str">
        <f>TEXT(WEEKDAY(DATE(2018,9,19),1),"[$-40c]aaa")</f>
        <v>1900</v>
      </c>
      <c r="V9" s="25" t="str">
        <f>TEXT(WEEKDAY(DATE(Y12,9,20),1),"[$-40c]aaa")</f>
        <v>1900</v>
      </c>
      <c r="W9" s="25" t="str">
        <f>TEXT(WEEKDAY(DATE(2018,9,21),1),"[$-40c]aaa")</f>
        <v>1900</v>
      </c>
      <c r="X9" s="25" t="str">
        <f>TEXT(WEEKDAY(DATE(2018,9,22),1),"[$-40c]aaa")</f>
        <v>1900</v>
      </c>
      <c r="Y9" s="25" t="str">
        <f>TEXT(WEEKDAY(DATE(2018,9,23),1),"[$-40c]aaa")</f>
        <v>1900</v>
      </c>
      <c r="Z9" s="25" t="str">
        <f>TEXT(WEEKDAY(DATE(2018,9,24),1),"[$-40c]aaa")</f>
        <v>1900</v>
      </c>
      <c r="AA9" s="25" t="str">
        <f>TEXT(WEEKDAY(DATE(2018,9,25),1),"[$-40c]aaa")</f>
        <v>1900</v>
      </c>
      <c r="AB9" s="25" t="str">
        <f>TEXT(WEEKDAY(DATE(2018,9,26),1),"[$-40c]aaa")</f>
        <v>1900</v>
      </c>
      <c r="AC9" s="25" t="str">
        <f>TEXT(WEEKDAY(DATE(2018,9,27),1),"[$-40c]aaa")</f>
        <v>1900</v>
      </c>
      <c r="AD9" s="25" t="str">
        <f>TEXT(WEEKDAY(DATE(2018,9,28),1),"[$-40c]aaa")</f>
        <v>1900</v>
      </c>
      <c r="AE9" s="25" t="str">
        <f>TEXT(WEEKDAY(DATE(2018,9,29),1),"[$-40c]aaa")</f>
        <v>1900</v>
      </c>
      <c r="AF9" s="142" t="str">
        <f>TEXT(WEEKDAY(DATE(2018,9,30),1),"[$-40c]aaa")</f>
        <v>1900</v>
      </c>
      <c r="AG9" s="402" t="s">
        <v>36</v>
      </c>
      <c r="AH9" s="402"/>
      <c r="AI9" s="402"/>
      <c r="AJ9" s="402"/>
      <c r="AK9" s="402"/>
      <c r="AL9" s="402"/>
      <c r="AM9" s="402"/>
      <c r="AN9" s="402"/>
      <c r="AO9" s="402"/>
      <c r="AP9" s="402"/>
      <c r="AQ9" s="402"/>
      <c r="AR9" s="402"/>
      <c r="AS9" s="402"/>
      <c r="AT9" s="402"/>
      <c r="AU9" s="402"/>
      <c r="AV9" s="402"/>
      <c r="AW9" s="402"/>
      <c r="AX9" s="402"/>
      <c r="AY9" s="402"/>
      <c r="AZ9" s="415"/>
      <c r="BA9" s="415"/>
      <c r="BB9" s="415"/>
      <c r="BC9" s="415"/>
      <c r="BD9" s="402"/>
      <c r="BE9" s="402"/>
      <c r="BF9" s="402"/>
      <c r="BG9" s="402"/>
      <c r="BH9" s="402"/>
      <c r="BI9" s="299"/>
      <c r="BJ9" s="251"/>
      <c r="BK9" s="251"/>
      <c r="BL9" s="312"/>
      <c r="BM9" s="251"/>
      <c r="BN9" s="251"/>
      <c r="BO9" s="251"/>
      <c r="BP9" s="251"/>
      <c r="BQ9" s="251"/>
      <c r="BR9" s="251"/>
      <c r="BS9" s="251"/>
      <c r="BT9" s="251"/>
      <c r="BU9" s="251"/>
      <c r="BV9" s="251"/>
      <c r="BW9" s="251" t="s">
        <v>575</v>
      </c>
      <c r="BX9" s="251"/>
      <c r="BY9" s="251"/>
      <c r="BZ9" s="251"/>
      <c r="CA9" s="251"/>
      <c r="CB9" s="251"/>
      <c r="CC9" s="251"/>
      <c r="CD9" s="251"/>
      <c r="CE9" s="251"/>
      <c r="CF9" s="251"/>
      <c r="CG9" s="251"/>
      <c r="CH9" s="251"/>
      <c r="CI9" s="251"/>
      <c r="CJ9" s="251"/>
      <c r="CK9" s="251"/>
      <c r="CL9" s="251"/>
      <c r="CM9" s="251"/>
      <c r="CN9" s="251"/>
      <c r="CO9" s="251"/>
      <c r="CP9" s="251"/>
      <c r="CQ9" s="85"/>
      <c r="CR9" s="247"/>
      <c r="CS9" s="247"/>
      <c r="CT9" s="248"/>
    </row>
    <row r="10" spans="1:99" ht="15.75" thickTop="1" thickBot="1">
      <c r="A10" s="407" t="s">
        <v>33</v>
      </c>
      <c r="B10" s="154" t="s">
        <v>32</v>
      </c>
      <c r="C10" s="3" t="s">
        <v>0</v>
      </c>
      <c r="D10" s="3" t="s">
        <v>1</v>
      </c>
      <c r="E10" s="3" t="s">
        <v>2</v>
      </c>
      <c r="F10" s="3" t="s">
        <v>3</v>
      </c>
      <c r="G10" s="3" t="s">
        <v>4</v>
      </c>
      <c r="H10" s="3" t="s">
        <v>5</v>
      </c>
      <c r="I10" s="3" t="s">
        <v>6</v>
      </c>
      <c r="J10" s="3" t="s">
        <v>7</v>
      </c>
      <c r="K10" s="3" t="s">
        <v>8</v>
      </c>
      <c r="L10" s="3" t="s">
        <v>9</v>
      </c>
      <c r="M10" s="3" t="s">
        <v>10</v>
      </c>
      <c r="N10" s="3" t="s">
        <v>11</v>
      </c>
      <c r="O10" s="3" t="s">
        <v>12</v>
      </c>
      <c r="P10" s="3" t="s">
        <v>13</v>
      </c>
      <c r="Q10" s="3" t="s">
        <v>14</v>
      </c>
      <c r="R10" s="3" t="s">
        <v>15</v>
      </c>
      <c r="S10" s="3" t="s">
        <v>16</v>
      </c>
      <c r="T10" s="3" t="s">
        <v>17</v>
      </c>
      <c r="U10" s="3" t="s">
        <v>18</v>
      </c>
      <c r="V10" s="3" t="s">
        <v>19</v>
      </c>
      <c r="W10" s="3" t="s">
        <v>20</v>
      </c>
      <c r="X10" s="3" t="s">
        <v>21</v>
      </c>
      <c r="Y10" s="3" t="s">
        <v>22</v>
      </c>
      <c r="Z10" s="3" t="s">
        <v>23</v>
      </c>
      <c r="AA10" s="3" t="s">
        <v>24</v>
      </c>
      <c r="AB10" s="3" t="s">
        <v>25</v>
      </c>
      <c r="AC10" s="3" t="s">
        <v>26</v>
      </c>
      <c r="AD10" s="3" t="s">
        <v>27</v>
      </c>
      <c r="AE10" s="3" t="s">
        <v>28</v>
      </c>
      <c r="AF10" s="143" t="s">
        <v>29</v>
      </c>
      <c r="AG10" s="55" t="s">
        <v>104</v>
      </c>
      <c r="AH10" s="236" t="s">
        <v>527</v>
      </c>
      <c r="AI10" s="40" t="s">
        <v>105</v>
      </c>
      <c r="AJ10" s="41" t="s">
        <v>106</v>
      </c>
      <c r="AK10" s="42" t="s">
        <v>107</v>
      </c>
      <c r="AL10" s="75" t="s">
        <v>35</v>
      </c>
      <c r="AM10" s="234" t="s">
        <v>529</v>
      </c>
      <c r="AN10" s="76" t="s">
        <v>108</v>
      </c>
      <c r="AO10" s="77" t="s">
        <v>109</v>
      </c>
      <c r="AP10" s="97" t="s">
        <v>483</v>
      </c>
      <c r="AQ10" s="90" t="s">
        <v>484</v>
      </c>
      <c r="AR10" s="95" t="s">
        <v>485</v>
      </c>
      <c r="AS10" s="96" t="s">
        <v>486</v>
      </c>
      <c r="AT10" s="91" t="s">
        <v>487</v>
      </c>
      <c r="AU10" s="129" t="s">
        <v>489</v>
      </c>
      <c r="AV10" s="92" t="s">
        <v>488</v>
      </c>
      <c r="AW10" s="93" t="s">
        <v>490</v>
      </c>
      <c r="AX10" s="94" t="s">
        <v>491</v>
      </c>
      <c r="AY10" s="111" t="s">
        <v>492</v>
      </c>
      <c r="AZ10" s="408" t="s">
        <v>604</v>
      </c>
      <c r="BA10" s="409" t="s">
        <v>620</v>
      </c>
      <c r="BB10" s="421" t="s">
        <v>627</v>
      </c>
      <c r="BC10" s="422" t="s">
        <v>631</v>
      </c>
      <c r="BD10" s="198" t="s">
        <v>507</v>
      </c>
      <c r="BE10" s="235" t="s">
        <v>531</v>
      </c>
      <c r="BF10" s="133" t="s">
        <v>496</v>
      </c>
      <c r="BG10" s="135" t="s">
        <v>497</v>
      </c>
      <c r="BH10" s="137" t="s">
        <v>498</v>
      </c>
      <c r="BI10" s="146" t="s">
        <v>544</v>
      </c>
      <c r="BJ10" s="146" t="s">
        <v>545</v>
      </c>
      <c r="BK10" s="146" t="s">
        <v>546</v>
      </c>
      <c r="BL10" s="146" t="s">
        <v>542</v>
      </c>
      <c r="BM10" s="146" t="s">
        <v>543</v>
      </c>
      <c r="BN10" s="146" t="s">
        <v>547</v>
      </c>
      <c r="BO10" s="146" t="s">
        <v>548</v>
      </c>
      <c r="BP10" s="146" t="s">
        <v>549</v>
      </c>
      <c r="BQ10" s="146" t="s">
        <v>550</v>
      </c>
      <c r="BR10" s="146" t="s">
        <v>551</v>
      </c>
      <c r="BS10" s="146" t="s">
        <v>552</v>
      </c>
      <c r="BT10" s="146" t="s">
        <v>553</v>
      </c>
      <c r="BU10" s="146" t="s">
        <v>574</v>
      </c>
      <c r="BV10" s="146" t="s">
        <v>554</v>
      </c>
      <c r="BW10" s="146" t="s">
        <v>555</v>
      </c>
      <c r="BX10" s="146" t="s">
        <v>556</v>
      </c>
      <c r="BY10" s="146" t="s">
        <v>558</v>
      </c>
      <c r="BZ10" s="146" t="s">
        <v>557</v>
      </c>
      <c r="CA10" s="146" t="s">
        <v>559</v>
      </c>
      <c r="CB10" s="146" t="s">
        <v>560</v>
      </c>
      <c r="CC10" s="146" t="s">
        <v>561</v>
      </c>
      <c r="CD10" s="146" t="s">
        <v>562</v>
      </c>
      <c r="CE10" s="146" t="s">
        <v>563</v>
      </c>
      <c r="CF10" s="146" t="s">
        <v>564</v>
      </c>
      <c r="CG10" s="146" t="s">
        <v>565</v>
      </c>
      <c r="CH10" s="146" t="s">
        <v>566</v>
      </c>
      <c r="CI10" s="146" t="s">
        <v>567</v>
      </c>
      <c r="CJ10" s="146" t="s">
        <v>568</v>
      </c>
      <c r="CK10" s="146" t="s">
        <v>569</v>
      </c>
      <c r="CL10" s="146" t="s">
        <v>570</v>
      </c>
      <c r="CM10" s="146" t="s">
        <v>571</v>
      </c>
      <c r="CN10" s="146" t="s">
        <v>572</v>
      </c>
      <c r="CO10" s="309" t="s">
        <v>573</v>
      </c>
      <c r="CP10" s="310" t="s">
        <v>611</v>
      </c>
      <c r="CQ10" s="166" t="s">
        <v>494</v>
      </c>
      <c r="CR10" s="166" t="s">
        <v>495</v>
      </c>
      <c r="CS10" s="263" t="s">
        <v>536</v>
      </c>
      <c r="CT10" s="167" t="s">
        <v>502</v>
      </c>
    </row>
    <row r="11" spans="1:99" ht="14.25" thickTop="1">
      <c r="A11" s="406"/>
      <c r="B11" s="152"/>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44"/>
      <c r="AG11" s="6">
        <f ca="1">COUNTIF(PArticipationSeptembre1[[#This Row],[2]:[A]],Code1)</f>
        <v>0</v>
      </c>
      <c r="AH11" s="6">
        <f ca="1">COUNTIF(PArticipationSeptembre1[[#This Row],[2]:[A]],code22)</f>
        <v>0</v>
      </c>
      <c r="AI11" s="6">
        <f ca="1">COUNTIF(PArticipationSeptembre1[[#This Row],[2]:[A]],Code2)</f>
        <v>0</v>
      </c>
      <c r="AJ11" s="6">
        <f ca="1">COUNTIF(PArticipationSeptembre1[[#This Row],[2]:[A]],Code3)</f>
        <v>0</v>
      </c>
      <c r="AK11" s="6">
        <f ca="1">COUNTIF(PArticipationSeptembre1[[#This Row],[2]:[A]],Code4)</f>
        <v>0</v>
      </c>
      <c r="AL11" s="6">
        <f ca="1">COUNTIF(PArticipationSeptembre1[[#This Row],[2]:[A]],Code5)</f>
        <v>0</v>
      </c>
      <c r="AM11" s="6">
        <f ca="1">COUNTIF(PArticipationSeptembre1[[#This Row],[2]:[A]],Code23)</f>
        <v>0</v>
      </c>
      <c r="AN11" s="6">
        <f ca="1">COUNTIF(PArticipationSeptembre1[[#This Row],[2]:[A]],Code6)</f>
        <v>0</v>
      </c>
      <c r="AO11" s="6">
        <f ca="1">COUNTIF(PArticipationSeptembre1[[#This Row],[2]:[A]],Code7)</f>
        <v>0</v>
      </c>
      <c r="AP11" s="6">
        <f ca="1">COUNTIF(PArticipationSeptembre1[[#This Row],[2]:[A]],Code8)</f>
        <v>0</v>
      </c>
      <c r="AQ11" s="6">
        <f ca="1">COUNTIF(PArticipationSeptembre1[[#This Row],[2]:[A]],Code9)</f>
        <v>0</v>
      </c>
      <c r="AR11" s="6">
        <f ca="1">COUNTIF(PArticipationSeptembre1[[#This Row],[2]:[A]],Code10)</f>
        <v>0</v>
      </c>
      <c r="AS11" s="6">
        <f ca="1">COUNTIF(PArticipationSeptembre1[[#This Row],[2]:[A]],Code11)</f>
        <v>0</v>
      </c>
      <c r="AT11" s="6">
        <f ca="1">COUNTIF(PArticipationSeptembre1[[#This Row],[2]:[A]],Code12)</f>
        <v>0</v>
      </c>
      <c r="AU11" s="6">
        <f ca="1">COUNTIF(PArticipationSeptembre1[[#This Row],[2]:[A]],Code13)</f>
        <v>0</v>
      </c>
      <c r="AV11" s="6">
        <f ca="1">COUNTIF(PArticipationSeptembre1[[#This Row],[2]:[A]],Code14)</f>
        <v>0</v>
      </c>
      <c r="AW11" s="6">
        <f ca="1">COUNTIF(PArticipationSeptembre1[[#This Row],[2]:[A]],Code15)</f>
        <v>0</v>
      </c>
      <c r="AX11" s="6">
        <f ca="1">COUNTIF(PArticipationSeptembre1[[#This Row],[2]:[A]],Code16)</f>
        <v>0</v>
      </c>
      <c r="AY11" s="6">
        <f ca="1">COUNTIF(PArticipationSeptembre1[[#This Row],[2]:[A]],Code17)</f>
        <v>0</v>
      </c>
      <c r="AZ11" s="6">
        <f ca="1">COUNTIF(PArticipationSeptembre1[[#This Row],[2]:[A]],Code25)</f>
        <v>0</v>
      </c>
      <c r="BA11" s="6">
        <f ca="1">COUNTIF(PArticipationSeptembre1[[#This Row],[2]:[A]],Code26)</f>
        <v>0</v>
      </c>
      <c r="BB11" s="6">
        <f ca="1">COUNTIF(PArticipationSeptembre1[[#This Row],[2]:[A]],Code27)</f>
        <v>0</v>
      </c>
      <c r="BC11" s="6">
        <f ca="1">COUNTIF(PArticipationSeptembre1[[#This Row],[2]:[A]],Code28)</f>
        <v>0</v>
      </c>
      <c r="BD11" s="6">
        <f ca="1">COUNTIF(PArticipationSeptembre1[[#This Row],[2]:[A]],code21)</f>
        <v>0</v>
      </c>
      <c r="BE11" s="6">
        <f ca="1">COUNTIF(PArticipationSeptembre1[[#This Row],[2]:[A]],Code24)</f>
        <v>0</v>
      </c>
      <c r="BF11" s="6">
        <f ca="1">COUNTIF(PArticipationSeptembre1[[#This Row],[2]:[A]],code18)</f>
        <v>0</v>
      </c>
      <c r="BG11" s="6">
        <f ca="1">COUNTIF(PArticipationSeptembre1[[#This Row],[2]:[A]],code19)</f>
        <v>0</v>
      </c>
      <c r="BH11" s="182">
        <f ca="1">COUNTIF(PArticipationSeptembre1[[#This Row],[2]:[A]],code20)</f>
        <v>0</v>
      </c>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426"/>
      <c r="CP11" s="182"/>
      <c r="CQ11" s="156">
        <f ca="1">SUM((AH11*1)+(AI11*1.5)+(AJ11*2)+(AK11*3)+(AP11*5)+(AQ11*6)+(AR11*7)+(AU11*2)+(AX11*3)+(AY11*4)+(BA11*5)+(BB11*3)+(BC11*2)+(BE11*2)+(AZ11*2)+(BD11*2))</f>
        <v>0</v>
      </c>
      <c r="CR11" s="156">
        <f ca="1">SUM((AN11*1)+(AM11*2)+(AO11*3)+(AP11*4)+(AT11*5)+(AU11*7)+(AV11*7)+(AW11*7)+(AX11*4)+(AY11*3)+(BA11*2)+(BC11*4)+(BB11*1)+(BE11*2)+(AZ11*5)+(BD11*1))</f>
        <v>0</v>
      </c>
      <c r="CS11" s="178">
        <f ca="1">BE11*2</f>
        <v>0</v>
      </c>
      <c r="CT11" s="177">
        <f t="shared" ref="CT11:CT30" ca="1" si="0">SUM((BF11*7)+(BG11*10)+(BH11*12))</f>
        <v>0</v>
      </c>
    </row>
    <row r="12" spans="1:99">
      <c r="A12" s="405"/>
      <c r="B12" s="152"/>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44"/>
      <c r="AG12" s="6">
        <f ca="1">COUNTIF(PArticipationSeptembre1[[#This Row],[2]:[A]],Code1)</f>
        <v>0</v>
      </c>
      <c r="AH12" s="6">
        <f ca="1">COUNTIF(PArticipationSeptembre1[[#This Row],[2]:[A]],code22)</f>
        <v>0</v>
      </c>
      <c r="AI12" s="6">
        <f ca="1">COUNTIF(PArticipationSeptembre1[[#This Row],[2]:[A]],Code2)</f>
        <v>0</v>
      </c>
      <c r="AJ12" s="6">
        <f ca="1">COUNTIF(PArticipationSeptembre1[[#This Row],[2]:[A]],Code3)</f>
        <v>0</v>
      </c>
      <c r="AK12" s="6">
        <f ca="1">COUNTIF(PArticipationSeptembre1[[#This Row],[2]:[A]],Code4)</f>
        <v>0</v>
      </c>
      <c r="AL12" s="6">
        <f ca="1">COUNTIF(PArticipationSeptembre1[[#This Row],[2]:[A]],Code5)</f>
        <v>0</v>
      </c>
      <c r="AM12" s="6">
        <f ca="1">COUNTIF(PArticipationSeptembre1[[#This Row],[2]:[A]],Code23)</f>
        <v>0</v>
      </c>
      <c r="AN12" s="6">
        <f ca="1">COUNTIF(PArticipationSeptembre1[[#This Row],[2]:[A]],Code6)</f>
        <v>0</v>
      </c>
      <c r="AO12" s="6">
        <f ca="1">COUNTIF(PArticipationSeptembre1[[#This Row],[2]:[A]],Code7)</f>
        <v>0</v>
      </c>
      <c r="AP12" s="6">
        <f ca="1">COUNTIF(PArticipationSeptembre1[[#This Row],[2]:[A]],Code8)</f>
        <v>0</v>
      </c>
      <c r="AQ12" s="6">
        <f ca="1">COUNTIF(PArticipationSeptembre1[[#This Row],[2]:[A]],Code9)</f>
        <v>0</v>
      </c>
      <c r="AR12" s="6">
        <f ca="1">COUNTIF(PArticipationSeptembre1[[#This Row],[2]:[A]],Code10)</f>
        <v>0</v>
      </c>
      <c r="AS12" s="6">
        <f ca="1">COUNTIF(PArticipationSeptembre1[[#This Row],[2]:[A]],Code11)</f>
        <v>0</v>
      </c>
      <c r="AT12" s="6">
        <f ca="1">COUNTIF(PArticipationSeptembre1[[#This Row],[2]:[A]],Code12)</f>
        <v>0</v>
      </c>
      <c r="AU12" s="6">
        <f ca="1">COUNTIF(PArticipationSeptembre1[[#This Row],[2]:[A]],Code13)</f>
        <v>0</v>
      </c>
      <c r="AV12" s="6">
        <f ca="1">COUNTIF(PArticipationSeptembre1[[#This Row],[2]:[A]],Code14)</f>
        <v>0</v>
      </c>
      <c r="AW12" s="6">
        <f ca="1">COUNTIF(PArticipationSeptembre1[[#This Row],[2]:[A]],Code15)</f>
        <v>0</v>
      </c>
      <c r="AX12" s="6">
        <f ca="1">COUNTIF(PArticipationSeptembre1[[#This Row],[2]:[A]],Code16)</f>
        <v>0</v>
      </c>
      <c r="AY12" s="6">
        <f ca="1">COUNTIF(PArticipationSeptembre1[[#This Row],[2]:[A]],Code17)</f>
        <v>0</v>
      </c>
      <c r="AZ12" s="6">
        <f ca="1">COUNTIF(PArticipationSeptembre1[[#This Row],[2]:[A]],Code25)</f>
        <v>0</v>
      </c>
      <c r="BA12" s="6">
        <f ca="1">COUNTIF(PArticipationSeptembre1[[#This Row],[2]:[A]],Code26)</f>
        <v>0</v>
      </c>
      <c r="BB12" s="6">
        <f ca="1">COUNTIF(PArticipationSeptembre1[[#This Row],[2]:[A]],Code27)</f>
        <v>0</v>
      </c>
      <c r="BC12" s="6">
        <f ca="1">COUNTIF(PArticipationSeptembre1[[#This Row],[2]:[A]],Code28)</f>
        <v>0</v>
      </c>
      <c r="BD12" s="6">
        <f ca="1">COUNTIF(PArticipationSeptembre1[[#This Row],[2]:[A]],code21)</f>
        <v>0</v>
      </c>
      <c r="BE12" s="6">
        <f ca="1">COUNTIF(PArticipationSeptembre1[[#This Row],[2]:[A]],Code24)</f>
        <v>0</v>
      </c>
      <c r="BF12" s="6">
        <f ca="1">COUNTIF(PArticipationSeptembre1[[#This Row],[2]:[A]],code18)</f>
        <v>0</v>
      </c>
      <c r="BG12" s="6">
        <f ca="1">COUNTIF(PArticipationSeptembre1[[#This Row],[2]:[A]],code19)</f>
        <v>0</v>
      </c>
      <c r="BH12" s="182">
        <f ca="1">COUNTIF(PArticipationSeptembre1[[#This Row],[2]:[A]],code20)</f>
        <v>0</v>
      </c>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427"/>
      <c r="CP12" s="315"/>
      <c r="CQ12" s="156">
        <f t="shared" ref="CQ12:CQ33" ca="1" si="1">SUM((AH12*1)+(AI12*1.5)+(AJ12*2)+(AK12*3)+(AP12*5)+(AQ12*6)+(AR12*7)+(AU12*2)+(AX12*3)+(AY12*4)+(BA12*5)+(BB12*3)+(BC12*2)+(BE12*2)+(AZ12*2)+(BD12*2))</f>
        <v>0</v>
      </c>
      <c r="CR12" s="156">
        <f t="shared" ref="CR12:CR33" ca="1" si="2">SUM((AN12*1)+(AM12*2)+(AO12*3)+(AP12*4)+(AT12*5)+(AU12*7)+(AV12*7)+(AW12*7)+(AX12*4)+(AY12*3)+(BA12*2)+(BC12*4)+(BB12*1)+(BE12*2)+(AZ12*5)+(BD12*1))</f>
        <v>0</v>
      </c>
      <c r="CS12" s="178">
        <f t="shared" ref="CS12:CS32" ca="1" si="3">BE12*2</f>
        <v>0</v>
      </c>
      <c r="CT12" s="157">
        <f t="shared" ca="1" si="0"/>
        <v>0</v>
      </c>
    </row>
    <row r="13" spans="1:99">
      <c r="A13" s="406"/>
      <c r="B13" s="152" t="str">
        <f>IFERROR(VLOOKUP(ParticipationDecembre1[[#This Row],[Référence]],ListeÉtudiants1[],18,FALSE),"")</f>
        <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44"/>
      <c r="AG13" s="6">
        <f ca="1">COUNTIF(PArticipationSeptembre1[[#This Row],[2]:[A]],Code1)</f>
        <v>0</v>
      </c>
      <c r="AH13" s="6">
        <f ca="1">COUNTIF(PArticipationSeptembre1[[#This Row],[2]:[A]],code22)</f>
        <v>0</v>
      </c>
      <c r="AI13" s="6">
        <f ca="1">COUNTIF(PArticipationSeptembre1[[#This Row],[2]:[A]],Code2)</f>
        <v>0</v>
      </c>
      <c r="AJ13" s="6">
        <f ca="1">COUNTIF(PArticipationSeptembre1[[#This Row],[2]:[A]],Code3)</f>
        <v>0</v>
      </c>
      <c r="AK13" s="6">
        <f ca="1">COUNTIF(PArticipationSeptembre1[[#This Row],[2]:[A]],Code4)</f>
        <v>0</v>
      </c>
      <c r="AL13" s="84">
        <f ca="1">COUNTIF(PArticipationSeptembre1[[#This Row],[2]:[A]],Code5)</f>
        <v>0</v>
      </c>
      <c r="AM13" s="6">
        <f ca="1">COUNTIF(PArticipationSeptembre1[[#This Row],[2]:[A]],Code23)</f>
        <v>0</v>
      </c>
      <c r="AN13" s="84">
        <f ca="1">COUNTIF(PArticipationSeptembre1[[#This Row],[2]:[A]],Code6)</f>
        <v>0</v>
      </c>
      <c r="AO13" s="84">
        <f ca="1">COUNTIF(PArticipationSeptembre1[[#This Row],[2]:[A]],Code7)</f>
        <v>0</v>
      </c>
      <c r="AP13" s="6">
        <f ca="1">COUNTIF(PArticipationSeptembre1[[#This Row],[2]:[A]],Code8)</f>
        <v>0</v>
      </c>
      <c r="AQ13" s="6">
        <f ca="1">COUNTIF(PArticipationSeptembre1[[#This Row],[2]:[A]],Code9)</f>
        <v>0</v>
      </c>
      <c r="AR13" s="6">
        <f ca="1">COUNTIF(PArticipationSeptembre1[[#This Row],[2]:[A]],Code10)</f>
        <v>0</v>
      </c>
      <c r="AS13" s="6">
        <f ca="1">COUNTIF(PArticipationSeptembre1[[#This Row],[2]:[A]],Code11)</f>
        <v>0</v>
      </c>
      <c r="AT13" s="6">
        <f ca="1">COUNTIF(PArticipationSeptembre1[[#This Row],[2]:[A]],Code12)</f>
        <v>0</v>
      </c>
      <c r="AU13" s="6">
        <f ca="1">COUNTIF(PArticipationSeptembre1[[#This Row],[2]:[A]],Code13)</f>
        <v>0</v>
      </c>
      <c r="AV13" s="6">
        <f ca="1">COUNTIF(PArticipationSeptembre1[[#This Row],[2]:[A]],Code14)</f>
        <v>0</v>
      </c>
      <c r="AW13" s="6">
        <f ca="1">COUNTIF(PArticipationSeptembre1[[#This Row],[2]:[A]],Code15)</f>
        <v>0</v>
      </c>
      <c r="AX13" s="6">
        <f ca="1">COUNTIF(PArticipationSeptembre1[[#This Row],[2]:[A]],Code16)</f>
        <v>0</v>
      </c>
      <c r="AY13" s="6">
        <f ca="1">COUNTIF(PArticipationSeptembre1[[#This Row],[2]:[A]],Code17)</f>
        <v>0</v>
      </c>
      <c r="AZ13" s="6">
        <f ca="1">COUNTIF(PArticipationSeptembre1[[#This Row],[2]:[A]],Code25)</f>
        <v>0</v>
      </c>
      <c r="BA13" s="6">
        <f ca="1">COUNTIF(PArticipationSeptembre1[[#This Row],[2]:[A]],Code26)</f>
        <v>0</v>
      </c>
      <c r="BB13" s="6">
        <f ca="1">COUNTIF(PArticipationSeptembre1[[#This Row],[2]:[A]],Code27)</f>
        <v>0</v>
      </c>
      <c r="BC13" s="6">
        <f ca="1">COUNTIF(PArticipationSeptembre1[[#This Row],[2]:[A]],Code28)</f>
        <v>0</v>
      </c>
      <c r="BD13" s="6">
        <f ca="1">COUNTIF(PArticipationSeptembre1[[#This Row],[2]:[A]],code21)</f>
        <v>0</v>
      </c>
      <c r="BE13" s="6">
        <f ca="1">COUNTIF(PArticipationSeptembre1[[#This Row],[2]:[A]],Code24)</f>
        <v>0</v>
      </c>
      <c r="BF13" s="6">
        <f ca="1">COUNTIF(PArticipationSeptembre1[[#This Row],[2]:[A]],code18)</f>
        <v>0</v>
      </c>
      <c r="BG13" s="6">
        <f ca="1">COUNTIF(PArticipationSeptembre1[[#This Row],[2]:[A]],code19)</f>
        <v>0</v>
      </c>
      <c r="BH13" s="182">
        <f ca="1">COUNTIF(PArticipationSeptembre1[[#This Row],[2]:[A]],code20)</f>
        <v>0</v>
      </c>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428"/>
      <c r="CP13" s="164"/>
      <c r="CQ13" s="156">
        <f t="shared" ca="1" si="1"/>
        <v>0</v>
      </c>
      <c r="CR13" s="156">
        <f t="shared" ca="1" si="2"/>
        <v>0</v>
      </c>
      <c r="CS13" s="178">
        <f t="shared" ca="1" si="3"/>
        <v>0</v>
      </c>
      <c r="CT13" s="157">
        <f t="shared" ca="1" si="0"/>
        <v>0</v>
      </c>
    </row>
    <row r="14" spans="1:99">
      <c r="A14" s="405"/>
      <c r="B14" s="152" t="str">
        <f>IFERROR(VLOOKUP(ParticipationDecembre1[[#This Row],[Référence]],ListeÉtudiants1[],18,FALSE),"")</f>
        <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44"/>
      <c r="AG14" s="6">
        <f ca="1">COUNTIF(PArticipationSeptembre1[[#This Row],[2]:[A]],Code1)</f>
        <v>0</v>
      </c>
      <c r="AH14" s="6">
        <f ca="1">COUNTIF(PArticipationSeptembre1[[#This Row],[2]:[A]],code22)</f>
        <v>0</v>
      </c>
      <c r="AI14" s="6">
        <f ca="1">COUNTIF(PArticipationSeptembre1[[#This Row],[2]:[A]],Code2)</f>
        <v>0</v>
      </c>
      <c r="AJ14" s="6">
        <f ca="1">COUNTIF(PArticipationSeptembre1[[#This Row],[2]:[A]],Code3)</f>
        <v>0</v>
      </c>
      <c r="AK14" s="6">
        <f ca="1">COUNTIF(PArticipationSeptembre1[[#This Row],[2]:[A]],Code4)</f>
        <v>0</v>
      </c>
      <c r="AL14" s="84">
        <f ca="1">COUNTIF(PArticipationSeptembre1[[#This Row],[2]:[A]],Code5)</f>
        <v>0</v>
      </c>
      <c r="AM14" s="6">
        <f ca="1">COUNTIF(PArticipationSeptembre1[[#This Row],[2]:[A]],Code23)</f>
        <v>0</v>
      </c>
      <c r="AN14" s="84">
        <f ca="1">COUNTIF(PArticipationSeptembre1[[#This Row],[2]:[A]],Code6)</f>
        <v>0</v>
      </c>
      <c r="AO14" s="84">
        <f ca="1">COUNTIF(PArticipationSeptembre1[[#This Row],[2]:[A]],Code7)</f>
        <v>0</v>
      </c>
      <c r="AP14" s="6">
        <f ca="1">COUNTIF(PArticipationSeptembre1[[#This Row],[2]:[A]],Code8)</f>
        <v>0</v>
      </c>
      <c r="AQ14" s="6">
        <f ca="1">COUNTIF(PArticipationSeptembre1[[#This Row],[2]:[A]],Code9)</f>
        <v>0</v>
      </c>
      <c r="AR14" s="6">
        <f ca="1">COUNTIF(PArticipationSeptembre1[[#This Row],[2]:[A]],Code10)</f>
        <v>0</v>
      </c>
      <c r="AS14" s="6">
        <f ca="1">COUNTIF(PArticipationSeptembre1[[#This Row],[2]:[A]],Code11)</f>
        <v>0</v>
      </c>
      <c r="AT14" s="6">
        <f ca="1">COUNTIF(PArticipationSeptembre1[[#This Row],[2]:[A]],Code12)</f>
        <v>0</v>
      </c>
      <c r="AU14" s="6">
        <f ca="1">COUNTIF(PArticipationSeptembre1[[#This Row],[2]:[A]],Code13)</f>
        <v>0</v>
      </c>
      <c r="AV14" s="6">
        <f ca="1">COUNTIF(PArticipationSeptembre1[[#This Row],[2]:[A]],Code14)</f>
        <v>0</v>
      </c>
      <c r="AW14" s="6">
        <f ca="1">COUNTIF(PArticipationSeptembre1[[#This Row],[2]:[A]],Code15)</f>
        <v>0</v>
      </c>
      <c r="AX14" s="6">
        <f ca="1">COUNTIF(PArticipationSeptembre1[[#This Row],[2]:[A]],Code16)</f>
        <v>0</v>
      </c>
      <c r="AY14" s="6">
        <f ca="1">COUNTIF(PArticipationSeptembre1[[#This Row],[2]:[A]],Code17)</f>
        <v>0</v>
      </c>
      <c r="AZ14" s="6">
        <f ca="1">COUNTIF(PArticipationSeptembre1[[#This Row],[2]:[A]],Code25)</f>
        <v>0</v>
      </c>
      <c r="BA14" s="6">
        <f ca="1">COUNTIF(PArticipationSeptembre1[[#This Row],[2]:[A]],Code26)</f>
        <v>0</v>
      </c>
      <c r="BB14" s="6">
        <f ca="1">COUNTIF(PArticipationSeptembre1[[#This Row],[2]:[A]],Code27)</f>
        <v>0</v>
      </c>
      <c r="BC14" s="6">
        <f ca="1">COUNTIF(PArticipationSeptembre1[[#This Row],[2]:[A]],Code28)</f>
        <v>0</v>
      </c>
      <c r="BD14" s="6">
        <f ca="1">COUNTIF(PArticipationSeptembre1[[#This Row],[2]:[A]],code21)</f>
        <v>0</v>
      </c>
      <c r="BE14" s="6">
        <f ca="1">COUNTIF(PArticipationSeptembre1[[#This Row],[2]:[A]],Code24)</f>
        <v>0</v>
      </c>
      <c r="BF14" s="6">
        <f ca="1">COUNTIF(PArticipationSeptembre1[[#This Row],[2]:[A]],code18)</f>
        <v>0</v>
      </c>
      <c r="BG14" s="6">
        <f ca="1">COUNTIF(PArticipationSeptembre1[[#This Row],[2]:[A]],code19)</f>
        <v>0</v>
      </c>
      <c r="BH14" s="182">
        <f ca="1">COUNTIF(PArticipationSeptembre1[[#This Row],[2]:[A]],code20)</f>
        <v>0</v>
      </c>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427"/>
      <c r="CP14" s="315"/>
      <c r="CQ14" s="156">
        <f t="shared" ca="1" si="1"/>
        <v>0</v>
      </c>
      <c r="CR14" s="156">
        <f t="shared" ca="1" si="2"/>
        <v>0</v>
      </c>
      <c r="CS14" s="178">
        <f t="shared" ca="1" si="3"/>
        <v>0</v>
      </c>
      <c r="CT14" s="157">
        <f t="shared" ca="1" si="0"/>
        <v>0</v>
      </c>
    </row>
    <row r="15" spans="1:99">
      <c r="A15" s="406"/>
      <c r="B15" s="152"/>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44"/>
      <c r="AG15" s="6">
        <f ca="1">COUNTIF(PArticipationSeptembre1[[#This Row],[2]:[A]],Code1)</f>
        <v>0</v>
      </c>
      <c r="AH15" s="6">
        <f ca="1">COUNTIF(PArticipationSeptembre1[[#This Row],[2]:[A]],code22)</f>
        <v>0</v>
      </c>
      <c r="AI15" s="6">
        <f ca="1">COUNTIF(PArticipationSeptembre1[[#This Row],[2]:[A]],Code2)</f>
        <v>0</v>
      </c>
      <c r="AJ15" s="6">
        <f ca="1">COUNTIF(PArticipationSeptembre1[[#This Row],[2]:[A]],Code3)</f>
        <v>0</v>
      </c>
      <c r="AK15" s="6">
        <f ca="1">COUNTIF(PArticipationSeptembre1[[#This Row],[2]:[A]],Code4)</f>
        <v>0</v>
      </c>
      <c r="AL15" s="84">
        <f ca="1">COUNTIF(PArticipationSeptembre1[[#This Row],[2]:[A]],Code5)</f>
        <v>0</v>
      </c>
      <c r="AM15" s="6">
        <f ca="1">COUNTIF(PArticipationSeptembre1[[#This Row],[2]:[A]],Code23)</f>
        <v>0</v>
      </c>
      <c r="AN15" s="84">
        <f ca="1">COUNTIF(PArticipationSeptembre1[[#This Row],[2]:[A]],Code6)</f>
        <v>0</v>
      </c>
      <c r="AO15" s="84">
        <f ca="1">COUNTIF(PArticipationSeptembre1[[#This Row],[2]:[A]],Code7)</f>
        <v>0</v>
      </c>
      <c r="AP15" s="6">
        <f ca="1">COUNTIF(PArticipationSeptembre1[[#This Row],[2]:[A]],Code8)</f>
        <v>0</v>
      </c>
      <c r="AQ15" s="6">
        <f ca="1">COUNTIF(PArticipationSeptembre1[[#This Row],[2]:[A]],Code9)</f>
        <v>0</v>
      </c>
      <c r="AR15" s="6">
        <f ca="1">COUNTIF(PArticipationSeptembre1[[#This Row],[2]:[A]],Code10)</f>
        <v>0</v>
      </c>
      <c r="AS15" s="6">
        <f ca="1">COUNTIF(PArticipationSeptembre1[[#This Row],[2]:[A]],Code11)</f>
        <v>0</v>
      </c>
      <c r="AT15" s="6">
        <f ca="1">COUNTIF(PArticipationSeptembre1[[#This Row],[2]:[A]],Code12)</f>
        <v>0</v>
      </c>
      <c r="AU15" s="6">
        <f ca="1">COUNTIF(PArticipationSeptembre1[[#This Row],[2]:[A]],Code13)</f>
        <v>0</v>
      </c>
      <c r="AV15" s="6">
        <f ca="1">COUNTIF(PArticipationSeptembre1[[#This Row],[2]:[A]],Code14)</f>
        <v>0</v>
      </c>
      <c r="AW15" s="6">
        <f ca="1">COUNTIF(PArticipationSeptembre1[[#This Row],[2]:[A]],Code15)</f>
        <v>0</v>
      </c>
      <c r="AX15" s="6">
        <f ca="1">COUNTIF(PArticipationSeptembre1[[#This Row],[2]:[A]],Code16)</f>
        <v>0</v>
      </c>
      <c r="AY15" s="6">
        <f ca="1">COUNTIF(PArticipationSeptembre1[[#This Row],[2]:[A]],Code17)</f>
        <v>0</v>
      </c>
      <c r="AZ15" s="6">
        <f ca="1">COUNTIF(PArticipationSeptembre1[[#This Row],[2]:[A]],Code25)</f>
        <v>0</v>
      </c>
      <c r="BA15" s="6">
        <f ca="1">COUNTIF(PArticipationSeptembre1[[#This Row],[2]:[A]],Code26)</f>
        <v>0</v>
      </c>
      <c r="BB15" s="6">
        <f ca="1">COUNTIF(PArticipationSeptembre1[[#This Row],[2]:[A]],Code27)</f>
        <v>0</v>
      </c>
      <c r="BC15" s="6">
        <f ca="1">COUNTIF(PArticipationSeptembre1[[#This Row],[2]:[A]],Code28)</f>
        <v>0</v>
      </c>
      <c r="BD15" s="6">
        <f ca="1">COUNTIF(PArticipationSeptembre1[[#This Row],[2]:[A]],code21)</f>
        <v>0</v>
      </c>
      <c r="BE15" s="6">
        <f ca="1">COUNTIF(PArticipationSeptembre1[[#This Row],[2]:[A]],Code24)</f>
        <v>0</v>
      </c>
      <c r="BF15" s="6">
        <f ca="1">COUNTIF(PArticipationSeptembre1[[#This Row],[2]:[A]],code18)</f>
        <v>0</v>
      </c>
      <c r="BG15" s="6">
        <f ca="1">COUNTIF(PArticipationSeptembre1[[#This Row],[2]:[A]],code19)</f>
        <v>0</v>
      </c>
      <c r="BH15" s="182">
        <f ca="1">COUNTIF(PArticipationSeptembre1[[#This Row],[2]:[A]],code20)</f>
        <v>0</v>
      </c>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428"/>
      <c r="CP15" s="164"/>
      <c r="CQ15" s="156">
        <f t="shared" ca="1" si="1"/>
        <v>0</v>
      </c>
      <c r="CR15" s="156">
        <f t="shared" ca="1" si="2"/>
        <v>0</v>
      </c>
      <c r="CS15" s="178">
        <f t="shared" ca="1" si="3"/>
        <v>0</v>
      </c>
      <c r="CT15" s="157">
        <f t="shared" ca="1" si="0"/>
        <v>0</v>
      </c>
    </row>
    <row r="16" spans="1:99">
      <c r="A16" s="405"/>
      <c r="B16" s="152" t="str">
        <f>IFERROR(VLOOKUP(ParticipationDecembre1[[#This Row],[Référence]],ListeÉtudiants1[],18,FALSE),"")</f>
        <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44"/>
      <c r="AG16" s="6">
        <f ca="1">COUNTIF(PArticipationSeptembre1[[#This Row],[2]:[A]],Code1)</f>
        <v>0</v>
      </c>
      <c r="AH16" s="6">
        <f ca="1">COUNTIF(PArticipationSeptembre1[[#This Row],[2]:[A]],code22)</f>
        <v>0</v>
      </c>
      <c r="AI16" s="6">
        <f ca="1">COUNTIF(PArticipationSeptembre1[[#This Row],[2]:[A]],Code2)</f>
        <v>0</v>
      </c>
      <c r="AJ16" s="6">
        <f ca="1">COUNTIF(PArticipationSeptembre1[[#This Row],[2]:[A]],Code3)</f>
        <v>0</v>
      </c>
      <c r="AK16" s="6">
        <f ca="1">COUNTIF(PArticipationSeptembre1[[#This Row],[2]:[A]],Code4)</f>
        <v>0</v>
      </c>
      <c r="AL16" s="84">
        <f ca="1">COUNTIF(PArticipationSeptembre1[[#This Row],[2]:[A]],Code5)</f>
        <v>0</v>
      </c>
      <c r="AM16" s="6">
        <f ca="1">COUNTIF(PArticipationSeptembre1[[#This Row],[2]:[A]],Code23)</f>
        <v>0</v>
      </c>
      <c r="AN16" s="84">
        <f ca="1">COUNTIF(PArticipationSeptembre1[[#This Row],[2]:[A]],Code6)</f>
        <v>0</v>
      </c>
      <c r="AO16" s="84">
        <f ca="1">COUNTIF(PArticipationSeptembre1[[#This Row],[2]:[A]],Code7)</f>
        <v>0</v>
      </c>
      <c r="AP16" s="6">
        <f ca="1">COUNTIF(PArticipationSeptembre1[[#This Row],[2]:[A]],Code8)</f>
        <v>0</v>
      </c>
      <c r="AQ16" s="6">
        <f ca="1">COUNTIF(PArticipationSeptembre1[[#This Row],[2]:[A]],Code9)</f>
        <v>0</v>
      </c>
      <c r="AR16" s="6">
        <f ca="1">COUNTIF(PArticipationSeptembre1[[#This Row],[2]:[A]],Code10)</f>
        <v>0</v>
      </c>
      <c r="AS16" s="6">
        <f ca="1">COUNTIF(PArticipationSeptembre1[[#This Row],[2]:[A]],Code11)</f>
        <v>0</v>
      </c>
      <c r="AT16" s="6">
        <f ca="1">COUNTIF(PArticipationSeptembre1[[#This Row],[2]:[A]],Code12)</f>
        <v>0</v>
      </c>
      <c r="AU16" s="6">
        <f ca="1">COUNTIF(PArticipationSeptembre1[[#This Row],[2]:[A]],Code13)</f>
        <v>0</v>
      </c>
      <c r="AV16" s="6">
        <f ca="1">COUNTIF(PArticipationSeptembre1[[#This Row],[2]:[A]],Code14)</f>
        <v>0</v>
      </c>
      <c r="AW16" s="6">
        <f ca="1">COUNTIF(PArticipationSeptembre1[[#This Row],[2]:[A]],Code15)</f>
        <v>0</v>
      </c>
      <c r="AX16" s="6">
        <f ca="1">COUNTIF(PArticipationSeptembre1[[#This Row],[2]:[A]],Code16)</f>
        <v>0</v>
      </c>
      <c r="AY16" s="6">
        <f ca="1">COUNTIF(PArticipationSeptembre1[[#This Row],[2]:[A]],Code17)</f>
        <v>0</v>
      </c>
      <c r="AZ16" s="6">
        <f ca="1">COUNTIF(PArticipationSeptembre1[[#This Row],[2]:[A]],Code25)</f>
        <v>0</v>
      </c>
      <c r="BA16" s="6">
        <f ca="1">COUNTIF(PArticipationSeptembre1[[#This Row],[2]:[A]],Code26)</f>
        <v>0</v>
      </c>
      <c r="BB16" s="6">
        <f ca="1">COUNTIF(PArticipationSeptembre1[[#This Row],[2]:[A]],Code27)</f>
        <v>0</v>
      </c>
      <c r="BC16" s="6">
        <f ca="1">COUNTIF(PArticipationSeptembre1[[#This Row],[2]:[A]],Code28)</f>
        <v>0</v>
      </c>
      <c r="BD16" s="6">
        <f ca="1">COUNTIF(PArticipationSeptembre1[[#This Row],[2]:[A]],code21)</f>
        <v>0</v>
      </c>
      <c r="BE16" s="6">
        <f ca="1">COUNTIF(PArticipationSeptembre1[[#This Row],[2]:[A]],Code24)</f>
        <v>0</v>
      </c>
      <c r="BF16" s="6">
        <f ca="1">COUNTIF(PArticipationSeptembre1[[#This Row],[2]:[A]],code18)</f>
        <v>0</v>
      </c>
      <c r="BG16" s="6">
        <f ca="1">COUNTIF(PArticipationSeptembre1[[#This Row],[2]:[A]],code19)</f>
        <v>0</v>
      </c>
      <c r="BH16" s="182">
        <f ca="1">COUNTIF(PArticipationSeptembre1[[#This Row],[2]:[A]],code20)</f>
        <v>0</v>
      </c>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427"/>
      <c r="CP16" s="315"/>
      <c r="CQ16" s="156">
        <f t="shared" ca="1" si="1"/>
        <v>0</v>
      </c>
      <c r="CR16" s="156">
        <f t="shared" ca="1" si="2"/>
        <v>0</v>
      </c>
      <c r="CS16" s="178">
        <f t="shared" ca="1" si="3"/>
        <v>0</v>
      </c>
      <c r="CT16" s="157">
        <f t="shared" ca="1" si="0"/>
        <v>0</v>
      </c>
    </row>
    <row r="17" spans="1:98">
      <c r="A17" s="406"/>
      <c r="B17" s="152" t="str">
        <f>IFERROR(VLOOKUP(ParticipationDecembre1[[#This Row],[Référence]],ListeÉtudiants1[],18,FALSE),"")</f>
        <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44"/>
      <c r="AG17" s="6">
        <f ca="1">COUNTIF(PArticipationSeptembre1[[#This Row],[2]:[A]],Code1)</f>
        <v>0</v>
      </c>
      <c r="AH17" s="6">
        <f ca="1">COUNTIF(PArticipationSeptembre1[[#This Row],[2]:[A]],code22)</f>
        <v>0</v>
      </c>
      <c r="AI17" s="6">
        <f ca="1">COUNTIF(PArticipationSeptembre1[[#This Row],[2]:[A]],Code2)</f>
        <v>0</v>
      </c>
      <c r="AJ17" s="6">
        <f ca="1">COUNTIF(PArticipationSeptembre1[[#This Row],[2]:[A]],Code3)</f>
        <v>0</v>
      </c>
      <c r="AK17" s="6">
        <f ca="1">COUNTIF(PArticipationSeptembre1[[#This Row],[2]:[A]],Code4)</f>
        <v>0</v>
      </c>
      <c r="AL17" s="84">
        <f ca="1">COUNTIF(PArticipationSeptembre1[[#This Row],[2]:[A]],Code5)</f>
        <v>0</v>
      </c>
      <c r="AM17" s="6">
        <f ca="1">COUNTIF(PArticipationSeptembre1[[#This Row],[2]:[A]],Code23)</f>
        <v>0</v>
      </c>
      <c r="AN17" s="84">
        <f ca="1">COUNTIF(PArticipationSeptembre1[[#This Row],[2]:[A]],Code6)</f>
        <v>0</v>
      </c>
      <c r="AO17" s="84">
        <f ca="1">COUNTIF(PArticipationSeptembre1[[#This Row],[2]:[A]],Code7)</f>
        <v>0</v>
      </c>
      <c r="AP17" s="6">
        <f ca="1">COUNTIF(PArticipationSeptembre1[[#This Row],[2]:[A]],Code8)</f>
        <v>0</v>
      </c>
      <c r="AQ17" s="6">
        <f ca="1">COUNTIF(PArticipationSeptembre1[[#This Row],[2]:[A]],Code9)</f>
        <v>0</v>
      </c>
      <c r="AR17" s="6">
        <f ca="1">COUNTIF(PArticipationSeptembre1[[#This Row],[2]:[A]],Code10)</f>
        <v>0</v>
      </c>
      <c r="AS17" s="6">
        <f ca="1">COUNTIF(PArticipationSeptembre1[[#This Row],[2]:[A]],Code11)</f>
        <v>0</v>
      </c>
      <c r="AT17" s="6">
        <f ca="1">COUNTIF(PArticipationSeptembre1[[#This Row],[2]:[A]],Code12)</f>
        <v>0</v>
      </c>
      <c r="AU17" s="6">
        <f ca="1">COUNTIF(PArticipationSeptembre1[[#This Row],[2]:[A]],Code13)</f>
        <v>0</v>
      </c>
      <c r="AV17" s="6">
        <f ca="1">COUNTIF(PArticipationSeptembre1[[#This Row],[2]:[A]],Code14)</f>
        <v>0</v>
      </c>
      <c r="AW17" s="6">
        <f ca="1">COUNTIF(PArticipationSeptembre1[[#This Row],[2]:[A]],Code15)</f>
        <v>0</v>
      </c>
      <c r="AX17" s="6">
        <f ca="1">COUNTIF(PArticipationSeptembre1[[#This Row],[2]:[A]],Code16)</f>
        <v>0</v>
      </c>
      <c r="AY17" s="6">
        <f ca="1">COUNTIF(PArticipationSeptembre1[[#This Row],[2]:[A]],Code17)</f>
        <v>0</v>
      </c>
      <c r="AZ17" s="6">
        <f ca="1">COUNTIF(PArticipationSeptembre1[[#This Row],[2]:[A]],Code25)</f>
        <v>0</v>
      </c>
      <c r="BA17" s="6">
        <f ca="1">COUNTIF(PArticipationSeptembre1[[#This Row],[2]:[A]],Code26)</f>
        <v>0</v>
      </c>
      <c r="BB17" s="6">
        <f ca="1">COUNTIF(PArticipationSeptembre1[[#This Row],[2]:[A]],Code27)</f>
        <v>0</v>
      </c>
      <c r="BC17" s="6">
        <f ca="1">COUNTIF(PArticipationSeptembre1[[#This Row],[2]:[A]],Code28)</f>
        <v>0</v>
      </c>
      <c r="BD17" s="6">
        <f ca="1">COUNTIF(PArticipationSeptembre1[[#This Row],[2]:[A]],code21)</f>
        <v>0</v>
      </c>
      <c r="BE17" s="6">
        <f ca="1">COUNTIF(PArticipationSeptembre1[[#This Row],[2]:[A]],Code24)</f>
        <v>0</v>
      </c>
      <c r="BF17" s="6">
        <f ca="1">COUNTIF(PArticipationSeptembre1[[#This Row],[2]:[A]],code18)</f>
        <v>0</v>
      </c>
      <c r="BG17" s="6">
        <f ca="1">COUNTIF(PArticipationSeptembre1[[#This Row],[2]:[A]],code19)</f>
        <v>0</v>
      </c>
      <c r="BH17" s="182">
        <f ca="1">COUNTIF(PArticipationSeptembre1[[#This Row],[2]:[A]],code20)</f>
        <v>0</v>
      </c>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428"/>
      <c r="CP17" s="164"/>
      <c r="CQ17" s="156">
        <f t="shared" ca="1" si="1"/>
        <v>0</v>
      </c>
      <c r="CR17" s="156">
        <f t="shared" ca="1" si="2"/>
        <v>0</v>
      </c>
      <c r="CS17" s="178">
        <f t="shared" ca="1" si="3"/>
        <v>0</v>
      </c>
      <c r="CT17" s="157">
        <f t="shared" ca="1" si="0"/>
        <v>0</v>
      </c>
    </row>
    <row r="18" spans="1:98">
      <c r="A18" s="405"/>
      <c r="B18" s="152"/>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44"/>
      <c r="AG18" s="6">
        <f ca="1">COUNTIF(PArticipationSeptembre1[[#This Row],[2]:[A]],Code1)</f>
        <v>0</v>
      </c>
      <c r="AH18" s="6">
        <f ca="1">COUNTIF(PArticipationSeptembre1[[#This Row],[2]:[A]],code22)</f>
        <v>0</v>
      </c>
      <c r="AI18" s="6">
        <f ca="1">COUNTIF(PArticipationSeptembre1[[#This Row],[2]:[A]],Code2)</f>
        <v>0</v>
      </c>
      <c r="AJ18" s="6">
        <f ca="1">COUNTIF(PArticipationSeptembre1[[#This Row],[2]:[A]],Code3)</f>
        <v>0</v>
      </c>
      <c r="AK18" s="6">
        <f ca="1">COUNTIF(PArticipationSeptembre1[[#This Row],[2]:[A]],Code4)</f>
        <v>0</v>
      </c>
      <c r="AL18" s="84">
        <f ca="1">COUNTIF(PArticipationSeptembre1[[#This Row],[2]:[A]],Code5)</f>
        <v>0</v>
      </c>
      <c r="AM18" s="6">
        <f ca="1">COUNTIF(PArticipationSeptembre1[[#This Row],[2]:[A]],Code23)</f>
        <v>0</v>
      </c>
      <c r="AN18" s="84">
        <f ca="1">COUNTIF(PArticipationSeptembre1[[#This Row],[2]:[A]],Code6)</f>
        <v>0</v>
      </c>
      <c r="AO18" s="84">
        <f ca="1">COUNTIF(PArticipationSeptembre1[[#This Row],[2]:[A]],Code7)</f>
        <v>0</v>
      </c>
      <c r="AP18" s="6">
        <f ca="1">COUNTIF(PArticipationSeptembre1[[#This Row],[2]:[A]],Code8)</f>
        <v>0</v>
      </c>
      <c r="AQ18" s="6">
        <f ca="1">COUNTIF(PArticipationSeptembre1[[#This Row],[2]:[A]],Code9)</f>
        <v>0</v>
      </c>
      <c r="AR18" s="6">
        <f ca="1">COUNTIF(PArticipationSeptembre1[[#This Row],[2]:[A]],Code10)</f>
        <v>0</v>
      </c>
      <c r="AS18" s="6">
        <f ca="1">COUNTIF(PArticipationSeptembre1[[#This Row],[2]:[A]],Code11)</f>
        <v>0</v>
      </c>
      <c r="AT18" s="6">
        <f ca="1">COUNTIF(PArticipationSeptembre1[[#This Row],[2]:[A]],Code12)</f>
        <v>0</v>
      </c>
      <c r="AU18" s="6">
        <f ca="1">COUNTIF(PArticipationSeptembre1[[#This Row],[2]:[A]],Code13)</f>
        <v>0</v>
      </c>
      <c r="AV18" s="6">
        <f ca="1">COUNTIF(PArticipationSeptembre1[[#This Row],[2]:[A]],Code14)</f>
        <v>0</v>
      </c>
      <c r="AW18" s="6">
        <f ca="1">COUNTIF(PArticipationSeptembre1[[#This Row],[2]:[A]],Code15)</f>
        <v>0</v>
      </c>
      <c r="AX18" s="6">
        <f ca="1">COUNTIF(PArticipationSeptembre1[[#This Row],[2]:[A]],Code16)</f>
        <v>0</v>
      </c>
      <c r="AY18" s="6">
        <f ca="1">COUNTIF(PArticipationSeptembre1[[#This Row],[2]:[A]],Code17)</f>
        <v>0</v>
      </c>
      <c r="AZ18" s="6">
        <f ca="1">COUNTIF(PArticipationSeptembre1[[#This Row],[2]:[A]],Code25)</f>
        <v>0</v>
      </c>
      <c r="BA18" s="6">
        <f ca="1">COUNTIF(PArticipationSeptembre1[[#This Row],[2]:[A]],Code26)</f>
        <v>0</v>
      </c>
      <c r="BB18" s="6">
        <f ca="1">COUNTIF(PArticipationSeptembre1[[#This Row],[2]:[A]],Code27)</f>
        <v>0</v>
      </c>
      <c r="BC18" s="6">
        <f ca="1">COUNTIF(PArticipationSeptembre1[[#This Row],[2]:[A]],Code28)</f>
        <v>0</v>
      </c>
      <c r="BD18" s="6">
        <f ca="1">COUNTIF(PArticipationSeptembre1[[#This Row],[2]:[A]],code21)</f>
        <v>0</v>
      </c>
      <c r="BE18" s="6">
        <f ca="1">COUNTIF(PArticipationSeptembre1[[#This Row],[2]:[A]],Code24)</f>
        <v>0</v>
      </c>
      <c r="BF18" s="6">
        <f ca="1">COUNTIF(PArticipationSeptembre1[[#This Row],[2]:[A]],code18)</f>
        <v>0</v>
      </c>
      <c r="BG18" s="6">
        <f ca="1">COUNTIF(PArticipationSeptembre1[[#This Row],[2]:[A]],code19)</f>
        <v>0</v>
      </c>
      <c r="BH18" s="182">
        <f ca="1">COUNTIF(PArticipationSeptembre1[[#This Row],[2]:[A]],code20)</f>
        <v>0</v>
      </c>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427"/>
      <c r="CP18" s="315"/>
      <c r="CQ18" s="156">
        <f t="shared" ca="1" si="1"/>
        <v>0</v>
      </c>
      <c r="CR18" s="156">
        <f t="shared" ca="1" si="2"/>
        <v>0</v>
      </c>
      <c r="CS18" s="178">
        <f t="shared" ca="1" si="3"/>
        <v>0</v>
      </c>
      <c r="CT18" s="157">
        <f t="shared" ca="1" si="0"/>
        <v>0</v>
      </c>
    </row>
    <row r="19" spans="1:98">
      <c r="A19" s="406"/>
      <c r="B19" s="152"/>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44"/>
      <c r="AG19" s="6">
        <f ca="1">COUNTIF(PArticipationSeptembre1[[#This Row],[2]:[A]],Code1)</f>
        <v>0</v>
      </c>
      <c r="AH19" s="6">
        <f ca="1">COUNTIF(PArticipationSeptembre1[[#This Row],[2]:[A]],code22)</f>
        <v>0</v>
      </c>
      <c r="AI19" s="6">
        <f ca="1">COUNTIF(PArticipationSeptembre1[[#This Row],[2]:[A]],Code2)</f>
        <v>0</v>
      </c>
      <c r="AJ19" s="6">
        <f ca="1">COUNTIF(PArticipationSeptembre1[[#This Row],[2]:[A]],Code3)</f>
        <v>0</v>
      </c>
      <c r="AK19" s="6">
        <f ca="1">COUNTIF(PArticipationSeptembre1[[#This Row],[2]:[A]],Code4)</f>
        <v>0</v>
      </c>
      <c r="AL19" s="84">
        <f ca="1">COUNTIF(PArticipationSeptembre1[[#This Row],[2]:[A]],Code5)</f>
        <v>0</v>
      </c>
      <c r="AM19" s="6">
        <f ca="1">COUNTIF(PArticipationSeptembre1[[#This Row],[2]:[A]],Code23)</f>
        <v>0</v>
      </c>
      <c r="AN19" s="84">
        <f ca="1">COUNTIF(PArticipationSeptembre1[[#This Row],[2]:[A]],Code6)</f>
        <v>0</v>
      </c>
      <c r="AO19" s="84">
        <f ca="1">COUNTIF(PArticipationSeptembre1[[#This Row],[2]:[A]],Code7)</f>
        <v>0</v>
      </c>
      <c r="AP19" s="6">
        <f ca="1">COUNTIF(PArticipationSeptembre1[[#This Row],[2]:[A]],Code8)</f>
        <v>0</v>
      </c>
      <c r="AQ19" s="6">
        <f ca="1">COUNTIF(PArticipationSeptembre1[[#This Row],[2]:[A]],Code9)</f>
        <v>0</v>
      </c>
      <c r="AR19" s="6">
        <f ca="1">COUNTIF(PArticipationSeptembre1[[#This Row],[2]:[A]],Code10)</f>
        <v>0</v>
      </c>
      <c r="AS19" s="6">
        <f ca="1">COUNTIF(PArticipationSeptembre1[[#This Row],[2]:[A]],Code11)</f>
        <v>0</v>
      </c>
      <c r="AT19" s="6">
        <f ca="1">COUNTIF(PArticipationSeptembre1[[#This Row],[2]:[A]],Code12)</f>
        <v>0</v>
      </c>
      <c r="AU19" s="6">
        <f ca="1">COUNTIF(PArticipationSeptembre1[[#This Row],[2]:[A]],Code13)</f>
        <v>0</v>
      </c>
      <c r="AV19" s="6">
        <f ca="1">COUNTIF(PArticipationSeptembre1[[#This Row],[2]:[A]],Code14)</f>
        <v>0</v>
      </c>
      <c r="AW19" s="6">
        <f ca="1">COUNTIF(PArticipationSeptembre1[[#This Row],[2]:[A]],Code15)</f>
        <v>0</v>
      </c>
      <c r="AX19" s="6">
        <f ca="1">COUNTIF(PArticipationSeptembre1[[#This Row],[2]:[A]],Code16)</f>
        <v>0</v>
      </c>
      <c r="AY19" s="6">
        <f ca="1">COUNTIF(PArticipationSeptembre1[[#This Row],[2]:[A]],Code17)</f>
        <v>0</v>
      </c>
      <c r="AZ19" s="6">
        <f ca="1">COUNTIF(PArticipationSeptembre1[[#This Row],[2]:[A]],Code25)</f>
        <v>0</v>
      </c>
      <c r="BA19" s="6">
        <f ca="1">COUNTIF(PArticipationSeptembre1[[#This Row],[2]:[A]],Code26)</f>
        <v>0</v>
      </c>
      <c r="BB19" s="6">
        <f ca="1">COUNTIF(PArticipationSeptembre1[[#This Row],[2]:[A]],Code27)</f>
        <v>0</v>
      </c>
      <c r="BC19" s="6">
        <f ca="1">COUNTIF(PArticipationSeptembre1[[#This Row],[2]:[A]],Code28)</f>
        <v>0</v>
      </c>
      <c r="BD19" s="6">
        <f ca="1">COUNTIF(PArticipationSeptembre1[[#This Row],[2]:[A]],code21)</f>
        <v>0</v>
      </c>
      <c r="BE19" s="6">
        <f ca="1">COUNTIF(PArticipationSeptembre1[[#This Row],[2]:[A]],Code24)</f>
        <v>0</v>
      </c>
      <c r="BF19" s="6">
        <f ca="1">COUNTIF(PArticipationSeptembre1[[#This Row],[2]:[A]],code18)</f>
        <v>0</v>
      </c>
      <c r="BG19" s="6">
        <f ca="1">COUNTIF(PArticipationSeptembre1[[#This Row],[2]:[A]],code19)</f>
        <v>0</v>
      </c>
      <c r="BH19" s="182">
        <f ca="1">COUNTIF(PArticipationSeptembre1[[#This Row],[2]:[A]],code20)</f>
        <v>0</v>
      </c>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428"/>
      <c r="CP19" s="164"/>
      <c r="CQ19" s="156">
        <f t="shared" ca="1" si="1"/>
        <v>0</v>
      </c>
      <c r="CR19" s="156">
        <f t="shared" ca="1" si="2"/>
        <v>0</v>
      </c>
      <c r="CS19" s="178">
        <f t="shared" ca="1" si="3"/>
        <v>0</v>
      </c>
      <c r="CT19" s="157">
        <f t="shared" ca="1" si="0"/>
        <v>0</v>
      </c>
    </row>
    <row r="20" spans="1:98">
      <c r="A20" s="405"/>
      <c r="B20" s="152" t="str">
        <f>IFERROR(VLOOKUP(ParticipationDecembre1[[#This Row],[Référence]],ListeÉtudiants1[],18,FALSE),"")</f>
        <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44"/>
      <c r="AG20" s="6">
        <f ca="1">COUNTIF(PArticipationSeptembre1[[#This Row],[2]:[A]],Code1)</f>
        <v>0</v>
      </c>
      <c r="AH20" s="6">
        <f ca="1">COUNTIF(PArticipationSeptembre1[[#This Row],[2]:[A]],code22)</f>
        <v>0</v>
      </c>
      <c r="AI20" s="6">
        <f ca="1">COUNTIF(PArticipationSeptembre1[[#This Row],[2]:[A]],Code2)</f>
        <v>0</v>
      </c>
      <c r="AJ20" s="6">
        <f ca="1">COUNTIF(PArticipationSeptembre1[[#This Row],[2]:[A]],Code3)</f>
        <v>0</v>
      </c>
      <c r="AK20" s="6">
        <f ca="1">COUNTIF(PArticipationSeptembre1[[#This Row],[2]:[A]],Code4)</f>
        <v>0</v>
      </c>
      <c r="AL20" s="84">
        <f ca="1">COUNTIF(PArticipationSeptembre1[[#This Row],[2]:[A]],Code5)</f>
        <v>0</v>
      </c>
      <c r="AM20" s="6">
        <f ca="1">COUNTIF(PArticipationSeptembre1[[#This Row],[2]:[A]],Code23)</f>
        <v>0</v>
      </c>
      <c r="AN20" s="84">
        <f ca="1">COUNTIF(PArticipationSeptembre1[[#This Row],[2]:[A]],Code6)</f>
        <v>0</v>
      </c>
      <c r="AO20" s="84">
        <f ca="1">COUNTIF(PArticipationSeptembre1[[#This Row],[2]:[A]],Code7)</f>
        <v>0</v>
      </c>
      <c r="AP20" s="6">
        <f ca="1">COUNTIF(PArticipationSeptembre1[[#This Row],[2]:[A]],Code8)</f>
        <v>0</v>
      </c>
      <c r="AQ20" s="6">
        <f ca="1">COUNTIF(PArticipationSeptembre1[[#This Row],[2]:[A]],Code9)</f>
        <v>0</v>
      </c>
      <c r="AR20" s="6">
        <f ca="1">COUNTIF(PArticipationSeptembre1[[#This Row],[2]:[A]],Code10)</f>
        <v>0</v>
      </c>
      <c r="AS20" s="6">
        <f ca="1">COUNTIF(PArticipationSeptembre1[[#This Row],[2]:[A]],Code11)</f>
        <v>0</v>
      </c>
      <c r="AT20" s="6">
        <f ca="1">COUNTIF(PArticipationSeptembre1[[#This Row],[2]:[A]],Code12)</f>
        <v>0</v>
      </c>
      <c r="AU20" s="6">
        <f ca="1">COUNTIF(PArticipationSeptembre1[[#This Row],[2]:[A]],Code13)</f>
        <v>0</v>
      </c>
      <c r="AV20" s="6">
        <f ca="1">COUNTIF(PArticipationSeptembre1[[#This Row],[2]:[A]],Code14)</f>
        <v>0</v>
      </c>
      <c r="AW20" s="6">
        <f ca="1">COUNTIF(PArticipationSeptembre1[[#This Row],[2]:[A]],Code15)</f>
        <v>0</v>
      </c>
      <c r="AX20" s="6">
        <f ca="1">COUNTIF(PArticipationSeptembre1[[#This Row],[2]:[A]],Code16)</f>
        <v>0</v>
      </c>
      <c r="AY20" s="6">
        <f ca="1">COUNTIF(PArticipationSeptembre1[[#This Row],[2]:[A]],Code17)</f>
        <v>0</v>
      </c>
      <c r="AZ20" s="6">
        <f ca="1">COUNTIF(PArticipationSeptembre1[[#This Row],[2]:[A]],Code25)</f>
        <v>0</v>
      </c>
      <c r="BA20" s="6">
        <f ca="1">COUNTIF(PArticipationSeptembre1[[#This Row],[2]:[A]],Code26)</f>
        <v>0</v>
      </c>
      <c r="BB20" s="6">
        <f ca="1">COUNTIF(PArticipationSeptembre1[[#This Row],[2]:[A]],Code27)</f>
        <v>0</v>
      </c>
      <c r="BC20" s="6">
        <f ca="1">COUNTIF(PArticipationSeptembre1[[#This Row],[2]:[A]],Code28)</f>
        <v>0</v>
      </c>
      <c r="BD20" s="6">
        <f ca="1">COUNTIF(PArticipationSeptembre1[[#This Row],[2]:[A]],code21)</f>
        <v>0</v>
      </c>
      <c r="BE20" s="6">
        <f ca="1">COUNTIF(PArticipationSeptembre1[[#This Row],[2]:[A]],Code24)</f>
        <v>0</v>
      </c>
      <c r="BF20" s="6">
        <f ca="1">COUNTIF(PArticipationSeptembre1[[#This Row],[2]:[A]],code18)</f>
        <v>0</v>
      </c>
      <c r="BG20" s="6">
        <f ca="1">COUNTIF(PArticipationSeptembre1[[#This Row],[2]:[A]],code19)</f>
        <v>0</v>
      </c>
      <c r="BH20" s="182">
        <f ca="1">COUNTIF(PArticipationSeptembre1[[#This Row],[2]:[A]],code20)</f>
        <v>0</v>
      </c>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427"/>
      <c r="CP20" s="315"/>
      <c r="CQ20" s="156">
        <f t="shared" ca="1" si="1"/>
        <v>0</v>
      </c>
      <c r="CR20" s="156">
        <f t="shared" ca="1" si="2"/>
        <v>0</v>
      </c>
      <c r="CS20" s="178">
        <f t="shared" ca="1" si="3"/>
        <v>0</v>
      </c>
      <c r="CT20" s="157">
        <f t="shared" ca="1" si="0"/>
        <v>0</v>
      </c>
    </row>
    <row r="21" spans="1:98">
      <c r="A21" s="406"/>
      <c r="B21" s="152" t="str">
        <f>IFERROR(VLOOKUP(ParticipationDecembre1[[#This Row],[Référence]],ListeÉtudiants1[],18,FALSE),"")</f>
        <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44"/>
      <c r="AG21" s="6">
        <f ca="1">COUNTIF(PArticipationSeptembre1[[#This Row],[2]:[A]],Code1)</f>
        <v>0</v>
      </c>
      <c r="AH21" s="6">
        <f ca="1">COUNTIF(PArticipationSeptembre1[[#This Row],[2]:[A]],code22)</f>
        <v>0</v>
      </c>
      <c r="AI21" s="6">
        <f ca="1">COUNTIF(PArticipationSeptembre1[[#This Row],[2]:[A]],Code2)</f>
        <v>0</v>
      </c>
      <c r="AJ21" s="6">
        <f ca="1">COUNTIF(PArticipationSeptembre1[[#This Row],[2]:[A]],Code3)</f>
        <v>0</v>
      </c>
      <c r="AK21" s="6">
        <f ca="1">COUNTIF(PArticipationSeptembre1[[#This Row],[2]:[A]],Code4)</f>
        <v>0</v>
      </c>
      <c r="AL21" s="84">
        <f ca="1">COUNTIF(PArticipationSeptembre1[[#This Row],[2]:[A]],Code5)</f>
        <v>0</v>
      </c>
      <c r="AM21" s="6">
        <f ca="1">COUNTIF(PArticipationSeptembre1[[#This Row],[2]:[A]],Code23)</f>
        <v>0</v>
      </c>
      <c r="AN21" s="84">
        <f ca="1">COUNTIF(PArticipationSeptembre1[[#This Row],[2]:[A]],Code6)</f>
        <v>0</v>
      </c>
      <c r="AO21" s="84">
        <f ca="1">COUNTIF(PArticipationSeptembre1[[#This Row],[2]:[A]],Code7)</f>
        <v>0</v>
      </c>
      <c r="AP21" s="6">
        <f ca="1">COUNTIF(PArticipationSeptembre1[[#This Row],[2]:[A]],Code8)</f>
        <v>0</v>
      </c>
      <c r="AQ21" s="6">
        <f ca="1">COUNTIF(PArticipationSeptembre1[[#This Row],[2]:[A]],Code9)</f>
        <v>0</v>
      </c>
      <c r="AR21" s="6">
        <f ca="1">COUNTIF(PArticipationSeptembre1[[#This Row],[2]:[A]],Code10)</f>
        <v>0</v>
      </c>
      <c r="AS21" s="6">
        <f ca="1">COUNTIF(PArticipationSeptembre1[[#This Row],[2]:[A]],Code11)</f>
        <v>0</v>
      </c>
      <c r="AT21" s="6">
        <f ca="1">COUNTIF(PArticipationSeptembre1[[#This Row],[2]:[A]],Code12)</f>
        <v>0</v>
      </c>
      <c r="AU21" s="6">
        <f ca="1">COUNTIF(PArticipationSeptembre1[[#This Row],[2]:[A]],Code13)</f>
        <v>0</v>
      </c>
      <c r="AV21" s="6">
        <f ca="1">COUNTIF(PArticipationSeptembre1[[#This Row],[2]:[A]],Code14)</f>
        <v>0</v>
      </c>
      <c r="AW21" s="6">
        <f ca="1">COUNTIF(PArticipationSeptembre1[[#This Row],[2]:[A]],Code15)</f>
        <v>0</v>
      </c>
      <c r="AX21" s="6">
        <f ca="1">COUNTIF(PArticipationSeptembre1[[#This Row],[2]:[A]],Code16)</f>
        <v>0</v>
      </c>
      <c r="AY21" s="6">
        <f ca="1">COUNTIF(PArticipationSeptembre1[[#This Row],[2]:[A]],Code17)</f>
        <v>0</v>
      </c>
      <c r="AZ21" s="6">
        <f ca="1">COUNTIF(PArticipationSeptembre1[[#This Row],[2]:[A]],Code25)</f>
        <v>0</v>
      </c>
      <c r="BA21" s="6">
        <f ca="1">COUNTIF(PArticipationSeptembre1[[#This Row],[2]:[A]],Code26)</f>
        <v>0</v>
      </c>
      <c r="BB21" s="6">
        <f ca="1">COUNTIF(PArticipationSeptembre1[[#This Row],[2]:[A]],Code27)</f>
        <v>0</v>
      </c>
      <c r="BC21" s="6">
        <f ca="1">COUNTIF(PArticipationSeptembre1[[#This Row],[2]:[A]],Code28)</f>
        <v>0</v>
      </c>
      <c r="BD21" s="6">
        <f ca="1">COUNTIF(PArticipationSeptembre1[[#This Row],[2]:[A]],code21)</f>
        <v>0</v>
      </c>
      <c r="BE21" s="6">
        <f ca="1">COUNTIF(PArticipationSeptembre1[[#This Row],[2]:[A]],Code24)</f>
        <v>0</v>
      </c>
      <c r="BF21" s="6">
        <f ca="1">COUNTIF(PArticipationSeptembre1[[#This Row],[2]:[A]],code18)</f>
        <v>0</v>
      </c>
      <c r="BG21" s="6">
        <f ca="1">COUNTIF(PArticipationSeptembre1[[#This Row],[2]:[A]],code19)</f>
        <v>0</v>
      </c>
      <c r="BH21" s="182">
        <f ca="1">COUNTIF(PArticipationSeptembre1[[#This Row],[2]:[A]],code20)</f>
        <v>0</v>
      </c>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428"/>
      <c r="CP21" s="164"/>
      <c r="CQ21" s="156">
        <f t="shared" ca="1" si="1"/>
        <v>0</v>
      </c>
      <c r="CR21" s="156">
        <f t="shared" ca="1" si="2"/>
        <v>0</v>
      </c>
      <c r="CS21" s="178">
        <f t="shared" ca="1" si="3"/>
        <v>0</v>
      </c>
      <c r="CT21" s="157">
        <f t="shared" ca="1" si="0"/>
        <v>0</v>
      </c>
    </row>
    <row r="22" spans="1:98">
      <c r="A22" s="405"/>
      <c r="B22" s="152" t="str">
        <f>IFERROR(VLOOKUP(ParticipationDecembre1[[#This Row],[Référence]],ListeÉtudiants1[],18,FALSE),"")</f>
        <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44"/>
      <c r="AG22" s="6">
        <f ca="1">COUNTIF(PArticipationSeptembre1[[#This Row],[2]:[A]],Code1)</f>
        <v>0</v>
      </c>
      <c r="AH22" s="6">
        <f ca="1">COUNTIF(PArticipationSeptembre1[[#This Row],[2]:[A]],code22)</f>
        <v>0</v>
      </c>
      <c r="AI22" s="6">
        <f ca="1">COUNTIF(PArticipationSeptembre1[[#This Row],[2]:[A]],Code2)</f>
        <v>0</v>
      </c>
      <c r="AJ22" s="6">
        <f ca="1">COUNTIF(PArticipationSeptembre1[[#This Row],[2]:[A]],Code3)</f>
        <v>0</v>
      </c>
      <c r="AK22" s="6">
        <f ca="1">COUNTIF(PArticipationSeptembre1[[#This Row],[2]:[A]],Code4)</f>
        <v>0</v>
      </c>
      <c r="AL22" s="84">
        <f ca="1">COUNTIF(PArticipationSeptembre1[[#This Row],[2]:[A]],Code5)</f>
        <v>0</v>
      </c>
      <c r="AM22" s="6">
        <f ca="1">COUNTIF(PArticipationSeptembre1[[#This Row],[2]:[A]],Code23)</f>
        <v>0</v>
      </c>
      <c r="AN22" s="84">
        <f ca="1">COUNTIF(PArticipationSeptembre1[[#This Row],[2]:[A]],Code6)</f>
        <v>0</v>
      </c>
      <c r="AO22" s="84">
        <f ca="1">COUNTIF(PArticipationSeptembre1[[#This Row],[2]:[A]],Code7)</f>
        <v>0</v>
      </c>
      <c r="AP22" s="6">
        <f ca="1">COUNTIF(PArticipationSeptembre1[[#This Row],[2]:[A]],Code8)</f>
        <v>0</v>
      </c>
      <c r="AQ22" s="6">
        <f ca="1">COUNTIF(PArticipationSeptembre1[[#This Row],[2]:[A]],Code9)</f>
        <v>0</v>
      </c>
      <c r="AR22" s="6">
        <f ca="1">COUNTIF(PArticipationSeptembre1[[#This Row],[2]:[A]],Code10)</f>
        <v>0</v>
      </c>
      <c r="AS22" s="6">
        <f ca="1">COUNTIF(PArticipationSeptembre1[[#This Row],[2]:[A]],Code11)</f>
        <v>0</v>
      </c>
      <c r="AT22" s="6">
        <f ca="1">COUNTIF(PArticipationSeptembre1[[#This Row],[2]:[A]],Code12)</f>
        <v>0</v>
      </c>
      <c r="AU22" s="6">
        <f ca="1">COUNTIF(PArticipationSeptembre1[[#This Row],[2]:[A]],Code13)</f>
        <v>0</v>
      </c>
      <c r="AV22" s="6">
        <f ca="1">COUNTIF(PArticipationSeptembre1[[#This Row],[2]:[A]],Code14)</f>
        <v>0</v>
      </c>
      <c r="AW22" s="6">
        <f ca="1">COUNTIF(PArticipationSeptembre1[[#This Row],[2]:[A]],Code15)</f>
        <v>0</v>
      </c>
      <c r="AX22" s="6">
        <f ca="1">COUNTIF(PArticipationSeptembre1[[#This Row],[2]:[A]],Code16)</f>
        <v>0</v>
      </c>
      <c r="AY22" s="6">
        <f ca="1">COUNTIF(PArticipationSeptembre1[[#This Row],[2]:[A]],Code17)</f>
        <v>0</v>
      </c>
      <c r="AZ22" s="6">
        <f ca="1">COUNTIF(PArticipationSeptembre1[[#This Row],[2]:[A]],Code25)</f>
        <v>0</v>
      </c>
      <c r="BA22" s="6">
        <f ca="1">COUNTIF(PArticipationSeptembre1[[#This Row],[2]:[A]],Code26)</f>
        <v>0</v>
      </c>
      <c r="BB22" s="6">
        <f ca="1">COUNTIF(PArticipationSeptembre1[[#This Row],[2]:[A]],Code27)</f>
        <v>0</v>
      </c>
      <c r="BC22" s="6">
        <f ca="1">COUNTIF(PArticipationSeptembre1[[#This Row],[2]:[A]],Code28)</f>
        <v>0</v>
      </c>
      <c r="BD22" s="6">
        <f ca="1">COUNTIF(PArticipationSeptembre1[[#This Row],[2]:[A]],code21)</f>
        <v>0</v>
      </c>
      <c r="BE22" s="6">
        <f ca="1">COUNTIF(PArticipationSeptembre1[[#This Row],[2]:[A]],Code24)</f>
        <v>0</v>
      </c>
      <c r="BF22" s="6">
        <f ca="1">COUNTIF(PArticipationSeptembre1[[#This Row],[2]:[A]],code18)</f>
        <v>0</v>
      </c>
      <c r="BG22" s="6">
        <f ca="1">COUNTIF(PArticipationSeptembre1[[#This Row],[2]:[A]],code19)</f>
        <v>0</v>
      </c>
      <c r="BH22" s="182">
        <f ca="1">COUNTIF(PArticipationSeptembre1[[#This Row],[2]:[A]],code20)</f>
        <v>0</v>
      </c>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427"/>
      <c r="CP22" s="315"/>
      <c r="CQ22" s="156">
        <f t="shared" ca="1" si="1"/>
        <v>0</v>
      </c>
      <c r="CR22" s="156">
        <f t="shared" ca="1" si="2"/>
        <v>0</v>
      </c>
      <c r="CS22" s="178">
        <f t="shared" ca="1" si="3"/>
        <v>0</v>
      </c>
      <c r="CT22" s="157">
        <f t="shared" ca="1" si="0"/>
        <v>0</v>
      </c>
    </row>
    <row r="23" spans="1:98">
      <c r="A23" s="406"/>
      <c r="B23" s="152" t="str">
        <f>IFERROR(VLOOKUP(ParticipationDecembre1[[#This Row],[Référence]],ListeÉtudiants1[],18,FALSE),"")</f>
        <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44"/>
      <c r="AG23" s="6">
        <f ca="1">COUNTIF(PArticipationSeptembre1[[#This Row],[2]:[A]],Code1)</f>
        <v>0</v>
      </c>
      <c r="AH23" s="6">
        <f ca="1">COUNTIF(PArticipationSeptembre1[[#This Row],[2]:[A]],code22)</f>
        <v>0</v>
      </c>
      <c r="AI23" s="6">
        <f ca="1">COUNTIF(PArticipationSeptembre1[[#This Row],[2]:[A]],Code2)</f>
        <v>0</v>
      </c>
      <c r="AJ23" s="6">
        <f ca="1">COUNTIF(PArticipationSeptembre1[[#This Row],[2]:[A]],Code3)</f>
        <v>0</v>
      </c>
      <c r="AK23" s="6">
        <f ca="1">COUNTIF(PArticipationSeptembre1[[#This Row],[2]:[A]],Code4)</f>
        <v>0</v>
      </c>
      <c r="AL23" s="84">
        <f ca="1">COUNTIF(PArticipationSeptembre1[[#This Row],[2]:[A]],Code5)</f>
        <v>0</v>
      </c>
      <c r="AM23" s="6">
        <f ca="1">COUNTIF(PArticipationSeptembre1[[#This Row],[2]:[A]],Code23)</f>
        <v>0</v>
      </c>
      <c r="AN23" s="84">
        <f ca="1">COUNTIF(PArticipationSeptembre1[[#This Row],[2]:[A]],Code6)</f>
        <v>0</v>
      </c>
      <c r="AO23" s="84">
        <f ca="1">COUNTIF(PArticipationSeptembre1[[#This Row],[2]:[A]],Code7)</f>
        <v>0</v>
      </c>
      <c r="AP23" s="6">
        <f ca="1">COUNTIF(PArticipationSeptembre1[[#This Row],[2]:[A]],Code8)</f>
        <v>0</v>
      </c>
      <c r="AQ23" s="6">
        <f ca="1">COUNTIF(PArticipationSeptembre1[[#This Row],[2]:[A]],Code9)</f>
        <v>0</v>
      </c>
      <c r="AR23" s="6">
        <f ca="1">COUNTIF(PArticipationSeptembre1[[#This Row],[2]:[A]],Code10)</f>
        <v>0</v>
      </c>
      <c r="AS23" s="6">
        <f ca="1">COUNTIF(PArticipationSeptembre1[[#This Row],[2]:[A]],Code11)</f>
        <v>0</v>
      </c>
      <c r="AT23" s="6">
        <f ca="1">COUNTIF(PArticipationSeptembre1[[#This Row],[2]:[A]],Code12)</f>
        <v>0</v>
      </c>
      <c r="AU23" s="6">
        <f ca="1">COUNTIF(PArticipationSeptembre1[[#This Row],[2]:[A]],Code13)</f>
        <v>0</v>
      </c>
      <c r="AV23" s="6">
        <f ca="1">COUNTIF(PArticipationSeptembre1[[#This Row],[2]:[A]],Code14)</f>
        <v>0</v>
      </c>
      <c r="AW23" s="6">
        <f ca="1">COUNTIF(PArticipationSeptembre1[[#This Row],[2]:[A]],Code15)</f>
        <v>0</v>
      </c>
      <c r="AX23" s="6">
        <f ca="1">COUNTIF(PArticipationSeptembre1[[#This Row],[2]:[A]],Code16)</f>
        <v>0</v>
      </c>
      <c r="AY23" s="6">
        <f ca="1">COUNTIF(PArticipationSeptembre1[[#This Row],[2]:[A]],Code17)</f>
        <v>0</v>
      </c>
      <c r="AZ23" s="6">
        <f ca="1">COUNTIF(PArticipationSeptembre1[[#This Row],[2]:[A]],Code25)</f>
        <v>0</v>
      </c>
      <c r="BA23" s="6">
        <f ca="1">COUNTIF(PArticipationSeptembre1[[#This Row],[2]:[A]],Code26)</f>
        <v>0</v>
      </c>
      <c r="BB23" s="6">
        <f ca="1">COUNTIF(PArticipationSeptembre1[[#This Row],[2]:[A]],Code27)</f>
        <v>0</v>
      </c>
      <c r="BC23" s="6">
        <f ca="1">COUNTIF(PArticipationSeptembre1[[#This Row],[2]:[A]],Code28)</f>
        <v>0</v>
      </c>
      <c r="BD23" s="6">
        <f ca="1">COUNTIF(PArticipationSeptembre1[[#This Row],[2]:[A]],code21)</f>
        <v>0</v>
      </c>
      <c r="BE23" s="6">
        <f ca="1">COUNTIF(PArticipationSeptembre1[[#This Row],[2]:[A]],Code24)</f>
        <v>0</v>
      </c>
      <c r="BF23" s="6">
        <f ca="1">COUNTIF(PArticipationSeptembre1[[#This Row],[2]:[A]],code18)</f>
        <v>0</v>
      </c>
      <c r="BG23" s="6">
        <f ca="1">COUNTIF(PArticipationSeptembre1[[#This Row],[2]:[A]],code19)</f>
        <v>0</v>
      </c>
      <c r="BH23" s="182">
        <f ca="1">COUNTIF(PArticipationSeptembre1[[#This Row],[2]:[A]],code20)</f>
        <v>0</v>
      </c>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428"/>
      <c r="CP23" s="164"/>
      <c r="CQ23" s="156">
        <f t="shared" ca="1" si="1"/>
        <v>0</v>
      </c>
      <c r="CR23" s="156">
        <f t="shared" ca="1" si="2"/>
        <v>0</v>
      </c>
      <c r="CS23" s="178">
        <f t="shared" ca="1" si="3"/>
        <v>0</v>
      </c>
      <c r="CT23" s="157">
        <f t="shared" ca="1" si="0"/>
        <v>0</v>
      </c>
    </row>
    <row r="24" spans="1:98">
      <c r="A24" s="405"/>
      <c r="B24" s="152" t="str">
        <f>IFERROR(VLOOKUP(ParticipationDecembre1[[#This Row],[Référence]],ListeÉtudiants1[],18,FALSE),"")</f>
        <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44"/>
      <c r="AG24" s="6">
        <f ca="1">COUNTIF(PArticipationSeptembre1[[#This Row],[2]:[A]],Code1)</f>
        <v>0</v>
      </c>
      <c r="AH24" s="6">
        <f ca="1">COUNTIF(PArticipationSeptembre1[[#This Row],[2]:[A]],code22)</f>
        <v>0</v>
      </c>
      <c r="AI24" s="6">
        <f ca="1">COUNTIF(PArticipationSeptembre1[[#This Row],[2]:[A]],Code2)</f>
        <v>0</v>
      </c>
      <c r="AJ24" s="6">
        <f ca="1">COUNTIF(PArticipationSeptembre1[[#This Row],[2]:[A]],Code3)</f>
        <v>0</v>
      </c>
      <c r="AK24" s="6">
        <f ca="1">COUNTIF(PArticipationSeptembre1[[#This Row],[2]:[A]],Code4)</f>
        <v>0</v>
      </c>
      <c r="AL24" s="84">
        <f ca="1">COUNTIF(PArticipationSeptembre1[[#This Row],[2]:[A]],Code5)</f>
        <v>0</v>
      </c>
      <c r="AM24" s="6">
        <f ca="1">COUNTIF(PArticipationSeptembre1[[#This Row],[2]:[A]],Code23)</f>
        <v>0</v>
      </c>
      <c r="AN24" s="84">
        <f ca="1">COUNTIF(PArticipationSeptembre1[[#This Row],[2]:[A]],Code6)</f>
        <v>0</v>
      </c>
      <c r="AO24" s="84">
        <f ca="1">COUNTIF(PArticipationSeptembre1[[#This Row],[2]:[A]],Code7)</f>
        <v>0</v>
      </c>
      <c r="AP24" s="6">
        <f ca="1">COUNTIF(PArticipationSeptembre1[[#This Row],[2]:[A]],Code8)</f>
        <v>0</v>
      </c>
      <c r="AQ24" s="6">
        <f ca="1">COUNTIF(PArticipationSeptembre1[[#This Row],[2]:[A]],Code9)</f>
        <v>0</v>
      </c>
      <c r="AR24" s="6">
        <f ca="1">COUNTIF(PArticipationSeptembre1[[#This Row],[2]:[A]],Code10)</f>
        <v>0</v>
      </c>
      <c r="AS24" s="6">
        <f ca="1">COUNTIF(PArticipationSeptembre1[[#This Row],[2]:[A]],Code11)</f>
        <v>0</v>
      </c>
      <c r="AT24" s="6">
        <f ca="1">COUNTIF(PArticipationSeptembre1[[#This Row],[2]:[A]],Code12)</f>
        <v>0</v>
      </c>
      <c r="AU24" s="6">
        <f ca="1">COUNTIF(PArticipationSeptembre1[[#This Row],[2]:[A]],Code13)</f>
        <v>0</v>
      </c>
      <c r="AV24" s="6">
        <f ca="1">COUNTIF(PArticipationSeptembre1[[#This Row],[2]:[A]],Code14)</f>
        <v>0</v>
      </c>
      <c r="AW24" s="6">
        <f ca="1">COUNTIF(PArticipationSeptembre1[[#This Row],[2]:[A]],Code15)</f>
        <v>0</v>
      </c>
      <c r="AX24" s="6">
        <f ca="1">COUNTIF(PArticipationSeptembre1[[#This Row],[2]:[A]],Code16)</f>
        <v>0</v>
      </c>
      <c r="AY24" s="6">
        <f ca="1">COUNTIF(PArticipationSeptembre1[[#This Row],[2]:[A]],Code17)</f>
        <v>0</v>
      </c>
      <c r="AZ24" s="6">
        <f ca="1">COUNTIF(PArticipationSeptembre1[[#This Row],[2]:[A]],Code25)</f>
        <v>0</v>
      </c>
      <c r="BA24" s="6">
        <f ca="1">COUNTIF(PArticipationSeptembre1[[#This Row],[2]:[A]],Code26)</f>
        <v>0</v>
      </c>
      <c r="BB24" s="6">
        <f ca="1">COUNTIF(PArticipationSeptembre1[[#This Row],[2]:[A]],Code27)</f>
        <v>0</v>
      </c>
      <c r="BC24" s="6">
        <f ca="1">COUNTIF(PArticipationSeptembre1[[#This Row],[2]:[A]],Code28)</f>
        <v>0</v>
      </c>
      <c r="BD24" s="6">
        <f ca="1">COUNTIF(PArticipationSeptembre1[[#This Row],[2]:[A]],code21)</f>
        <v>0</v>
      </c>
      <c r="BE24" s="6">
        <f ca="1">COUNTIF(PArticipationSeptembre1[[#This Row],[2]:[A]],Code24)</f>
        <v>0</v>
      </c>
      <c r="BF24" s="6">
        <f ca="1">COUNTIF(PArticipationSeptembre1[[#This Row],[2]:[A]],code18)</f>
        <v>0</v>
      </c>
      <c r="BG24" s="6">
        <f ca="1">COUNTIF(PArticipationSeptembre1[[#This Row],[2]:[A]],code19)</f>
        <v>0</v>
      </c>
      <c r="BH24" s="182">
        <f ca="1">COUNTIF(PArticipationSeptembre1[[#This Row],[2]:[A]],code20)</f>
        <v>0</v>
      </c>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427"/>
      <c r="CP24" s="315"/>
      <c r="CQ24" s="156">
        <f t="shared" ca="1" si="1"/>
        <v>0</v>
      </c>
      <c r="CR24" s="156">
        <f t="shared" ca="1" si="2"/>
        <v>0</v>
      </c>
      <c r="CS24" s="178">
        <f t="shared" ca="1" si="3"/>
        <v>0</v>
      </c>
      <c r="CT24" s="157">
        <f t="shared" ca="1" si="0"/>
        <v>0</v>
      </c>
    </row>
    <row r="25" spans="1:98">
      <c r="A25" s="406"/>
      <c r="B25" s="152" t="str">
        <f>IFERROR(VLOOKUP(ParticipationDecembre1[[#This Row],[Référence]],ListeÉtudiants1[],18,FALSE),"")</f>
        <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44"/>
      <c r="AG25" s="6">
        <f ca="1">COUNTIF(PArticipationSeptembre1[[#This Row],[2]:[A]],Code1)</f>
        <v>0</v>
      </c>
      <c r="AH25" s="6">
        <f ca="1">COUNTIF(PArticipationSeptembre1[[#This Row],[2]:[A]],code22)</f>
        <v>0</v>
      </c>
      <c r="AI25" s="6">
        <f ca="1">COUNTIF(PArticipationSeptembre1[[#This Row],[2]:[A]],Code2)</f>
        <v>0</v>
      </c>
      <c r="AJ25" s="6">
        <f ca="1">COUNTIF(PArticipationSeptembre1[[#This Row],[2]:[A]],Code3)</f>
        <v>0</v>
      </c>
      <c r="AK25" s="6">
        <f ca="1">COUNTIF(PArticipationSeptembre1[[#This Row],[2]:[A]],Code4)</f>
        <v>0</v>
      </c>
      <c r="AL25" s="84">
        <f ca="1">COUNTIF(PArticipationSeptembre1[[#This Row],[2]:[A]],Code5)</f>
        <v>0</v>
      </c>
      <c r="AM25" s="6">
        <f ca="1">COUNTIF(PArticipationSeptembre1[[#This Row],[2]:[A]],Code23)</f>
        <v>0</v>
      </c>
      <c r="AN25" s="84">
        <f ca="1">COUNTIF(PArticipationSeptembre1[[#This Row],[2]:[A]],Code6)</f>
        <v>0</v>
      </c>
      <c r="AO25" s="84">
        <f ca="1">COUNTIF(PArticipationSeptembre1[[#This Row],[2]:[A]],Code7)</f>
        <v>0</v>
      </c>
      <c r="AP25" s="6">
        <f ca="1">COUNTIF(PArticipationSeptembre1[[#This Row],[2]:[A]],Code8)</f>
        <v>0</v>
      </c>
      <c r="AQ25" s="6">
        <f ca="1">COUNTIF(PArticipationSeptembre1[[#This Row],[2]:[A]],Code9)</f>
        <v>0</v>
      </c>
      <c r="AR25" s="6">
        <f ca="1">COUNTIF(PArticipationSeptembre1[[#This Row],[2]:[A]],Code10)</f>
        <v>0</v>
      </c>
      <c r="AS25" s="6">
        <f ca="1">COUNTIF(PArticipationSeptembre1[[#This Row],[2]:[A]],Code11)</f>
        <v>0</v>
      </c>
      <c r="AT25" s="6">
        <f ca="1">COUNTIF(PArticipationSeptembre1[[#This Row],[2]:[A]],Code12)</f>
        <v>0</v>
      </c>
      <c r="AU25" s="6">
        <f ca="1">COUNTIF(PArticipationSeptembre1[[#This Row],[2]:[A]],Code13)</f>
        <v>0</v>
      </c>
      <c r="AV25" s="6">
        <f ca="1">COUNTIF(PArticipationSeptembre1[[#This Row],[2]:[A]],Code14)</f>
        <v>0</v>
      </c>
      <c r="AW25" s="6">
        <f ca="1">COUNTIF(PArticipationSeptembre1[[#This Row],[2]:[A]],Code15)</f>
        <v>0</v>
      </c>
      <c r="AX25" s="6">
        <f ca="1">COUNTIF(PArticipationSeptembre1[[#This Row],[2]:[A]],Code16)</f>
        <v>0</v>
      </c>
      <c r="AY25" s="6">
        <f ca="1">COUNTIF(PArticipationSeptembre1[[#This Row],[2]:[A]],Code17)</f>
        <v>0</v>
      </c>
      <c r="AZ25" s="6">
        <f ca="1">COUNTIF(PArticipationSeptembre1[[#This Row],[2]:[A]],Code25)</f>
        <v>0</v>
      </c>
      <c r="BA25" s="6">
        <f ca="1">COUNTIF(PArticipationSeptembre1[[#This Row],[2]:[A]],Code26)</f>
        <v>0</v>
      </c>
      <c r="BB25" s="6">
        <f ca="1">COUNTIF(PArticipationSeptembre1[[#This Row],[2]:[A]],Code27)</f>
        <v>0</v>
      </c>
      <c r="BC25" s="6">
        <f ca="1">COUNTIF(PArticipationSeptembre1[[#This Row],[2]:[A]],Code28)</f>
        <v>0</v>
      </c>
      <c r="BD25" s="6">
        <f ca="1">COUNTIF(PArticipationSeptembre1[[#This Row],[2]:[A]],code21)</f>
        <v>0</v>
      </c>
      <c r="BE25" s="6">
        <f ca="1">COUNTIF(PArticipationSeptembre1[[#This Row],[2]:[A]],Code24)</f>
        <v>0</v>
      </c>
      <c r="BF25" s="6">
        <f ca="1">COUNTIF(PArticipationSeptembre1[[#This Row],[2]:[A]],code18)</f>
        <v>0</v>
      </c>
      <c r="BG25" s="6">
        <f ca="1">COUNTIF(PArticipationSeptembre1[[#This Row],[2]:[A]],code19)</f>
        <v>0</v>
      </c>
      <c r="BH25" s="182">
        <f ca="1">COUNTIF(PArticipationSeptembre1[[#This Row],[2]:[A]],code20)</f>
        <v>0</v>
      </c>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428"/>
      <c r="CP25" s="164"/>
      <c r="CQ25" s="156">
        <f t="shared" ca="1" si="1"/>
        <v>0</v>
      </c>
      <c r="CR25" s="156">
        <f t="shared" ca="1" si="2"/>
        <v>0</v>
      </c>
      <c r="CS25" s="178">
        <f t="shared" ca="1" si="3"/>
        <v>0</v>
      </c>
      <c r="CT25" s="157">
        <f t="shared" ca="1" si="0"/>
        <v>0</v>
      </c>
    </row>
    <row r="26" spans="1:98">
      <c r="A26" s="405"/>
      <c r="B26" s="152" t="str">
        <f>IFERROR(VLOOKUP(ParticipationDecembre1[[#This Row],[Référence]],ListeÉtudiants1[],18,FALSE),"")</f>
        <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44"/>
      <c r="AG26" s="6">
        <f ca="1">COUNTIF(PArticipationSeptembre1[[#This Row],[2]:[A]],Code1)</f>
        <v>0</v>
      </c>
      <c r="AH26" s="6">
        <f ca="1">COUNTIF(PArticipationSeptembre1[[#This Row],[2]:[A]],code22)</f>
        <v>0</v>
      </c>
      <c r="AI26" s="6">
        <f ca="1">COUNTIF(PArticipationSeptembre1[[#This Row],[2]:[A]],Code2)</f>
        <v>0</v>
      </c>
      <c r="AJ26" s="6">
        <f ca="1">COUNTIF(PArticipationSeptembre1[[#This Row],[2]:[A]],Code3)</f>
        <v>0</v>
      </c>
      <c r="AK26" s="6">
        <f ca="1">COUNTIF(PArticipationSeptembre1[[#This Row],[2]:[A]],Code4)</f>
        <v>0</v>
      </c>
      <c r="AL26" s="84">
        <f ca="1">COUNTIF(PArticipationSeptembre1[[#This Row],[2]:[A]],Code5)</f>
        <v>0</v>
      </c>
      <c r="AM26" s="6">
        <f ca="1">COUNTIF(PArticipationSeptembre1[[#This Row],[2]:[A]],Code23)</f>
        <v>0</v>
      </c>
      <c r="AN26" s="84">
        <f ca="1">COUNTIF(PArticipationSeptembre1[[#This Row],[2]:[A]],Code6)</f>
        <v>0</v>
      </c>
      <c r="AO26" s="84">
        <f ca="1">COUNTIF(PArticipationSeptembre1[[#This Row],[2]:[A]],Code7)</f>
        <v>0</v>
      </c>
      <c r="AP26" s="6">
        <f ca="1">COUNTIF(PArticipationSeptembre1[[#This Row],[2]:[A]],Code8)</f>
        <v>0</v>
      </c>
      <c r="AQ26" s="6">
        <f ca="1">COUNTIF(PArticipationSeptembre1[[#This Row],[2]:[A]],Code9)</f>
        <v>0</v>
      </c>
      <c r="AR26" s="6">
        <f ca="1">COUNTIF(PArticipationSeptembre1[[#This Row],[2]:[A]],Code10)</f>
        <v>0</v>
      </c>
      <c r="AS26" s="6">
        <f ca="1">COUNTIF(PArticipationSeptembre1[[#This Row],[2]:[A]],Code11)</f>
        <v>0</v>
      </c>
      <c r="AT26" s="6">
        <f ca="1">COUNTIF(PArticipationSeptembre1[[#This Row],[2]:[A]],Code12)</f>
        <v>0</v>
      </c>
      <c r="AU26" s="6">
        <f ca="1">COUNTIF(PArticipationSeptembre1[[#This Row],[2]:[A]],Code13)</f>
        <v>0</v>
      </c>
      <c r="AV26" s="6">
        <f ca="1">COUNTIF(PArticipationSeptembre1[[#This Row],[2]:[A]],Code14)</f>
        <v>0</v>
      </c>
      <c r="AW26" s="6">
        <f ca="1">COUNTIF(PArticipationSeptembre1[[#This Row],[2]:[A]],Code15)</f>
        <v>0</v>
      </c>
      <c r="AX26" s="6">
        <f ca="1">COUNTIF(PArticipationSeptembre1[[#This Row],[2]:[A]],Code16)</f>
        <v>0</v>
      </c>
      <c r="AY26" s="6">
        <f ca="1">COUNTIF(PArticipationSeptembre1[[#This Row],[2]:[A]],Code17)</f>
        <v>0</v>
      </c>
      <c r="AZ26" s="6">
        <f ca="1">COUNTIF(PArticipationSeptembre1[[#This Row],[2]:[A]],Code25)</f>
        <v>0</v>
      </c>
      <c r="BA26" s="6">
        <f ca="1">COUNTIF(PArticipationSeptembre1[[#This Row],[2]:[A]],Code26)</f>
        <v>0</v>
      </c>
      <c r="BB26" s="6">
        <f ca="1">COUNTIF(PArticipationSeptembre1[[#This Row],[2]:[A]],Code27)</f>
        <v>0</v>
      </c>
      <c r="BC26" s="6">
        <f ca="1">COUNTIF(PArticipationSeptembre1[[#This Row],[2]:[A]],Code28)</f>
        <v>0</v>
      </c>
      <c r="BD26" s="6">
        <f ca="1">COUNTIF(PArticipationSeptembre1[[#This Row],[2]:[A]],code21)</f>
        <v>0</v>
      </c>
      <c r="BE26" s="6">
        <f ca="1">COUNTIF(PArticipationSeptembre1[[#This Row],[2]:[A]],Code24)</f>
        <v>0</v>
      </c>
      <c r="BF26" s="6">
        <f ca="1">COUNTIF(PArticipationSeptembre1[[#This Row],[2]:[A]],code18)</f>
        <v>0</v>
      </c>
      <c r="BG26" s="6">
        <f ca="1">COUNTIF(PArticipationSeptembre1[[#This Row],[2]:[A]],code19)</f>
        <v>0</v>
      </c>
      <c r="BH26" s="182">
        <f ca="1">COUNTIF(PArticipationSeptembre1[[#This Row],[2]:[A]],code20)</f>
        <v>0</v>
      </c>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427"/>
      <c r="CP26" s="315"/>
      <c r="CQ26" s="156">
        <f t="shared" ca="1" si="1"/>
        <v>0</v>
      </c>
      <c r="CR26" s="156">
        <f t="shared" ca="1" si="2"/>
        <v>0</v>
      </c>
      <c r="CS26" s="178">
        <f t="shared" ca="1" si="3"/>
        <v>0</v>
      </c>
      <c r="CT26" s="157">
        <f t="shared" ca="1" si="0"/>
        <v>0</v>
      </c>
    </row>
    <row r="27" spans="1:98">
      <c r="A27" s="406"/>
      <c r="B27" s="152" t="str">
        <f>IFERROR(VLOOKUP(ParticipationDecembre1[[#This Row],[Référence]],ListeÉtudiants1[],18,FALSE),"")</f>
        <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44"/>
      <c r="AG27" s="6">
        <f ca="1">COUNTIF(PArticipationSeptembre1[[#This Row],[2]:[A]],Code1)</f>
        <v>0</v>
      </c>
      <c r="AH27" s="6">
        <f ca="1">COUNTIF(PArticipationSeptembre1[[#This Row],[2]:[A]],code22)</f>
        <v>0</v>
      </c>
      <c r="AI27" s="6">
        <f ca="1">COUNTIF(PArticipationSeptembre1[[#This Row],[2]:[A]],Code2)</f>
        <v>0</v>
      </c>
      <c r="AJ27" s="6">
        <f ca="1">COUNTIF(PArticipationSeptembre1[[#This Row],[2]:[A]],Code3)</f>
        <v>0</v>
      </c>
      <c r="AK27" s="6">
        <f ca="1">COUNTIF(PArticipationSeptembre1[[#This Row],[2]:[A]],Code4)</f>
        <v>0</v>
      </c>
      <c r="AL27" s="84">
        <f ca="1">COUNTIF(PArticipationSeptembre1[[#This Row],[2]:[A]],Code5)</f>
        <v>0</v>
      </c>
      <c r="AM27" s="6">
        <f ca="1">COUNTIF(PArticipationSeptembre1[[#This Row],[2]:[A]],Code23)</f>
        <v>0</v>
      </c>
      <c r="AN27" s="84">
        <f ca="1">COUNTIF(PArticipationSeptembre1[[#This Row],[2]:[A]],Code6)</f>
        <v>0</v>
      </c>
      <c r="AO27" s="84">
        <f ca="1">COUNTIF(PArticipationSeptembre1[[#This Row],[2]:[A]],Code7)</f>
        <v>0</v>
      </c>
      <c r="AP27" s="6">
        <f ca="1">COUNTIF(PArticipationSeptembre1[[#This Row],[2]:[A]],Code8)</f>
        <v>0</v>
      </c>
      <c r="AQ27" s="6">
        <f ca="1">COUNTIF(PArticipationSeptembre1[[#This Row],[2]:[A]],Code9)</f>
        <v>0</v>
      </c>
      <c r="AR27" s="6">
        <f ca="1">COUNTIF(PArticipationSeptembre1[[#This Row],[2]:[A]],Code10)</f>
        <v>0</v>
      </c>
      <c r="AS27" s="6">
        <f ca="1">COUNTIF(PArticipationSeptembre1[[#This Row],[2]:[A]],Code11)</f>
        <v>0</v>
      </c>
      <c r="AT27" s="6">
        <f ca="1">COUNTIF(PArticipationSeptembre1[[#This Row],[2]:[A]],Code12)</f>
        <v>0</v>
      </c>
      <c r="AU27" s="6">
        <f ca="1">COUNTIF(PArticipationSeptembre1[[#This Row],[2]:[A]],Code13)</f>
        <v>0</v>
      </c>
      <c r="AV27" s="6">
        <f ca="1">COUNTIF(PArticipationSeptembre1[[#This Row],[2]:[A]],Code14)</f>
        <v>0</v>
      </c>
      <c r="AW27" s="6">
        <f ca="1">COUNTIF(PArticipationSeptembre1[[#This Row],[2]:[A]],Code15)</f>
        <v>0</v>
      </c>
      <c r="AX27" s="6">
        <f ca="1">COUNTIF(PArticipationSeptembre1[[#This Row],[2]:[A]],Code16)</f>
        <v>0</v>
      </c>
      <c r="AY27" s="6">
        <f ca="1">COUNTIF(PArticipationSeptembre1[[#This Row],[2]:[A]],Code17)</f>
        <v>0</v>
      </c>
      <c r="AZ27" s="6">
        <f ca="1">COUNTIF(PArticipationSeptembre1[[#This Row],[2]:[A]],Code25)</f>
        <v>0</v>
      </c>
      <c r="BA27" s="6">
        <f ca="1">COUNTIF(PArticipationSeptembre1[[#This Row],[2]:[A]],Code26)</f>
        <v>0</v>
      </c>
      <c r="BB27" s="6">
        <f ca="1">COUNTIF(PArticipationSeptembre1[[#This Row],[2]:[A]],Code27)</f>
        <v>0</v>
      </c>
      <c r="BC27" s="6">
        <f ca="1">COUNTIF(PArticipationSeptembre1[[#This Row],[2]:[A]],Code28)</f>
        <v>0</v>
      </c>
      <c r="BD27" s="6">
        <f ca="1">COUNTIF(PArticipationSeptembre1[[#This Row],[2]:[A]],code21)</f>
        <v>0</v>
      </c>
      <c r="BE27" s="6">
        <f ca="1">COUNTIF(PArticipationSeptembre1[[#This Row],[2]:[A]],Code24)</f>
        <v>0</v>
      </c>
      <c r="BF27" s="6">
        <f ca="1">COUNTIF(PArticipationSeptembre1[[#This Row],[2]:[A]],code18)</f>
        <v>0</v>
      </c>
      <c r="BG27" s="6">
        <f ca="1">COUNTIF(PArticipationSeptembre1[[#This Row],[2]:[A]],code19)</f>
        <v>0</v>
      </c>
      <c r="BH27" s="182">
        <f ca="1">COUNTIF(PArticipationSeptembre1[[#This Row],[2]:[A]],code20)</f>
        <v>0</v>
      </c>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428"/>
      <c r="CP27" s="164"/>
      <c r="CQ27" s="156">
        <f t="shared" ca="1" si="1"/>
        <v>0</v>
      </c>
      <c r="CR27" s="156">
        <f t="shared" ca="1" si="2"/>
        <v>0</v>
      </c>
      <c r="CS27" s="178">
        <f t="shared" ca="1" si="3"/>
        <v>0</v>
      </c>
      <c r="CT27" s="157">
        <f t="shared" ca="1" si="0"/>
        <v>0</v>
      </c>
    </row>
    <row r="28" spans="1:98">
      <c r="A28" s="405"/>
      <c r="B28" s="152" t="str">
        <f>IFERROR(VLOOKUP(ParticipationDecembre1[[#This Row],[Référence]],ListeÉtudiants1[],18,FALSE),"")</f>
        <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44"/>
      <c r="AG28" s="6">
        <f ca="1">COUNTIF(PArticipationSeptembre1[[#This Row],[2]:[A]],Code1)</f>
        <v>0</v>
      </c>
      <c r="AH28" s="6">
        <f ca="1">COUNTIF(PArticipationSeptembre1[[#This Row],[2]:[A]],code22)</f>
        <v>0</v>
      </c>
      <c r="AI28" s="6">
        <f ca="1">COUNTIF(PArticipationSeptembre1[[#This Row],[2]:[A]],Code2)</f>
        <v>0</v>
      </c>
      <c r="AJ28" s="6">
        <f ca="1">COUNTIF(PArticipationSeptembre1[[#This Row],[2]:[A]],Code3)</f>
        <v>0</v>
      </c>
      <c r="AK28" s="6">
        <f ca="1">COUNTIF(PArticipationSeptembre1[[#This Row],[2]:[A]],Code4)</f>
        <v>0</v>
      </c>
      <c r="AL28" s="84">
        <f ca="1">COUNTIF(PArticipationSeptembre1[[#This Row],[2]:[A]],Code5)</f>
        <v>0</v>
      </c>
      <c r="AM28" s="6">
        <f ca="1">COUNTIF(PArticipationSeptembre1[[#This Row],[2]:[A]],Code23)</f>
        <v>0</v>
      </c>
      <c r="AN28" s="84">
        <f ca="1">COUNTIF(PArticipationSeptembre1[[#This Row],[2]:[A]],Code6)</f>
        <v>0</v>
      </c>
      <c r="AO28" s="84">
        <f ca="1">COUNTIF(PArticipationSeptembre1[[#This Row],[2]:[A]],Code7)</f>
        <v>0</v>
      </c>
      <c r="AP28" s="6">
        <f ca="1">COUNTIF(PArticipationSeptembre1[[#This Row],[2]:[A]],Code8)</f>
        <v>0</v>
      </c>
      <c r="AQ28" s="6">
        <f ca="1">COUNTIF(PArticipationSeptembre1[[#This Row],[2]:[A]],Code9)</f>
        <v>0</v>
      </c>
      <c r="AR28" s="6">
        <f ca="1">COUNTIF(PArticipationSeptembre1[[#This Row],[2]:[A]],Code10)</f>
        <v>0</v>
      </c>
      <c r="AS28" s="6">
        <f ca="1">COUNTIF(PArticipationSeptembre1[[#This Row],[2]:[A]],Code11)</f>
        <v>0</v>
      </c>
      <c r="AT28" s="6">
        <f ca="1">COUNTIF(PArticipationSeptembre1[[#This Row],[2]:[A]],Code12)</f>
        <v>0</v>
      </c>
      <c r="AU28" s="6">
        <f ca="1">COUNTIF(PArticipationSeptembre1[[#This Row],[2]:[A]],Code13)</f>
        <v>0</v>
      </c>
      <c r="AV28" s="6">
        <f ca="1">COUNTIF(PArticipationSeptembre1[[#This Row],[2]:[A]],Code14)</f>
        <v>0</v>
      </c>
      <c r="AW28" s="6">
        <f ca="1">COUNTIF(PArticipationSeptembre1[[#This Row],[2]:[A]],Code15)</f>
        <v>0</v>
      </c>
      <c r="AX28" s="6">
        <f ca="1">COUNTIF(PArticipationSeptembre1[[#This Row],[2]:[A]],Code16)</f>
        <v>0</v>
      </c>
      <c r="AY28" s="6">
        <f ca="1">COUNTIF(PArticipationSeptembre1[[#This Row],[2]:[A]],Code17)</f>
        <v>0</v>
      </c>
      <c r="AZ28" s="6">
        <f ca="1">COUNTIF(PArticipationSeptembre1[[#This Row],[2]:[A]],Code25)</f>
        <v>0</v>
      </c>
      <c r="BA28" s="6">
        <f ca="1">COUNTIF(PArticipationSeptembre1[[#This Row],[2]:[A]],Code26)</f>
        <v>0</v>
      </c>
      <c r="BB28" s="6">
        <f ca="1">COUNTIF(PArticipationSeptembre1[[#This Row],[2]:[A]],Code27)</f>
        <v>0</v>
      </c>
      <c r="BC28" s="6">
        <f ca="1">COUNTIF(PArticipationSeptembre1[[#This Row],[2]:[A]],Code28)</f>
        <v>0</v>
      </c>
      <c r="BD28" s="6">
        <f ca="1">COUNTIF(PArticipationSeptembre1[[#This Row],[2]:[A]],code21)</f>
        <v>0</v>
      </c>
      <c r="BE28" s="6">
        <f ca="1">COUNTIF(PArticipationSeptembre1[[#This Row],[2]:[A]],Code24)</f>
        <v>0</v>
      </c>
      <c r="BF28" s="6">
        <f ca="1">COUNTIF(PArticipationSeptembre1[[#This Row],[2]:[A]],code18)</f>
        <v>0</v>
      </c>
      <c r="BG28" s="6">
        <f ca="1">COUNTIF(PArticipationSeptembre1[[#This Row],[2]:[A]],code19)</f>
        <v>0</v>
      </c>
      <c r="BH28" s="182">
        <f ca="1">COUNTIF(PArticipationSeptembre1[[#This Row],[2]:[A]],code20)</f>
        <v>0</v>
      </c>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427"/>
      <c r="CP28" s="315"/>
      <c r="CQ28" s="156">
        <f t="shared" ca="1" si="1"/>
        <v>0</v>
      </c>
      <c r="CR28" s="156">
        <f t="shared" ca="1" si="2"/>
        <v>0</v>
      </c>
      <c r="CS28" s="178">
        <f t="shared" ca="1" si="3"/>
        <v>0</v>
      </c>
      <c r="CT28" s="157">
        <f t="shared" ca="1" si="0"/>
        <v>0</v>
      </c>
    </row>
    <row r="29" spans="1:98">
      <c r="A29" s="406"/>
      <c r="B29" s="152" t="str">
        <f>IFERROR(VLOOKUP(ParticipationDecembre1[[#This Row],[Référence]],ListeÉtudiants1[],18,FALSE),"")</f>
        <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44"/>
      <c r="AG29" s="6">
        <f ca="1">COUNTIF(PArticipationSeptembre1[[#This Row],[2]:[A]],Code1)</f>
        <v>0</v>
      </c>
      <c r="AH29" s="6">
        <f ca="1">COUNTIF(PArticipationSeptembre1[[#This Row],[2]:[A]],code22)</f>
        <v>0</v>
      </c>
      <c r="AI29" s="6">
        <f ca="1">COUNTIF(PArticipationSeptembre1[[#This Row],[2]:[A]],Code2)</f>
        <v>0</v>
      </c>
      <c r="AJ29" s="6">
        <f ca="1">COUNTIF(PArticipationSeptembre1[[#This Row],[2]:[A]],Code3)</f>
        <v>0</v>
      </c>
      <c r="AK29" s="6">
        <f ca="1">COUNTIF(PArticipationSeptembre1[[#This Row],[2]:[A]],Code4)</f>
        <v>0</v>
      </c>
      <c r="AL29" s="84">
        <f ca="1">COUNTIF(PArticipationSeptembre1[[#This Row],[2]:[A]],Code5)</f>
        <v>0</v>
      </c>
      <c r="AM29" s="6">
        <f ca="1">COUNTIF(PArticipationSeptembre1[[#This Row],[2]:[A]],Code23)</f>
        <v>0</v>
      </c>
      <c r="AN29" s="84">
        <f ca="1">COUNTIF(PArticipationSeptembre1[[#This Row],[2]:[A]],Code6)</f>
        <v>0</v>
      </c>
      <c r="AO29" s="84">
        <f ca="1">COUNTIF(PArticipationSeptembre1[[#This Row],[2]:[A]],Code7)</f>
        <v>0</v>
      </c>
      <c r="AP29" s="6">
        <f ca="1">COUNTIF(PArticipationSeptembre1[[#This Row],[2]:[A]],Code8)</f>
        <v>0</v>
      </c>
      <c r="AQ29" s="6">
        <f ca="1">COUNTIF(PArticipationSeptembre1[[#This Row],[2]:[A]],Code9)</f>
        <v>0</v>
      </c>
      <c r="AR29" s="6">
        <f ca="1">COUNTIF(PArticipationSeptembre1[[#This Row],[2]:[A]],Code10)</f>
        <v>0</v>
      </c>
      <c r="AS29" s="6">
        <f ca="1">COUNTIF(PArticipationSeptembre1[[#This Row],[2]:[A]],Code11)</f>
        <v>0</v>
      </c>
      <c r="AT29" s="6">
        <f ca="1">COUNTIF(PArticipationSeptembre1[[#This Row],[2]:[A]],Code12)</f>
        <v>0</v>
      </c>
      <c r="AU29" s="6">
        <f ca="1">COUNTIF(PArticipationSeptembre1[[#This Row],[2]:[A]],Code13)</f>
        <v>0</v>
      </c>
      <c r="AV29" s="6">
        <f ca="1">COUNTIF(PArticipationSeptembre1[[#This Row],[2]:[A]],Code14)</f>
        <v>0</v>
      </c>
      <c r="AW29" s="6">
        <f ca="1">COUNTIF(PArticipationSeptembre1[[#This Row],[2]:[A]],Code15)</f>
        <v>0</v>
      </c>
      <c r="AX29" s="6">
        <f ca="1">COUNTIF(PArticipationSeptembre1[[#This Row],[2]:[A]],Code16)</f>
        <v>0</v>
      </c>
      <c r="AY29" s="6">
        <f ca="1">COUNTIF(PArticipationSeptembre1[[#This Row],[2]:[A]],Code17)</f>
        <v>0</v>
      </c>
      <c r="AZ29" s="6">
        <f ca="1">COUNTIF(PArticipationSeptembre1[[#This Row],[2]:[A]],Code25)</f>
        <v>0</v>
      </c>
      <c r="BA29" s="6">
        <f ca="1">COUNTIF(PArticipationSeptembre1[[#This Row],[2]:[A]],Code26)</f>
        <v>0</v>
      </c>
      <c r="BB29" s="6">
        <f ca="1">COUNTIF(PArticipationSeptembre1[[#This Row],[2]:[A]],Code27)</f>
        <v>0</v>
      </c>
      <c r="BC29" s="6">
        <f ca="1">COUNTIF(PArticipationSeptembre1[[#This Row],[2]:[A]],Code28)</f>
        <v>0</v>
      </c>
      <c r="BD29" s="6">
        <f ca="1">COUNTIF(PArticipationSeptembre1[[#This Row],[2]:[A]],code21)</f>
        <v>0</v>
      </c>
      <c r="BE29" s="6">
        <f ca="1">COUNTIF(PArticipationSeptembre1[[#This Row],[2]:[A]],Code24)</f>
        <v>0</v>
      </c>
      <c r="BF29" s="6">
        <f ca="1">COUNTIF(PArticipationSeptembre1[[#This Row],[2]:[A]],code18)</f>
        <v>0</v>
      </c>
      <c r="BG29" s="6">
        <f ca="1">COUNTIF(PArticipationSeptembre1[[#This Row],[2]:[A]],code19)</f>
        <v>0</v>
      </c>
      <c r="BH29" s="182">
        <f ca="1">COUNTIF(PArticipationSeptembre1[[#This Row],[2]:[A]],code20)</f>
        <v>0</v>
      </c>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428"/>
      <c r="CP29" s="164"/>
      <c r="CQ29" s="156">
        <f t="shared" ca="1" si="1"/>
        <v>0</v>
      </c>
      <c r="CR29" s="156">
        <f t="shared" ca="1" si="2"/>
        <v>0</v>
      </c>
      <c r="CS29" s="178">
        <f t="shared" ca="1" si="3"/>
        <v>0</v>
      </c>
      <c r="CT29" s="157">
        <f t="shared" ca="1" si="0"/>
        <v>0</v>
      </c>
    </row>
    <row r="30" spans="1:98">
      <c r="A30" s="410"/>
      <c r="B30" s="152" t="str">
        <f>IFERROR(VLOOKUP(ParticipationDecembre1[[#This Row],[Référence]],ListeÉtudiants1[],18,FALSE),"")</f>
        <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44"/>
      <c r="AG30" s="6">
        <f ca="1">COUNTIF(PArticipationSeptembre1[[#This Row],[2]:[A]],Code1)</f>
        <v>0</v>
      </c>
      <c r="AH30" s="6">
        <f ca="1">COUNTIF(PArticipationSeptembre1[[#This Row],[2]:[A]],code22)</f>
        <v>0</v>
      </c>
      <c r="AI30" s="6">
        <f ca="1">COUNTIF(PArticipationSeptembre1[[#This Row],[2]:[A]],Code2)</f>
        <v>0</v>
      </c>
      <c r="AJ30" s="6">
        <f ca="1">COUNTIF(PArticipationSeptembre1[[#This Row],[2]:[A]],Code3)</f>
        <v>0</v>
      </c>
      <c r="AK30" s="6">
        <f ca="1">COUNTIF(PArticipationSeptembre1[[#This Row],[2]:[A]],Code4)</f>
        <v>0</v>
      </c>
      <c r="AL30" s="84">
        <f ca="1">COUNTIF(PArticipationSeptembre1[[#This Row],[2]:[A]],Code5)</f>
        <v>0</v>
      </c>
      <c r="AM30" s="6">
        <f ca="1">COUNTIF(PArticipationSeptembre1[[#This Row],[2]:[A]],Code23)</f>
        <v>0</v>
      </c>
      <c r="AN30" s="84">
        <f ca="1">COUNTIF(PArticipationSeptembre1[[#This Row],[2]:[A]],Code6)</f>
        <v>0</v>
      </c>
      <c r="AO30" s="84">
        <f ca="1">COUNTIF(PArticipationSeptembre1[[#This Row],[2]:[A]],Code7)</f>
        <v>0</v>
      </c>
      <c r="AP30" s="6">
        <f ca="1">COUNTIF(PArticipationSeptembre1[[#This Row],[2]:[A]],Code8)</f>
        <v>0</v>
      </c>
      <c r="AQ30" s="6">
        <f ca="1">COUNTIF(PArticipationSeptembre1[[#This Row],[2]:[A]],Code9)</f>
        <v>0</v>
      </c>
      <c r="AR30" s="6">
        <f ca="1">COUNTIF(PArticipationSeptembre1[[#This Row],[2]:[A]],Code10)</f>
        <v>0</v>
      </c>
      <c r="AS30" s="6">
        <f ca="1">COUNTIF(PArticipationSeptembre1[[#This Row],[2]:[A]],Code11)</f>
        <v>0</v>
      </c>
      <c r="AT30" s="6">
        <f ca="1">COUNTIF(PArticipationSeptembre1[[#This Row],[2]:[A]],Code12)</f>
        <v>0</v>
      </c>
      <c r="AU30" s="6">
        <f ca="1">COUNTIF(PArticipationSeptembre1[[#This Row],[2]:[A]],Code13)</f>
        <v>0</v>
      </c>
      <c r="AV30" s="6">
        <f ca="1">COUNTIF(PArticipationSeptembre1[[#This Row],[2]:[A]],Code14)</f>
        <v>0</v>
      </c>
      <c r="AW30" s="6">
        <f ca="1">COUNTIF(PArticipationSeptembre1[[#This Row],[2]:[A]],Code15)</f>
        <v>0</v>
      </c>
      <c r="AX30" s="6">
        <f ca="1">COUNTIF(PArticipationSeptembre1[[#This Row],[2]:[A]],Code16)</f>
        <v>0</v>
      </c>
      <c r="AY30" s="6">
        <f ca="1">COUNTIF(PArticipationSeptembre1[[#This Row],[2]:[A]],Code17)</f>
        <v>0</v>
      </c>
      <c r="AZ30" s="6">
        <f ca="1">COUNTIF(PArticipationSeptembre1[[#This Row],[2]:[A]],Code25)</f>
        <v>0</v>
      </c>
      <c r="BA30" s="6">
        <f ca="1">COUNTIF(PArticipationSeptembre1[[#This Row],[2]:[A]],Code26)</f>
        <v>0</v>
      </c>
      <c r="BB30" s="6">
        <f ca="1">COUNTIF(PArticipationSeptembre1[[#This Row],[2]:[A]],Code27)</f>
        <v>0</v>
      </c>
      <c r="BC30" s="6">
        <f ca="1">COUNTIF(PArticipationSeptembre1[[#This Row],[2]:[A]],Code28)</f>
        <v>0</v>
      </c>
      <c r="BD30" s="6">
        <f ca="1">COUNTIF(PArticipationSeptembre1[[#This Row],[2]:[A]],code21)</f>
        <v>0</v>
      </c>
      <c r="BE30" s="6">
        <f ca="1">COUNTIF(PArticipationSeptembre1[[#This Row],[2]:[A]],Code24)</f>
        <v>0</v>
      </c>
      <c r="BF30" s="6">
        <f ca="1">COUNTIF(PArticipationSeptembre1[[#This Row],[2]:[A]],code18)</f>
        <v>0</v>
      </c>
      <c r="BG30" s="6">
        <f ca="1">COUNTIF(PArticipationSeptembre1[[#This Row],[2]:[A]],code19)</f>
        <v>0</v>
      </c>
      <c r="BH30" s="6">
        <f ca="1">COUNTIF(PArticipationSeptembre1[[#This Row],[2]:[A]],code20)</f>
        <v>0</v>
      </c>
      <c r="BI30" s="325"/>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427"/>
      <c r="CP30" s="315"/>
      <c r="CQ30" s="156">
        <f t="shared" ca="1" si="1"/>
        <v>0</v>
      </c>
      <c r="CR30" s="156">
        <f t="shared" ca="1" si="2"/>
        <v>0</v>
      </c>
      <c r="CS30" s="178">
        <f t="shared" ca="1" si="3"/>
        <v>0</v>
      </c>
      <c r="CT30" s="157">
        <f t="shared" ca="1" si="0"/>
        <v>0</v>
      </c>
    </row>
    <row r="31" spans="1:98">
      <c r="A31" s="411"/>
      <c r="B31" s="152" t="str">
        <f>IFERROR(VLOOKUP(ParticipationDecembre1[[#This Row],[Référence]],ListeÉtudiants1[],18,FALSE),"")</f>
        <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44"/>
      <c r="AG31" s="6">
        <f ca="1">COUNTIF(PArticipationSeptembre1[[#This Row],[2]:[A]],Code1)</f>
        <v>0</v>
      </c>
      <c r="AH31" s="6">
        <f ca="1">COUNTIF(PArticipationSeptembre1[[#This Row],[2]:[A]],code22)</f>
        <v>0</v>
      </c>
      <c r="AI31" s="6">
        <f ca="1">COUNTIF(PArticipationSeptembre1[[#This Row],[2]:[A]],Code2)</f>
        <v>0</v>
      </c>
      <c r="AJ31" s="6">
        <f ca="1">COUNTIF(PArticipationSeptembre1[[#This Row],[2]:[A]],Code3)</f>
        <v>0</v>
      </c>
      <c r="AK31" s="6">
        <f ca="1">COUNTIF(PArticipationSeptembre1[[#This Row],[2]:[A]],Code4)</f>
        <v>0</v>
      </c>
      <c r="AL31" s="6">
        <f ca="1">COUNTIF(PArticipationSeptembre1[[#This Row],[2]:[A]],Code5)</f>
        <v>0</v>
      </c>
      <c r="AM31" s="6">
        <f ca="1">COUNTIF(PArticipationSeptembre1[[#This Row],[2]:[A]],Code23)</f>
        <v>0</v>
      </c>
      <c r="AN31" s="6">
        <f ca="1">COUNTIF(PArticipationSeptembre1[[#This Row],[2]:[A]],Code6)</f>
        <v>0</v>
      </c>
      <c r="AO31" s="6">
        <f ca="1">COUNTIF(PArticipationSeptembre1[[#This Row],[2]:[A]],Code7)</f>
        <v>0</v>
      </c>
      <c r="AP31" s="6">
        <f ca="1">COUNTIF(PArticipationSeptembre1[[#This Row],[2]:[A]],Code8)</f>
        <v>0</v>
      </c>
      <c r="AQ31" s="6">
        <f ca="1">COUNTIF(PArticipationSeptembre1[[#This Row],[2]:[A]],Code9)</f>
        <v>0</v>
      </c>
      <c r="AR31" s="6">
        <f ca="1">COUNTIF(PArticipationSeptembre1[[#This Row],[2]:[A]],Code10)</f>
        <v>0</v>
      </c>
      <c r="AS31" s="6">
        <f ca="1">COUNTIF(PArticipationSeptembre1[[#This Row],[2]:[A]],Code11)</f>
        <v>0</v>
      </c>
      <c r="AT31" s="6">
        <f ca="1">COUNTIF(PArticipationSeptembre1[[#This Row],[2]:[A]],Code12)</f>
        <v>0</v>
      </c>
      <c r="AU31" s="6">
        <f ca="1">COUNTIF(PArticipationSeptembre1[[#This Row],[2]:[A]],Code13)</f>
        <v>0</v>
      </c>
      <c r="AV31" s="6">
        <f ca="1">COUNTIF(PArticipationSeptembre1[[#This Row],[2]:[A]],Code14)</f>
        <v>0</v>
      </c>
      <c r="AW31" s="6">
        <f ca="1">COUNTIF(PArticipationSeptembre1[[#This Row],[2]:[A]],Code15)</f>
        <v>0</v>
      </c>
      <c r="AX31" s="6">
        <f ca="1">COUNTIF(PArticipationSeptembre1[[#This Row],[2]:[A]],Code16)</f>
        <v>0</v>
      </c>
      <c r="AY31" s="6">
        <f ca="1">COUNTIF(PArticipationSeptembre1[[#This Row],[2]:[A]],Code17)</f>
        <v>0</v>
      </c>
      <c r="AZ31" s="6">
        <f ca="1">COUNTIF(PArticipationSeptembre1[[#This Row],[2]:[A]],Code25)</f>
        <v>0</v>
      </c>
      <c r="BA31" s="6">
        <f ca="1">COUNTIF(PArticipationSeptembre1[[#This Row],[2]:[A]],Code26)</f>
        <v>0</v>
      </c>
      <c r="BB31" s="6">
        <f ca="1">COUNTIF(PArticipationSeptembre1[[#This Row],[2]:[A]],Code27)</f>
        <v>0</v>
      </c>
      <c r="BC31" s="6">
        <f ca="1">COUNTIF(PArticipationSeptembre1[[#This Row],[2]:[A]],Code28)</f>
        <v>0</v>
      </c>
      <c r="BD31" s="6">
        <f ca="1">COUNTIF(PArticipationSeptembre1[[#This Row],[2]:[A]],code21)</f>
        <v>0</v>
      </c>
      <c r="BE31" s="6">
        <f ca="1">COUNTIF(PArticipationSeptembre1[[#This Row],[2]:[A]],Code24)</f>
        <v>0</v>
      </c>
      <c r="BF31" s="6">
        <f ca="1">COUNTIF(PArticipationSeptembre1[[#This Row],[2]:[A]],code18)</f>
        <v>0</v>
      </c>
      <c r="BG31" s="6">
        <f ca="1">COUNTIF(PArticipationSeptembre1[[#This Row],[2]:[A]],code19)</f>
        <v>0</v>
      </c>
      <c r="BH31" s="182">
        <f ca="1">COUNTIF(PArticipationSeptembre1[[#This Row],[2]:[A]],code20)</f>
        <v>0</v>
      </c>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c r="CN31" s="131"/>
      <c r="CO31" s="428"/>
      <c r="CP31" s="164"/>
      <c r="CQ31" s="156">
        <f t="shared" ca="1" si="1"/>
        <v>0</v>
      </c>
      <c r="CR31" s="156">
        <f t="shared" ca="1" si="2"/>
        <v>0</v>
      </c>
      <c r="CS31" s="178">
        <f t="shared" ca="1" si="3"/>
        <v>0</v>
      </c>
      <c r="CT31" s="157"/>
    </row>
    <row r="32" spans="1:98">
      <c r="A32" s="410"/>
      <c r="B32" s="152" t="str">
        <f>IFERROR(VLOOKUP(ParticipationDecembre1[[#This Row],[Référence]],ListeÉtudiants1[],18,FALSE),"")</f>
        <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44"/>
      <c r="AG32" s="6">
        <f ca="1">COUNTIF(PArticipationSeptembre1[[#This Row],[2]:[A]],Code1)</f>
        <v>0</v>
      </c>
      <c r="AH32" s="6">
        <f ca="1">COUNTIF(PArticipationSeptembre1[[#This Row],[2]:[A]],code22)</f>
        <v>0</v>
      </c>
      <c r="AI32" s="6">
        <f ca="1">COUNTIF(PArticipationSeptembre1[[#This Row],[2]:[A]],Code2)</f>
        <v>0</v>
      </c>
      <c r="AJ32" s="6">
        <f ca="1">COUNTIF(PArticipationSeptembre1[[#This Row],[2]:[A]],Code3)</f>
        <v>0</v>
      </c>
      <c r="AK32" s="6">
        <f ca="1">COUNTIF(PArticipationSeptembre1[[#This Row],[2]:[A]],Code4)</f>
        <v>0</v>
      </c>
      <c r="AL32" s="6">
        <f ca="1">COUNTIF(PArticipationSeptembre1[[#This Row],[2]:[A]],Code5)</f>
        <v>0</v>
      </c>
      <c r="AM32" s="6">
        <f ca="1">COUNTIF(PArticipationSeptembre1[[#This Row],[2]:[A]],Code23)</f>
        <v>0</v>
      </c>
      <c r="AN32" s="6">
        <f ca="1">COUNTIF(PArticipationSeptembre1[[#This Row],[2]:[A]],Code6)</f>
        <v>0</v>
      </c>
      <c r="AO32" s="6">
        <f ca="1">COUNTIF(PArticipationSeptembre1[[#This Row],[2]:[A]],Code7)</f>
        <v>0</v>
      </c>
      <c r="AP32" s="6">
        <f ca="1">COUNTIF(PArticipationSeptembre1[[#This Row],[2]:[A]],Code8)</f>
        <v>0</v>
      </c>
      <c r="AQ32" s="6">
        <f ca="1">COUNTIF(PArticipationSeptembre1[[#This Row],[2]:[A]],Code9)</f>
        <v>0</v>
      </c>
      <c r="AR32" s="6">
        <f ca="1">COUNTIF(PArticipationSeptembre1[[#This Row],[2]:[A]],Code10)</f>
        <v>0</v>
      </c>
      <c r="AS32" s="6">
        <f ca="1">COUNTIF(PArticipationSeptembre1[[#This Row],[2]:[A]],Code11)</f>
        <v>0</v>
      </c>
      <c r="AT32" s="6">
        <f ca="1">COUNTIF(PArticipationSeptembre1[[#This Row],[2]:[A]],Code12)</f>
        <v>0</v>
      </c>
      <c r="AU32" s="6">
        <f ca="1">COUNTIF(PArticipationSeptembre1[[#This Row],[2]:[A]],Code13)</f>
        <v>0</v>
      </c>
      <c r="AV32" s="6">
        <f ca="1">COUNTIF(PArticipationSeptembre1[[#This Row],[2]:[A]],Code14)</f>
        <v>0</v>
      </c>
      <c r="AW32" s="6">
        <f ca="1">COUNTIF(PArticipationSeptembre1[[#This Row],[2]:[A]],Code15)</f>
        <v>0</v>
      </c>
      <c r="AX32" s="6">
        <f ca="1">COUNTIF(PArticipationSeptembre1[[#This Row],[2]:[A]],Code16)</f>
        <v>0</v>
      </c>
      <c r="AY32" s="6">
        <f ca="1">COUNTIF(PArticipationSeptembre1[[#This Row],[2]:[A]],Code17)</f>
        <v>0</v>
      </c>
      <c r="AZ32" s="6">
        <f ca="1">COUNTIF(PArticipationSeptembre1[[#This Row],[2]:[A]],Code25)</f>
        <v>0</v>
      </c>
      <c r="BA32" s="6">
        <f ca="1">COUNTIF(PArticipationSeptembre1[[#This Row],[2]:[A]],Code26)</f>
        <v>0</v>
      </c>
      <c r="BB32" s="6">
        <f ca="1">COUNTIF(PArticipationSeptembre1[[#This Row],[2]:[A]],Code27)</f>
        <v>0</v>
      </c>
      <c r="BC32" s="6">
        <f ca="1">COUNTIF(PArticipationSeptembre1[[#This Row],[2]:[A]],Code28)</f>
        <v>0</v>
      </c>
      <c r="BD32" s="6">
        <f ca="1">COUNTIF(PArticipationSeptembre1[[#This Row],[2]:[A]],code21)</f>
        <v>0</v>
      </c>
      <c r="BE32" s="6">
        <f ca="1">COUNTIF(PArticipationSeptembre1[[#This Row],[2]:[A]],Code24)</f>
        <v>0</v>
      </c>
      <c r="BF32" s="6">
        <f ca="1">COUNTIF(PArticipationSeptembre1[[#This Row],[2]:[A]],code18)</f>
        <v>0</v>
      </c>
      <c r="BG32" s="6">
        <f ca="1">COUNTIF(PArticipationSeptembre1[[#This Row],[2]:[A]],code19)</f>
        <v>0</v>
      </c>
      <c r="BH32" s="182">
        <f ca="1">COUNTIF(PArticipationSeptembre1[[#This Row],[2]:[A]],code20)</f>
        <v>0</v>
      </c>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427"/>
      <c r="CP32" s="315"/>
      <c r="CQ32" s="156">
        <f t="shared" ca="1" si="1"/>
        <v>0</v>
      </c>
      <c r="CR32" s="156">
        <f t="shared" ca="1" si="2"/>
        <v>0</v>
      </c>
      <c r="CS32" s="178">
        <f t="shared" ca="1" si="3"/>
        <v>0</v>
      </c>
      <c r="CT32" s="185">
        <f ca="1">SUM(AP32:CQ32)</f>
        <v>0</v>
      </c>
    </row>
    <row r="33" spans="1:100" ht="14.25" thickBot="1">
      <c r="A33" s="412"/>
      <c r="B33" s="152" t="str">
        <f>IFERROR(VLOOKUP(ParticipationDecembre1[[#This Row],[Référence]],ListeÉtudiants1[],18,FALSE),"")</f>
        <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8"/>
      <c r="AG33" s="149">
        <f ca="1">COUNTIF(PArticipationSeptembre1[[#This Row],[2]:[A]],Code1)</f>
        <v>0</v>
      </c>
      <c r="AH33" s="149">
        <f ca="1">COUNTIF(PArticipationSeptembre1[[#This Row],[2]:[A]],code22)</f>
        <v>0</v>
      </c>
      <c r="AI33" s="149">
        <f ca="1">COUNTIF(PArticipationSeptembre1[[#This Row],[2]:[A]],Code2)</f>
        <v>0</v>
      </c>
      <c r="AJ33" s="149">
        <f ca="1">COUNTIF(PArticipationSeptembre1[[#This Row],[2]:[A]],Code3)</f>
        <v>0</v>
      </c>
      <c r="AK33" s="149">
        <f ca="1">COUNTIF(PArticipationSeptembre1[[#This Row],[2]:[A]],Code4)</f>
        <v>0</v>
      </c>
      <c r="AL33" s="149">
        <f ca="1">COUNTIF(PArticipationSeptembre1[[#This Row],[2]:[A]],Code5)</f>
        <v>0</v>
      </c>
      <c r="AM33" s="149">
        <f ca="1">COUNTIF(PArticipationSeptembre1[[#This Row],[2]:[A]],Code23)</f>
        <v>0</v>
      </c>
      <c r="AN33" s="149">
        <f ca="1">COUNTIF(PArticipationSeptembre1[[#This Row],[2]:[A]],Code6)</f>
        <v>0</v>
      </c>
      <c r="AO33" s="149">
        <f ca="1">COUNTIF(PArticipationSeptembre1[[#This Row],[2]:[A]],Code7)</f>
        <v>0</v>
      </c>
      <c r="AP33" s="149">
        <f ca="1">COUNTIF(PArticipationSeptembre1[[#This Row],[2]:[A]],Code8)</f>
        <v>0</v>
      </c>
      <c r="AQ33" s="149">
        <f ca="1">COUNTIF(PArticipationSeptembre1[[#This Row],[2]:[A]],Code9)</f>
        <v>0</v>
      </c>
      <c r="AR33" s="149">
        <f ca="1">COUNTIF(PArticipationSeptembre1[[#This Row],[2]:[A]],Code10)</f>
        <v>0</v>
      </c>
      <c r="AS33" s="149">
        <f ca="1">COUNTIF(PArticipationSeptembre1[[#This Row],[2]:[A]],Code11)</f>
        <v>0</v>
      </c>
      <c r="AT33" s="149">
        <f ca="1">COUNTIF(PArticipationSeptembre1[[#This Row],[2]:[A]],Code12)</f>
        <v>0</v>
      </c>
      <c r="AU33" s="149">
        <f ca="1">COUNTIF(PArticipationSeptembre1[[#This Row],[2]:[A]],Code13)</f>
        <v>0</v>
      </c>
      <c r="AV33" s="149">
        <f ca="1">COUNTIF(PArticipationSeptembre1[[#This Row],[2]:[A]],Code14)</f>
        <v>0</v>
      </c>
      <c r="AW33" s="149">
        <f ca="1">COUNTIF(PArticipationSeptembre1[[#This Row],[2]:[A]],Code15)</f>
        <v>0</v>
      </c>
      <c r="AX33" s="149">
        <f ca="1">COUNTIF(PArticipationSeptembre1[[#This Row],[2]:[A]],Code16)</f>
        <v>0</v>
      </c>
      <c r="AY33" s="149">
        <f ca="1">COUNTIF(PArticipationSeptembre1[[#This Row],[2]:[A]],Code17)</f>
        <v>0</v>
      </c>
      <c r="AZ33" s="149">
        <f ca="1">COUNTIF(PArticipationSeptembre1[[#This Row],[2]:[A]],Code25)</f>
        <v>0</v>
      </c>
      <c r="BA33" s="149">
        <f ca="1">COUNTIF(PArticipationSeptembre1[[#This Row],[2]:[A]],Code26)</f>
        <v>0</v>
      </c>
      <c r="BB33" s="149">
        <f ca="1">COUNTIF(PArticipationSeptembre1[[#This Row],[2]:[A]],Code27)</f>
        <v>0</v>
      </c>
      <c r="BC33" s="149">
        <f ca="1">COUNTIF(PArticipationSeptembre1[[#This Row],[2]:[A]],Code28)</f>
        <v>0</v>
      </c>
      <c r="BD33" s="149">
        <f ca="1">COUNTIF(PArticipationSeptembre1[[#This Row],[2]:[A]],code21)</f>
        <v>0</v>
      </c>
      <c r="BE33" s="149">
        <f ca="1">COUNTIF(PArticipationSeptembre1[[#This Row],[2]:[A]],Code24)</f>
        <v>0</v>
      </c>
      <c r="BF33" s="149">
        <f ca="1">COUNTIF(PArticipationSeptembre1[[#This Row],[2]:[A]],code18)</f>
        <v>0</v>
      </c>
      <c r="BG33" s="149">
        <f ca="1">COUNTIF(PArticipationSeptembre1[[#This Row],[2]:[A]],code19)</f>
        <v>0</v>
      </c>
      <c r="BH33" s="183">
        <f ca="1">COUNTIF(PArticipationSeptembre1[[#This Row],[2]:[A]],code20)</f>
        <v>0</v>
      </c>
      <c r="BI33" s="324"/>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429"/>
      <c r="CP33" s="173"/>
      <c r="CQ33" s="181">
        <f t="shared" ca="1" si="1"/>
        <v>0</v>
      </c>
      <c r="CR33" s="181">
        <f t="shared" ca="1" si="2"/>
        <v>0</v>
      </c>
      <c r="CS33" s="246"/>
      <c r="CT33" s="158">
        <f ca="1">SUM(AP33:CQ33)</f>
        <v>0</v>
      </c>
    </row>
    <row r="34" spans="1:100" ht="14.25" thickTop="1">
      <c r="A34" s="10"/>
      <c r="B34" s="200" t="str">
        <f>IFERROR(VLOOKUP(ParticipationDecembre1[[#This Row],[Référence]],ListeÉtudiants1[],18,FALSE),"")</f>
        <v/>
      </c>
      <c r="C34" s="201"/>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3"/>
      <c r="CS34" s="204"/>
      <c r="CT34" s="204"/>
      <c r="CU34" s="204"/>
      <c r="CV34" s="88"/>
    </row>
    <row r="35" spans="1:100">
      <c r="A35" s="10"/>
      <c r="B35" s="3"/>
      <c r="C35" s="4"/>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202"/>
      <c r="CS35" s="202"/>
      <c r="CT35" s="202"/>
      <c r="CU35" s="202"/>
    </row>
    <row r="38" spans="1:100" ht="14.25" thickBot="1">
      <c r="BD38" s="146"/>
    </row>
    <row r="39" spans="1:100" ht="14.25" thickTop="1"/>
  </sheetData>
  <mergeCells count="6">
    <mergeCell ref="P7:Q7"/>
    <mergeCell ref="A1:E1"/>
    <mergeCell ref="F1:J1"/>
    <mergeCell ref="K1:O1"/>
    <mergeCell ref="I7:J7"/>
    <mergeCell ref="M7:N7"/>
  </mergeCells>
  <conditionalFormatting sqref="C11:BH33">
    <cfRule type="expression" dxfId="604" priority="43" stopIfTrue="1">
      <formula>C11=Code2</formula>
    </cfRule>
  </conditionalFormatting>
  <conditionalFormatting sqref="C11:AF33">
    <cfRule type="expression" dxfId="603" priority="1">
      <formula>C11=Code27</formula>
    </cfRule>
    <cfRule type="expression" dxfId="602" priority="2">
      <formula>C11=Code26</formula>
    </cfRule>
    <cfRule type="expression" dxfId="601" priority="3">
      <formula>C11=Code25</formula>
    </cfRule>
    <cfRule type="expression" dxfId="600" priority="4">
      <formula>C11=Code24</formula>
    </cfRule>
    <cfRule type="expression" dxfId="599" priority="5">
      <formula>C11=Code23</formula>
    </cfRule>
    <cfRule type="expression" dxfId="598" priority="6">
      <formula>C11=code22</formula>
    </cfRule>
    <cfRule type="expression" dxfId="597" priority="7">
      <formula>C11=code21</formula>
    </cfRule>
    <cfRule type="expression" dxfId="596" priority="8" stopIfTrue="1">
      <formula>C11=code20</formula>
    </cfRule>
    <cfRule type="expression" dxfId="595" priority="9" stopIfTrue="1">
      <formula>C11=code19</formula>
    </cfRule>
    <cfRule type="expression" dxfId="594" priority="10" stopIfTrue="1">
      <formula>C11=code18</formula>
    </cfRule>
    <cfRule type="expression" dxfId="593" priority="25" stopIfTrue="1">
      <formula>C11=Code17</formula>
    </cfRule>
    <cfRule type="expression" dxfId="592" priority="26" stopIfTrue="1">
      <formula>C11=Code16</formula>
    </cfRule>
    <cfRule type="expression" dxfId="591" priority="27" stopIfTrue="1">
      <formula>C11=Code15</formula>
    </cfRule>
    <cfRule type="expression" dxfId="590" priority="28" stopIfTrue="1">
      <formula>C11=Code13</formula>
    </cfRule>
    <cfRule type="expression" dxfId="589" priority="29" stopIfTrue="1">
      <formula>C11=Code14</formula>
    </cfRule>
    <cfRule type="expression" dxfId="588" priority="30" stopIfTrue="1">
      <formula>C11=Code12</formula>
    </cfRule>
    <cfRule type="expression" dxfId="587" priority="31" stopIfTrue="1">
      <formula>C11=Code11</formula>
    </cfRule>
    <cfRule type="expression" dxfId="586" priority="33" stopIfTrue="1">
      <formula>C11=Code9</formula>
    </cfRule>
    <cfRule type="expression" dxfId="585" priority="34" stopIfTrue="1">
      <formula>D11=Code8</formula>
    </cfRule>
    <cfRule type="expression" dxfId="584" priority="41" stopIfTrue="1">
      <formula>C11=Code7</formula>
    </cfRule>
    <cfRule type="expression" dxfId="583" priority="45" stopIfTrue="1">
      <formula>C11=Code6</formula>
    </cfRule>
    <cfRule type="expression" dxfId="582" priority="48" stopIfTrue="1">
      <formula>C11=Code5</formula>
    </cfRule>
    <cfRule type="expression" dxfId="581" priority="49" stopIfTrue="1">
      <formula>C11=Code4</formula>
    </cfRule>
    <cfRule type="expression" dxfId="580" priority="50" stopIfTrue="1">
      <formula>C11=Code3</formula>
    </cfRule>
    <cfRule type="expression" dxfId="579" priority="51" stopIfTrue="1">
      <formula>C11=Code1</formula>
    </cfRule>
  </conditionalFormatting>
  <conditionalFormatting sqref="CR34:CT34">
    <cfRule type="dataBar" priority="37">
      <dataBar>
        <cfvo type="min"/>
        <cfvo type="num" val="31"/>
        <color theme="4"/>
      </dataBar>
      <extLst>
        <ext xmlns:x14="http://schemas.microsoft.com/office/spreadsheetml/2009/9/main" uri="{B025F937-C7B1-47D3-B67F-A62EFF666E3E}">
          <x14:id>{2024CFF3-5CA1-47F1-8903-7F8E22D11728}</x14:id>
        </ext>
      </extLst>
    </cfRule>
  </conditionalFormatting>
  <conditionalFormatting sqref="C11:AF11">
    <cfRule type="expression" dxfId="578" priority="32" stopIfTrue="1">
      <formula>C11=Code10</formula>
    </cfRule>
  </conditionalFormatting>
  <conditionalFormatting sqref="CT32:CT33">
    <cfRule type="dataBar" priority="24">
      <dataBar>
        <cfvo type="min"/>
        <cfvo type="num" val="31"/>
        <color theme="4"/>
      </dataBar>
      <extLst>
        <ext xmlns:x14="http://schemas.microsoft.com/office/spreadsheetml/2009/9/main" uri="{B025F937-C7B1-47D3-B67F-A62EFF666E3E}">
          <x14:id>{0576CD4E-65FD-4C04-A23F-DA9E32291EA4}</x14:id>
        </ext>
      </extLst>
    </cfRule>
  </conditionalFormatting>
  <conditionalFormatting sqref="CU34">
    <cfRule type="dataBar" priority="23">
      <dataBar>
        <cfvo type="min"/>
        <cfvo type="num" val="31"/>
        <color theme="4"/>
      </dataBar>
      <extLst>
        <ext xmlns:x14="http://schemas.microsoft.com/office/spreadsheetml/2009/9/main" uri="{B025F937-C7B1-47D3-B67F-A62EFF666E3E}">
          <x14:id>{C9E76219-04F9-4E64-B5D2-6FBC73CFE8C9}</x14:id>
        </ext>
      </extLst>
    </cfRule>
  </conditionalFormatting>
  <conditionalFormatting sqref="CQ11:CQ33">
    <cfRule type="dataBar" priority="21">
      <dataBar>
        <cfvo type="min"/>
        <cfvo type="num" val="31"/>
        <color theme="4"/>
      </dataBar>
      <extLst>
        <ext xmlns:x14="http://schemas.microsoft.com/office/spreadsheetml/2009/9/main" uri="{B025F937-C7B1-47D3-B67F-A62EFF666E3E}">
          <x14:id>{80D1DEF7-C222-45F5-AC23-94C93565C0B3}</x14:id>
        </ext>
      </extLst>
    </cfRule>
  </conditionalFormatting>
  <conditionalFormatting sqref="CR11:CS33">
    <cfRule type="dataBar" priority="22">
      <dataBar>
        <cfvo type="min"/>
        <cfvo type="num" val="31"/>
        <color theme="4"/>
      </dataBar>
      <extLst>
        <ext xmlns:x14="http://schemas.microsoft.com/office/spreadsheetml/2009/9/main" uri="{B025F937-C7B1-47D3-B67F-A62EFF666E3E}">
          <x14:id>{E83EB88C-7242-43EC-85E3-9D36F632BC4B}</x14:id>
        </ext>
      </extLst>
    </cfRule>
  </conditionalFormatting>
  <conditionalFormatting sqref="CT31">
    <cfRule type="dataBar" priority="17">
      <dataBar>
        <cfvo type="min"/>
        <cfvo type="num" val="31"/>
        <color theme="4"/>
      </dataBar>
      <extLst>
        <ext xmlns:x14="http://schemas.microsoft.com/office/spreadsheetml/2009/9/main" uri="{B025F937-C7B1-47D3-B67F-A62EFF666E3E}">
          <x14:id>{081CC43C-B054-404B-8AE6-FBE269ECE952}</x14:id>
        </ext>
      </extLst>
    </cfRule>
  </conditionalFormatting>
  <conditionalFormatting sqref="CT11:CT30">
    <cfRule type="dataBar" priority="18">
      <dataBar>
        <cfvo type="min"/>
        <cfvo type="num" val="31"/>
        <color theme="4"/>
      </dataBar>
      <extLst>
        <ext xmlns:x14="http://schemas.microsoft.com/office/spreadsheetml/2009/9/main" uri="{B025F937-C7B1-47D3-B67F-A62EFF666E3E}">
          <x14:id>{717E35D0-9DCA-43F6-96E6-DA934FA6FBA3}</x14:id>
        </ext>
      </extLst>
    </cfRule>
  </conditionalFormatting>
  <dataValidations count="1">
    <dataValidation type="list" errorStyle="warning" allowBlank="1" showInputMessage="1" showErrorMessage="1" errorTitle="Whoops!" error="The Student ID you entered isn't on the Student List sheet. You can click Yes to use what you entered but that Student ID won't be available on the Student Attendance Report sheet." sqref="A11:A33">
      <formula1>IDÉtudiant1</formula1>
    </dataValidation>
  </dataValidations>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024CFF3-5CA1-47F1-8903-7F8E22D11728}">
            <x14:dataBar minLength="0" maxLength="100" border="1" negativeBarBorderColorSameAsPositive="0">
              <x14:cfvo type="autoMin"/>
              <x14:cfvo type="num">
                <xm:f>31</xm:f>
              </x14:cfvo>
              <x14:borderColor theme="4"/>
              <x14:negativeFillColor rgb="FFFF0000"/>
              <x14:negativeBorderColor rgb="FFFF0000"/>
              <x14:axisColor rgb="FF000000"/>
            </x14:dataBar>
          </x14:cfRule>
          <xm:sqref>CR34:CT34</xm:sqref>
        </x14:conditionalFormatting>
        <x14:conditionalFormatting xmlns:xm="http://schemas.microsoft.com/office/excel/2006/main">
          <x14:cfRule type="dataBar" id="{0576CD4E-65FD-4C04-A23F-DA9E32291EA4}">
            <x14:dataBar minLength="0" maxLength="100" border="1" negativeBarBorderColorSameAsPositive="0">
              <x14:cfvo type="autoMin"/>
              <x14:cfvo type="num">
                <xm:f>31</xm:f>
              </x14:cfvo>
              <x14:borderColor theme="4"/>
              <x14:negativeFillColor rgb="FFFF0000"/>
              <x14:negativeBorderColor rgb="FFFF0000"/>
              <x14:axisColor rgb="FF000000"/>
            </x14:dataBar>
          </x14:cfRule>
          <xm:sqref>CT32:CT33</xm:sqref>
        </x14:conditionalFormatting>
        <x14:conditionalFormatting xmlns:xm="http://schemas.microsoft.com/office/excel/2006/main">
          <x14:cfRule type="dataBar" id="{C9E76219-04F9-4E64-B5D2-6FBC73CFE8C9}">
            <x14:dataBar minLength="0" maxLength="100" border="1" negativeBarBorderColorSameAsPositive="0">
              <x14:cfvo type="autoMin"/>
              <x14:cfvo type="num">
                <xm:f>31</xm:f>
              </x14:cfvo>
              <x14:borderColor theme="4"/>
              <x14:negativeFillColor rgb="FFFF0000"/>
              <x14:negativeBorderColor rgb="FFFF0000"/>
              <x14:axisColor rgb="FF000000"/>
            </x14:dataBar>
          </x14:cfRule>
          <xm:sqref>CU34</xm:sqref>
        </x14:conditionalFormatting>
        <x14:conditionalFormatting xmlns:xm="http://schemas.microsoft.com/office/excel/2006/main">
          <x14:cfRule type="dataBar" id="{80D1DEF7-C222-45F5-AC23-94C93565C0B3}">
            <x14:dataBar minLength="0" maxLength="100" border="1" negativeBarBorderColorSameAsPositive="0">
              <x14:cfvo type="autoMin"/>
              <x14:cfvo type="num">
                <xm:f>31</xm:f>
              </x14:cfvo>
              <x14:borderColor theme="4"/>
              <x14:negativeFillColor rgb="FFFF0000"/>
              <x14:negativeBorderColor rgb="FFFF0000"/>
              <x14:axisColor rgb="FF000000"/>
            </x14:dataBar>
          </x14:cfRule>
          <xm:sqref>CQ11:CQ33</xm:sqref>
        </x14:conditionalFormatting>
        <x14:conditionalFormatting xmlns:xm="http://schemas.microsoft.com/office/excel/2006/main">
          <x14:cfRule type="dataBar" id="{E83EB88C-7242-43EC-85E3-9D36F632BC4B}">
            <x14:dataBar minLength="0" maxLength="100" border="1" negativeBarBorderColorSameAsPositive="0">
              <x14:cfvo type="autoMin"/>
              <x14:cfvo type="num">
                <xm:f>31</xm:f>
              </x14:cfvo>
              <x14:borderColor theme="4"/>
              <x14:negativeFillColor rgb="FFFF0000"/>
              <x14:negativeBorderColor rgb="FFFF0000"/>
              <x14:axisColor rgb="FF000000"/>
            </x14:dataBar>
          </x14:cfRule>
          <xm:sqref>CR11:CS33</xm:sqref>
        </x14:conditionalFormatting>
        <x14:conditionalFormatting xmlns:xm="http://schemas.microsoft.com/office/excel/2006/main">
          <x14:cfRule type="dataBar" id="{081CC43C-B054-404B-8AE6-FBE269ECE952}">
            <x14:dataBar minLength="0" maxLength="100" border="1" negativeBarBorderColorSameAsPositive="0">
              <x14:cfvo type="autoMin"/>
              <x14:cfvo type="num">
                <xm:f>31</xm:f>
              </x14:cfvo>
              <x14:borderColor theme="4"/>
              <x14:negativeFillColor rgb="FFFF0000"/>
              <x14:negativeBorderColor rgb="FFFF0000"/>
              <x14:axisColor rgb="FF000000"/>
            </x14:dataBar>
          </x14:cfRule>
          <xm:sqref>CT31</xm:sqref>
        </x14:conditionalFormatting>
        <x14:conditionalFormatting xmlns:xm="http://schemas.microsoft.com/office/excel/2006/main">
          <x14:cfRule type="dataBar" id="{717E35D0-9DCA-43F6-96E6-DA934FA6FBA3}">
            <x14:dataBar minLength="0" maxLength="100" border="1" negativeBarBorderColorSameAsPositive="0">
              <x14:cfvo type="autoMin"/>
              <x14:cfvo type="num">
                <xm:f>31</xm:f>
              </x14:cfvo>
              <x14:borderColor theme="4"/>
              <x14:negativeFillColor rgb="FFFF0000"/>
              <x14:negativeBorderColor rgb="FFFF0000"/>
              <x14:axisColor rgb="FF000000"/>
            </x14:dataBar>
          </x14:cfRule>
          <xm:sqref>CT11:CT30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CV35"/>
  <sheetViews>
    <sheetView topLeftCell="C1" workbookViewId="0">
      <selection activeCell="S7" sqref="S7"/>
    </sheetView>
  </sheetViews>
  <sheetFormatPr baseColWidth="10" defaultRowHeight="13.5"/>
  <cols>
    <col min="2" max="2" width="26" customWidth="1"/>
    <col min="3" max="3" width="5" customWidth="1"/>
    <col min="5" max="5" width="5.5703125" customWidth="1"/>
    <col min="7" max="7" width="5.140625" customWidth="1"/>
    <col min="9" max="9" width="5.7109375" customWidth="1"/>
    <col min="11" max="11" width="5.5703125" customWidth="1"/>
    <col min="13" max="13" width="5" customWidth="1"/>
    <col min="14" max="14" width="7.28515625" customWidth="1"/>
    <col min="15" max="15" width="4.85546875" customWidth="1"/>
    <col min="17" max="17" width="4.85546875" customWidth="1"/>
    <col min="19" max="19" width="6.28515625" customWidth="1"/>
    <col min="20" max="20" width="10.28515625" customWidth="1"/>
    <col min="21" max="21" width="6.42578125" customWidth="1"/>
    <col min="23" max="23" width="6.42578125" customWidth="1"/>
    <col min="25" max="25" width="7" customWidth="1"/>
    <col min="27" max="27" width="6.28515625" customWidth="1"/>
    <col min="28" max="28" width="6.7109375" customWidth="1"/>
    <col min="29" max="29" width="7.140625" customWidth="1"/>
    <col min="30" max="30" width="7.28515625" customWidth="1"/>
    <col min="31" max="31" width="5.42578125" customWidth="1"/>
    <col min="32" max="33" width="6.140625" customWidth="1"/>
    <col min="34" max="34" width="4.28515625" customWidth="1"/>
    <col min="35" max="35" width="4.5703125" customWidth="1"/>
    <col min="36" max="36" width="4.42578125" customWidth="1"/>
    <col min="37" max="37" width="4.5703125" customWidth="1"/>
    <col min="38" max="38" width="3.42578125" customWidth="1"/>
    <col min="39" max="39" width="2.85546875" customWidth="1"/>
    <col min="40" max="40" width="4.5703125" customWidth="1"/>
    <col min="41" max="41" width="3.5703125" customWidth="1"/>
    <col min="42" max="42" width="3.140625" customWidth="1"/>
    <col min="43" max="44" width="3.85546875" customWidth="1"/>
    <col min="45" max="45" width="4.28515625" customWidth="1"/>
    <col min="46" max="46" width="3.85546875" customWidth="1"/>
    <col min="47" max="47" width="3.140625" customWidth="1"/>
    <col min="48" max="48" width="4.5703125" customWidth="1"/>
    <col min="49" max="49" width="4.28515625" customWidth="1"/>
    <col min="50" max="50" width="3.28515625" customWidth="1"/>
    <col min="51" max="51" width="3.85546875" customWidth="1"/>
    <col min="52" max="56" width="4.28515625" customWidth="1"/>
    <col min="57" max="57" width="3.5703125" customWidth="1"/>
    <col min="58" max="58" width="4.140625" customWidth="1"/>
    <col min="59" max="59" width="4.5703125" customWidth="1"/>
    <col min="60" max="60" width="4.140625" customWidth="1"/>
    <col min="61" max="61" width="3.7109375" customWidth="1"/>
    <col min="62" max="62" width="3.140625" customWidth="1"/>
    <col min="63" max="63" width="3.28515625" customWidth="1"/>
    <col min="64" max="94" width="3.7109375" customWidth="1"/>
    <col min="95" max="95" width="6.28515625" customWidth="1"/>
    <col min="96" max="96" width="17.28515625" customWidth="1"/>
    <col min="97" max="97" width="19" customWidth="1"/>
    <col min="98" max="98" width="13.28515625" customWidth="1"/>
    <col min="99" max="99" width="21.42578125" customWidth="1"/>
  </cols>
  <sheetData>
    <row r="1" spans="1:100" ht="28.5">
      <c r="A1" s="654" t="s">
        <v>504</v>
      </c>
      <c r="B1" s="655"/>
      <c r="C1" s="22"/>
      <c r="D1" s="22"/>
      <c r="E1" s="22"/>
      <c r="F1" s="22"/>
      <c r="G1" s="22"/>
      <c r="H1" s="22"/>
      <c r="I1" s="22"/>
      <c r="J1" s="22"/>
      <c r="K1" s="22"/>
      <c r="L1" s="22"/>
      <c r="M1" s="22"/>
      <c r="N1" s="22"/>
      <c r="O1" s="22"/>
      <c r="P1" s="22"/>
      <c r="Q1" s="22"/>
      <c r="R1" s="22"/>
      <c r="S1" s="22"/>
      <c r="T1" s="22"/>
      <c r="U1" s="22"/>
      <c r="V1" s="22"/>
      <c r="W1" s="22"/>
      <c r="X1" s="22"/>
      <c r="Y1" s="22"/>
      <c r="Z1" s="22"/>
      <c r="AA1" s="22"/>
      <c r="AB1" s="21"/>
      <c r="AC1" s="21"/>
      <c r="AD1" s="21"/>
      <c r="AE1" s="21"/>
      <c r="AF1" s="23"/>
      <c r="AG1" s="21"/>
      <c r="AH1" s="21"/>
      <c r="AI1" s="21"/>
      <c r="AJ1" s="24"/>
      <c r="AK1" s="21"/>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3"/>
      <c r="CS1" s="33"/>
      <c r="CT1" s="33"/>
      <c r="CU1" s="33"/>
    </row>
    <row r="2" spans="1:100">
      <c r="CS2" s="88"/>
      <c r="CT2" s="88"/>
      <c r="CU2" s="88"/>
      <c r="CV2" s="88"/>
    </row>
    <row r="3" spans="1:100" ht="14.25">
      <c r="C3" s="31" t="s">
        <v>104</v>
      </c>
      <c r="D3" s="208" t="s">
        <v>514</v>
      </c>
      <c r="E3" s="236" t="s">
        <v>527</v>
      </c>
      <c r="F3" s="207" t="s">
        <v>528</v>
      </c>
      <c r="G3" s="209" t="s">
        <v>105</v>
      </c>
      <c r="H3" s="210" t="s">
        <v>515</v>
      </c>
      <c r="I3" s="211" t="s">
        <v>106</v>
      </c>
      <c r="J3" s="210" t="s">
        <v>516</v>
      </c>
      <c r="K3" s="212" t="s">
        <v>107</v>
      </c>
      <c r="L3" s="210" t="s">
        <v>517</v>
      </c>
      <c r="M3" s="213" t="s">
        <v>483</v>
      </c>
      <c r="N3" s="210" t="s">
        <v>518</v>
      </c>
      <c r="O3" s="214" t="s">
        <v>484</v>
      </c>
      <c r="P3" s="207" t="s">
        <v>526</v>
      </c>
      <c r="Q3" s="216" t="s">
        <v>485</v>
      </c>
      <c r="R3" s="207" t="s">
        <v>525</v>
      </c>
      <c r="S3" s="217" t="s">
        <v>489</v>
      </c>
      <c r="T3" s="207" t="s">
        <v>510</v>
      </c>
      <c r="U3" s="218" t="s">
        <v>490</v>
      </c>
      <c r="V3" s="207" t="s">
        <v>511</v>
      </c>
      <c r="W3" s="219" t="s">
        <v>491</v>
      </c>
      <c r="X3" s="207" t="s">
        <v>512</v>
      </c>
      <c r="Y3" s="220" t="s">
        <v>492</v>
      </c>
      <c r="Z3" s="207" t="s">
        <v>513</v>
      </c>
      <c r="AA3" s="207"/>
      <c r="AF3" s="207"/>
      <c r="CS3" s="88"/>
      <c r="CT3" s="88"/>
      <c r="CU3" s="88"/>
    </row>
    <row r="4" spans="1:100" ht="15" thickBot="1">
      <c r="B4" t="s">
        <v>535</v>
      </c>
      <c r="D4" s="43"/>
      <c r="E4" s="43"/>
      <c r="F4" s="43"/>
      <c r="G4" s="43"/>
      <c r="H4" s="43"/>
      <c r="I4" s="43"/>
      <c r="J4" s="43"/>
      <c r="K4" s="43"/>
      <c r="L4" s="43"/>
      <c r="M4" s="43"/>
      <c r="N4" s="43"/>
      <c r="O4" s="43"/>
      <c r="P4" s="43"/>
      <c r="Q4" s="43"/>
      <c r="R4" s="43"/>
      <c r="S4" s="43"/>
      <c r="T4" s="43"/>
      <c r="U4" s="43"/>
      <c r="V4" s="43"/>
      <c r="W4" s="43"/>
      <c r="X4" s="43"/>
      <c r="Y4" s="43"/>
      <c r="Z4" s="43"/>
      <c r="AA4" s="43"/>
      <c r="AF4" s="43"/>
      <c r="CS4" s="88"/>
      <c r="CT4" s="88"/>
      <c r="CU4" s="88"/>
    </row>
    <row r="5" spans="1:100" ht="14.25">
      <c r="C5" s="234" t="s">
        <v>529</v>
      </c>
      <c r="D5" s="221" t="s">
        <v>530</v>
      </c>
      <c r="E5" s="222" t="s">
        <v>35</v>
      </c>
      <c r="F5" s="210" t="s">
        <v>519</v>
      </c>
      <c r="G5" s="223" t="s">
        <v>108</v>
      </c>
      <c r="H5" s="43" t="s">
        <v>520</v>
      </c>
      <c r="I5" s="224" t="s">
        <v>109</v>
      </c>
      <c r="J5" s="207" t="s">
        <v>521</v>
      </c>
      <c r="K5" s="225" t="s">
        <v>486</v>
      </c>
      <c r="L5" s="207" t="s">
        <v>522</v>
      </c>
      <c r="M5" s="226" t="s">
        <v>487</v>
      </c>
      <c r="N5" s="207" t="s">
        <v>523</v>
      </c>
      <c r="O5" s="227" t="s">
        <v>488</v>
      </c>
      <c r="P5" s="228" t="s">
        <v>524</v>
      </c>
      <c r="Q5" s="233" t="s">
        <v>507</v>
      </c>
      <c r="R5" s="207" t="s">
        <v>508</v>
      </c>
      <c r="S5" s="229" t="s">
        <v>496</v>
      </c>
      <c r="T5" s="207" t="s">
        <v>499</v>
      </c>
      <c r="U5" s="230" t="s">
        <v>497</v>
      </c>
      <c r="V5" s="207" t="s">
        <v>500</v>
      </c>
      <c r="W5" s="231" t="s">
        <v>498</v>
      </c>
      <c r="X5" s="207" t="s">
        <v>501</v>
      </c>
      <c r="Y5" s="235" t="s">
        <v>531</v>
      </c>
      <c r="Z5" s="43" t="s">
        <v>532</v>
      </c>
      <c r="AF5" s="43"/>
      <c r="CS5" s="88"/>
      <c r="CT5" s="88"/>
      <c r="CU5" s="88"/>
    </row>
    <row r="6" spans="1:100" ht="14.25">
      <c r="C6" s="349"/>
      <c r="D6" s="385"/>
      <c r="E6" s="351"/>
      <c r="F6" s="352"/>
      <c r="G6" s="353"/>
      <c r="H6" s="354"/>
      <c r="I6" s="355"/>
      <c r="J6" s="207"/>
      <c r="K6" s="355"/>
      <c r="L6" s="207"/>
      <c r="M6" s="355"/>
      <c r="N6" s="207"/>
      <c r="O6" s="355"/>
      <c r="P6" s="228"/>
      <c r="Q6" s="356"/>
      <c r="R6" s="207"/>
      <c r="S6" s="357"/>
      <c r="T6" s="207"/>
      <c r="U6" s="357"/>
      <c r="V6" s="207"/>
      <c r="W6" s="357"/>
      <c r="X6" s="207"/>
      <c r="Y6" s="358"/>
      <c r="Z6" s="43"/>
      <c r="AA6" s="374"/>
      <c r="AF6" s="43"/>
      <c r="CS6" s="88"/>
      <c r="CT6" s="88"/>
      <c r="CU6" s="88"/>
    </row>
    <row r="7" spans="1:100" ht="14.25">
      <c r="C7" s="334" t="s">
        <v>604</v>
      </c>
      <c r="D7" s="335" t="s">
        <v>610</v>
      </c>
      <c r="E7" s="375"/>
      <c r="F7" s="375"/>
      <c r="G7" s="344" t="s">
        <v>620</v>
      </c>
      <c r="H7" s="656" t="s">
        <v>621</v>
      </c>
      <c r="I7" s="658"/>
      <c r="J7" s="374"/>
      <c r="K7" s="394" t="s">
        <v>627</v>
      </c>
      <c r="L7" s="656" t="s">
        <v>628</v>
      </c>
      <c r="M7" s="658"/>
      <c r="N7" s="207"/>
      <c r="O7" s="418" t="s">
        <v>631</v>
      </c>
      <c r="P7" s="656" t="s">
        <v>632</v>
      </c>
      <c r="Q7" s="658"/>
      <c r="R7" s="207"/>
      <c r="S7" s="445" t="s">
        <v>634</v>
      </c>
      <c r="T7" s="43" t="s">
        <v>633</v>
      </c>
      <c r="U7" s="357"/>
      <c r="V7" s="207"/>
      <c r="W7" s="357"/>
      <c r="X7" s="207"/>
      <c r="Y7" s="358"/>
      <c r="Z7" s="43"/>
      <c r="AA7" s="374"/>
      <c r="AF7" s="43"/>
      <c r="CS7" s="88"/>
      <c r="CT7" s="88"/>
      <c r="CU7" s="88"/>
    </row>
    <row r="8" spans="1:100">
      <c r="C8" s="9"/>
      <c r="D8" s="9"/>
      <c r="E8" s="20"/>
      <c r="F8" s="9"/>
      <c r="G8" s="9"/>
      <c r="H8" s="9"/>
      <c r="I8" s="9"/>
      <c r="J8" s="9"/>
      <c r="K8" s="9"/>
      <c r="L8" s="9"/>
      <c r="M8" s="9"/>
      <c r="N8" s="9"/>
      <c r="O8" s="9"/>
      <c r="P8" s="9"/>
      <c r="Q8" s="9"/>
      <c r="R8" s="9"/>
      <c r="T8" s="9"/>
      <c r="U8" s="9"/>
      <c r="V8" s="9"/>
      <c r="W8" s="9"/>
      <c r="X8" s="9"/>
      <c r="Y8" s="9"/>
      <c r="AA8" s="9"/>
      <c r="AB8" s="9"/>
      <c r="AC8" s="9"/>
      <c r="AD8" s="9"/>
      <c r="AE8" s="9"/>
      <c r="AF8" s="9"/>
      <c r="CS8" s="88"/>
      <c r="CT8" s="88"/>
      <c r="CU8" s="88"/>
    </row>
    <row r="9" spans="1:100" ht="15" thickBot="1">
      <c r="A9" s="72">
        <f>DATE(2018,10,1)</f>
        <v>43374</v>
      </c>
      <c r="B9" s="153"/>
      <c r="C9" s="151" t="str">
        <f>TEXT(WEEKDAY(DATE(2018,10,1),1),"[$-40c]aaa")</f>
        <v>1900</v>
      </c>
      <c r="D9" s="25" t="str">
        <f>TEXT(WEEKDAY(DATE(2018,10,2),1),"[$-40c]aaa")</f>
        <v>1900</v>
      </c>
      <c r="E9" s="25" t="str">
        <f>TEXT(WEEKDAY(DATE(2018,10,3),1),"[$-40c]aaa")</f>
        <v>1900</v>
      </c>
      <c r="F9" s="25" t="str">
        <f>TEXT(WEEKDAY(DATE(2018,10,4),1),"[$-40c]aaa")</f>
        <v>1900</v>
      </c>
      <c r="G9" s="25" t="str">
        <f>TEXT(WEEKDAY(DATE(2018,10,5),1),"[$-40c]aaa")</f>
        <v>1900</v>
      </c>
      <c r="H9" s="25" t="str">
        <f>TEXT(WEEKDAY(DATE(2018,10,6),1),"[$-40c]aaa")</f>
        <v>1900</v>
      </c>
      <c r="I9" s="25" t="str">
        <f>TEXT(WEEKDAY(DATE(2018,10,7),1),"[$-40c]aaa")</f>
        <v>1900</v>
      </c>
      <c r="J9" s="25" t="str">
        <f>TEXT(WEEKDAY(DATE(2018,10,8),1),"[$-40c]aaa")</f>
        <v>1900</v>
      </c>
      <c r="K9" s="25" t="str">
        <f>TEXT(WEEKDAY(DATE(2018,10,9),1),"[$-40c]aaa")</f>
        <v>1900</v>
      </c>
      <c r="L9" s="25" t="str">
        <f>TEXT(WEEKDAY(DATE(2018,10,10),1),"[$-40c]aaa")</f>
        <v>1900</v>
      </c>
      <c r="M9" s="25" t="str">
        <f>TEXT(WEEKDAY(DATE(2018,10,11),1),"[$-40c]aaa")</f>
        <v>1900</v>
      </c>
      <c r="N9" s="25" t="str">
        <f>TEXT(WEEKDAY(DATE(2018,10,12),1),"[$-40c]aaa")</f>
        <v>1900</v>
      </c>
      <c r="O9" s="25" t="str">
        <f>TEXT(WEEKDAY(DATE(2018,10,13),1),"[$-40c]aaa")</f>
        <v>1900</v>
      </c>
      <c r="P9" s="25" t="str">
        <f>TEXT(WEEKDAY(DATE(2018,10,14),1),"[$-40c]aaa")</f>
        <v>1900</v>
      </c>
      <c r="Q9" s="25" t="str">
        <f>TEXT(WEEKDAY(DATE(2018,10,15),1),"[$-40c]aaa")</f>
        <v>1900</v>
      </c>
      <c r="R9" s="25" t="str">
        <f>TEXT(WEEKDAY(DATE(2018,10,16),1),"[$-40c]aaa")</f>
        <v>1900</v>
      </c>
      <c r="S9" s="25" t="str">
        <f>TEXT(WEEKDAY(DATE(2018,10,17),1),"[$-40c]aaa")</f>
        <v>1900</v>
      </c>
      <c r="T9" s="25" t="str">
        <f>TEXT(WEEKDAY(DATE(2018,10,18),1),"[$-40c]aaa")</f>
        <v>1900</v>
      </c>
      <c r="U9" s="25" t="str">
        <f>TEXT(WEEKDAY(DATE(2018,10,19),1),"[$-40c]aaa")</f>
        <v>1900</v>
      </c>
      <c r="V9" s="25" t="str">
        <f>TEXT(WEEKDAY(DATE(2018,10,20),1),"[$-40c]aaa")</f>
        <v>1900</v>
      </c>
      <c r="W9" s="25" t="str">
        <f>TEXT(WEEKDAY(DATE(2018,10,21),1),"[$-40c]aaa")</f>
        <v>1900</v>
      </c>
      <c r="X9" s="25" t="str">
        <f>TEXT(WEEKDAY(DATE(2018,10,22),1),"[$-40c]aaa")</f>
        <v>1900</v>
      </c>
      <c r="Y9" s="25" t="str">
        <f>TEXT(WEEKDAY(DATE(2018,10,23),1),"[$-40c]aaa")</f>
        <v>1900</v>
      </c>
      <c r="Z9" s="25" t="str">
        <f>TEXT(WEEKDAY(DATE(2018,10,24),1),"[$-40c]aaa")</f>
        <v>1900</v>
      </c>
      <c r="AA9" s="25" t="str">
        <f>TEXT(WEEKDAY(DATE(2018,10,25),1),"[$-40c]aaa")</f>
        <v>1900</v>
      </c>
      <c r="AB9" s="25" t="str">
        <f>TEXT(WEEKDAY(DATE(2018,10,26),1),"[$-40c]aaa")</f>
        <v>1900</v>
      </c>
      <c r="AC9" s="25" t="str">
        <f>TEXT(WEEKDAY(DATE(2018,8,27),1),"[$-40c]aaa")</f>
        <v>1900</v>
      </c>
      <c r="AD9" s="25" t="str">
        <f>TEXT(WEEKDAY(DATE(2018,10,28),1),"[$-40c]aaa")</f>
        <v>1900</v>
      </c>
      <c r="AE9" s="25" t="str">
        <f>TEXT(WEEKDAY(DATE(2018,10,29),1),"[$-40c]aaa")</f>
        <v>1900</v>
      </c>
      <c r="AF9" s="25" t="str">
        <f>TEXT(WEEKDAY(DATE(2018,10,30),1),"[$-40c]aaa")</f>
        <v>1900</v>
      </c>
      <c r="AG9" s="142" t="str">
        <f>TEXT(WEEKDAY(DATE(2018,10,31),1),"[$-40c]aaa")</f>
        <v>1900</v>
      </c>
      <c r="AH9" s="652" t="s">
        <v>36</v>
      </c>
      <c r="AI9" s="652"/>
      <c r="AJ9" s="652"/>
      <c r="AK9" s="652"/>
      <c r="AL9" s="652"/>
      <c r="AM9" s="652"/>
      <c r="AN9" s="652"/>
      <c r="AO9" s="652"/>
      <c r="AP9" s="652"/>
      <c r="AQ9" s="652"/>
      <c r="AR9" s="652"/>
      <c r="AS9" s="652"/>
      <c r="AT9" s="652"/>
      <c r="AU9" s="652"/>
      <c r="AV9" s="652"/>
      <c r="AW9" s="652"/>
      <c r="AX9" s="652"/>
      <c r="AY9" s="652"/>
      <c r="AZ9" s="652"/>
      <c r="BA9" s="652"/>
      <c r="BB9" s="652"/>
      <c r="BC9" s="652"/>
      <c r="BD9" s="652"/>
      <c r="BE9" s="652"/>
      <c r="BF9" s="652"/>
      <c r="BG9" s="652"/>
      <c r="BH9" s="652"/>
      <c r="BI9" s="652"/>
      <c r="BJ9" s="299"/>
      <c r="BK9" s="251"/>
      <c r="BL9" s="251"/>
      <c r="BM9" s="312"/>
      <c r="BN9" s="251"/>
      <c r="BO9" s="251"/>
      <c r="BP9" s="251"/>
      <c r="BQ9" s="251"/>
      <c r="BR9" s="251"/>
      <c r="BS9" s="251"/>
      <c r="BT9" s="251"/>
      <c r="BU9" s="251"/>
      <c r="BV9" s="251"/>
      <c r="BW9" s="251"/>
      <c r="BX9" s="251" t="s">
        <v>575</v>
      </c>
      <c r="BY9" s="251"/>
      <c r="BZ9" s="251"/>
      <c r="CA9" s="251"/>
      <c r="CB9" s="251"/>
      <c r="CC9" s="251"/>
      <c r="CD9" s="251"/>
      <c r="CE9" s="251"/>
      <c r="CF9" s="251"/>
      <c r="CG9" s="251"/>
      <c r="CH9" s="251"/>
      <c r="CI9" s="251"/>
      <c r="CJ9" s="251"/>
      <c r="CK9" s="251"/>
      <c r="CL9" s="251"/>
      <c r="CM9" s="251"/>
      <c r="CN9" s="251"/>
      <c r="CO9" s="251"/>
      <c r="CP9" s="251"/>
      <c r="CQ9" s="251"/>
      <c r="CR9" s="85"/>
      <c r="CS9" s="247"/>
      <c r="CT9" s="251"/>
      <c r="CU9" s="248"/>
    </row>
    <row r="10" spans="1:100" ht="15.75" thickTop="1" thickBot="1">
      <c r="A10" s="28" t="s">
        <v>33</v>
      </c>
      <c r="B10" s="154" t="s">
        <v>32</v>
      </c>
      <c r="C10" s="3" t="s">
        <v>0</v>
      </c>
      <c r="D10" s="3" t="s">
        <v>1</v>
      </c>
      <c r="E10" s="3" t="s">
        <v>2</v>
      </c>
      <c r="F10" s="3" t="s">
        <v>3</v>
      </c>
      <c r="G10" s="3" t="s">
        <v>4</v>
      </c>
      <c r="H10" s="3" t="s">
        <v>5</v>
      </c>
      <c r="I10" s="3" t="s">
        <v>6</v>
      </c>
      <c r="J10" s="3" t="s">
        <v>7</v>
      </c>
      <c r="K10" s="3" t="s">
        <v>8</v>
      </c>
      <c r="L10" s="3" t="s">
        <v>9</v>
      </c>
      <c r="M10" s="3" t="s">
        <v>10</v>
      </c>
      <c r="N10" s="3" t="s">
        <v>11</v>
      </c>
      <c r="O10" s="3" t="s">
        <v>12</v>
      </c>
      <c r="P10" s="3" t="s">
        <v>13</v>
      </c>
      <c r="Q10" s="3" t="s">
        <v>14</v>
      </c>
      <c r="R10" s="3" t="s">
        <v>15</v>
      </c>
      <c r="S10" s="3" t="s">
        <v>16</v>
      </c>
      <c r="T10" s="3" t="s">
        <v>17</v>
      </c>
      <c r="U10" s="3" t="s">
        <v>18</v>
      </c>
      <c r="V10" s="3" t="s">
        <v>19</v>
      </c>
      <c r="W10" s="3" t="s">
        <v>20</v>
      </c>
      <c r="X10" s="3" t="s">
        <v>21</v>
      </c>
      <c r="Y10" s="3" t="s">
        <v>22</v>
      </c>
      <c r="Z10" s="3" t="s">
        <v>23</v>
      </c>
      <c r="AA10" s="3" t="s">
        <v>24</v>
      </c>
      <c r="AB10" s="3" t="s">
        <v>25</v>
      </c>
      <c r="AC10" s="3" t="s">
        <v>26</v>
      </c>
      <c r="AD10" s="3" t="s">
        <v>27</v>
      </c>
      <c r="AE10" s="3" t="s">
        <v>28</v>
      </c>
      <c r="AF10" s="3" t="s">
        <v>29</v>
      </c>
      <c r="AG10" s="143" t="s">
        <v>30</v>
      </c>
      <c r="AH10" s="55" t="s">
        <v>104</v>
      </c>
      <c r="AI10" s="236" t="s">
        <v>527</v>
      </c>
      <c r="AJ10" s="40" t="s">
        <v>105</v>
      </c>
      <c r="AK10" s="41" t="s">
        <v>106</v>
      </c>
      <c r="AL10" s="42" t="s">
        <v>107</v>
      </c>
      <c r="AM10" s="75" t="s">
        <v>35</v>
      </c>
      <c r="AN10" s="234" t="s">
        <v>529</v>
      </c>
      <c r="AO10" s="76" t="s">
        <v>108</v>
      </c>
      <c r="AP10" s="77" t="s">
        <v>109</v>
      </c>
      <c r="AQ10" s="97" t="s">
        <v>483</v>
      </c>
      <c r="AR10" s="90" t="s">
        <v>484</v>
      </c>
      <c r="AS10" s="95" t="s">
        <v>485</v>
      </c>
      <c r="AT10" s="96" t="s">
        <v>486</v>
      </c>
      <c r="AU10" s="91" t="s">
        <v>487</v>
      </c>
      <c r="AV10" s="129" t="s">
        <v>489</v>
      </c>
      <c r="AW10" s="92" t="s">
        <v>488</v>
      </c>
      <c r="AX10" s="93" t="s">
        <v>490</v>
      </c>
      <c r="AY10" s="94" t="s">
        <v>491</v>
      </c>
      <c r="AZ10" s="111" t="s">
        <v>492</v>
      </c>
      <c r="BA10" s="408" t="s">
        <v>604</v>
      </c>
      <c r="BB10" s="423" t="s">
        <v>620</v>
      </c>
      <c r="BC10" s="395" t="s">
        <v>627</v>
      </c>
      <c r="BD10" s="424" t="s">
        <v>631</v>
      </c>
      <c r="BE10" s="198" t="s">
        <v>507</v>
      </c>
      <c r="BF10" s="235" t="s">
        <v>531</v>
      </c>
      <c r="BG10" s="133" t="s">
        <v>496</v>
      </c>
      <c r="BH10" s="135" t="s">
        <v>497</v>
      </c>
      <c r="BI10" s="137" t="s">
        <v>498</v>
      </c>
      <c r="BJ10" s="313" t="s">
        <v>544</v>
      </c>
      <c r="BK10" s="146" t="s">
        <v>545</v>
      </c>
      <c r="BL10" s="146" t="s">
        <v>546</v>
      </c>
      <c r="BM10" s="146" t="s">
        <v>542</v>
      </c>
      <c r="BN10" s="146" t="s">
        <v>543</v>
      </c>
      <c r="BO10" s="146" t="s">
        <v>547</v>
      </c>
      <c r="BP10" s="146" t="s">
        <v>548</v>
      </c>
      <c r="BQ10" s="146" t="s">
        <v>549</v>
      </c>
      <c r="BR10" s="146" t="s">
        <v>550</v>
      </c>
      <c r="BS10" s="146" t="s">
        <v>551</v>
      </c>
      <c r="BT10" s="146" t="s">
        <v>552</v>
      </c>
      <c r="BU10" s="146" t="s">
        <v>553</v>
      </c>
      <c r="BV10" s="146" t="s">
        <v>574</v>
      </c>
      <c r="BW10" s="146" t="s">
        <v>554</v>
      </c>
      <c r="BX10" s="146" t="s">
        <v>555</v>
      </c>
      <c r="BY10" s="146" t="s">
        <v>556</v>
      </c>
      <c r="BZ10" s="146" t="s">
        <v>558</v>
      </c>
      <c r="CA10" s="146" t="s">
        <v>557</v>
      </c>
      <c r="CB10" s="146" t="s">
        <v>559</v>
      </c>
      <c r="CC10" s="146" t="s">
        <v>560</v>
      </c>
      <c r="CD10" s="146" t="s">
        <v>561</v>
      </c>
      <c r="CE10" s="146" t="s">
        <v>562</v>
      </c>
      <c r="CF10" s="146" t="s">
        <v>563</v>
      </c>
      <c r="CG10" s="146" t="s">
        <v>564</v>
      </c>
      <c r="CH10" s="146" t="s">
        <v>565</v>
      </c>
      <c r="CI10" s="146" t="s">
        <v>566</v>
      </c>
      <c r="CJ10" s="146" t="s">
        <v>567</v>
      </c>
      <c r="CK10" s="146" t="s">
        <v>568</v>
      </c>
      <c r="CL10" s="146" t="s">
        <v>569</v>
      </c>
      <c r="CM10" s="146" t="s">
        <v>570</v>
      </c>
      <c r="CN10" s="146" t="s">
        <v>571</v>
      </c>
      <c r="CO10" s="146" t="s">
        <v>572</v>
      </c>
      <c r="CP10" s="309" t="s">
        <v>573</v>
      </c>
      <c r="CQ10" s="310" t="s">
        <v>611</v>
      </c>
      <c r="CR10" s="160" t="s">
        <v>494</v>
      </c>
      <c r="CS10" s="166" t="s">
        <v>495</v>
      </c>
      <c r="CT10" s="265" t="s">
        <v>538</v>
      </c>
      <c r="CU10" s="167" t="s">
        <v>502</v>
      </c>
    </row>
    <row r="11" spans="1:100" ht="14.25" thickTop="1">
      <c r="A11" s="29"/>
      <c r="B11" s="152"/>
      <c r="C11" s="19"/>
      <c r="D11" s="19"/>
      <c r="E11" s="19"/>
      <c r="F11" s="19"/>
      <c r="G11" s="19"/>
      <c r="H11" s="19"/>
      <c r="I11" s="19"/>
      <c r="J11" s="19"/>
      <c r="K11" s="19"/>
      <c r="L11" s="19"/>
      <c r="M11" s="19"/>
      <c r="N11" s="19"/>
      <c r="O11" s="19"/>
      <c r="P11" s="19"/>
      <c r="Q11" s="19"/>
      <c r="R11" s="19"/>
      <c r="S11" s="19"/>
      <c r="T11" s="19"/>
      <c r="U11" s="19"/>
      <c r="V11" s="19"/>
      <c r="W11" s="19"/>
      <c r="X11" s="19"/>
      <c r="Y11" s="19"/>
      <c r="Z11" s="81"/>
      <c r="AA11" s="19"/>
      <c r="AB11" s="19"/>
      <c r="AC11" s="19"/>
      <c r="AD11" s="19"/>
      <c r="AE11" s="19"/>
      <c r="AF11" s="19"/>
      <c r="AG11" s="144"/>
      <c r="AH11" s="6">
        <f>COUNTIF(ParticipationOctobre1[[#This Row],[1]:[31]],Code1)</f>
        <v>0</v>
      </c>
      <c r="AI11" s="6">
        <f>COUNTIF(ParticipationOctobre1[[#This Row],[1]:[31]],code22)</f>
        <v>0</v>
      </c>
      <c r="AJ11" s="30">
        <f>COUNTIF(ParticipationOctobre1[[#This Row],[1]:[31]],Code2)</f>
        <v>0</v>
      </c>
      <c r="AK11" s="30">
        <f>COUNTIF(ParticipationOctobre1[[#This Row],[1]:[31]],Code3)</f>
        <v>0</v>
      </c>
      <c r="AL11" s="30">
        <f>COUNTIF(ParticipationOctobre1[[#This Row],[1]:[31]],Code4)</f>
        <v>0</v>
      </c>
      <c r="AM11" s="30">
        <f>COUNTIF(ParticipationOctobre1[[#This Row],[1]:[31]],Code5)</f>
        <v>0</v>
      </c>
      <c r="AN11" s="30">
        <f>COUNTIF(ParticipationOctobre1[[#This Row],[1]:[31]],Code23)</f>
        <v>0</v>
      </c>
      <c r="AO11" s="30">
        <f>COUNTIF(ParticipationOctobre1[[#This Row],[1]:[31]],Code6)</f>
        <v>0</v>
      </c>
      <c r="AP11" s="30">
        <f>COUNTIF(ParticipationOctobre1[[#This Row],[1]:[31]],Code7)</f>
        <v>0</v>
      </c>
      <c r="AQ11" s="30">
        <f>COUNTIF(ParticipationOctobre1[[#This Row],[1]:[31]],Code8)</f>
        <v>0</v>
      </c>
      <c r="AR11" s="30">
        <f>COUNTIF(ParticipationOctobre1[[#This Row],[1]:[31]],Code9)</f>
        <v>0</v>
      </c>
      <c r="AS11" s="30">
        <f>COUNTIF(ParticipationOctobre1[[#This Row],[1]:[31]],Code10)</f>
        <v>0</v>
      </c>
      <c r="AT11" s="30">
        <f>COUNTIF(ParticipationOctobre1[[#This Row],[1]:[31]],Code11)</f>
        <v>0</v>
      </c>
      <c r="AU11" s="30">
        <f>COUNTIF(ParticipationOctobre1[[#This Row],[1]:[31]],Code12)</f>
        <v>0</v>
      </c>
      <c r="AV11" s="30">
        <f>COUNTIF(ParticipationOctobre1[[#This Row],[1]:[31]],Code13)</f>
        <v>0</v>
      </c>
      <c r="AW11" s="30">
        <f>COUNTIF(ParticipationOctobre1[[#This Row],[1]:[31]],Code14)</f>
        <v>0</v>
      </c>
      <c r="AX11" s="30">
        <f>COUNTIF(ParticipationOctobre1[[#This Row],[1]:[31]],Code15)</f>
        <v>0</v>
      </c>
      <c r="AY11" s="30">
        <f>COUNTIF(ParticipationOctobre1[[#This Row],[1]:[31]],Code16)</f>
        <v>0</v>
      </c>
      <c r="AZ11" s="30">
        <f>COUNTIF(ParticipationOctobre1[[#This Row],[1]:[31]],Code17)</f>
        <v>0</v>
      </c>
      <c r="BA11" s="30">
        <f>COUNTIF(ParticipationOctobre1[[#This Row],[1]:[31]],Code25)</f>
        <v>0</v>
      </c>
      <c r="BB11" s="30">
        <f>COUNTIF(ParticipationOctobre1[[#This Row],[1]:[31]],Code26)</f>
        <v>0</v>
      </c>
      <c r="BC11" s="30">
        <f>COUNTIF(ParticipationOctobre1[[#This Row],[1]:[31]],Code27)</f>
        <v>0</v>
      </c>
      <c r="BD11" s="30">
        <f>COUNTIF(ParticipationOctobre1[[#This Row],[1]:[31]],Code28)</f>
        <v>0</v>
      </c>
      <c r="BE11" s="30">
        <f>COUNTIF(ParticipationOctobre1[[#This Row],[1]:[31]],code21)</f>
        <v>0</v>
      </c>
      <c r="BF11" s="30">
        <f>COUNTIF(ParticipationOctobre1[[#This Row],[1]:[31]],Code24)</f>
        <v>0</v>
      </c>
      <c r="BG11" s="30">
        <f>COUNTIF(ParticipationOctobre1[[#This Row],[1]:[31]],code18)</f>
        <v>0</v>
      </c>
      <c r="BH11" s="30">
        <f>COUNTIF(ParticipationOctobre1[[#This Row],[1]:[31]],code19)</f>
        <v>0</v>
      </c>
      <c r="BI11" s="164">
        <f>COUNTIF(ParticipationOctobre1[[#This Row],[1]:[31]],Code120)</f>
        <v>0</v>
      </c>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204"/>
      <c r="CQ11" s="245"/>
      <c r="CR11" s="165">
        <f t="shared" ref="CR11:CR34" si="0">SUM((AH11*1)+(AI11*1.5)+(AJ11*2)+(AK11*3)+(AP11*5)+(AQ11*6)+(AR11*7)+(AU11*2)+(AX11*3)+(AY11*4)+(BA11*5)+(BB11*3)+(BC11*2)+(BE11*2)+(AZ11*2)+(BD11*2))</f>
        <v>0</v>
      </c>
      <c r="CS11" s="165">
        <f t="shared" ref="CS11:CS34" si="1">SUM((AN11*1)+(AM11*2)+(AO11*3)+(AP11*4)+(AT11*5)+(AU11*7)+(AV11*7)+(AW11*7)+(AX11*4)+(AY11*3)+(BA11*2)+(BC11*4)+(BB11*1)+(BE11*2)+(AZ11*5)+(BD11*1))</f>
        <v>0</v>
      </c>
      <c r="CT11" s="250">
        <f t="shared" ref="CT11:CT34" si="2">BF11*2</f>
        <v>0</v>
      </c>
      <c r="CU11" s="169">
        <f>SUM((BG11*7)+(BH11*10)+(BI11*12))</f>
        <v>0</v>
      </c>
    </row>
    <row r="12" spans="1:100">
      <c r="A12" s="29"/>
      <c r="B12" s="152" t="str">
        <f>IFERROR(VLOOKUP(ParticipationDecembre1[[#This Row],[Référence]],ListeÉtudiants1[],18,FALSE),"")</f>
        <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44"/>
      <c r="AH12" s="6">
        <f>COUNTIF(ParticipationOctobre1[[#This Row],[1]:[31]],Code1)</f>
        <v>0</v>
      </c>
      <c r="AI12" s="6">
        <f>COUNTIF(ParticipationOctobre1[[#This Row],[1]:[31]],code22)</f>
        <v>0</v>
      </c>
      <c r="AJ12" s="30">
        <f>COUNTIF(ParticipationOctobre1[[#This Row],[1]:[31]],Code2)</f>
        <v>0</v>
      </c>
      <c r="AK12" s="30">
        <f>COUNTIF(ParticipationOctobre1[[#This Row],[1]:[31]],Code3)</f>
        <v>0</v>
      </c>
      <c r="AL12" s="30">
        <f>COUNTIF(ParticipationOctobre1[[#This Row],[1]:[31]],Code4)</f>
        <v>0</v>
      </c>
      <c r="AM12" s="30">
        <f>COUNTIF(ParticipationOctobre1[[#This Row],[1]:[31]],Code5)</f>
        <v>0</v>
      </c>
      <c r="AN12" s="30">
        <f>COUNTIF(ParticipationOctobre1[[#This Row],[1]:[31]],Code23)</f>
        <v>0</v>
      </c>
      <c r="AO12" s="30">
        <f>COUNTIF(ParticipationOctobre1[[#This Row],[1]:[31]],Code6)</f>
        <v>0</v>
      </c>
      <c r="AP12" s="30">
        <f>COUNTIF(ParticipationOctobre1[[#This Row],[1]:[31]],Code7)</f>
        <v>0</v>
      </c>
      <c r="AQ12" s="30">
        <f>COUNTIF(ParticipationOctobre1[[#This Row],[1]:[31]],Code8)</f>
        <v>0</v>
      </c>
      <c r="AR12" s="30">
        <f>COUNTIF(ParticipationOctobre1[[#This Row],[1]:[31]],Code9)</f>
        <v>0</v>
      </c>
      <c r="AS12" s="30">
        <f>COUNTIF(ParticipationOctobre1[[#This Row],[1]:[31]],Code10)</f>
        <v>0</v>
      </c>
      <c r="AT12" s="30">
        <f>COUNTIF(ParticipationOctobre1[[#This Row],[1]:[31]],Code11)</f>
        <v>0</v>
      </c>
      <c r="AU12" s="30">
        <f>COUNTIF(ParticipationOctobre1[[#This Row],[1]:[31]],Code12)</f>
        <v>0</v>
      </c>
      <c r="AV12" s="30">
        <f>COUNTIF(ParticipationOctobre1[[#This Row],[1]:[31]],Code13)</f>
        <v>0</v>
      </c>
      <c r="AW12" s="30">
        <f>COUNTIF(ParticipationOctobre1[[#This Row],[1]:[31]],Code14)</f>
        <v>0</v>
      </c>
      <c r="AX12" s="30">
        <f>COUNTIF(ParticipationOctobre1[[#This Row],[1]:[31]],Code15)</f>
        <v>0</v>
      </c>
      <c r="AY12" s="30">
        <f>COUNTIF(ParticipationOctobre1[[#This Row],[1]:[31]],Code16)</f>
        <v>0</v>
      </c>
      <c r="AZ12" s="30">
        <f>COUNTIF(ParticipationOctobre1[[#This Row],[1]:[31]],Code17)</f>
        <v>0</v>
      </c>
      <c r="BA12" s="30">
        <f>COUNTIF(ParticipationOctobre1[[#This Row],[1]:[31]],Code25)</f>
        <v>0</v>
      </c>
      <c r="BB12" s="30">
        <f>COUNTIF(ParticipationOctobre1[[#This Row],[1]:[31]],Code26)</f>
        <v>0</v>
      </c>
      <c r="BC12" s="30">
        <f>COUNTIF(ParticipationOctobre1[[#This Row],[1]:[31]],Code27)</f>
        <v>0</v>
      </c>
      <c r="BD12" s="30">
        <f>COUNTIF(ParticipationOctobre1[[#This Row],[1]:[31]],Code28)</f>
        <v>0</v>
      </c>
      <c r="BE12" s="30">
        <f>COUNTIF(ParticipationOctobre1[[#This Row],[1]:[31]],code21)</f>
        <v>0</v>
      </c>
      <c r="BF12" s="30">
        <f>COUNTIF(ParticipationOctobre1[[#This Row],[1]:[31]],Code24)</f>
        <v>0</v>
      </c>
      <c r="BG12" s="30">
        <f>COUNTIF(ParticipationOctobre1[[#This Row],[1]:[31]],code18)</f>
        <v>0</v>
      </c>
      <c r="BH12" s="30">
        <f>COUNTIF(ParticipationOctobre1[[#This Row],[1]:[31]],code19)</f>
        <v>0</v>
      </c>
      <c r="BI12" s="164">
        <f>COUNTIF(ParticipationOctobre1[[#This Row],[1]:[31]],Code120)</f>
        <v>0</v>
      </c>
      <c r="BJ12" s="314"/>
      <c r="BK12" s="314"/>
      <c r="BL12" s="314"/>
      <c r="BM12" s="314"/>
      <c r="BN12" s="314"/>
      <c r="BO12" s="314"/>
      <c r="BP12" s="314"/>
      <c r="BQ12" s="314"/>
      <c r="BR12" s="314"/>
      <c r="BS12" s="314"/>
      <c r="BT12" s="314"/>
      <c r="BU12" s="314"/>
      <c r="BV12" s="314"/>
      <c r="BW12" s="314"/>
      <c r="BX12" s="314"/>
      <c r="BY12" s="314"/>
      <c r="BZ12" s="314"/>
      <c r="CA12" s="314"/>
      <c r="CB12" s="314"/>
      <c r="CC12" s="314"/>
      <c r="CD12" s="314"/>
      <c r="CE12" s="314"/>
      <c r="CF12" s="314"/>
      <c r="CG12" s="314"/>
      <c r="CH12" s="314"/>
      <c r="CI12" s="314"/>
      <c r="CJ12" s="314"/>
      <c r="CK12" s="314"/>
      <c r="CL12" s="314"/>
      <c r="CM12" s="314"/>
      <c r="CN12" s="314"/>
      <c r="CO12" s="314"/>
      <c r="CP12" s="314"/>
      <c r="CQ12" s="315"/>
      <c r="CR12" s="165">
        <f t="shared" si="0"/>
        <v>0</v>
      </c>
      <c r="CS12" s="165">
        <f t="shared" si="1"/>
        <v>0</v>
      </c>
      <c r="CT12" s="249">
        <f t="shared" si="2"/>
        <v>0</v>
      </c>
      <c r="CU12" s="170">
        <f t="shared" ref="CU12:CU30" si="3">SUM((BG12*7)+(BH12*10)+(BI12*12))</f>
        <v>0</v>
      </c>
    </row>
    <row r="13" spans="1:100">
      <c r="A13" s="29"/>
      <c r="B13" s="152" t="str">
        <f>IFERROR(VLOOKUP(ParticipationDecembre1[[#This Row],[Référence]],ListeÉtudiants1[],18,FALSE),"")</f>
        <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44"/>
      <c r="AH13" s="6">
        <f>COUNTIF(ParticipationOctobre1[[#This Row],[1]:[31]],Code1)</f>
        <v>0</v>
      </c>
      <c r="AI13" s="6">
        <f>COUNTIF(ParticipationOctobre1[[#This Row],[1]:[31]],code22)</f>
        <v>0</v>
      </c>
      <c r="AJ13" s="30">
        <f>COUNTIF(ParticipationOctobre1[[#This Row],[1]:[31]],Code2)</f>
        <v>0</v>
      </c>
      <c r="AK13" s="30">
        <f>COUNTIF(ParticipationOctobre1[[#This Row],[1]:[31]],Code3)</f>
        <v>0</v>
      </c>
      <c r="AL13" s="30">
        <f>COUNTIF(ParticipationOctobre1[[#This Row],[1]:[31]],Code4)</f>
        <v>0</v>
      </c>
      <c r="AM13" s="30">
        <f>COUNTIF(ParticipationOctobre1[[#This Row],[1]:[31]],Code5)</f>
        <v>0</v>
      </c>
      <c r="AN13" s="30">
        <f>COUNTIF(ParticipationOctobre1[[#This Row],[1]:[31]],Code23)</f>
        <v>0</v>
      </c>
      <c r="AO13" s="30">
        <f>COUNTIF(ParticipationOctobre1[[#This Row],[1]:[31]],Code6)</f>
        <v>0</v>
      </c>
      <c r="AP13" s="30">
        <f>COUNTIF(ParticipationOctobre1[[#This Row],[1]:[31]],Code7)</f>
        <v>0</v>
      </c>
      <c r="AQ13" s="30">
        <f>COUNTIF(ParticipationOctobre1[[#This Row],[1]:[31]],Code8)</f>
        <v>0</v>
      </c>
      <c r="AR13" s="30">
        <f>COUNTIF(ParticipationOctobre1[[#This Row],[1]:[31]],Code9)</f>
        <v>0</v>
      </c>
      <c r="AS13" s="30">
        <f>COUNTIF(ParticipationOctobre1[[#This Row],[1]:[31]],Code10)</f>
        <v>0</v>
      </c>
      <c r="AT13" s="30">
        <f>COUNTIF(ParticipationOctobre1[[#This Row],[1]:[31]],Code11)</f>
        <v>0</v>
      </c>
      <c r="AU13" s="30">
        <f>COUNTIF(ParticipationOctobre1[[#This Row],[1]:[31]],Code12)</f>
        <v>0</v>
      </c>
      <c r="AV13" s="30">
        <f>COUNTIF(ParticipationOctobre1[[#This Row],[1]:[31]],Code13)</f>
        <v>0</v>
      </c>
      <c r="AW13" s="30">
        <f>COUNTIF(ParticipationOctobre1[[#This Row],[1]:[31]],Code14)</f>
        <v>0</v>
      </c>
      <c r="AX13" s="30">
        <f>COUNTIF(ParticipationOctobre1[[#This Row],[1]:[31]],Code15)</f>
        <v>0</v>
      </c>
      <c r="AY13" s="30">
        <f>COUNTIF(ParticipationOctobre1[[#This Row],[1]:[31]],Code16)</f>
        <v>0</v>
      </c>
      <c r="AZ13" s="30">
        <f>COUNTIF(ParticipationOctobre1[[#This Row],[1]:[31]],Code17)</f>
        <v>0</v>
      </c>
      <c r="BA13" s="30">
        <f>COUNTIF(ParticipationOctobre1[[#This Row],[1]:[31]],Code25)</f>
        <v>0</v>
      </c>
      <c r="BB13" s="30">
        <f>COUNTIF(ParticipationOctobre1[[#This Row],[1]:[31]],Code26)</f>
        <v>0</v>
      </c>
      <c r="BC13" s="30">
        <f>COUNTIF(ParticipationOctobre1[[#This Row],[1]:[31]],Code27)</f>
        <v>0</v>
      </c>
      <c r="BD13" s="30">
        <f>COUNTIF(ParticipationOctobre1[[#This Row],[1]:[31]],Code28)</f>
        <v>0</v>
      </c>
      <c r="BE13" s="30">
        <f>COUNTIF(ParticipationOctobre1[[#This Row],[1]:[31]],code21)</f>
        <v>0</v>
      </c>
      <c r="BF13" s="30">
        <f>COUNTIF(ParticipationOctobre1[[#This Row],[1]:[31]],Code24)</f>
        <v>0</v>
      </c>
      <c r="BG13" s="30">
        <f>COUNTIF(ParticipationOctobre1[[#This Row],[1]:[31]],code18)</f>
        <v>0</v>
      </c>
      <c r="BH13" s="30">
        <f>COUNTIF(ParticipationOctobre1[[#This Row],[1]:[31]],code19)</f>
        <v>0</v>
      </c>
      <c r="BI13" s="164">
        <f>COUNTIF(ParticipationOctobre1[[#This Row],[1]:[31]],Code120)</f>
        <v>0</v>
      </c>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164"/>
      <c r="CR13" s="165">
        <f t="shared" si="0"/>
        <v>0</v>
      </c>
      <c r="CS13" s="165">
        <f t="shared" si="1"/>
        <v>0</v>
      </c>
      <c r="CT13" s="249">
        <f t="shared" si="2"/>
        <v>0</v>
      </c>
      <c r="CU13" s="170">
        <f t="shared" si="3"/>
        <v>0</v>
      </c>
    </row>
    <row r="14" spans="1:100">
      <c r="A14" s="29"/>
      <c r="B14" s="152" t="str">
        <f>IFERROR(VLOOKUP(ParticipationDecembre1[[#This Row],[Référence]],ListeÉtudiants1[],18,FALSE),"")</f>
        <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44"/>
      <c r="AH14" s="6">
        <f>COUNTIF(ParticipationOctobre1[[#This Row],[1]:[31]],Code1)</f>
        <v>0</v>
      </c>
      <c r="AI14" s="6">
        <f>COUNTIF(ParticipationOctobre1[[#This Row],[1]:[31]],code22)</f>
        <v>0</v>
      </c>
      <c r="AJ14" s="30">
        <f>COUNTIF(ParticipationOctobre1[[#This Row],[1]:[31]],Code2)</f>
        <v>0</v>
      </c>
      <c r="AK14" s="30">
        <f>COUNTIF(ParticipationOctobre1[[#This Row],[1]:[31]],Code3)</f>
        <v>0</v>
      </c>
      <c r="AL14" s="30">
        <f>COUNTIF(ParticipationOctobre1[[#This Row],[1]:[31]],Code4)</f>
        <v>0</v>
      </c>
      <c r="AM14" s="30">
        <f>COUNTIF(ParticipationOctobre1[[#This Row],[1]:[31]],Code5)</f>
        <v>0</v>
      </c>
      <c r="AN14" s="30">
        <f>COUNTIF(ParticipationOctobre1[[#This Row],[1]:[31]],Code23)</f>
        <v>0</v>
      </c>
      <c r="AO14" s="30">
        <f>COUNTIF(ParticipationOctobre1[[#This Row],[1]:[31]],Code6)</f>
        <v>0</v>
      </c>
      <c r="AP14" s="30">
        <f>COUNTIF(ParticipationOctobre1[[#This Row],[1]:[31]],Code7)</f>
        <v>0</v>
      </c>
      <c r="AQ14" s="30">
        <f>COUNTIF(ParticipationOctobre1[[#This Row],[1]:[31]],Code8)</f>
        <v>0</v>
      </c>
      <c r="AR14" s="30">
        <f>COUNTIF(ParticipationOctobre1[[#This Row],[1]:[31]],Code9)</f>
        <v>0</v>
      </c>
      <c r="AS14" s="30">
        <f>COUNTIF(ParticipationOctobre1[[#This Row],[1]:[31]],Code10)</f>
        <v>0</v>
      </c>
      <c r="AT14" s="30">
        <f>COUNTIF(ParticipationOctobre1[[#This Row],[1]:[31]],Code11)</f>
        <v>0</v>
      </c>
      <c r="AU14" s="30">
        <f>COUNTIF(ParticipationOctobre1[[#This Row],[1]:[31]],Code12)</f>
        <v>0</v>
      </c>
      <c r="AV14" s="30">
        <f>COUNTIF(ParticipationOctobre1[[#This Row],[1]:[31]],Code13)</f>
        <v>0</v>
      </c>
      <c r="AW14" s="30">
        <f>COUNTIF(ParticipationOctobre1[[#This Row],[1]:[31]],Code14)</f>
        <v>0</v>
      </c>
      <c r="AX14" s="30">
        <f>COUNTIF(ParticipationOctobre1[[#This Row],[1]:[31]],Code15)</f>
        <v>0</v>
      </c>
      <c r="AY14" s="30">
        <f>COUNTIF(ParticipationOctobre1[[#This Row],[1]:[31]],Code16)</f>
        <v>0</v>
      </c>
      <c r="AZ14" s="30">
        <f>COUNTIF(ParticipationOctobre1[[#This Row],[1]:[31]],Code17)</f>
        <v>0</v>
      </c>
      <c r="BA14" s="30">
        <f>COUNTIF(ParticipationOctobre1[[#This Row],[1]:[31]],Code25)</f>
        <v>0</v>
      </c>
      <c r="BB14" s="30">
        <f>COUNTIF(ParticipationOctobre1[[#This Row],[1]:[31]],Code26)</f>
        <v>0</v>
      </c>
      <c r="BC14" s="30">
        <f>COUNTIF(ParticipationOctobre1[[#This Row],[1]:[31]],Code27)</f>
        <v>0</v>
      </c>
      <c r="BD14" s="30">
        <f>COUNTIF(ParticipationOctobre1[[#This Row],[1]:[31]],Code28)</f>
        <v>0</v>
      </c>
      <c r="BE14" s="30">
        <f>COUNTIF(ParticipationOctobre1[[#This Row],[1]:[31]],code21)</f>
        <v>0</v>
      </c>
      <c r="BF14" s="30">
        <f>COUNTIF(ParticipationOctobre1[[#This Row],[1]:[31]],Code24)</f>
        <v>0</v>
      </c>
      <c r="BG14" s="30">
        <f>COUNTIF(ParticipationOctobre1[[#This Row],[1]:[31]],code18)</f>
        <v>0</v>
      </c>
      <c r="BH14" s="30">
        <f>COUNTIF(ParticipationOctobre1[[#This Row],[1]:[31]],code19)</f>
        <v>0</v>
      </c>
      <c r="BI14" s="164">
        <f>COUNTIF(ParticipationOctobre1[[#This Row],[1]:[31]],Code120)</f>
        <v>0</v>
      </c>
      <c r="BJ14" s="314"/>
      <c r="BK14" s="314"/>
      <c r="BL14" s="314"/>
      <c r="BM14" s="314"/>
      <c r="BN14" s="314"/>
      <c r="BO14" s="314"/>
      <c r="BP14" s="314"/>
      <c r="BQ14" s="314"/>
      <c r="BR14" s="314"/>
      <c r="BS14" s="314"/>
      <c r="BT14" s="314"/>
      <c r="BU14" s="314"/>
      <c r="BV14" s="314"/>
      <c r="BW14" s="314"/>
      <c r="BX14" s="314"/>
      <c r="BY14" s="314"/>
      <c r="BZ14" s="314"/>
      <c r="CA14" s="314"/>
      <c r="CB14" s="314"/>
      <c r="CC14" s="314"/>
      <c r="CD14" s="314"/>
      <c r="CE14" s="314"/>
      <c r="CF14" s="314"/>
      <c r="CG14" s="314"/>
      <c r="CH14" s="314"/>
      <c r="CI14" s="314"/>
      <c r="CJ14" s="314"/>
      <c r="CK14" s="314"/>
      <c r="CL14" s="314"/>
      <c r="CM14" s="314"/>
      <c r="CN14" s="314"/>
      <c r="CO14" s="314"/>
      <c r="CP14" s="314"/>
      <c r="CQ14" s="315"/>
      <c r="CR14" s="165">
        <f t="shared" si="0"/>
        <v>0</v>
      </c>
      <c r="CS14" s="165">
        <f t="shared" si="1"/>
        <v>0</v>
      </c>
      <c r="CT14" s="249">
        <f t="shared" si="2"/>
        <v>0</v>
      </c>
      <c r="CU14" s="170">
        <f t="shared" si="3"/>
        <v>0</v>
      </c>
    </row>
    <row r="15" spans="1:100">
      <c r="A15" s="29"/>
      <c r="B15" s="162" t="str">
        <f>IFERROR(VLOOKUP(ParticipationDecembre1[[#This Row],[Référence]],ListeÉtudiants1[],18,FALSE),"")</f>
        <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44"/>
      <c r="AH15" s="6">
        <f>COUNTIF(ParticipationOctobre1[[#This Row],[1]:[31]],Code1)</f>
        <v>0</v>
      </c>
      <c r="AI15" s="6">
        <f>COUNTIF(ParticipationOctobre1[[#This Row],[1]:[31]],code22)</f>
        <v>0</v>
      </c>
      <c r="AJ15" s="30">
        <f>COUNTIF(ParticipationOctobre1[[#This Row],[1]:[31]],Code2)</f>
        <v>0</v>
      </c>
      <c r="AK15" s="30">
        <f>COUNTIF(ParticipationOctobre1[[#This Row],[1]:[31]],Code3)</f>
        <v>0</v>
      </c>
      <c r="AL15" s="30">
        <f>COUNTIF(ParticipationOctobre1[[#This Row],[1]:[31]],Code4)</f>
        <v>0</v>
      </c>
      <c r="AM15" s="84">
        <f>COUNTIF(ParticipationOctobre1[[#This Row],[1]:[31]],Code5)</f>
        <v>0</v>
      </c>
      <c r="AN15" s="30">
        <f>COUNTIF(ParticipationOctobre1[[#This Row],[1]:[31]],Code23)</f>
        <v>0</v>
      </c>
      <c r="AO15" s="84">
        <f>COUNTIF(ParticipationOctobre1[[#This Row],[1]:[31]],Code6)</f>
        <v>0</v>
      </c>
      <c r="AP15" s="84">
        <f>COUNTIF(ParticipationOctobre1[[#This Row],[1]:[31]],Code7)</f>
        <v>0</v>
      </c>
      <c r="AQ15" s="30">
        <f>COUNTIF(ParticipationOctobre1[[#This Row],[1]:[31]],Code8)</f>
        <v>0</v>
      </c>
      <c r="AR15" s="30">
        <f>COUNTIF(ParticipationOctobre1[[#This Row],[1]:[31]],Code9)</f>
        <v>0</v>
      </c>
      <c r="AS15" s="30">
        <f>COUNTIF(ParticipationOctobre1[[#This Row],[1]:[31]],Code10)</f>
        <v>0</v>
      </c>
      <c r="AT15" s="30">
        <f>COUNTIF(ParticipationOctobre1[[#This Row],[1]:[31]],Code11)</f>
        <v>0</v>
      </c>
      <c r="AU15" s="30">
        <f>COUNTIF(ParticipationOctobre1[[#This Row],[1]:[31]],Code12)</f>
        <v>0</v>
      </c>
      <c r="AV15" s="30">
        <f>COUNTIF(ParticipationOctobre1[[#This Row],[1]:[31]],Code13)</f>
        <v>0</v>
      </c>
      <c r="AW15" s="30">
        <f>COUNTIF(ParticipationOctobre1[[#This Row],[1]:[31]],Code14)</f>
        <v>0</v>
      </c>
      <c r="AX15" s="30">
        <f>COUNTIF(ParticipationOctobre1[[#This Row],[1]:[31]],Code15)</f>
        <v>0</v>
      </c>
      <c r="AY15" s="30">
        <f>COUNTIF(ParticipationOctobre1[[#This Row],[1]:[31]],Code16)</f>
        <v>0</v>
      </c>
      <c r="AZ15" s="30">
        <f>COUNTIF(ParticipationOctobre1[[#This Row],[1]:[31]],Code17)</f>
        <v>0</v>
      </c>
      <c r="BA15" s="30">
        <f>COUNTIF(ParticipationOctobre1[[#This Row],[1]:[31]],Code25)</f>
        <v>0</v>
      </c>
      <c r="BB15" s="30">
        <f>COUNTIF(ParticipationOctobre1[[#This Row],[1]:[31]],Code26)</f>
        <v>0</v>
      </c>
      <c r="BC15" s="30">
        <f>COUNTIF(ParticipationOctobre1[[#This Row],[1]:[31]],Code27)</f>
        <v>0</v>
      </c>
      <c r="BD15" s="30">
        <f>COUNTIF(ParticipationOctobre1[[#This Row],[1]:[31]],Code28)</f>
        <v>0</v>
      </c>
      <c r="BE15" s="30">
        <f>COUNTIF(ParticipationOctobre1[[#This Row],[1]:[31]],code21)</f>
        <v>0</v>
      </c>
      <c r="BF15" s="30">
        <f>COUNTIF(ParticipationOctobre1[[#This Row],[1]:[31]],Code24)</f>
        <v>0</v>
      </c>
      <c r="BG15" s="30">
        <f>COUNTIF(ParticipationOctobre1[[#This Row],[1]:[31]],code18)</f>
        <v>0</v>
      </c>
      <c r="BH15" s="30">
        <f>COUNTIF(ParticipationOctobre1[[#This Row],[1]:[31]],code19)</f>
        <v>0</v>
      </c>
      <c r="BI15" s="164">
        <f>COUNTIF(ParticipationOctobre1[[#This Row],[1]:[31]],Code120)</f>
        <v>0</v>
      </c>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164"/>
      <c r="CR15" s="165">
        <f t="shared" si="0"/>
        <v>0</v>
      </c>
      <c r="CS15" s="165">
        <f t="shared" si="1"/>
        <v>0</v>
      </c>
      <c r="CT15" s="249">
        <f t="shared" si="2"/>
        <v>0</v>
      </c>
      <c r="CU15" s="170">
        <f t="shared" si="3"/>
        <v>0</v>
      </c>
    </row>
    <row r="16" spans="1:100">
      <c r="A16" s="29"/>
      <c r="B16" s="162" t="str">
        <f>IFERROR(VLOOKUP(ParticipationDecembre1[[#This Row],[Référence]],ListeÉtudiants1[],18,FALSE),"")</f>
        <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44"/>
      <c r="AH16" s="6">
        <f>COUNTIF(ParticipationOctobre1[[#This Row],[1]:[31]],Code1)</f>
        <v>0</v>
      </c>
      <c r="AI16" s="6">
        <f>COUNTIF(ParticipationOctobre1[[#This Row],[1]:[31]],code22)</f>
        <v>0</v>
      </c>
      <c r="AJ16" s="30">
        <f>COUNTIF(ParticipationOctobre1[[#This Row],[1]:[31]],Code2)</f>
        <v>0</v>
      </c>
      <c r="AK16" s="30">
        <f>COUNTIF(ParticipationOctobre1[[#This Row],[1]:[31]],Code3)</f>
        <v>0</v>
      </c>
      <c r="AL16" s="30">
        <f>COUNTIF(ParticipationOctobre1[[#This Row],[1]:[31]],Code4)</f>
        <v>0</v>
      </c>
      <c r="AM16" s="84">
        <f>COUNTIF(ParticipationOctobre1[[#This Row],[1]:[31]],Code5)</f>
        <v>0</v>
      </c>
      <c r="AN16" s="30">
        <f>COUNTIF(ParticipationOctobre1[[#This Row],[1]:[31]],Code23)</f>
        <v>0</v>
      </c>
      <c r="AO16" s="84">
        <f>COUNTIF(ParticipationOctobre1[[#This Row],[1]:[31]],Code6)</f>
        <v>0</v>
      </c>
      <c r="AP16" s="84">
        <f>COUNTIF(ParticipationOctobre1[[#This Row],[1]:[31]],Code7)</f>
        <v>0</v>
      </c>
      <c r="AQ16" s="30">
        <f>COUNTIF(ParticipationOctobre1[[#This Row],[1]:[31]],Code8)</f>
        <v>0</v>
      </c>
      <c r="AR16" s="30">
        <f>COUNTIF(ParticipationOctobre1[[#This Row],[1]:[31]],Code9)</f>
        <v>0</v>
      </c>
      <c r="AS16" s="30">
        <f>COUNTIF(ParticipationOctobre1[[#This Row],[1]:[31]],Code10)</f>
        <v>0</v>
      </c>
      <c r="AT16" s="30">
        <f>COUNTIF(ParticipationOctobre1[[#This Row],[1]:[31]],Code11)</f>
        <v>0</v>
      </c>
      <c r="AU16" s="30">
        <f>COUNTIF(ParticipationOctobre1[[#This Row],[1]:[31]],Code12)</f>
        <v>0</v>
      </c>
      <c r="AV16" s="30">
        <f>COUNTIF(ParticipationOctobre1[[#This Row],[1]:[31]],Code13)</f>
        <v>0</v>
      </c>
      <c r="AW16" s="30">
        <f>COUNTIF(ParticipationOctobre1[[#This Row],[1]:[31]],Code14)</f>
        <v>0</v>
      </c>
      <c r="AX16" s="30">
        <f>COUNTIF(ParticipationOctobre1[[#This Row],[1]:[31]],Code15)</f>
        <v>0</v>
      </c>
      <c r="AY16" s="30">
        <f>COUNTIF(ParticipationOctobre1[[#This Row],[1]:[31]],Code16)</f>
        <v>0</v>
      </c>
      <c r="AZ16" s="30">
        <f>COUNTIF(ParticipationOctobre1[[#This Row],[1]:[31]],Code17)</f>
        <v>0</v>
      </c>
      <c r="BA16" s="30">
        <f>COUNTIF(ParticipationOctobre1[[#This Row],[1]:[31]],Code25)</f>
        <v>0</v>
      </c>
      <c r="BB16" s="30">
        <f>COUNTIF(ParticipationOctobre1[[#This Row],[1]:[31]],Code26)</f>
        <v>0</v>
      </c>
      <c r="BC16" s="30">
        <f>COUNTIF(ParticipationOctobre1[[#This Row],[1]:[31]],Code27)</f>
        <v>0</v>
      </c>
      <c r="BD16" s="30">
        <f>COUNTIF(ParticipationOctobre1[[#This Row],[1]:[31]],Code28)</f>
        <v>0</v>
      </c>
      <c r="BE16" s="30">
        <f>COUNTIF(ParticipationOctobre1[[#This Row],[1]:[31]],code21)</f>
        <v>0</v>
      </c>
      <c r="BF16" s="30">
        <f>COUNTIF(ParticipationOctobre1[[#This Row],[1]:[31]],Code24)</f>
        <v>0</v>
      </c>
      <c r="BG16" s="30">
        <f>COUNTIF(ParticipationOctobre1[[#This Row],[1]:[31]],code18)</f>
        <v>0</v>
      </c>
      <c r="BH16" s="30">
        <f>COUNTIF(ParticipationOctobre1[[#This Row],[1]:[31]],code19)</f>
        <v>0</v>
      </c>
      <c r="BI16" s="164">
        <f>COUNTIF(ParticipationOctobre1[[#This Row],[1]:[31]],Code120)</f>
        <v>0</v>
      </c>
      <c r="BJ16" s="314"/>
      <c r="BK16" s="314"/>
      <c r="BL16" s="314"/>
      <c r="BM16" s="314"/>
      <c r="BN16" s="314"/>
      <c r="BO16" s="314"/>
      <c r="BP16" s="314"/>
      <c r="BQ16" s="314"/>
      <c r="BR16" s="314"/>
      <c r="BS16" s="314"/>
      <c r="BT16" s="314"/>
      <c r="BU16" s="314"/>
      <c r="BV16" s="314"/>
      <c r="BW16" s="314"/>
      <c r="BX16" s="314"/>
      <c r="BY16" s="314"/>
      <c r="BZ16" s="314"/>
      <c r="CA16" s="314"/>
      <c r="CB16" s="314"/>
      <c r="CC16" s="314"/>
      <c r="CD16" s="314"/>
      <c r="CE16" s="314"/>
      <c r="CF16" s="314"/>
      <c r="CG16" s="314"/>
      <c r="CH16" s="314"/>
      <c r="CI16" s="314"/>
      <c r="CJ16" s="314"/>
      <c r="CK16" s="314"/>
      <c r="CL16" s="314"/>
      <c r="CM16" s="314"/>
      <c r="CN16" s="314"/>
      <c r="CO16" s="314"/>
      <c r="CP16" s="314"/>
      <c r="CQ16" s="315"/>
      <c r="CR16" s="165">
        <f t="shared" si="0"/>
        <v>0</v>
      </c>
      <c r="CS16" s="165">
        <f t="shared" si="1"/>
        <v>0</v>
      </c>
      <c r="CT16" s="249">
        <f t="shared" si="2"/>
        <v>0</v>
      </c>
      <c r="CU16" s="170">
        <f t="shared" si="3"/>
        <v>0</v>
      </c>
    </row>
    <row r="17" spans="1:99">
      <c r="A17" s="29"/>
      <c r="B17" s="162" t="str">
        <f>IFERROR(VLOOKUP(ParticipationDecembre1[[#This Row],[Référence]],ListeÉtudiants1[],18,FALSE),"")</f>
        <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44"/>
      <c r="AH17" s="6">
        <f>COUNTIF(ParticipationOctobre1[[#This Row],[1]:[31]],Code1)</f>
        <v>0</v>
      </c>
      <c r="AI17" s="6">
        <f>COUNTIF(ParticipationOctobre1[[#This Row],[1]:[31]],code22)</f>
        <v>0</v>
      </c>
      <c r="AJ17" s="30">
        <f>COUNTIF(ParticipationOctobre1[[#This Row],[1]:[31]],Code2)</f>
        <v>0</v>
      </c>
      <c r="AK17" s="30">
        <f>COUNTIF(ParticipationOctobre1[[#This Row],[1]:[31]],Code3)</f>
        <v>0</v>
      </c>
      <c r="AL17" s="30">
        <f>COUNTIF(ParticipationOctobre1[[#This Row],[1]:[31]],Code4)</f>
        <v>0</v>
      </c>
      <c r="AM17" s="84">
        <f>COUNTIF(ParticipationOctobre1[[#This Row],[1]:[31]],Code5)</f>
        <v>0</v>
      </c>
      <c r="AN17" s="30">
        <f>COUNTIF(ParticipationOctobre1[[#This Row],[1]:[31]],Code23)</f>
        <v>0</v>
      </c>
      <c r="AO17" s="84">
        <f>COUNTIF(ParticipationOctobre1[[#This Row],[1]:[31]],Code6)</f>
        <v>0</v>
      </c>
      <c r="AP17" s="84">
        <f>COUNTIF(ParticipationOctobre1[[#This Row],[1]:[31]],Code7)</f>
        <v>0</v>
      </c>
      <c r="AQ17" s="30">
        <f>COUNTIF(ParticipationOctobre1[[#This Row],[1]:[31]],Code8)</f>
        <v>0</v>
      </c>
      <c r="AR17" s="30">
        <f>COUNTIF(ParticipationOctobre1[[#This Row],[1]:[31]],Code9)</f>
        <v>0</v>
      </c>
      <c r="AS17" s="30">
        <f>COUNTIF(ParticipationOctobre1[[#This Row],[1]:[31]],Code10)</f>
        <v>0</v>
      </c>
      <c r="AT17" s="30">
        <f>COUNTIF(ParticipationOctobre1[[#This Row],[1]:[31]],Code11)</f>
        <v>0</v>
      </c>
      <c r="AU17" s="30">
        <f>COUNTIF(ParticipationOctobre1[[#This Row],[1]:[31]],Code12)</f>
        <v>0</v>
      </c>
      <c r="AV17" s="30">
        <f>COUNTIF(ParticipationOctobre1[[#This Row],[1]:[31]],Code13)</f>
        <v>0</v>
      </c>
      <c r="AW17" s="30">
        <f>COUNTIF(ParticipationOctobre1[[#This Row],[1]:[31]],Code14)</f>
        <v>0</v>
      </c>
      <c r="AX17" s="30">
        <f>COUNTIF(ParticipationOctobre1[[#This Row],[1]:[31]],Code15)</f>
        <v>0</v>
      </c>
      <c r="AY17" s="30">
        <f>COUNTIF(ParticipationOctobre1[[#This Row],[1]:[31]],Code16)</f>
        <v>0</v>
      </c>
      <c r="AZ17" s="30">
        <f>COUNTIF(ParticipationOctobre1[[#This Row],[1]:[31]],Code17)</f>
        <v>0</v>
      </c>
      <c r="BA17" s="30">
        <f>COUNTIF(ParticipationOctobre1[[#This Row],[1]:[31]],Code25)</f>
        <v>0</v>
      </c>
      <c r="BB17" s="30">
        <f>COUNTIF(ParticipationOctobre1[[#This Row],[1]:[31]],Code26)</f>
        <v>0</v>
      </c>
      <c r="BC17" s="30">
        <f>COUNTIF(ParticipationOctobre1[[#This Row],[1]:[31]],Code27)</f>
        <v>0</v>
      </c>
      <c r="BD17" s="30">
        <f>COUNTIF(ParticipationOctobre1[[#This Row],[1]:[31]],Code28)</f>
        <v>0</v>
      </c>
      <c r="BE17" s="30">
        <f>COUNTIF(ParticipationOctobre1[[#This Row],[1]:[31]],code21)</f>
        <v>0</v>
      </c>
      <c r="BF17" s="30">
        <f>COUNTIF(ParticipationOctobre1[[#This Row],[1]:[31]],Code24)</f>
        <v>0</v>
      </c>
      <c r="BG17" s="30">
        <f>COUNTIF(ParticipationOctobre1[[#This Row],[1]:[31]],code18)</f>
        <v>0</v>
      </c>
      <c r="BH17" s="30">
        <f>COUNTIF(ParticipationOctobre1[[#This Row],[1]:[31]],code19)</f>
        <v>0</v>
      </c>
      <c r="BI17" s="164">
        <f>COUNTIF(ParticipationOctobre1[[#This Row],[1]:[31]],Code120)</f>
        <v>0</v>
      </c>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164"/>
      <c r="CR17" s="165">
        <f t="shared" si="0"/>
        <v>0</v>
      </c>
      <c r="CS17" s="165">
        <f t="shared" si="1"/>
        <v>0</v>
      </c>
      <c r="CT17" s="249">
        <f t="shared" si="2"/>
        <v>0</v>
      </c>
      <c r="CU17" s="170">
        <f t="shared" si="3"/>
        <v>0</v>
      </c>
    </row>
    <row r="18" spans="1:99">
      <c r="A18" s="29"/>
      <c r="B18" s="162" t="str">
        <f>IFERROR(VLOOKUP(ParticipationDecembre1[[#This Row],[Référence]],ListeÉtudiants1[],18,FALSE),"")</f>
        <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44"/>
      <c r="AH18" s="6">
        <f>COUNTIF(ParticipationOctobre1[[#This Row],[1]:[31]],Code1)</f>
        <v>0</v>
      </c>
      <c r="AI18" s="6">
        <f>COUNTIF(ParticipationOctobre1[[#This Row],[1]:[31]],code22)</f>
        <v>0</v>
      </c>
      <c r="AJ18" s="30">
        <f>COUNTIF(ParticipationOctobre1[[#This Row],[1]:[31]],Code2)</f>
        <v>0</v>
      </c>
      <c r="AK18" s="30">
        <f>COUNTIF(ParticipationOctobre1[[#This Row],[1]:[31]],Code3)</f>
        <v>0</v>
      </c>
      <c r="AL18" s="30">
        <f>COUNTIF(ParticipationOctobre1[[#This Row],[1]:[31]],Code4)</f>
        <v>0</v>
      </c>
      <c r="AM18" s="84">
        <f>COUNTIF(ParticipationOctobre1[[#This Row],[1]:[31]],Code5)</f>
        <v>0</v>
      </c>
      <c r="AN18" s="30">
        <f>COUNTIF(ParticipationOctobre1[[#This Row],[1]:[31]],Code23)</f>
        <v>0</v>
      </c>
      <c r="AO18" s="84">
        <f>COUNTIF(ParticipationOctobre1[[#This Row],[1]:[31]],Code6)</f>
        <v>0</v>
      </c>
      <c r="AP18" s="84">
        <f>COUNTIF(ParticipationOctobre1[[#This Row],[1]:[31]],Code7)</f>
        <v>0</v>
      </c>
      <c r="AQ18" s="30">
        <f>COUNTIF(ParticipationOctobre1[[#This Row],[1]:[31]],Code8)</f>
        <v>0</v>
      </c>
      <c r="AR18" s="30">
        <f>COUNTIF(ParticipationOctobre1[[#This Row],[1]:[31]],Code9)</f>
        <v>0</v>
      </c>
      <c r="AS18" s="30">
        <f>COUNTIF(ParticipationOctobre1[[#This Row],[1]:[31]],Code10)</f>
        <v>0</v>
      </c>
      <c r="AT18" s="30">
        <f>COUNTIF(ParticipationOctobre1[[#This Row],[1]:[31]],Code11)</f>
        <v>0</v>
      </c>
      <c r="AU18" s="30">
        <f>COUNTIF(ParticipationOctobre1[[#This Row],[1]:[31]],Code12)</f>
        <v>0</v>
      </c>
      <c r="AV18" s="30">
        <f>COUNTIF(ParticipationOctobre1[[#This Row],[1]:[31]],Code13)</f>
        <v>0</v>
      </c>
      <c r="AW18" s="30">
        <f>COUNTIF(ParticipationOctobre1[[#This Row],[1]:[31]],Code14)</f>
        <v>0</v>
      </c>
      <c r="AX18" s="30">
        <f>COUNTIF(ParticipationOctobre1[[#This Row],[1]:[31]],Code15)</f>
        <v>0</v>
      </c>
      <c r="AY18" s="30">
        <f>COUNTIF(ParticipationOctobre1[[#This Row],[1]:[31]],Code16)</f>
        <v>0</v>
      </c>
      <c r="AZ18" s="30">
        <f>COUNTIF(ParticipationOctobre1[[#This Row],[1]:[31]],Code17)</f>
        <v>0</v>
      </c>
      <c r="BA18" s="30">
        <f>COUNTIF(ParticipationOctobre1[[#This Row],[1]:[31]],Code25)</f>
        <v>0</v>
      </c>
      <c r="BB18" s="30">
        <f>COUNTIF(ParticipationOctobre1[[#This Row],[1]:[31]],Code26)</f>
        <v>0</v>
      </c>
      <c r="BC18" s="30">
        <f>COUNTIF(ParticipationOctobre1[[#This Row],[1]:[31]],Code27)</f>
        <v>0</v>
      </c>
      <c r="BD18" s="30">
        <f>COUNTIF(ParticipationOctobre1[[#This Row],[1]:[31]],Code28)</f>
        <v>0</v>
      </c>
      <c r="BE18" s="30">
        <f>COUNTIF(ParticipationOctobre1[[#This Row],[1]:[31]],code21)</f>
        <v>0</v>
      </c>
      <c r="BF18" s="30">
        <f>COUNTIF(ParticipationOctobre1[[#This Row],[1]:[31]],Code24)</f>
        <v>0</v>
      </c>
      <c r="BG18" s="30">
        <f>COUNTIF(ParticipationOctobre1[[#This Row],[1]:[31]],code18)</f>
        <v>0</v>
      </c>
      <c r="BH18" s="30">
        <f>COUNTIF(ParticipationOctobre1[[#This Row],[1]:[31]],code19)</f>
        <v>0</v>
      </c>
      <c r="BI18" s="164">
        <f>COUNTIF(ParticipationOctobre1[[#This Row],[1]:[31]],Code120)</f>
        <v>0</v>
      </c>
      <c r="BJ18" s="314"/>
      <c r="BK18" s="314"/>
      <c r="BL18" s="314"/>
      <c r="BM18" s="314"/>
      <c r="BN18" s="314"/>
      <c r="BO18" s="314"/>
      <c r="BP18" s="314"/>
      <c r="BQ18" s="314"/>
      <c r="BR18" s="314"/>
      <c r="BS18" s="314"/>
      <c r="BT18" s="314"/>
      <c r="BU18" s="314"/>
      <c r="BV18" s="314"/>
      <c r="BW18" s="314"/>
      <c r="BX18" s="314"/>
      <c r="BY18" s="314"/>
      <c r="BZ18" s="314"/>
      <c r="CA18" s="314"/>
      <c r="CB18" s="314"/>
      <c r="CC18" s="314"/>
      <c r="CD18" s="314"/>
      <c r="CE18" s="314"/>
      <c r="CF18" s="314"/>
      <c r="CG18" s="314"/>
      <c r="CH18" s="314"/>
      <c r="CI18" s="314"/>
      <c r="CJ18" s="314"/>
      <c r="CK18" s="314"/>
      <c r="CL18" s="314"/>
      <c r="CM18" s="314"/>
      <c r="CN18" s="314"/>
      <c r="CO18" s="314"/>
      <c r="CP18" s="314"/>
      <c r="CQ18" s="315"/>
      <c r="CR18" s="165">
        <f t="shared" si="0"/>
        <v>0</v>
      </c>
      <c r="CS18" s="165">
        <f t="shared" si="1"/>
        <v>0</v>
      </c>
      <c r="CT18" s="249">
        <f t="shared" si="2"/>
        <v>0</v>
      </c>
      <c r="CU18" s="170">
        <f t="shared" si="3"/>
        <v>0</v>
      </c>
    </row>
    <row r="19" spans="1:99">
      <c r="A19" s="29"/>
      <c r="B19" s="162" t="str">
        <f>IFERROR(VLOOKUP(ParticipationDecembre1[[#This Row],[Référence]],ListeÉtudiants1[],18,FALSE),"")</f>
        <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44"/>
      <c r="AH19" s="6">
        <f>COUNTIF(ParticipationOctobre1[[#This Row],[1]:[31]],Code1)</f>
        <v>0</v>
      </c>
      <c r="AI19" s="6">
        <f>COUNTIF(ParticipationOctobre1[[#This Row],[1]:[31]],code22)</f>
        <v>0</v>
      </c>
      <c r="AJ19" s="30">
        <f>COUNTIF(ParticipationOctobre1[[#This Row],[1]:[31]],Code2)</f>
        <v>0</v>
      </c>
      <c r="AK19" s="30">
        <f>COUNTIF(ParticipationOctobre1[[#This Row],[1]:[31]],Code3)</f>
        <v>0</v>
      </c>
      <c r="AL19" s="30">
        <f>COUNTIF(ParticipationOctobre1[[#This Row],[1]:[31]],Code4)</f>
        <v>0</v>
      </c>
      <c r="AM19" s="84">
        <f>COUNTIF(ParticipationOctobre1[[#This Row],[1]:[31]],Code5)</f>
        <v>0</v>
      </c>
      <c r="AN19" s="30">
        <f>COUNTIF(ParticipationOctobre1[[#This Row],[1]:[31]],Code23)</f>
        <v>0</v>
      </c>
      <c r="AO19" s="84">
        <f>COUNTIF(ParticipationOctobre1[[#This Row],[1]:[31]],Code6)</f>
        <v>0</v>
      </c>
      <c r="AP19" s="84">
        <f>COUNTIF(ParticipationOctobre1[[#This Row],[1]:[31]],Code7)</f>
        <v>0</v>
      </c>
      <c r="AQ19" s="30">
        <f>COUNTIF(ParticipationOctobre1[[#This Row],[1]:[31]],Code8)</f>
        <v>0</v>
      </c>
      <c r="AR19" s="30">
        <f>COUNTIF(ParticipationOctobre1[[#This Row],[1]:[31]],Code9)</f>
        <v>0</v>
      </c>
      <c r="AS19" s="30">
        <f>COUNTIF(ParticipationOctobre1[[#This Row],[1]:[31]],Code10)</f>
        <v>0</v>
      </c>
      <c r="AT19" s="30">
        <f>COUNTIF(ParticipationOctobre1[[#This Row],[1]:[31]],Code11)</f>
        <v>0</v>
      </c>
      <c r="AU19" s="30">
        <f>COUNTIF(ParticipationOctobre1[[#This Row],[1]:[31]],Code12)</f>
        <v>0</v>
      </c>
      <c r="AV19" s="30">
        <f>COUNTIF(ParticipationOctobre1[[#This Row],[1]:[31]],Code13)</f>
        <v>0</v>
      </c>
      <c r="AW19" s="30">
        <f>COUNTIF(ParticipationOctobre1[[#This Row],[1]:[31]],Code14)</f>
        <v>0</v>
      </c>
      <c r="AX19" s="30">
        <f>COUNTIF(ParticipationOctobre1[[#This Row],[1]:[31]],Code15)</f>
        <v>0</v>
      </c>
      <c r="AY19" s="30">
        <f>COUNTIF(ParticipationOctobre1[[#This Row],[1]:[31]],Code16)</f>
        <v>0</v>
      </c>
      <c r="AZ19" s="30">
        <f>COUNTIF(ParticipationOctobre1[[#This Row],[1]:[31]],Code17)</f>
        <v>0</v>
      </c>
      <c r="BA19" s="30">
        <f>COUNTIF(ParticipationOctobre1[[#This Row],[1]:[31]],Code25)</f>
        <v>0</v>
      </c>
      <c r="BB19" s="30">
        <f>COUNTIF(ParticipationOctobre1[[#This Row],[1]:[31]],Code26)</f>
        <v>0</v>
      </c>
      <c r="BC19" s="30">
        <f>COUNTIF(ParticipationOctobre1[[#This Row],[1]:[31]],Code27)</f>
        <v>0</v>
      </c>
      <c r="BD19" s="30">
        <f>COUNTIF(ParticipationOctobre1[[#This Row],[1]:[31]],Code28)</f>
        <v>0</v>
      </c>
      <c r="BE19" s="30">
        <f>COUNTIF(ParticipationOctobre1[[#This Row],[1]:[31]],code21)</f>
        <v>0</v>
      </c>
      <c r="BF19" s="30">
        <f>COUNTIF(ParticipationOctobre1[[#This Row],[1]:[31]],Code24)</f>
        <v>0</v>
      </c>
      <c r="BG19" s="30">
        <f>COUNTIF(ParticipationOctobre1[[#This Row],[1]:[31]],code18)</f>
        <v>0</v>
      </c>
      <c r="BH19" s="30">
        <f>COUNTIF(ParticipationOctobre1[[#This Row],[1]:[31]],code19)</f>
        <v>0</v>
      </c>
      <c r="BI19" s="164">
        <f>COUNTIF(ParticipationOctobre1[[#This Row],[1]:[31]],Code120)</f>
        <v>0</v>
      </c>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164"/>
      <c r="CR19" s="165">
        <f t="shared" si="0"/>
        <v>0</v>
      </c>
      <c r="CS19" s="165">
        <f t="shared" si="1"/>
        <v>0</v>
      </c>
      <c r="CT19" s="249">
        <f t="shared" si="2"/>
        <v>0</v>
      </c>
      <c r="CU19" s="170">
        <f t="shared" si="3"/>
        <v>0</v>
      </c>
    </row>
    <row r="20" spans="1:99">
      <c r="A20" s="29"/>
      <c r="B20" s="162" t="str">
        <f>IFERROR(VLOOKUP(ParticipationDecembre1[[#This Row],[Référence]],ListeÉtudiants1[],18,FALSE),"")</f>
        <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44"/>
      <c r="AH20" s="6">
        <f>COUNTIF(ParticipationOctobre1[[#This Row],[1]:[31]],Code1)</f>
        <v>0</v>
      </c>
      <c r="AI20" s="6">
        <f>COUNTIF(ParticipationOctobre1[[#This Row],[1]:[31]],code22)</f>
        <v>0</v>
      </c>
      <c r="AJ20" s="30">
        <f>COUNTIF(ParticipationOctobre1[[#This Row],[1]:[31]],Code2)</f>
        <v>0</v>
      </c>
      <c r="AK20" s="30">
        <f>COUNTIF(ParticipationOctobre1[[#This Row],[1]:[31]],Code3)</f>
        <v>0</v>
      </c>
      <c r="AL20" s="30">
        <f>COUNTIF(ParticipationOctobre1[[#This Row],[1]:[31]],Code4)</f>
        <v>0</v>
      </c>
      <c r="AM20" s="84">
        <f>COUNTIF(ParticipationOctobre1[[#This Row],[1]:[31]],Code5)</f>
        <v>0</v>
      </c>
      <c r="AN20" s="30">
        <f>COUNTIF(ParticipationOctobre1[[#This Row],[1]:[31]],Code23)</f>
        <v>0</v>
      </c>
      <c r="AO20" s="84">
        <f>COUNTIF(ParticipationOctobre1[[#This Row],[1]:[31]],Code6)</f>
        <v>0</v>
      </c>
      <c r="AP20" s="84">
        <f>COUNTIF(ParticipationOctobre1[[#This Row],[1]:[31]],Code7)</f>
        <v>0</v>
      </c>
      <c r="AQ20" s="30">
        <f>COUNTIF(ParticipationOctobre1[[#This Row],[1]:[31]],Code8)</f>
        <v>0</v>
      </c>
      <c r="AR20" s="30">
        <f>COUNTIF(ParticipationOctobre1[[#This Row],[1]:[31]],Code9)</f>
        <v>0</v>
      </c>
      <c r="AS20" s="30">
        <f>COUNTIF(ParticipationOctobre1[[#This Row],[1]:[31]],Code10)</f>
        <v>0</v>
      </c>
      <c r="AT20" s="30">
        <f>COUNTIF(ParticipationOctobre1[[#This Row],[1]:[31]],Code11)</f>
        <v>0</v>
      </c>
      <c r="AU20" s="30">
        <f>COUNTIF(ParticipationOctobre1[[#This Row],[1]:[31]],Code12)</f>
        <v>0</v>
      </c>
      <c r="AV20" s="30">
        <f>COUNTIF(ParticipationOctobre1[[#This Row],[1]:[31]],Code13)</f>
        <v>0</v>
      </c>
      <c r="AW20" s="30">
        <f>COUNTIF(ParticipationOctobre1[[#This Row],[1]:[31]],Code14)</f>
        <v>0</v>
      </c>
      <c r="AX20" s="30">
        <f>COUNTIF(ParticipationOctobre1[[#This Row],[1]:[31]],Code15)</f>
        <v>0</v>
      </c>
      <c r="AY20" s="30">
        <f>COUNTIF(ParticipationOctobre1[[#This Row],[1]:[31]],Code16)</f>
        <v>0</v>
      </c>
      <c r="AZ20" s="30">
        <f>COUNTIF(ParticipationOctobre1[[#This Row],[1]:[31]],Code17)</f>
        <v>0</v>
      </c>
      <c r="BA20" s="30">
        <f>COUNTIF(ParticipationOctobre1[[#This Row],[1]:[31]],Code25)</f>
        <v>0</v>
      </c>
      <c r="BB20" s="30">
        <f>COUNTIF(ParticipationOctobre1[[#This Row],[1]:[31]],Code26)</f>
        <v>0</v>
      </c>
      <c r="BC20" s="30">
        <f>COUNTIF(ParticipationOctobre1[[#This Row],[1]:[31]],Code27)</f>
        <v>0</v>
      </c>
      <c r="BD20" s="30">
        <f>COUNTIF(ParticipationOctobre1[[#This Row],[1]:[31]],Code28)</f>
        <v>0</v>
      </c>
      <c r="BE20" s="30">
        <f>COUNTIF(ParticipationOctobre1[[#This Row],[1]:[31]],code21)</f>
        <v>0</v>
      </c>
      <c r="BF20" s="30">
        <f>COUNTIF(ParticipationOctobre1[[#This Row],[1]:[31]],Code24)</f>
        <v>0</v>
      </c>
      <c r="BG20" s="30">
        <f>COUNTIF(ParticipationOctobre1[[#This Row],[1]:[31]],code18)</f>
        <v>0</v>
      </c>
      <c r="BH20" s="30">
        <f>COUNTIF(ParticipationOctobre1[[#This Row],[1]:[31]],code19)</f>
        <v>0</v>
      </c>
      <c r="BI20" s="164">
        <f>COUNTIF(ParticipationOctobre1[[#This Row],[1]:[31]],Code120)</f>
        <v>0</v>
      </c>
      <c r="BJ20" s="314"/>
      <c r="BK20" s="314"/>
      <c r="BL20" s="314"/>
      <c r="BM20" s="314"/>
      <c r="BN20" s="314"/>
      <c r="BO20" s="314"/>
      <c r="BP20" s="314"/>
      <c r="BQ20" s="314"/>
      <c r="BR20" s="314"/>
      <c r="BS20" s="314"/>
      <c r="BT20" s="314"/>
      <c r="BU20" s="314"/>
      <c r="BV20" s="314"/>
      <c r="BW20" s="314"/>
      <c r="BX20" s="314"/>
      <c r="BY20" s="314"/>
      <c r="BZ20" s="314"/>
      <c r="CA20" s="314"/>
      <c r="CB20" s="314"/>
      <c r="CC20" s="314"/>
      <c r="CD20" s="314"/>
      <c r="CE20" s="314"/>
      <c r="CF20" s="314"/>
      <c r="CG20" s="314"/>
      <c r="CH20" s="314"/>
      <c r="CI20" s="314"/>
      <c r="CJ20" s="314"/>
      <c r="CK20" s="314"/>
      <c r="CL20" s="314"/>
      <c r="CM20" s="314"/>
      <c r="CN20" s="314"/>
      <c r="CO20" s="314"/>
      <c r="CP20" s="314"/>
      <c r="CQ20" s="315"/>
      <c r="CR20" s="165">
        <f t="shared" si="0"/>
        <v>0</v>
      </c>
      <c r="CS20" s="165">
        <f t="shared" si="1"/>
        <v>0</v>
      </c>
      <c r="CT20" s="249">
        <f t="shared" si="2"/>
        <v>0</v>
      </c>
      <c r="CU20" s="170">
        <f t="shared" si="3"/>
        <v>0</v>
      </c>
    </row>
    <row r="21" spans="1:99">
      <c r="A21" s="29"/>
      <c r="B21" s="162" t="str">
        <f>IFERROR(VLOOKUP(ParticipationDecembre1[[#This Row],[Référence]],ListeÉtudiants1[],18,FALSE),"")</f>
        <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44"/>
      <c r="AH21" s="6">
        <f>COUNTIF(ParticipationOctobre1[[#This Row],[1]:[31]],Code1)</f>
        <v>0</v>
      </c>
      <c r="AI21" s="6">
        <f>COUNTIF(ParticipationOctobre1[[#This Row],[1]:[31]],code22)</f>
        <v>0</v>
      </c>
      <c r="AJ21" s="30">
        <f>COUNTIF(ParticipationOctobre1[[#This Row],[1]:[31]],Code2)</f>
        <v>0</v>
      </c>
      <c r="AK21" s="30">
        <f>COUNTIF(ParticipationOctobre1[[#This Row],[1]:[31]],Code3)</f>
        <v>0</v>
      </c>
      <c r="AL21" s="30">
        <f>COUNTIF(ParticipationOctobre1[[#This Row],[1]:[31]],Code4)</f>
        <v>0</v>
      </c>
      <c r="AM21" s="84">
        <f>COUNTIF(ParticipationOctobre1[[#This Row],[1]:[31]],Code5)</f>
        <v>0</v>
      </c>
      <c r="AN21" s="30">
        <f>COUNTIF(ParticipationOctobre1[[#This Row],[1]:[31]],Code23)</f>
        <v>0</v>
      </c>
      <c r="AO21" s="84">
        <f>COUNTIF(ParticipationOctobre1[[#This Row],[1]:[31]],Code6)</f>
        <v>0</v>
      </c>
      <c r="AP21" s="84">
        <f>COUNTIF(ParticipationOctobre1[[#This Row],[1]:[31]],Code7)</f>
        <v>0</v>
      </c>
      <c r="AQ21" s="30">
        <f>COUNTIF(ParticipationOctobre1[[#This Row],[1]:[31]],Code8)</f>
        <v>0</v>
      </c>
      <c r="AR21" s="30">
        <f>COUNTIF(ParticipationOctobre1[[#This Row],[1]:[31]],Code9)</f>
        <v>0</v>
      </c>
      <c r="AS21" s="30">
        <f>COUNTIF(ParticipationOctobre1[[#This Row],[1]:[31]],Code10)</f>
        <v>0</v>
      </c>
      <c r="AT21" s="30">
        <f>COUNTIF(ParticipationOctobre1[[#This Row],[1]:[31]],Code11)</f>
        <v>0</v>
      </c>
      <c r="AU21" s="30">
        <f>COUNTIF(ParticipationOctobre1[[#This Row],[1]:[31]],Code12)</f>
        <v>0</v>
      </c>
      <c r="AV21" s="30">
        <f>COUNTIF(ParticipationOctobre1[[#This Row],[1]:[31]],Code13)</f>
        <v>0</v>
      </c>
      <c r="AW21" s="30">
        <f>COUNTIF(ParticipationOctobre1[[#This Row],[1]:[31]],Code14)</f>
        <v>0</v>
      </c>
      <c r="AX21" s="30">
        <f>COUNTIF(ParticipationOctobre1[[#This Row],[1]:[31]],Code15)</f>
        <v>0</v>
      </c>
      <c r="AY21" s="30">
        <f>COUNTIF(ParticipationOctobre1[[#This Row],[1]:[31]],Code16)</f>
        <v>0</v>
      </c>
      <c r="AZ21" s="30">
        <f>COUNTIF(ParticipationOctobre1[[#This Row],[1]:[31]],Code17)</f>
        <v>0</v>
      </c>
      <c r="BA21" s="30">
        <f>COUNTIF(ParticipationOctobre1[[#This Row],[1]:[31]],Code25)</f>
        <v>0</v>
      </c>
      <c r="BB21" s="30">
        <f>COUNTIF(ParticipationOctobre1[[#This Row],[1]:[31]],Code26)</f>
        <v>0</v>
      </c>
      <c r="BC21" s="30">
        <f>COUNTIF(ParticipationOctobre1[[#This Row],[1]:[31]],Code27)</f>
        <v>0</v>
      </c>
      <c r="BD21" s="30">
        <f>COUNTIF(ParticipationOctobre1[[#This Row],[1]:[31]],Code28)</f>
        <v>0</v>
      </c>
      <c r="BE21" s="30">
        <f>COUNTIF(ParticipationOctobre1[[#This Row],[1]:[31]],code21)</f>
        <v>0</v>
      </c>
      <c r="BF21" s="30">
        <f>COUNTIF(ParticipationOctobre1[[#This Row],[1]:[31]],Code24)</f>
        <v>0</v>
      </c>
      <c r="BG21" s="30">
        <f>COUNTIF(ParticipationOctobre1[[#This Row],[1]:[31]],code18)</f>
        <v>0</v>
      </c>
      <c r="BH21" s="30">
        <f>COUNTIF(ParticipationOctobre1[[#This Row],[1]:[31]],code19)</f>
        <v>0</v>
      </c>
      <c r="BI21" s="164">
        <f>COUNTIF(ParticipationOctobre1[[#This Row],[1]:[31]],Code120)</f>
        <v>0</v>
      </c>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164"/>
      <c r="CR21" s="165">
        <f t="shared" si="0"/>
        <v>0</v>
      </c>
      <c r="CS21" s="165">
        <f t="shared" si="1"/>
        <v>0</v>
      </c>
      <c r="CT21" s="249">
        <f t="shared" si="2"/>
        <v>0</v>
      </c>
      <c r="CU21" s="170">
        <f t="shared" si="3"/>
        <v>0</v>
      </c>
    </row>
    <row r="22" spans="1:99">
      <c r="A22" s="29"/>
      <c r="B22" s="162" t="str">
        <f>IFERROR(VLOOKUP(ParticipationDecembre1[[#This Row],[Référence]],ListeÉtudiants1[],18,FALSE),"")</f>
        <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44"/>
      <c r="AH22" s="6">
        <f>COUNTIF(ParticipationOctobre1[[#This Row],[1]:[31]],Code1)</f>
        <v>0</v>
      </c>
      <c r="AI22" s="6">
        <f>COUNTIF(ParticipationOctobre1[[#This Row],[1]:[31]],code22)</f>
        <v>0</v>
      </c>
      <c r="AJ22" s="30">
        <f>COUNTIF(ParticipationOctobre1[[#This Row],[1]:[31]],Code2)</f>
        <v>0</v>
      </c>
      <c r="AK22" s="30">
        <f>COUNTIF(ParticipationOctobre1[[#This Row],[1]:[31]],Code3)</f>
        <v>0</v>
      </c>
      <c r="AL22" s="30">
        <f>COUNTIF(ParticipationOctobre1[[#This Row],[1]:[31]],Code4)</f>
        <v>0</v>
      </c>
      <c r="AM22" s="84">
        <f>COUNTIF(ParticipationOctobre1[[#This Row],[1]:[31]],Code5)</f>
        <v>0</v>
      </c>
      <c r="AN22" s="30">
        <f>COUNTIF(ParticipationOctobre1[[#This Row],[1]:[31]],Code23)</f>
        <v>0</v>
      </c>
      <c r="AO22" s="84">
        <f>COUNTIF(ParticipationOctobre1[[#This Row],[1]:[31]],Code6)</f>
        <v>0</v>
      </c>
      <c r="AP22" s="84">
        <f>COUNTIF(ParticipationOctobre1[[#This Row],[1]:[31]],Code7)</f>
        <v>0</v>
      </c>
      <c r="AQ22" s="30">
        <f>COUNTIF(ParticipationOctobre1[[#This Row],[1]:[31]],Code8)</f>
        <v>0</v>
      </c>
      <c r="AR22" s="30">
        <f>COUNTIF(ParticipationOctobre1[[#This Row],[1]:[31]],Code9)</f>
        <v>0</v>
      </c>
      <c r="AS22" s="30">
        <f>COUNTIF(ParticipationOctobre1[[#This Row],[1]:[31]],Code10)</f>
        <v>0</v>
      </c>
      <c r="AT22" s="30">
        <f>COUNTIF(ParticipationOctobre1[[#This Row],[1]:[31]],Code11)</f>
        <v>0</v>
      </c>
      <c r="AU22" s="30">
        <f>COUNTIF(ParticipationOctobre1[[#This Row],[1]:[31]],Code12)</f>
        <v>0</v>
      </c>
      <c r="AV22" s="30">
        <f>COUNTIF(ParticipationOctobre1[[#This Row],[1]:[31]],Code13)</f>
        <v>0</v>
      </c>
      <c r="AW22" s="30">
        <f>COUNTIF(ParticipationOctobre1[[#This Row],[1]:[31]],Code14)</f>
        <v>0</v>
      </c>
      <c r="AX22" s="30">
        <f>COUNTIF(ParticipationOctobre1[[#This Row],[1]:[31]],Code15)</f>
        <v>0</v>
      </c>
      <c r="AY22" s="30">
        <f>COUNTIF(ParticipationOctobre1[[#This Row],[1]:[31]],Code16)</f>
        <v>0</v>
      </c>
      <c r="AZ22" s="30">
        <f>COUNTIF(ParticipationOctobre1[[#This Row],[1]:[31]],Code17)</f>
        <v>0</v>
      </c>
      <c r="BA22" s="30">
        <f>COUNTIF(ParticipationOctobre1[[#This Row],[1]:[31]],Code25)</f>
        <v>0</v>
      </c>
      <c r="BB22" s="30">
        <f>COUNTIF(ParticipationOctobre1[[#This Row],[1]:[31]],Code26)</f>
        <v>0</v>
      </c>
      <c r="BC22" s="30">
        <f>COUNTIF(ParticipationOctobre1[[#This Row],[1]:[31]],Code27)</f>
        <v>0</v>
      </c>
      <c r="BD22" s="30">
        <f>COUNTIF(ParticipationOctobre1[[#This Row],[1]:[31]],Code28)</f>
        <v>0</v>
      </c>
      <c r="BE22" s="30">
        <f>COUNTIF(ParticipationOctobre1[[#This Row],[1]:[31]],code21)</f>
        <v>0</v>
      </c>
      <c r="BF22" s="30">
        <f>COUNTIF(ParticipationOctobre1[[#This Row],[1]:[31]],Code24)</f>
        <v>0</v>
      </c>
      <c r="BG22" s="30">
        <f>COUNTIF(ParticipationOctobre1[[#This Row],[1]:[31]],code18)</f>
        <v>0</v>
      </c>
      <c r="BH22" s="30">
        <f>COUNTIF(ParticipationOctobre1[[#This Row],[1]:[31]],code19)</f>
        <v>0</v>
      </c>
      <c r="BI22" s="164">
        <f>COUNTIF(ParticipationOctobre1[[#This Row],[1]:[31]],Code120)</f>
        <v>0</v>
      </c>
      <c r="BJ22" s="314"/>
      <c r="BK22" s="314"/>
      <c r="BL22" s="314"/>
      <c r="BM22" s="314"/>
      <c r="BN22" s="314"/>
      <c r="BO22" s="314"/>
      <c r="BP22" s="314"/>
      <c r="BQ22" s="314"/>
      <c r="BR22" s="314"/>
      <c r="BS22" s="314"/>
      <c r="BT22" s="314"/>
      <c r="BU22" s="314"/>
      <c r="BV22" s="314"/>
      <c r="BW22" s="314"/>
      <c r="BX22" s="314"/>
      <c r="BY22" s="314"/>
      <c r="BZ22" s="314"/>
      <c r="CA22" s="314"/>
      <c r="CB22" s="314"/>
      <c r="CC22" s="314"/>
      <c r="CD22" s="314"/>
      <c r="CE22" s="314"/>
      <c r="CF22" s="314"/>
      <c r="CG22" s="314"/>
      <c r="CH22" s="314"/>
      <c r="CI22" s="314"/>
      <c r="CJ22" s="314"/>
      <c r="CK22" s="314"/>
      <c r="CL22" s="314"/>
      <c r="CM22" s="314"/>
      <c r="CN22" s="314"/>
      <c r="CO22" s="314"/>
      <c r="CP22" s="314"/>
      <c r="CQ22" s="315"/>
      <c r="CR22" s="165">
        <f t="shared" si="0"/>
        <v>0</v>
      </c>
      <c r="CS22" s="165">
        <f t="shared" si="1"/>
        <v>0</v>
      </c>
      <c r="CT22" s="249">
        <f t="shared" si="2"/>
        <v>0</v>
      </c>
      <c r="CU22" s="170">
        <f t="shared" si="3"/>
        <v>0</v>
      </c>
    </row>
    <row r="23" spans="1:99">
      <c r="A23" s="29"/>
      <c r="B23" s="162" t="str">
        <f>IFERROR(VLOOKUP(ParticipationDecembre1[[#This Row],[Référence]],ListeÉtudiants1[],18,FALSE),"")</f>
        <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44"/>
      <c r="AH23" s="6">
        <f>COUNTIF(ParticipationOctobre1[[#This Row],[1]:[31]],Code1)</f>
        <v>0</v>
      </c>
      <c r="AI23" s="6">
        <f>COUNTIF(ParticipationOctobre1[[#This Row],[1]:[31]],code22)</f>
        <v>0</v>
      </c>
      <c r="AJ23" s="30">
        <f>COUNTIF(ParticipationOctobre1[[#This Row],[1]:[31]],Code2)</f>
        <v>0</v>
      </c>
      <c r="AK23" s="30">
        <f>COUNTIF(ParticipationOctobre1[[#This Row],[1]:[31]],Code3)</f>
        <v>0</v>
      </c>
      <c r="AL23" s="30">
        <f>COUNTIF(ParticipationOctobre1[[#This Row],[1]:[31]],Code4)</f>
        <v>0</v>
      </c>
      <c r="AM23" s="84">
        <f>COUNTIF(ParticipationOctobre1[[#This Row],[1]:[31]],Code5)</f>
        <v>0</v>
      </c>
      <c r="AN23" s="30">
        <f>COUNTIF(ParticipationOctobre1[[#This Row],[1]:[31]],Code23)</f>
        <v>0</v>
      </c>
      <c r="AO23" s="84">
        <f>COUNTIF(ParticipationOctobre1[[#This Row],[1]:[31]],Code6)</f>
        <v>0</v>
      </c>
      <c r="AP23" s="84">
        <f>COUNTIF(ParticipationOctobre1[[#This Row],[1]:[31]],Code7)</f>
        <v>0</v>
      </c>
      <c r="AQ23" s="30">
        <f>COUNTIF(ParticipationOctobre1[[#This Row],[1]:[31]],Code8)</f>
        <v>0</v>
      </c>
      <c r="AR23" s="30">
        <f>COUNTIF(ParticipationOctobre1[[#This Row],[1]:[31]],Code9)</f>
        <v>0</v>
      </c>
      <c r="AS23" s="30">
        <f>COUNTIF(ParticipationOctobre1[[#This Row],[1]:[31]],Code10)</f>
        <v>0</v>
      </c>
      <c r="AT23" s="30">
        <f>COUNTIF(ParticipationOctobre1[[#This Row],[1]:[31]],Code11)</f>
        <v>0</v>
      </c>
      <c r="AU23" s="30">
        <f>COUNTIF(ParticipationOctobre1[[#This Row],[1]:[31]],Code12)</f>
        <v>0</v>
      </c>
      <c r="AV23" s="30">
        <f>COUNTIF(ParticipationOctobre1[[#This Row],[1]:[31]],Code13)</f>
        <v>0</v>
      </c>
      <c r="AW23" s="30">
        <f>COUNTIF(ParticipationOctobre1[[#This Row],[1]:[31]],Code14)</f>
        <v>0</v>
      </c>
      <c r="AX23" s="30">
        <f>COUNTIF(ParticipationOctobre1[[#This Row],[1]:[31]],Code15)</f>
        <v>0</v>
      </c>
      <c r="AY23" s="30">
        <f>COUNTIF(ParticipationOctobre1[[#This Row],[1]:[31]],Code16)</f>
        <v>0</v>
      </c>
      <c r="AZ23" s="30">
        <f>COUNTIF(ParticipationOctobre1[[#This Row],[1]:[31]],Code17)</f>
        <v>0</v>
      </c>
      <c r="BA23" s="30">
        <f>COUNTIF(ParticipationOctobre1[[#This Row],[1]:[31]],Code25)</f>
        <v>0</v>
      </c>
      <c r="BB23" s="30">
        <f>COUNTIF(ParticipationOctobre1[[#This Row],[1]:[31]],Code26)</f>
        <v>0</v>
      </c>
      <c r="BC23" s="30">
        <f>COUNTIF(ParticipationOctobre1[[#This Row],[1]:[31]],Code27)</f>
        <v>0</v>
      </c>
      <c r="BD23" s="30">
        <f>COUNTIF(ParticipationOctobre1[[#This Row],[1]:[31]],Code28)</f>
        <v>0</v>
      </c>
      <c r="BE23" s="30">
        <f>COUNTIF(ParticipationOctobre1[[#This Row],[1]:[31]],code21)</f>
        <v>0</v>
      </c>
      <c r="BF23" s="30">
        <f>COUNTIF(ParticipationOctobre1[[#This Row],[1]:[31]],Code24)</f>
        <v>0</v>
      </c>
      <c r="BG23" s="30">
        <f>COUNTIF(ParticipationOctobre1[[#This Row],[1]:[31]],code18)</f>
        <v>0</v>
      </c>
      <c r="BH23" s="30">
        <f>COUNTIF(ParticipationOctobre1[[#This Row],[1]:[31]],code19)</f>
        <v>0</v>
      </c>
      <c r="BI23" s="164">
        <f>COUNTIF(ParticipationOctobre1[[#This Row],[1]:[31]],Code120)</f>
        <v>0</v>
      </c>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164"/>
      <c r="CR23" s="165">
        <f t="shared" si="0"/>
        <v>0</v>
      </c>
      <c r="CS23" s="165">
        <f t="shared" si="1"/>
        <v>0</v>
      </c>
      <c r="CT23" s="249">
        <f t="shared" si="2"/>
        <v>0</v>
      </c>
      <c r="CU23" s="170">
        <f t="shared" si="3"/>
        <v>0</v>
      </c>
    </row>
    <row r="24" spans="1:99">
      <c r="A24" s="29"/>
      <c r="B24" s="162" t="str">
        <f>IFERROR(VLOOKUP(ParticipationDecembre1[[#This Row],[Référence]],ListeÉtudiants1[],18,FALSE),"")</f>
        <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44"/>
      <c r="AH24" s="6">
        <f>COUNTIF(ParticipationOctobre1[[#This Row],[1]:[31]],Code1)</f>
        <v>0</v>
      </c>
      <c r="AI24" s="6">
        <f>COUNTIF(ParticipationOctobre1[[#This Row],[1]:[31]],code22)</f>
        <v>0</v>
      </c>
      <c r="AJ24" s="30">
        <f>COUNTIF(ParticipationOctobre1[[#This Row],[1]:[31]],Code2)</f>
        <v>0</v>
      </c>
      <c r="AK24" s="30">
        <f>COUNTIF(ParticipationOctobre1[[#This Row],[1]:[31]],Code3)</f>
        <v>0</v>
      </c>
      <c r="AL24" s="30">
        <f>COUNTIF(ParticipationOctobre1[[#This Row],[1]:[31]],Code4)</f>
        <v>0</v>
      </c>
      <c r="AM24" s="84">
        <f>COUNTIF(ParticipationOctobre1[[#This Row],[1]:[31]],Code5)</f>
        <v>0</v>
      </c>
      <c r="AN24" s="30">
        <f>COUNTIF(ParticipationOctobre1[[#This Row],[1]:[31]],Code23)</f>
        <v>0</v>
      </c>
      <c r="AO24" s="84">
        <f>COUNTIF(ParticipationOctobre1[[#This Row],[1]:[31]],Code6)</f>
        <v>0</v>
      </c>
      <c r="AP24" s="84">
        <f>COUNTIF(ParticipationOctobre1[[#This Row],[1]:[31]],Code7)</f>
        <v>0</v>
      </c>
      <c r="AQ24" s="30">
        <f>COUNTIF(ParticipationOctobre1[[#This Row],[1]:[31]],Code8)</f>
        <v>0</v>
      </c>
      <c r="AR24" s="30">
        <f>COUNTIF(ParticipationOctobre1[[#This Row],[1]:[31]],Code9)</f>
        <v>0</v>
      </c>
      <c r="AS24" s="30">
        <f>COUNTIF(ParticipationOctobre1[[#This Row],[1]:[31]],Code10)</f>
        <v>0</v>
      </c>
      <c r="AT24" s="30">
        <f>COUNTIF(ParticipationOctobre1[[#This Row],[1]:[31]],Code11)</f>
        <v>0</v>
      </c>
      <c r="AU24" s="30">
        <f>COUNTIF(ParticipationOctobre1[[#This Row],[1]:[31]],Code12)</f>
        <v>0</v>
      </c>
      <c r="AV24" s="30">
        <f>COUNTIF(ParticipationOctobre1[[#This Row],[1]:[31]],Code13)</f>
        <v>0</v>
      </c>
      <c r="AW24" s="30">
        <f>COUNTIF(ParticipationOctobre1[[#This Row],[1]:[31]],Code14)</f>
        <v>0</v>
      </c>
      <c r="AX24" s="30">
        <f>COUNTIF(ParticipationOctobre1[[#This Row],[1]:[31]],Code15)</f>
        <v>0</v>
      </c>
      <c r="AY24" s="30">
        <f>COUNTIF(ParticipationOctobre1[[#This Row],[1]:[31]],Code16)</f>
        <v>0</v>
      </c>
      <c r="AZ24" s="30">
        <f>COUNTIF(ParticipationOctobre1[[#This Row],[1]:[31]],Code17)</f>
        <v>0</v>
      </c>
      <c r="BA24" s="30">
        <f>COUNTIF(ParticipationOctobre1[[#This Row],[1]:[31]],Code25)</f>
        <v>0</v>
      </c>
      <c r="BB24" s="30">
        <f>COUNTIF(ParticipationOctobre1[[#This Row],[1]:[31]],Code26)</f>
        <v>0</v>
      </c>
      <c r="BC24" s="30">
        <f>COUNTIF(ParticipationOctobre1[[#This Row],[1]:[31]],Code27)</f>
        <v>0</v>
      </c>
      <c r="BD24" s="30">
        <f>COUNTIF(ParticipationOctobre1[[#This Row],[1]:[31]],Code28)</f>
        <v>0</v>
      </c>
      <c r="BE24" s="30">
        <f>COUNTIF(ParticipationOctobre1[[#This Row],[1]:[31]],code21)</f>
        <v>0</v>
      </c>
      <c r="BF24" s="30">
        <f>COUNTIF(ParticipationOctobre1[[#This Row],[1]:[31]],Code24)</f>
        <v>0</v>
      </c>
      <c r="BG24" s="30">
        <f>COUNTIF(ParticipationOctobre1[[#This Row],[1]:[31]],code18)</f>
        <v>0</v>
      </c>
      <c r="BH24" s="30">
        <f>COUNTIF(ParticipationOctobre1[[#This Row],[1]:[31]],code19)</f>
        <v>0</v>
      </c>
      <c r="BI24" s="164">
        <f>COUNTIF(ParticipationOctobre1[[#This Row],[1]:[31]],Code120)</f>
        <v>0</v>
      </c>
      <c r="BJ24" s="314"/>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14"/>
      <c r="CG24" s="314"/>
      <c r="CH24" s="314"/>
      <c r="CI24" s="314"/>
      <c r="CJ24" s="314"/>
      <c r="CK24" s="314"/>
      <c r="CL24" s="314"/>
      <c r="CM24" s="314"/>
      <c r="CN24" s="314"/>
      <c r="CO24" s="314"/>
      <c r="CP24" s="314"/>
      <c r="CQ24" s="315"/>
      <c r="CR24" s="165">
        <f t="shared" si="0"/>
        <v>0</v>
      </c>
      <c r="CS24" s="165">
        <f t="shared" si="1"/>
        <v>0</v>
      </c>
      <c r="CT24" s="249">
        <f t="shared" si="2"/>
        <v>0</v>
      </c>
      <c r="CU24" s="170">
        <f t="shared" si="3"/>
        <v>0</v>
      </c>
    </row>
    <row r="25" spans="1:99">
      <c r="A25" s="29"/>
      <c r="B25" s="162" t="str">
        <f>IFERROR(VLOOKUP(ParticipationDecembre1[[#This Row],[Référence]],ListeÉtudiants1[],18,FALSE),"")</f>
        <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44"/>
      <c r="AH25" s="6">
        <f>COUNTIF(ParticipationOctobre1[[#This Row],[1]:[31]],Code1)</f>
        <v>0</v>
      </c>
      <c r="AI25" s="6">
        <f>COUNTIF(ParticipationOctobre1[[#This Row],[1]:[31]],code22)</f>
        <v>0</v>
      </c>
      <c r="AJ25" s="30">
        <f>COUNTIF(ParticipationOctobre1[[#This Row],[1]:[31]],Code2)</f>
        <v>0</v>
      </c>
      <c r="AK25" s="30">
        <f>COUNTIF(ParticipationOctobre1[[#This Row],[1]:[31]],Code3)</f>
        <v>0</v>
      </c>
      <c r="AL25" s="30">
        <f>COUNTIF(ParticipationOctobre1[[#This Row],[1]:[31]],Code4)</f>
        <v>0</v>
      </c>
      <c r="AM25" s="84">
        <f>COUNTIF(ParticipationOctobre1[[#This Row],[1]:[31]],Code5)</f>
        <v>0</v>
      </c>
      <c r="AN25" s="30">
        <f>COUNTIF(ParticipationOctobre1[[#This Row],[1]:[31]],Code23)</f>
        <v>0</v>
      </c>
      <c r="AO25" s="84">
        <f>COUNTIF(ParticipationOctobre1[[#This Row],[1]:[31]],Code6)</f>
        <v>0</v>
      </c>
      <c r="AP25" s="84">
        <f>COUNTIF(ParticipationOctobre1[[#This Row],[1]:[31]],Code7)</f>
        <v>0</v>
      </c>
      <c r="AQ25" s="30">
        <f>COUNTIF(ParticipationOctobre1[[#This Row],[1]:[31]],Code8)</f>
        <v>0</v>
      </c>
      <c r="AR25" s="30">
        <f>COUNTIF(ParticipationOctobre1[[#This Row],[1]:[31]],Code9)</f>
        <v>0</v>
      </c>
      <c r="AS25" s="30">
        <f>COUNTIF(ParticipationOctobre1[[#This Row],[1]:[31]],Code10)</f>
        <v>0</v>
      </c>
      <c r="AT25" s="30">
        <f>COUNTIF(ParticipationOctobre1[[#This Row],[1]:[31]],Code11)</f>
        <v>0</v>
      </c>
      <c r="AU25" s="30">
        <f>COUNTIF(ParticipationOctobre1[[#This Row],[1]:[31]],Code12)</f>
        <v>0</v>
      </c>
      <c r="AV25" s="30">
        <f>COUNTIF(ParticipationOctobre1[[#This Row],[1]:[31]],Code13)</f>
        <v>0</v>
      </c>
      <c r="AW25" s="30">
        <f>COUNTIF(ParticipationOctobre1[[#This Row],[1]:[31]],Code14)</f>
        <v>0</v>
      </c>
      <c r="AX25" s="30">
        <f>COUNTIF(ParticipationOctobre1[[#This Row],[1]:[31]],Code15)</f>
        <v>0</v>
      </c>
      <c r="AY25" s="30">
        <f>COUNTIF(ParticipationOctobre1[[#This Row],[1]:[31]],Code16)</f>
        <v>0</v>
      </c>
      <c r="AZ25" s="30">
        <f>COUNTIF(ParticipationOctobre1[[#This Row],[1]:[31]],Code17)</f>
        <v>0</v>
      </c>
      <c r="BA25" s="30">
        <f>COUNTIF(ParticipationOctobre1[[#This Row],[1]:[31]],Code25)</f>
        <v>0</v>
      </c>
      <c r="BB25" s="30">
        <f>COUNTIF(ParticipationOctobre1[[#This Row],[1]:[31]],Code26)</f>
        <v>0</v>
      </c>
      <c r="BC25" s="30">
        <f>COUNTIF(ParticipationOctobre1[[#This Row],[1]:[31]],Code27)</f>
        <v>0</v>
      </c>
      <c r="BD25" s="30">
        <f>COUNTIF(ParticipationOctobre1[[#This Row],[1]:[31]],Code28)</f>
        <v>0</v>
      </c>
      <c r="BE25" s="30">
        <f>COUNTIF(ParticipationOctobre1[[#This Row],[1]:[31]],code21)</f>
        <v>0</v>
      </c>
      <c r="BF25" s="30">
        <f>COUNTIF(ParticipationOctobre1[[#This Row],[1]:[31]],Code24)</f>
        <v>0</v>
      </c>
      <c r="BG25" s="30">
        <f>COUNTIF(ParticipationOctobre1[[#This Row],[1]:[31]],code18)</f>
        <v>0</v>
      </c>
      <c r="BH25" s="30">
        <f>COUNTIF(ParticipationOctobre1[[#This Row],[1]:[31]],code19)</f>
        <v>0</v>
      </c>
      <c r="BI25" s="164">
        <f>COUNTIF(ParticipationOctobre1[[#This Row],[1]:[31]],Code120)</f>
        <v>0</v>
      </c>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164"/>
      <c r="CR25" s="165">
        <f t="shared" si="0"/>
        <v>0</v>
      </c>
      <c r="CS25" s="165">
        <f t="shared" si="1"/>
        <v>0</v>
      </c>
      <c r="CT25" s="249">
        <f t="shared" si="2"/>
        <v>0</v>
      </c>
      <c r="CU25" s="170">
        <f t="shared" si="3"/>
        <v>0</v>
      </c>
    </row>
    <row r="26" spans="1:99">
      <c r="A26" s="29"/>
      <c r="B26" s="162" t="str">
        <f>IFERROR(VLOOKUP(ParticipationDecembre1[[#This Row],[Référence]],ListeÉtudiants1[],18,FALSE),"")</f>
        <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44"/>
      <c r="AH26" s="6">
        <f>COUNTIF(ParticipationOctobre1[[#This Row],[1]:[31]],Code1)</f>
        <v>0</v>
      </c>
      <c r="AI26" s="6">
        <f>COUNTIF(ParticipationOctobre1[[#This Row],[1]:[31]],code22)</f>
        <v>0</v>
      </c>
      <c r="AJ26" s="30">
        <f>COUNTIF(ParticipationOctobre1[[#This Row],[1]:[31]],Code2)</f>
        <v>0</v>
      </c>
      <c r="AK26" s="30">
        <f>COUNTIF(ParticipationOctobre1[[#This Row],[1]:[31]],Code3)</f>
        <v>0</v>
      </c>
      <c r="AL26" s="30">
        <f>COUNTIF(ParticipationOctobre1[[#This Row],[1]:[31]],Code4)</f>
        <v>0</v>
      </c>
      <c r="AM26" s="84">
        <f>COUNTIF(ParticipationOctobre1[[#This Row],[1]:[31]],Code5)</f>
        <v>0</v>
      </c>
      <c r="AN26" s="30">
        <f>COUNTIF(ParticipationOctobre1[[#This Row],[1]:[31]],Code23)</f>
        <v>0</v>
      </c>
      <c r="AO26" s="84">
        <f>COUNTIF(ParticipationOctobre1[[#This Row],[1]:[31]],Code6)</f>
        <v>0</v>
      </c>
      <c r="AP26" s="84">
        <f>COUNTIF(ParticipationOctobre1[[#This Row],[1]:[31]],Code7)</f>
        <v>0</v>
      </c>
      <c r="AQ26" s="30">
        <f>COUNTIF(ParticipationOctobre1[[#This Row],[1]:[31]],Code8)</f>
        <v>0</v>
      </c>
      <c r="AR26" s="30">
        <f>COUNTIF(ParticipationOctobre1[[#This Row],[1]:[31]],Code9)</f>
        <v>0</v>
      </c>
      <c r="AS26" s="30">
        <f>COUNTIF(ParticipationOctobre1[[#This Row],[1]:[31]],Code10)</f>
        <v>0</v>
      </c>
      <c r="AT26" s="30">
        <f>COUNTIF(ParticipationOctobre1[[#This Row],[1]:[31]],Code11)</f>
        <v>0</v>
      </c>
      <c r="AU26" s="30">
        <f>COUNTIF(ParticipationOctobre1[[#This Row],[1]:[31]],Code12)</f>
        <v>0</v>
      </c>
      <c r="AV26" s="30">
        <f>COUNTIF(ParticipationOctobre1[[#This Row],[1]:[31]],Code13)</f>
        <v>0</v>
      </c>
      <c r="AW26" s="30">
        <f>COUNTIF(ParticipationOctobre1[[#This Row],[1]:[31]],Code14)</f>
        <v>0</v>
      </c>
      <c r="AX26" s="30">
        <f>COUNTIF(ParticipationOctobre1[[#This Row],[1]:[31]],Code15)</f>
        <v>0</v>
      </c>
      <c r="AY26" s="30">
        <f>COUNTIF(ParticipationOctobre1[[#This Row],[1]:[31]],Code16)</f>
        <v>0</v>
      </c>
      <c r="AZ26" s="30">
        <f>COUNTIF(ParticipationOctobre1[[#This Row],[1]:[31]],Code17)</f>
        <v>0</v>
      </c>
      <c r="BA26" s="30">
        <f>COUNTIF(ParticipationOctobre1[[#This Row],[1]:[31]],Code25)</f>
        <v>0</v>
      </c>
      <c r="BB26" s="30">
        <f>COUNTIF(ParticipationOctobre1[[#This Row],[1]:[31]],Code26)</f>
        <v>0</v>
      </c>
      <c r="BC26" s="30">
        <f>COUNTIF(ParticipationOctobre1[[#This Row],[1]:[31]],Code27)</f>
        <v>0</v>
      </c>
      <c r="BD26" s="30">
        <f>COUNTIF(ParticipationOctobre1[[#This Row],[1]:[31]],Code28)</f>
        <v>0</v>
      </c>
      <c r="BE26" s="30">
        <f>COUNTIF(ParticipationOctobre1[[#This Row],[1]:[31]],code21)</f>
        <v>0</v>
      </c>
      <c r="BF26" s="30">
        <f>COUNTIF(ParticipationOctobre1[[#This Row],[1]:[31]],Code24)</f>
        <v>0</v>
      </c>
      <c r="BG26" s="30">
        <f>COUNTIF(ParticipationOctobre1[[#This Row],[1]:[31]],code18)</f>
        <v>0</v>
      </c>
      <c r="BH26" s="30">
        <f>COUNTIF(ParticipationOctobre1[[#This Row],[1]:[31]],code19)</f>
        <v>0</v>
      </c>
      <c r="BI26" s="164">
        <f>COUNTIF(ParticipationOctobre1[[#This Row],[1]:[31]],Code120)</f>
        <v>0</v>
      </c>
      <c r="BJ26" s="314"/>
      <c r="BK26" s="314"/>
      <c r="BL26" s="314"/>
      <c r="BM26" s="314"/>
      <c r="BN26" s="314"/>
      <c r="BO26" s="314"/>
      <c r="BP26" s="314"/>
      <c r="BQ26" s="314"/>
      <c r="BR26" s="314"/>
      <c r="BS26" s="314"/>
      <c r="BT26" s="314"/>
      <c r="BU26" s="314"/>
      <c r="BV26" s="314"/>
      <c r="BW26" s="314"/>
      <c r="BX26" s="314"/>
      <c r="BY26" s="314"/>
      <c r="BZ26" s="314"/>
      <c r="CA26" s="314"/>
      <c r="CB26" s="314"/>
      <c r="CC26" s="314"/>
      <c r="CD26" s="314"/>
      <c r="CE26" s="314"/>
      <c r="CF26" s="314"/>
      <c r="CG26" s="314"/>
      <c r="CH26" s="314"/>
      <c r="CI26" s="314"/>
      <c r="CJ26" s="314"/>
      <c r="CK26" s="314"/>
      <c r="CL26" s="314"/>
      <c r="CM26" s="314"/>
      <c r="CN26" s="314"/>
      <c r="CO26" s="314"/>
      <c r="CP26" s="314"/>
      <c r="CQ26" s="315"/>
      <c r="CR26" s="165">
        <f t="shared" si="0"/>
        <v>0</v>
      </c>
      <c r="CS26" s="165">
        <f t="shared" si="1"/>
        <v>0</v>
      </c>
      <c r="CT26" s="249">
        <f t="shared" si="2"/>
        <v>0</v>
      </c>
      <c r="CU26" s="170">
        <f t="shared" si="3"/>
        <v>0</v>
      </c>
    </row>
    <row r="27" spans="1:99">
      <c r="A27" s="29"/>
      <c r="B27" s="162" t="str">
        <f>IFERROR(VLOOKUP(ParticipationDecembre1[[#This Row],[Référence]],ListeÉtudiants1[],18,FALSE),"")</f>
        <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44"/>
      <c r="AH27" s="6">
        <f>COUNTIF(ParticipationOctobre1[[#This Row],[1]:[31]],Code1)</f>
        <v>0</v>
      </c>
      <c r="AI27" s="6">
        <f>COUNTIF(ParticipationOctobre1[[#This Row],[1]:[31]],code22)</f>
        <v>0</v>
      </c>
      <c r="AJ27" s="30">
        <f>COUNTIF(ParticipationOctobre1[[#This Row],[1]:[31]],Code2)</f>
        <v>0</v>
      </c>
      <c r="AK27" s="30">
        <f>COUNTIF(ParticipationOctobre1[[#This Row],[1]:[31]],Code3)</f>
        <v>0</v>
      </c>
      <c r="AL27" s="30">
        <f>COUNTIF(ParticipationOctobre1[[#This Row],[1]:[31]],Code4)</f>
        <v>0</v>
      </c>
      <c r="AM27" s="84">
        <f>COUNTIF(ParticipationOctobre1[[#This Row],[1]:[31]],Code5)</f>
        <v>0</v>
      </c>
      <c r="AN27" s="30">
        <f>COUNTIF(ParticipationOctobre1[[#This Row],[1]:[31]],Code23)</f>
        <v>0</v>
      </c>
      <c r="AO27" s="84">
        <f>COUNTIF(ParticipationOctobre1[[#This Row],[1]:[31]],Code6)</f>
        <v>0</v>
      </c>
      <c r="AP27" s="84">
        <f>COUNTIF(ParticipationOctobre1[[#This Row],[1]:[31]],Code7)</f>
        <v>0</v>
      </c>
      <c r="AQ27" s="30">
        <f>COUNTIF(ParticipationOctobre1[[#This Row],[1]:[31]],Code8)</f>
        <v>0</v>
      </c>
      <c r="AR27" s="30">
        <f>COUNTIF(ParticipationOctobre1[[#This Row],[1]:[31]],Code9)</f>
        <v>0</v>
      </c>
      <c r="AS27" s="30">
        <f>COUNTIF(ParticipationOctobre1[[#This Row],[1]:[31]],Code10)</f>
        <v>0</v>
      </c>
      <c r="AT27" s="30">
        <f>COUNTIF(ParticipationOctobre1[[#This Row],[1]:[31]],Code11)</f>
        <v>0</v>
      </c>
      <c r="AU27" s="30">
        <f>COUNTIF(ParticipationOctobre1[[#This Row],[1]:[31]],Code12)</f>
        <v>0</v>
      </c>
      <c r="AV27" s="30">
        <f>COUNTIF(ParticipationOctobre1[[#This Row],[1]:[31]],Code13)</f>
        <v>0</v>
      </c>
      <c r="AW27" s="30">
        <f>COUNTIF(ParticipationOctobre1[[#This Row],[1]:[31]],Code14)</f>
        <v>0</v>
      </c>
      <c r="AX27" s="30">
        <f>COUNTIF(ParticipationOctobre1[[#This Row],[1]:[31]],Code15)</f>
        <v>0</v>
      </c>
      <c r="AY27" s="30">
        <f>COUNTIF(ParticipationOctobre1[[#This Row],[1]:[31]],Code16)</f>
        <v>0</v>
      </c>
      <c r="AZ27" s="30">
        <f>COUNTIF(ParticipationOctobre1[[#This Row],[1]:[31]],Code17)</f>
        <v>0</v>
      </c>
      <c r="BA27" s="30">
        <f>COUNTIF(ParticipationOctobre1[[#This Row],[1]:[31]],Code25)</f>
        <v>0</v>
      </c>
      <c r="BB27" s="30">
        <f>COUNTIF(ParticipationOctobre1[[#This Row],[1]:[31]],Code26)</f>
        <v>0</v>
      </c>
      <c r="BC27" s="30">
        <f>COUNTIF(ParticipationOctobre1[[#This Row],[1]:[31]],Code27)</f>
        <v>0</v>
      </c>
      <c r="BD27" s="30">
        <f>COUNTIF(ParticipationOctobre1[[#This Row],[1]:[31]],Code28)</f>
        <v>0</v>
      </c>
      <c r="BE27" s="30">
        <f>COUNTIF(ParticipationOctobre1[[#This Row],[1]:[31]],code21)</f>
        <v>0</v>
      </c>
      <c r="BF27" s="30">
        <f>COUNTIF(ParticipationOctobre1[[#This Row],[1]:[31]],Code24)</f>
        <v>0</v>
      </c>
      <c r="BG27" s="30">
        <f>COUNTIF(ParticipationOctobre1[[#This Row],[1]:[31]],code18)</f>
        <v>0</v>
      </c>
      <c r="BH27" s="30">
        <f>COUNTIF(ParticipationOctobre1[[#This Row],[1]:[31]],code19)</f>
        <v>0</v>
      </c>
      <c r="BI27" s="164">
        <f>COUNTIF(ParticipationOctobre1[[#This Row],[1]:[31]],Code120)</f>
        <v>0</v>
      </c>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164"/>
      <c r="CR27" s="165">
        <f t="shared" si="0"/>
        <v>0</v>
      </c>
      <c r="CS27" s="165">
        <f t="shared" si="1"/>
        <v>0</v>
      </c>
      <c r="CT27" s="249">
        <f t="shared" si="2"/>
        <v>0</v>
      </c>
      <c r="CU27" s="170">
        <f t="shared" si="3"/>
        <v>0</v>
      </c>
    </row>
    <row r="28" spans="1:99">
      <c r="A28" s="29"/>
      <c r="B28" s="162" t="str">
        <f>IFERROR(VLOOKUP(ParticipationDecembre1[[#This Row],[Référence]],ListeÉtudiants1[],18,FALSE),"")</f>
        <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44"/>
      <c r="AH28" s="6">
        <f>COUNTIF(ParticipationOctobre1[[#This Row],[1]:[31]],Code1)</f>
        <v>0</v>
      </c>
      <c r="AI28" s="6">
        <f>COUNTIF(ParticipationOctobre1[[#This Row],[1]:[31]],code22)</f>
        <v>0</v>
      </c>
      <c r="AJ28" s="30">
        <f>COUNTIF(ParticipationOctobre1[[#This Row],[1]:[31]],Code2)</f>
        <v>0</v>
      </c>
      <c r="AK28" s="30">
        <f>COUNTIF(ParticipationOctobre1[[#This Row],[1]:[31]],Code3)</f>
        <v>0</v>
      </c>
      <c r="AL28" s="30">
        <f>COUNTIF(ParticipationOctobre1[[#This Row],[1]:[31]],Code4)</f>
        <v>0</v>
      </c>
      <c r="AM28" s="84">
        <f>COUNTIF(ParticipationOctobre1[[#This Row],[1]:[31]],Code5)</f>
        <v>0</v>
      </c>
      <c r="AN28" s="30">
        <f>COUNTIF(ParticipationOctobre1[[#This Row],[1]:[31]],Code23)</f>
        <v>0</v>
      </c>
      <c r="AO28" s="84">
        <f>COUNTIF(ParticipationOctobre1[[#This Row],[1]:[31]],Code6)</f>
        <v>0</v>
      </c>
      <c r="AP28" s="84">
        <f>COUNTIF(ParticipationOctobre1[[#This Row],[1]:[31]],Code7)</f>
        <v>0</v>
      </c>
      <c r="AQ28" s="30">
        <f>COUNTIF(ParticipationOctobre1[[#This Row],[1]:[31]],Code8)</f>
        <v>0</v>
      </c>
      <c r="AR28" s="30">
        <f>COUNTIF(ParticipationOctobre1[[#This Row],[1]:[31]],Code9)</f>
        <v>0</v>
      </c>
      <c r="AS28" s="30">
        <f>COUNTIF(ParticipationOctobre1[[#This Row],[1]:[31]],Code10)</f>
        <v>0</v>
      </c>
      <c r="AT28" s="30">
        <f>COUNTIF(ParticipationOctobre1[[#This Row],[1]:[31]],Code11)</f>
        <v>0</v>
      </c>
      <c r="AU28" s="30">
        <f>COUNTIF(ParticipationOctobre1[[#This Row],[1]:[31]],Code12)</f>
        <v>0</v>
      </c>
      <c r="AV28" s="30">
        <f>COUNTIF(ParticipationOctobre1[[#This Row],[1]:[31]],Code13)</f>
        <v>0</v>
      </c>
      <c r="AW28" s="30">
        <f>COUNTIF(ParticipationOctobre1[[#This Row],[1]:[31]],Code14)</f>
        <v>0</v>
      </c>
      <c r="AX28" s="30">
        <f>COUNTIF(ParticipationOctobre1[[#This Row],[1]:[31]],Code15)</f>
        <v>0</v>
      </c>
      <c r="AY28" s="30">
        <f>COUNTIF(ParticipationOctobre1[[#This Row],[1]:[31]],Code16)</f>
        <v>0</v>
      </c>
      <c r="AZ28" s="30">
        <f>COUNTIF(ParticipationOctobre1[[#This Row],[1]:[31]],Code17)</f>
        <v>0</v>
      </c>
      <c r="BA28" s="30">
        <f>COUNTIF(ParticipationOctobre1[[#This Row],[1]:[31]],Code25)</f>
        <v>0</v>
      </c>
      <c r="BB28" s="30">
        <f>COUNTIF(ParticipationOctobre1[[#This Row],[1]:[31]],Code26)</f>
        <v>0</v>
      </c>
      <c r="BC28" s="30">
        <f>COUNTIF(ParticipationOctobre1[[#This Row],[1]:[31]],Code27)</f>
        <v>0</v>
      </c>
      <c r="BD28" s="30">
        <f>COUNTIF(ParticipationOctobre1[[#This Row],[1]:[31]],Code28)</f>
        <v>0</v>
      </c>
      <c r="BE28" s="30">
        <f>COUNTIF(ParticipationOctobre1[[#This Row],[1]:[31]],code21)</f>
        <v>0</v>
      </c>
      <c r="BF28" s="30">
        <f>COUNTIF(ParticipationOctobre1[[#This Row],[1]:[31]],Code24)</f>
        <v>0</v>
      </c>
      <c r="BG28" s="30">
        <f>COUNTIF(ParticipationOctobre1[[#This Row],[1]:[31]],code18)</f>
        <v>0</v>
      </c>
      <c r="BH28" s="30">
        <f>COUNTIF(ParticipationOctobre1[[#This Row],[1]:[31]],code19)</f>
        <v>0</v>
      </c>
      <c r="BI28" s="164">
        <f>COUNTIF(ParticipationOctobre1[[#This Row],[1]:[31]],Code120)</f>
        <v>0</v>
      </c>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4"/>
      <c r="CQ28" s="315"/>
      <c r="CR28" s="165">
        <f t="shared" si="0"/>
        <v>0</v>
      </c>
      <c r="CS28" s="165">
        <f t="shared" si="1"/>
        <v>0</v>
      </c>
      <c r="CT28" s="249">
        <f t="shared" si="2"/>
        <v>0</v>
      </c>
      <c r="CU28" s="170">
        <f t="shared" si="3"/>
        <v>0</v>
      </c>
    </row>
    <row r="29" spans="1:99">
      <c r="A29" s="29"/>
      <c r="B29" s="162" t="str">
        <f>IFERROR(VLOOKUP(ParticipationDecembre1[[#This Row],[Référence]],ListeÉtudiants1[],18,FALSE),"")</f>
        <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44"/>
      <c r="AH29" s="6">
        <f>COUNTIF(ParticipationOctobre1[[#This Row],[1]:[31]],Code1)</f>
        <v>0</v>
      </c>
      <c r="AI29" s="6">
        <f>COUNTIF(ParticipationOctobre1[[#This Row],[1]:[31]],code22)</f>
        <v>0</v>
      </c>
      <c r="AJ29" s="30">
        <f>COUNTIF(ParticipationOctobre1[[#This Row],[1]:[31]],Code2)</f>
        <v>0</v>
      </c>
      <c r="AK29" s="30">
        <f>COUNTIF(ParticipationOctobre1[[#This Row],[1]:[31]],Code3)</f>
        <v>0</v>
      </c>
      <c r="AL29" s="30">
        <f>COUNTIF(ParticipationOctobre1[[#This Row],[1]:[31]],Code4)</f>
        <v>0</v>
      </c>
      <c r="AM29" s="84">
        <f>COUNTIF(ParticipationOctobre1[[#This Row],[1]:[31]],Code5)</f>
        <v>0</v>
      </c>
      <c r="AN29" s="30">
        <f>COUNTIF(ParticipationOctobre1[[#This Row],[1]:[31]],Code23)</f>
        <v>0</v>
      </c>
      <c r="AO29" s="84">
        <f>COUNTIF(ParticipationOctobre1[[#This Row],[1]:[31]],Code6)</f>
        <v>0</v>
      </c>
      <c r="AP29" s="84">
        <f>COUNTIF(ParticipationOctobre1[[#This Row],[1]:[31]],Code7)</f>
        <v>0</v>
      </c>
      <c r="AQ29" s="30">
        <f>COUNTIF(ParticipationOctobre1[[#This Row],[1]:[31]],Code8)</f>
        <v>0</v>
      </c>
      <c r="AR29" s="30">
        <f>COUNTIF(ParticipationOctobre1[[#This Row],[1]:[31]],Code9)</f>
        <v>0</v>
      </c>
      <c r="AS29" s="30">
        <f>COUNTIF(ParticipationOctobre1[[#This Row],[1]:[31]],Code10)</f>
        <v>0</v>
      </c>
      <c r="AT29" s="30">
        <f>COUNTIF(ParticipationOctobre1[[#This Row],[1]:[31]],Code11)</f>
        <v>0</v>
      </c>
      <c r="AU29" s="30">
        <f>COUNTIF(ParticipationOctobre1[[#This Row],[1]:[31]],Code12)</f>
        <v>0</v>
      </c>
      <c r="AV29" s="30">
        <f>COUNTIF(ParticipationOctobre1[[#This Row],[1]:[31]],Code13)</f>
        <v>0</v>
      </c>
      <c r="AW29" s="30">
        <f>COUNTIF(ParticipationOctobre1[[#This Row],[1]:[31]],Code14)</f>
        <v>0</v>
      </c>
      <c r="AX29" s="30">
        <f>COUNTIF(ParticipationOctobre1[[#This Row],[1]:[31]],Code15)</f>
        <v>0</v>
      </c>
      <c r="AY29" s="30">
        <f>COUNTIF(ParticipationOctobre1[[#This Row],[1]:[31]],Code16)</f>
        <v>0</v>
      </c>
      <c r="AZ29" s="30">
        <f>COUNTIF(ParticipationOctobre1[[#This Row],[1]:[31]],Code17)</f>
        <v>0</v>
      </c>
      <c r="BA29" s="30">
        <f>COUNTIF(ParticipationOctobre1[[#This Row],[1]:[31]],Code25)</f>
        <v>0</v>
      </c>
      <c r="BB29" s="30">
        <f>COUNTIF(ParticipationOctobre1[[#This Row],[1]:[31]],Code26)</f>
        <v>0</v>
      </c>
      <c r="BC29" s="30">
        <f>COUNTIF(ParticipationOctobre1[[#This Row],[1]:[31]],Code27)</f>
        <v>0</v>
      </c>
      <c r="BD29" s="30">
        <f>COUNTIF(ParticipationOctobre1[[#This Row],[1]:[31]],Code28)</f>
        <v>0</v>
      </c>
      <c r="BE29" s="30">
        <f>COUNTIF(ParticipationOctobre1[[#This Row],[1]:[31]],code21)</f>
        <v>0</v>
      </c>
      <c r="BF29" s="30">
        <f>COUNTIF(ParticipationOctobre1[[#This Row],[1]:[31]],Code24)</f>
        <v>0</v>
      </c>
      <c r="BG29" s="30">
        <f>COUNTIF(ParticipationOctobre1[[#This Row],[1]:[31]],code18)</f>
        <v>0</v>
      </c>
      <c r="BH29" s="30">
        <f>COUNTIF(ParticipationOctobre1[[#This Row],[1]:[31]],code19)</f>
        <v>0</v>
      </c>
      <c r="BI29" s="164">
        <f>COUNTIF(ParticipationOctobre1[[#This Row],[1]:[31]],Code120)</f>
        <v>0</v>
      </c>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164"/>
      <c r="CR29" s="165">
        <f t="shared" si="0"/>
        <v>0</v>
      </c>
      <c r="CS29" s="165">
        <f t="shared" si="1"/>
        <v>0</v>
      </c>
      <c r="CT29" s="249">
        <f t="shared" si="2"/>
        <v>0</v>
      </c>
      <c r="CU29" s="170">
        <f t="shared" si="3"/>
        <v>0</v>
      </c>
    </row>
    <row r="30" spans="1:99">
      <c r="A30" s="29"/>
      <c r="B30" s="152" t="str">
        <f>IFERROR(VLOOKUP(ParticipationDecembre1[[#This Row],[Référence]],ListeÉtudiants1[],18,FALSE),"")</f>
        <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44"/>
      <c r="AH30" s="6">
        <f>COUNTIF(ParticipationOctobre1[[#This Row],[1]:[31]],Code1)</f>
        <v>0</v>
      </c>
      <c r="AI30" s="6">
        <f>COUNTIF(ParticipationOctobre1[[#This Row],[1]:[31]],code22)</f>
        <v>0</v>
      </c>
      <c r="AJ30" s="30">
        <f>COUNTIF(ParticipationOctobre1[[#This Row],[1]:[31]],Code2)</f>
        <v>0</v>
      </c>
      <c r="AK30" s="30">
        <f>COUNTIF(ParticipationOctobre1[[#This Row],[1]:[31]],Code3)</f>
        <v>0</v>
      </c>
      <c r="AL30" s="30">
        <f>COUNTIF(ParticipationOctobre1[[#This Row],[1]:[31]],Code4)</f>
        <v>0</v>
      </c>
      <c r="AM30" s="30">
        <f>COUNTIF(ParticipationOctobre1[[#This Row],[1]:[31]],Code5)</f>
        <v>0</v>
      </c>
      <c r="AN30" s="30">
        <f>COUNTIF(ParticipationOctobre1[[#This Row],[1]:[31]],Code23)</f>
        <v>0</v>
      </c>
      <c r="AO30" s="30">
        <f>COUNTIF(ParticipationOctobre1[[#This Row],[1]:[31]],Code6)</f>
        <v>0</v>
      </c>
      <c r="AP30" s="30">
        <f>COUNTIF(ParticipationOctobre1[[#This Row],[1]:[31]],Code7)</f>
        <v>0</v>
      </c>
      <c r="AQ30" s="30">
        <f>COUNTIF(ParticipationOctobre1[[#This Row],[1]:[31]],Code8)</f>
        <v>0</v>
      </c>
      <c r="AR30" s="30">
        <f>COUNTIF(ParticipationOctobre1[[#This Row],[1]:[31]],Code9)</f>
        <v>0</v>
      </c>
      <c r="AS30" s="30">
        <f>COUNTIF(ParticipationOctobre1[[#This Row],[1]:[31]],Code10)</f>
        <v>0</v>
      </c>
      <c r="AT30" s="30">
        <f>COUNTIF(ParticipationOctobre1[[#This Row],[1]:[31]],Code11)</f>
        <v>0</v>
      </c>
      <c r="AU30" s="30">
        <f>COUNTIF(ParticipationOctobre1[[#This Row],[1]:[31]],Code12)</f>
        <v>0</v>
      </c>
      <c r="AV30" s="30">
        <f>COUNTIF(ParticipationOctobre1[[#This Row],[1]:[31]],Code13)</f>
        <v>0</v>
      </c>
      <c r="AW30" s="30">
        <f>COUNTIF(ParticipationOctobre1[[#This Row],[1]:[31]],Code14)</f>
        <v>0</v>
      </c>
      <c r="AX30" s="30">
        <f>COUNTIF(ParticipationOctobre1[[#This Row],[1]:[31]],Code15)</f>
        <v>0</v>
      </c>
      <c r="AY30" s="30">
        <f>COUNTIF(ParticipationOctobre1[[#This Row],[1]:[31]],Code16)</f>
        <v>0</v>
      </c>
      <c r="AZ30" s="30">
        <f>COUNTIF(ParticipationOctobre1[[#This Row],[1]:[31]],Code17)</f>
        <v>0</v>
      </c>
      <c r="BA30" s="30">
        <f>COUNTIF(ParticipationOctobre1[[#This Row],[1]:[31]],Code25)</f>
        <v>0</v>
      </c>
      <c r="BB30" s="30">
        <f>COUNTIF(ParticipationOctobre1[[#This Row],[1]:[31]],Code26)</f>
        <v>0</v>
      </c>
      <c r="BC30" s="30">
        <f>COUNTIF(ParticipationOctobre1[[#This Row],[1]:[31]],Code27)</f>
        <v>0</v>
      </c>
      <c r="BD30" s="30">
        <f>COUNTIF(ParticipationOctobre1[[#This Row],[1]:[31]],Code28)</f>
        <v>0</v>
      </c>
      <c r="BE30" s="30">
        <f>COUNTIF(ParticipationOctobre1[[#This Row],[1]:[31]],code21)</f>
        <v>0</v>
      </c>
      <c r="BF30" s="30">
        <f>COUNTIF(ParticipationOctobre1[[#This Row],[1]:[31]],Code24)</f>
        <v>0</v>
      </c>
      <c r="BG30" s="30">
        <f>COUNTIF(ParticipationOctobre1[[#This Row],[1]:[31]],code18)</f>
        <v>0</v>
      </c>
      <c r="BH30" s="30">
        <f>COUNTIF(ParticipationOctobre1[[#This Row],[1]:[31]],code19)</f>
        <v>0</v>
      </c>
      <c r="BI30" s="164">
        <f>COUNTIF(ParticipationOctobre1[[#This Row],[1]:[31]],Code120)</f>
        <v>0</v>
      </c>
      <c r="BJ30" s="314"/>
      <c r="BK30" s="314"/>
      <c r="BL30" s="314"/>
      <c r="BM30" s="314"/>
      <c r="BN30" s="314"/>
      <c r="BO30" s="314"/>
      <c r="BP30" s="314"/>
      <c r="BQ30" s="314"/>
      <c r="BR30" s="314"/>
      <c r="BS30" s="314"/>
      <c r="BT30" s="314"/>
      <c r="BU30" s="314"/>
      <c r="BV30" s="314"/>
      <c r="BW30" s="314"/>
      <c r="BX30" s="314"/>
      <c r="BY30" s="314"/>
      <c r="BZ30" s="314"/>
      <c r="CA30" s="314"/>
      <c r="CB30" s="314"/>
      <c r="CC30" s="314"/>
      <c r="CD30" s="314"/>
      <c r="CE30" s="314"/>
      <c r="CF30" s="314"/>
      <c r="CG30" s="314"/>
      <c r="CH30" s="314"/>
      <c r="CI30" s="314"/>
      <c r="CJ30" s="314"/>
      <c r="CK30" s="314"/>
      <c r="CL30" s="314"/>
      <c r="CM30" s="314"/>
      <c r="CN30" s="314"/>
      <c r="CO30" s="314"/>
      <c r="CP30" s="314"/>
      <c r="CQ30" s="315"/>
      <c r="CR30" s="165">
        <f t="shared" si="0"/>
        <v>0</v>
      </c>
      <c r="CS30" s="165">
        <f t="shared" si="1"/>
        <v>0</v>
      </c>
      <c r="CT30" s="249">
        <f t="shared" si="2"/>
        <v>0</v>
      </c>
      <c r="CU30" s="170">
        <f t="shared" si="3"/>
        <v>0</v>
      </c>
    </row>
    <row r="31" spans="1:99">
      <c r="B31" s="162" t="str">
        <f>IFERROR(VLOOKUP(ParticipationDecembre1[[#This Row],[Référence]],ListeÉtudiants1[],18,FALSE),"")</f>
        <v/>
      </c>
      <c r="AG31" s="152"/>
      <c r="AH31" s="6">
        <f>COUNTIF(ParticipationOctobre1[[#This Row],[1]:[31]],Code1)</f>
        <v>0</v>
      </c>
      <c r="AI31" s="6">
        <f>COUNTIF(ParticipationOctobre1[[#This Row],[1]:[31]],code22)</f>
        <v>0</v>
      </c>
      <c r="AJ31" s="138">
        <f>COUNTIF(ParticipationOctobre1[[#This Row],[1]:[31]],Code2)</f>
        <v>0</v>
      </c>
      <c r="AK31" s="138">
        <f>COUNTIF(ParticipationOctobre1[[#This Row],[1]:[31]],Code3)</f>
        <v>0</v>
      </c>
      <c r="AL31" s="138">
        <f>COUNTIF(ParticipationOctobre1[[#This Row],[1]:[31]],Code4)</f>
        <v>0</v>
      </c>
      <c r="AM31" s="139">
        <f>COUNTIF(ParticipationOctobre1[[#This Row],[1]:[31]],Code5)</f>
        <v>0</v>
      </c>
      <c r="AN31" s="30">
        <f>COUNTIF(ParticipationOctobre1[[#This Row],[1]:[31]],Code23)</f>
        <v>0</v>
      </c>
      <c r="AO31" s="139">
        <f>COUNTIF(ParticipationOctobre1[[#This Row],[1]:[31]],Code6)</f>
        <v>0</v>
      </c>
      <c r="AP31" s="139">
        <f>COUNTIF(ParticipationOctobre1[[#This Row],[1]:[31]],Code7)</f>
        <v>0</v>
      </c>
      <c r="AQ31" s="139">
        <f>COUNTIF(ParticipationOctobre1[[#This Row],[1]:[31]],Code8)</f>
        <v>0</v>
      </c>
      <c r="AR31" s="139">
        <f>COUNTIF(ParticipationOctobre1[[#This Row],[1]:[31]],Code9)</f>
        <v>0</v>
      </c>
      <c r="AS31" s="139">
        <f>COUNTIF(ParticipationOctobre1[[#This Row],[1]:[31]],Code10)</f>
        <v>0</v>
      </c>
      <c r="AT31" s="139">
        <f>COUNTIF(ParticipationOctobre1[[#This Row],[1]:[31]],Code11)</f>
        <v>0</v>
      </c>
      <c r="AU31" s="139">
        <f>COUNTIF(ParticipationOctobre1[[#This Row],[1]:[31]],Code12)</f>
        <v>0</v>
      </c>
      <c r="AV31" s="139">
        <f>COUNTIF(ParticipationOctobre1[[#This Row],[1]:[31]],Code13)</f>
        <v>0</v>
      </c>
      <c r="AW31" s="139">
        <f>COUNTIF(ParticipationOctobre1[[#This Row],[1]:[31]],Code14)</f>
        <v>0</v>
      </c>
      <c r="AX31" s="139">
        <f>COUNTIF(ParticipationOctobre1[[#This Row],[1]:[31]],Code15)</f>
        <v>0</v>
      </c>
      <c r="AY31" s="139">
        <f>COUNTIF(ParticipationOctobre1[[#This Row],[1]:[31]],Code16)</f>
        <v>0</v>
      </c>
      <c r="AZ31" s="139">
        <f>COUNTIF(ParticipationOctobre1[[#This Row],[1]:[31]],Code17)</f>
        <v>0</v>
      </c>
      <c r="BA31" s="139">
        <f>COUNTIF(ParticipationOctobre1[[#This Row],[1]:[31]],Code25)</f>
        <v>0</v>
      </c>
      <c r="BB31" s="139">
        <f>COUNTIF(ParticipationOctobre1[[#This Row],[1]:[31]],Code26)</f>
        <v>0</v>
      </c>
      <c r="BC31" s="139">
        <f>COUNTIF(ParticipationOctobre1[[#This Row],[1]:[31]],Code27)</f>
        <v>0</v>
      </c>
      <c r="BD31" s="139">
        <f>COUNTIF(ParticipationOctobre1[[#This Row],[1]:[31]],Code28)</f>
        <v>0</v>
      </c>
      <c r="BE31" s="30">
        <f>COUNTIF(ParticipationOctobre1[[#This Row],[1]:[31]],code21)</f>
        <v>0</v>
      </c>
      <c r="BF31" s="30">
        <f>COUNTIF(ParticipationOctobre1[[#This Row],[1]:[31]],Code24)</f>
        <v>0</v>
      </c>
      <c r="BG31" s="30">
        <f>COUNTIF(ParticipationOctobre1[[#This Row],[1]:[31]],code18)</f>
        <v>0</v>
      </c>
      <c r="BH31" s="30">
        <f>COUNTIF(ParticipationOctobre1[[#This Row],[1]:[31]],code19)</f>
        <v>0</v>
      </c>
      <c r="BI31" s="164">
        <f>COUNTIF(ParticipationOctobre1[[#This Row],[1]:[31]],Code120)</f>
        <v>0</v>
      </c>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164"/>
      <c r="CR31" s="165">
        <f t="shared" si="0"/>
        <v>0</v>
      </c>
      <c r="CS31" s="165">
        <f t="shared" si="1"/>
        <v>0</v>
      </c>
      <c r="CT31" s="249">
        <f t="shared" si="2"/>
        <v>0</v>
      </c>
      <c r="CU31" s="170"/>
    </row>
    <row r="32" spans="1:99">
      <c r="B32" s="162" t="str">
        <f>IFERROR(VLOOKUP(ParticipationDecembre1[[#This Row],[Référence]],ListeÉtudiants1[],18,FALSE),"")</f>
        <v/>
      </c>
      <c r="AG32" s="152"/>
      <c r="AH32" s="6">
        <f>COUNTIF(ParticipationOctobre1[[#This Row],[1]:[31]],Code1)</f>
        <v>0</v>
      </c>
      <c r="AI32" s="6">
        <f>COUNTIF(ParticipationOctobre1[[#This Row],[1]:[31]],code22)</f>
        <v>0</v>
      </c>
      <c r="AJ32" s="138">
        <f>COUNTIF(ParticipationOctobre1[[#This Row],[1]:[31]],Code2)</f>
        <v>0</v>
      </c>
      <c r="AK32" s="138">
        <f>COUNTIF(ParticipationOctobre1[[#This Row],[1]:[31]],Code3)</f>
        <v>0</v>
      </c>
      <c r="AL32" s="138">
        <f>COUNTIF(ParticipationOctobre1[[#This Row],[1]:[31]],Code4)</f>
        <v>0</v>
      </c>
      <c r="AM32" s="139">
        <f>COUNTIF(ParticipationOctobre1[[#This Row],[1]:[31]],Code5)</f>
        <v>0</v>
      </c>
      <c r="AN32" s="30">
        <f>COUNTIF(ParticipationOctobre1[[#This Row],[1]:[31]],Code23)</f>
        <v>0</v>
      </c>
      <c r="AO32" s="139">
        <f>COUNTIF(ParticipationOctobre1[[#This Row],[1]:[31]],Code6)</f>
        <v>0</v>
      </c>
      <c r="AP32" s="139">
        <f>COUNTIF(ParticipationOctobre1[[#This Row],[1]:[31]],Code7)</f>
        <v>0</v>
      </c>
      <c r="AQ32" s="139">
        <f>COUNTIF(ParticipationOctobre1[[#This Row],[1]:[31]],Code8)</f>
        <v>0</v>
      </c>
      <c r="AR32" s="139">
        <f>COUNTIF(ParticipationOctobre1[[#This Row],[1]:[31]],Code9)</f>
        <v>0</v>
      </c>
      <c r="AS32" s="139">
        <f>COUNTIF(ParticipationOctobre1[[#This Row],[1]:[31]],Code10)</f>
        <v>0</v>
      </c>
      <c r="AT32" s="139">
        <f>COUNTIF(ParticipationOctobre1[[#This Row],[1]:[31]],Code11)</f>
        <v>0</v>
      </c>
      <c r="AU32" s="139">
        <f>COUNTIF(ParticipationOctobre1[[#This Row],[1]:[31]],Code12)</f>
        <v>0</v>
      </c>
      <c r="AV32" s="139">
        <f>COUNTIF(ParticipationOctobre1[[#This Row],[1]:[31]],Code13)</f>
        <v>0</v>
      </c>
      <c r="AW32" s="139">
        <f>COUNTIF(ParticipationOctobre1[[#This Row],[1]:[31]],Code14)</f>
        <v>0</v>
      </c>
      <c r="AX32" s="139">
        <f>COUNTIF(ParticipationOctobre1[[#This Row],[1]:[31]],Code15)</f>
        <v>0</v>
      </c>
      <c r="AY32" s="139">
        <f>COUNTIF(ParticipationOctobre1[[#This Row],[1]:[31]],Code16)</f>
        <v>0</v>
      </c>
      <c r="AZ32" s="139">
        <f>COUNTIF(ParticipationOctobre1[[#This Row],[1]:[31]],Code17)</f>
        <v>0</v>
      </c>
      <c r="BA32" s="139">
        <f>COUNTIF(ParticipationOctobre1[[#This Row],[1]:[31]],Code25)</f>
        <v>0</v>
      </c>
      <c r="BB32" s="139">
        <f>COUNTIF(ParticipationOctobre1[[#This Row],[1]:[31]],Code26)</f>
        <v>0</v>
      </c>
      <c r="BC32" s="139">
        <f>COUNTIF(ParticipationOctobre1[[#This Row],[1]:[31]],Code27)</f>
        <v>0</v>
      </c>
      <c r="BD32" s="139">
        <f>COUNTIF(ParticipationOctobre1[[#This Row],[1]:[31]],Code28)</f>
        <v>0</v>
      </c>
      <c r="BE32" s="30">
        <f>COUNTIF(ParticipationOctobre1[[#This Row],[1]:[31]],code21)</f>
        <v>0</v>
      </c>
      <c r="BF32" s="30">
        <f>COUNTIF(ParticipationOctobre1[[#This Row],[1]:[31]],Code24)</f>
        <v>0</v>
      </c>
      <c r="BG32" s="30">
        <f>COUNTIF(ParticipationOctobre1[[#This Row],[1]:[31]],code18)</f>
        <v>0</v>
      </c>
      <c r="BH32" s="30">
        <f>COUNTIF(ParticipationOctobre1[[#This Row],[1]:[31]],code19)</f>
        <v>0</v>
      </c>
      <c r="BI32" s="164">
        <f>COUNTIF(ParticipationOctobre1[[#This Row],[1]:[31]],Code120)</f>
        <v>0</v>
      </c>
      <c r="BJ32" s="314"/>
      <c r="BK32" s="314"/>
      <c r="BL32" s="314"/>
      <c r="BM32" s="314"/>
      <c r="BN32" s="314"/>
      <c r="BO32" s="314"/>
      <c r="BP32" s="314"/>
      <c r="BQ32" s="314"/>
      <c r="BR32" s="314"/>
      <c r="BS32" s="314"/>
      <c r="BT32" s="314"/>
      <c r="BU32" s="314"/>
      <c r="BV32" s="314"/>
      <c r="BW32" s="314"/>
      <c r="BX32" s="314"/>
      <c r="BY32" s="314"/>
      <c r="BZ32" s="314"/>
      <c r="CA32" s="314"/>
      <c r="CB32" s="314"/>
      <c r="CC32" s="314"/>
      <c r="CD32" s="314"/>
      <c r="CE32" s="314"/>
      <c r="CF32" s="314"/>
      <c r="CG32" s="314"/>
      <c r="CH32" s="314"/>
      <c r="CI32" s="314"/>
      <c r="CJ32" s="314"/>
      <c r="CK32" s="314"/>
      <c r="CL32" s="314"/>
      <c r="CM32" s="314"/>
      <c r="CN32" s="314"/>
      <c r="CO32" s="314"/>
      <c r="CP32" s="314"/>
      <c r="CQ32" s="315"/>
      <c r="CR32" s="165">
        <f t="shared" si="0"/>
        <v>0</v>
      </c>
      <c r="CS32" s="165">
        <f t="shared" si="1"/>
        <v>0</v>
      </c>
      <c r="CT32" s="249">
        <f t="shared" si="2"/>
        <v>0</v>
      </c>
      <c r="CU32" s="171">
        <f>SUM(AQ32:CR32)</f>
        <v>0</v>
      </c>
    </row>
    <row r="33" spans="1:99">
      <c r="B33" s="162" t="str">
        <f>IFERROR(VLOOKUP(ParticipationDecembre1[[#This Row],[Référence]],ListeÉtudiants1[],18,FALSE),"")</f>
        <v/>
      </c>
      <c r="AG33" s="152"/>
      <c r="AH33" s="6">
        <f>COUNTIF(ParticipationOctobre1[[#This Row],[1]:[31]],Code1)</f>
        <v>0</v>
      </c>
      <c r="AI33" s="6">
        <f>COUNTIF(ParticipationOctobre1[[#This Row],[1]:[31]],code22)</f>
        <v>0</v>
      </c>
      <c r="AJ33" s="138">
        <f>COUNTIF(ParticipationOctobre1[[#This Row],[1]:[31]],Code2)</f>
        <v>0</v>
      </c>
      <c r="AK33" s="138">
        <f>COUNTIF(ParticipationOctobre1[[#This Row],[1]:[31]],Code3)</f>
        <v>0</v>
      </c>
      <c r="AL33" s="138">
        <f>COUNTIF(ParticipationOctobre1[[#This Row],[1]:[31]],Code4)</f>
        <v>0</v>
      </c>
      <c r="AM33" s="139">
        <f>COUNTIF(ParticipationOctobre1[[#This Row],[1]:[31]],Code5)</f>
        <v>0</v>
      </c>
      <c r="AN33" s="30">
        <f>COUNTIF(ParticipationOctobre1[[#This Row],[1]:[31]],Code23)</f>
        <v>0</v>
      </c>
      <c r="AO33" s="139">
        <f>COUNTIF(ParticipationOctobre1[[#This Row],[1]:[31]],Code6)</f>
        <v>0</v>
      </c>
      <c r="AP33" s="139">
        <f>COUNTIF(ParticipationOctobre1[[#This Row],[1]:[31]],Code7)</f>
        <v>0</v>
      </c>
      <c r="AQ33" s="139">
        <f>COUNTIF(ParticipationOctobre1[[#This Row],[1]:[31]],Code8)</f>
        <v>0</v>
      </c>
      <c r="AR33" s="139">
        <f>COUNTIF(ParticipationOctobre1[[#This Row],[1]:[31]],Code9)</f>
        <v>0</v>
      </c>
      <c r="AS33" s="139">
        <f>COUNTIF(ParticipationOctobre1[[#This Row],[1]:[31]],Code10)</f>
        <v>0</v>
      </c>
      <c r="AT33" s="139">
        <f>COUNTIF(ParticipationOctobre1[[#This Row],[1]:[31]],Code11)</f>
        <v>0</v>
      </c>
      <c r="AU33" s="139">
        <f>COUNTIF(ParticipationOctobre1[[#This Row],[1]:[31]],Code12)</f>
        <v>0</v>
      </c>
      <c r="AV33" s="139">
        <f>COUNTIF(ParticipationOctobre1[[#This Row],[1]:[31]],Code13)</f>
        <v>0</v>
      </c>
      <c r="AW33" s="139">
        <f>COUNTIF(ParticipationOctobre1[[#This Row],[1]:[31]],Code14)</f>
        <v>0</v>
      </c>
      <c r="AX33" s="139">
        <f>COUNTIF(ParticipationOctobre1[[#This Row],[1]:[31]],Code15)</f>
        <v>0</v>
      </c>
      <c r="AY33" s="139">
        <f>COUNTIF(ParticipationOctobre1[[#This Row],[1]:[31]],Code16)</f>
        <v>0</v>
      </c>
      <c r="AZ33" s="139">
        <f>COUNTIF(ParticipationOctobre1[[#This Row],[1]:[31]],Code17)</f>
        <v>0</v>
      </c>
      <c r="BA33" s="139">
        <f>COUNTIF(ParticipationOctobre1[[#This Row],[1]:[31]],Code25)</f>
        <v>0</v>
      </c>
      <c r="BB33" s="139">
        <f>COUNTIF(ParticipationOctobre1[[#This Row],[1]:[31]],Code26)</f>
        <v>0</v>
      </c>
      <c r="BC33" s="139">
        <f>COUNTIF(ParticipationOctobre1[[#This Row],[1]:[31]],Code27)</f>
        <v>0</v>
      </c>
      <c r="BD33" s="139">
        <f>COUNTIF(ParticipationOctobre1[[#This Row],[1]:[31]],Code28)</f>
        <v>0</v>
      </c>
      <c r="BE33" s="30">
        <f>COUNTIF(ParticipationOctobre1[[#This Row],[1]:[31]],code21)</f>
        <v>0</v>
      </c>
      <c r="BF33" s="30">
        <f>COUNTIF(ParticipationOctobre1[[#This Row],[1]:[31]],Code24)</f>
        <v>0</v>
      </c>
      <c r="BG33" s="30">
        <f>COUNTIF(ParticipationOctobre1[[#This Row],[1]:[31]],code18)</f>
        <v>0</v>
      </c>
      <c r="BH33" s="30">
        <f>COUNTIF(ParticipationOctobre1[[#This Row],[1]:[31]],code19)</f>
        <v>0</v>
      </c>
      <c r="BI33" s="164">
        <f>COUNTIF(ParticipationOctobre1[[#This Row],[1]:[31]],Code120)</f>
        <v>0</v>
      </c>
      <c r="BJ33" s="318"/>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164"/>
      <c r="CR33" s="165">
        <f t="shared" si="0"/>
        <v>0</v>
      </c>
      <c r="CS33" s="165">
        <f t="shared" si="1"/>
        <v>0</v>
      </c>
      <c r="CT33" s="249">
        <f t="shared" si="2"/>
        <v>0</v>
      </c>
      <c r="CU33" s="171">
        <f>SUM(AQ33:CR33)</f>
        <v>0</v>
      </c>
    </row>
    <row r="34" spans="1:99" ht="14.25" thickBot="1">
      <c r="A34" s="146"/>
      <c r="B34" s="190" t="str">
        <f>IFERROR(VLOOKUP(ParticipationDecembre1[[#This Row],[Référence]],ListeÉtudiants1[],18,FALSE),"")</f>
        <v/>
      </c>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55"/>
      <c r="AH34" s="149">
        <f>COUNTIF(ParticipationOctobre1[[#This Row],[1]:[31]],Code1)</f>
        <v>0</v>
      </c>
      <c r="AI34" s="149">
        <f>COUNTIF(ParticipationOctobre1[[#This Row],[1]:[31]],code22)</f>
        <v>0</v>
      </c>
      <c r="AJ34" s="189">
        <f>COUNTIF(ParticipationOctobre1[[#This Row],[1]:[31]],Code2)</f>
        <v>0</v>
      </c>
      <c r="AK34" s="189">
        <f>COUNTIF(ParticipationOctobre1[[#This Row],[1]:[31]],Code3)</f>
        <v>0</v>
      </c>
      <c r="AL34" s="189">
        <f>COUNTIF(ParticipationOctobre1[[#This Row],[1]:[31]],Code4)</f>
        <v>0</v>
      </c>
      <c r="AM34" s="172">
        <f>COUNTIF(ParticipationOctobre1[[#This Row],[1]:[31]],Code5)</f>
        <v>0</v>
      </c>
      <c r="AN34" s="172">
        <f>COUNTIF(ParticipationOctobre1[[#This Row],[1]:[31]],Code23)</f>
        <v>0</v>
      </c>
      <c r="AO34" s="172">
        <f>COUNTIF(ParticipationOctobre1[[#This Row],[1]:[31]],Code6)</f>
        <v>0</v>
      </c>
      <c r="AP34" s="172">
        <f>COUNTIF(ParticipationOctobre1[[#This Row],[1]:[31]],Code7)</f>
        <v>0</v>
      </c>
      <c r="AQ34" s="172">
        <f>COUNTIF(ParticipationOctobre1[[#This Row],[1]:[31]],Code8)</f>
        <v>0</v>
      </c>
      <c r="AR34" s="172">
        <f>COUNTIF(ParticipationOctobre1[[#This Row],[1]:[31]],Code9)</f>
        <v>0</v>
      </c>
      <c r="AS34" s="172">
        <f>COUNTIF(ParticipationOctobre1[[#This Row],[1]:[31]],Code10)</f>
        <v>0</v>
      </c>
      <c r="AT34" s="172">
        <f>COUNTIF(ParticipationOctobre1[[#This Row],[1]:[31]],Code11)</f>
        <v>0</v>
      </c>
      <c r="AU34" s="172">
        <f>COUNTIF(ParticipationOctobre1[[#This Row],[1]:[31]],Code12)</f>
        <v>0</v>
      </c>
      <c r="AV34" s="172">
        <f>COUNTIF(ParticipationOctobre1[[#This Row],[1]:[31]],Code13)</f>
        <v>0</v>
      </c>
      <c r="AW34" s="172">
        <f>COUNTIF(ParticipationOctobre1[[#This Row],[1]:[31]],Code14)</f>
        <v>0</v>
      </c>
      <c r="AX34" s="172">
        <f>COUNTIF(ParticipationOctobre1[[#This Row],[1]:[31]],Code15)</f>
        <v>0</v>
      </c>
      <c r="AY34" s="172">
        <f>COUNTIF(ParticipationOctobre1[[#This Row],[1]:[31]],Code16)</f>
        <v>0</v>
      </c>
      <c r="AZ34" s="172">
        <f>COUNTIF(ParticipationOctobre1[[#This Row],[1]:[31]],Code17)</f>
        <v>0</v>
      </c>
      <c r="BA34" s="30">
        <f>COUNTIF(ParticipationOctobre1[[#This Row],[1]:[31]],Code25)</f>
        <v>0</v>
      </c>
      <c r="BB34" s="30">
        <f>COUNTIF(ParticipationOctobre1[[#This Row],[1]:[31]],Code26)</f>
        <v>0</v>
      </c>
      <c r="BC34" s="30">
        <f>COUNTIF(ParticipationOctobre1[[#This Row],[1]:[31]],Code27)</f>
        <v>0</v>
      </c>
      <c r="BD34" s="30">
        <f>COUNTIF(ParticipationOctobre1[[#This Row],[1]:[31]],Code28)</f>
        <v>0</v>
      </c>
      <c r="BE34" s="30">
        <f>COUNTIF(ParticipationOctobre1[[#This Row],[1]:[31]],code21)</f>
        <v>0</v>
      </c>
      <c r="BF34" s="30">
        <f>COUNTIF(ParticipationOctobre1[[#This Row],[1]:[31]],Code24)</f>
        <v>0</v>
      </c>
      <c r="BG34" s="172">
        <f>COUNTIF(ParticipationOctobre1[[#This Row],[1]:[31]],code18)</f>
        <v>0</v>
      </c>
      <c r="BH34" s="172">
        <f>COUNTIF(ParticipationOctobre1[[#This Row],[1]:[31]],code19)</f>
        <v>0</v>
      </c>
      <c r="BI34" s="173">
        <f>COUNTIF(ParticipationOctobre1[[#This Row],[1]:[31]],Code120)</f>
        <v>0</v>
      </c>
      <c r="BJ34" s="319"/>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6">
        <f t="shared" si="0"/>
        <v>0</v>
      </c>
      <c r="CS34" s="205">
        <f t="shared" si="1"/>
        <v>0</v>
      </c>
      <c r="CT34" s="30">
        <f t="shared" si="2"/>
        <v>0</v>
      </c>
      <c r="CU34" s="175"/>
    </row>
    <row r="35" spans="1:99" ht="14.25" thickTop="1">
      <c r="A35" s="200"/>
      <c r="B35" s="201"/>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387"/>
      <c r="BF35" s="387"/>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0"/>
      <c r="CS35" s="390"/>
      <c r="CT35" s="390"/>
      <c r="CU35" s="200"/>
    </row>
  </sheetData>
  <mergeCells count="5">
    <mergeCell ref="AH9:BI9"/>
    <mergeCell ref="A1:B1"/>
    <mergeCell ref="H7:I7"/>
    <mergeCell ref="L7:M7"/>
    <mergeCell ref="P7:Q7"/>
  </mergeCells>
  <conditionalFormatting sqref="C11:AG34">
    <cfRule type="expression" dxfId="577" priority="1">
      <formula>C11=Code27</formula>
    </cfRule>
    <cfRule type="expression" dxfId="576" priority="2">
      <formula>C11=Code26</formula>
    </cfRule>
    <cfRule type="expression" dxfId="575" priority="3">
      <formula>C11=Code25</formula>
    </cfRule>
    <cfRule type="expression" dxfId="574" priority="4">
      <formula>C11=Code24</formula>
    </cfRule>
    <cfRule type="expression" dxfId="573" priority="5">
      <formula>C11=Code23</formula>
    </cfRule>
    <cfRule type="expression" dxfId="572" priority="6">
      <formula>C11=code21</formula>
    </cfRule>
    <cfRule type="expression" dxfId="571" priority="7">
      <formula>C11=code22</formula>
    </cfRule>
    <cfRule type="expression" dxfId="570" priority="13" stopIfTrue="1">
      <formula>C11=code18</formula>
    </cfRule>
    <cfRule type="expression" dxfId="569" priority="14" stopIfTrue="1">
      <formula>C11=code19</formula>
    </cfRule>
    <cfRule type="expression" dxfId="568" priority="35" stopIfTrue="1">
      <formula>C11=Code17</formula>
    </cfRule>
    <cfRule type="expression" dxfId="567" priority="37" stopIfTrue="1">
      <formula>C11=Code16</formula>
    </cfRule>
    <cfRule type="expression" dxfId="566" priority="38" stopIfTrue="1">
      <formula>C11=Code15</formula>
    </cfRule>
    <cfRule type="expression" dxfId="565" priority="39" stopIfTrue="1">
      <formula>C11=Code13</formula>
    </cfRule>
    <cfRule type="expression" dxfId="564" priority="40" stopIfTrue="1">
      <formula>C11=Code14</formula>
    </cfRule>
    <cfRule type="expression" dxfId="563" priority="41" stopIfTrue="1">
      <formula>C11=Code12</formula>
    </cfRule>
    <cfRule type="expression" dxfId="562" priority="42" stopIfTrue="1">
      <formula>C11=Code11</formula>
    </cfRule>
    <cfRule type="expression" dxfId="561" priority="43" stopIfTrue="1">
      <formula>C11=Code10</formula>
    </cfRule>
    <cfRule type="expression" dxfId="560" priority="44" stopIfTrue="1">
      <formula>C11=Code9</formula>
    </cfRule>
    <cfRule type="expression" dxfId="559" priority="45" stopIfTrue="1">
      <formula>C11=Code8</formula>
    </cfRule>
    <cfRule type="expression" dxfId="558" priority="52" stopIfTrue="1">
      <formula>C11=Code7</formula>
    </cfRule>
    <cfRule type="expression" dxfId="557" priority="55" stopIfTrue="1">
      <formula>C11=Code6</formula>
    </cfRule>
    <cfRule type="expression" dxfId="556" priority="58" stopIfTrue="1">
      <formula>C11=Code5</formula>
    </cfRule>
    <cfRule type="expression" dxfId="555" priority="59" stopIfTrue="1">
      <formula>C11=Code4</formula>
    </cfRule>
    <cfRule type="expression" dxfId="554" priority="60" stopIfTrue="1">
      <formula>C11=Code3</formula>
    </cfRule>
    <cfRule type="expression" dxfId="553" priority="61" stopIfTrue="1">
      <formula>C11=Code1</formula>
    </cfRule>
  </conditionalFormatting>
  <conditionalFormatting sqref="C11:AI34">
    <cfRule type="expression" dxfId="552" priority="57" stopIfTrue="1">
      <formula>C11=Code2</formula>
    </cfRule>
  </conditionalFormatting>
  <conditionalFormatting sqref="CU32:CU33">
    <cfRule type="dataBar" priority="26">
      <dataBar>
        <cfvo type="min"/>
        <cfvo type="num" val="31"/>
        <color theme="4"/>
      </dataBar>
      <extLst>
        <ext xmlns:x14="http://schemas.microsoft.com/office/spreadsheetml/2009/9/main" uri="{B025F937-C7B1-47D3-B67F-A62EFF666E3E}">
          <x14:id>{EE2FBDFD-A150-49D2-B3E1-4587E8A7F51A}</x14:id>
        </ext>
      </extLst>
    </cfRule>
  </conditionalFormatting>
  <conditionalFormatting sqref="CU34">
    <cfRule type="dataBar" priority="25">
      <dataBar>
        <cfvo type="min"/>
        <cfvo type="num" val="31"/>
        <color theme="4"/>
      </dataBar>
      <extLst>
        <ext xmlns:x14="http://schemas.microsoft.com/office/spreadsheetml/2009/9/main" uri="{B025F937-C7B1-47D3-B67F-A62EFF666E3E}">
          <x14:id>{6709BDD0-AE9A-4B81-BFD8-E008E8CEF458}</x14:id>
        </ext>
      </extLst>
    </cfRule>
  </conditionalFormatting>
  <conditionalFormatting sqref="CR11:CR34">
    <cfRule type="dataBar" priority="23">
      <dataBar>
        <cfvo type="min"/>
        <cfvo type="num" val="31"/>
        <color theme="4"/>
      </dataBar>
      <extLst>
        <ext xmlns:x14="http://schemas.microsoft.com/office/spreadsheetml/2009/9/main" uri="{B025F937-C7B1-47D3-B67F-A62EFF666E3E}">
          <x14:id>{6ECA5528-9882-4163-AFB8-27A4FA018814}</x14:id>
        </ext>
      </extLst>
    </cfRule>
  </conditionalFormatting>
  <conditionalFormatting sqref="CS11:CT34">
    <cfRule type="dataBar" priority="24">
      <dataBar>
        <cfvo type="min"/>
        <cfvo type="num" val="31"/>
        <color theme="4"/>
      </dataBar>
      <extLst>
        <ext xmlns:x14="http://schemas.microsoft.com/office/spreadsheetml/2009/9/main" uri="{B025F937-C7B1-47D3-B67F-A62EFF666E3E}">
          <x14:id>{87BDFAE8-0D2E-4D81-9612-D9FA0848E121}</x14:id>
        </ext>
      </extLst>
    </cfRule>
  </conditionalFormatting>
  <conditionalFormatting sqref="CU31">
    <cfRule type="dataBar" priority="21">
      <dataBar>
        <cfvo type="min"/>
        <cfvo type="num" val="31"/>
        <color theme="4"/>
      </dataBar>
      <extLst>
        <ext xmlns:x14="http://schemas.microsoft.com/office/spreadsheetml/2009/9/main" uri="{B025F937-C7B1-47D3-B67F-A62EFF666E3E}">
          <x14:id>{2ECF3805-A234-4E7E-8C0C-431263F4E1C9}</x14:id>
        </ext>
      </extLst>
    </cfRule>
  </conditionalFormatting>
  <conditionalFormatting sqref="CU11:CU30">
    <cfRule type="dataBar" priority="22">
      <dataBar>
        <cfvo type="min"/>
        <cfvo type="num" val="31"/>
        <color theme="4"/>
      </dataBar>
      <extLst>
        <ext xmlns:x14="http://schemas.microsoft.com/office/spreadsheetml/2009/9/main" uri="{B025F937-C7B1-47D3-B67F-A62EFF666E3E}">
          <x14:id>{FD900E9D-6907-462B-B113-D426B4A083E1}</x14:id>
        </ext>
      </extLst>
    </cfRule>
  </conditionalFormatting>
  <conditionalFormatting sqref="AE28">
    <cfRule type="expression" dxfId="551" priority="12" stopIfTrue="1">
      <formula>C11=code20</formula>
    </cfRule>
  </conditionalFormatting>
  <dataValidations count="1">
    <dataValidation type="list" errorStyle="warning" allowBlank="1" showInputMessage="1" showErrorMessage="1" errorTitle="Whoops!" error="The Student ID you entered isn't on the Student List sheet. You can click Yes to use what you entered but that Student ID won't be available on the Student Attendance Report sheet." sqref="A11:A34">
      <formula1>IDÉtudiant1</formula1>
    </dataValidation>
  </dataValidations>
  <pageMargins left="0.7" right="0.7" top="0.75" bottom="0.75" header="0.3" footer="0.3"/>
  <pageSetup paperSize="9" orientation="portrait" horizontalDpi="0"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E2FBDFD-A150-49D2-B3E1-4587E8A7F51A}">
            <x14:dataBar minLength="0" maxLength="100" border="1" negativeBarBorderColorSameAsPositive="0">
              <x14:cfvo type="autoMin"/>
              <x14:cfvo type="num">
                <xm:f>31</xm:f>
              </x14:cfvo>
              <x14:borderColor theme="4"/>
              <x14:negativeFillColor rgb="FFFF0000"/>
              <x14:negativeBorderColor rgb="FFFF0000"/>
              <x14:axisColor rgb="FF000000"/>
            </x14:dataBar>
          </x14:cfRule>
          <xm:sqref>CU32:CU33</xm:sqref>
        </x14:conditionalFormatting>
        <x14:conditionalFormatting xmlns:xm="http://schemas.microsoft.com/office/excel/2006/main">
          <x14:cfRule type="dataBar" id="{6709BDD0-AE9A-4B81-BFD8-E008E8CEF458}">
            <x14:dataBar minLength="0" maxLength="100" border="1" negativeBarBorderColorSameAsPositive="0">
              <x14:cfvo type="autoMin"/>
              <x14:cfvo type="num">
                <xm:f>31</xm:f>
              </x14:cfvo>
              <x14:borderColor theme="4"/>
              <x14:negativeFillColor rgb="FFFF0000"/>
              <x14:negativeBorderColor rgb="FFFF0000"/>
              <x14:axisColor rgb="FF000000"/>
            </x14:dataBar>
          </x14:cfRule>
          <xm:sqref>CU34</xm:sqref>
        </x14:conditionalFormatting>
        <x14:conditionalFormatting xmlns:xm="http://schemas.microsoft.com/office/excel/2006/main">
          <x14:cfRule type="dataBar" id="{6ECA5528-9882-4163-AFB8-27A4FA018814}">
            <x14:dataBar minLength="0" maxLength="100" border="1" negativeBarBorderColorSameAsPositive="0">
              <x14:cfvo type="autoMin"/>
              <x14:cfvo type="num">
                <xm:f>31</xm:f>
              </x14:cfvo>
              <x14:borderColor theme="4"/>
              <x14:negativeFillColor rgb="FFFF0000"/>
              <x14:negativeBorderColor rgb="FFFF0000"/>
              <x14:axisColor rgb="FF000000"/>
            </x14:dataBar>
          </x14:cfRule>
          <xm:sqref>CR11:CR34</xm:sqref>
        </x14:conditionalFormatting>
        <x14:conditionalFormatting xmlns:xm="http://schemas.microsoft.com/office/excel/2006/main">
          <x14:cfRule type="dataBar" id="{87BDFAE8-0D2E-4D81-9612-D9FA0848E121}">
            <x14:dataBar minLength="0" maxLength="100" border="1" negativeBarBorderColorSameAsPositive="0">
              <x14:cfvo type="autoMin"/>
              <x14:cfvo type="num">
                <xm:f>31</xm:f>
              </x14:cfvo>
              <x14:borderColor theme="4"/>
              <x14:negativeFillColor rgb="FFFF0000"/>
              <x14:negativeBorderColor rgb="FFFF0000"/>
              <x14:axisColor rgb="FF000000"/>
            </x14:dataBar>
          </x14:cfRule>
          <xm:sqref>CS11:CT34</xm:sqref>
        </x14:conditionalFormatting>
        <x14:conditionalFormatting xmlns:xm="http://schemas.microsoft.com/office/excel/2006/main">
          <x14:cfRule type="dataBar" id="{2ECF3805-A234-4E7E-8C0C-431263F4E1C9}">
            <x14:dataBar minLength="0" maxLength="100" border="1" negativeBarBorderColorSameAsPositive="0">
              <x14:cfvo type="autoMin"/>
              <x14:cfvo type="num">
                <xm:f>31</xm:f>
              </x14:cfvo>
              <x14:borderColor theme="4"/>
              <x14:negativeFillColor rgb="FFFF0000"/>
              <x14:negativeBorderColor rgb="FFFF0000"/>
              <x14:axisColor rgb="FF000000"/>
            </x14:dataBar>
          </x14:cfRule>
          <xm:sqref>CU31</xm:sqref>
        </x14:conditionalFormatting>
        <x14:conditionalFormatting xmlns:xm="http://schemas.microsoft.com/office/excel/2006/main">
          <x14:cfRule type="dataBar" id="{FD900E9D-6907-462B-B113-D426B4A083E1}">
            <x14:dataBar minLength="0" maxLength="100" border="1" negativeBarBorderColorSameAsPositive="0">
              <x14:cfvo type="autoMin"/>
              <x14:cfvo type="num">
                <xm:f>31</xm:f>
              </x14:cfvo>
              <x14:borderColor theme="4"/>
              <x14:negativeFillColor rgb="FFFF0000"/>
              <x14:negativeBorderColor rgb="FFFF0000"/>
              <x14:axisColor rgb="FF000000"/>
            </x14:dataBar>
          </x14:cfRule>
          <xm:sqref>CU11:CU30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U37"/>
  <sheetViews>
    <sheetView topLeftCell="F1" workbookViewId="0">
      <selection activeCell="S7" sqref="S7"/>
    </sheetView>
  </sheetViews>
  <sheetFormatPr baseColWidth="10" defaultRowHeight="13.5"/>
  <cols>
    <col min="1" max="1" width="10.140625" customWidth="1"/>
    <col min="2" max="2" width="22.5703125" customWidth="1"/>
    <col min="3" max="3" width="6.7109375" customWidth="1"/>
    <col min="4" max="4" width="7.5703125" customWidth="1"/>
    <col min="15" max="15" width="6.5703125" customWidth="1"/>
    <col min="16" max="16" width="6.42578125" customWidth="1"/>
    <col min="18" max="18" width="5.7109375" customWidth="1"/>
    <col min="19" max="19" width="6.5703125" customWidth="1"/>
    <col min="20" max="20" width="5.140625" customWidth="1"/>
    <col min="21" max="21" width="6.42578125" customWidth="1"/>
    <col min="22" max="22" width="6.5703125" customWidth="1"/>
    <col min="23" max="23" width="5.42578125" customWidth="1"/>
    <col min="24" max="24" width="4.85546875" customWidth="1"/>
    <col min="25" max="25" width="5.140625" customWidth="1"/>
    <col min="26" max="26" width="4.5703125" customWidth="1"/>
    <col min="27" max="27" width="5.28515625" customWidth="1"/>
    <col min="28" max="29" width="5.85546875" customWidth="1"/>
    <col min="30" max="30" width="4.5703125" customWidth="1"/>
    <col min="31" max="31" width="5.85546875" customWidth="1"/>
    <col min="32" max="32" width="4.28515625" customWidth="1"/>
    <col min="33" max="33" width="5.42578125" customWidth="1"/>
    <col min="34" max="34" width="5.140625" customWidth="1"/>
    <col min="35" max="35" width="3.7109375" customWidth="1"/>
    <col min="36" max="36" width="4.5703125" customWidth="1"/>
    <col min="37" max="37" width="3.5703125" customWidth="1"/>
    <col min="38" max="39" width="3.85546875" customWidth="1"/>
    <col min="40" max="40" width="4.28515625" customWidth="1"/>
    <col min="41" max="41" width="3.28515625" customWidth="1"/>
    <col min="42" max="43" width="4" customWidth="1"/>
    <col min="44" max="44" width="4.42578125" customWidth="1"/>
    <col min="45" max="45" width="3.85546875" customWidth="1"/>
    <col min="46" max="47" width="4.28515625" customWidth="1"/>
    <col min="48" max="48" width="5.85546875" customWidth="1"/>
    <col min="49" max="49" width="4.42578125" customWidth="1"/>
    <col min="50" max="50" width="3.42578125" customWidth="1"/>
    <col min="51" max="55" width="3.7109375" customWidth="1"/>
    <col min="56" max="56" width="5.85546875" customWidth="1"/>
    <col min="57" max="57" width="4.85546875" customWidth="1"/>
    <col min="58" max="58" width="5.85546875" customWidth="1"/>
    <col min="59" max="59" width="4.85546875" customWidth="1"/>
    <col min="60" max="60" width="4.28515625" customWidth="1"/>
    <col min="61" max="61" width="5.42578125" customWidth="1"/>
    <col min="62" max="62" width="3.28515625" customWidth="1"/>
    <col min="63" max="63" width="3.7109375" customWidth="1"/>
    <col min="64" max="64" width="3.5703125" customWidth="1"/>
    <col min="65" max="65" width="3.28515625" customWidth="1"/>
    <col min="66" max="66" width="3.7109375" customWidth="1"/>
    <col min="67" max="68" width="3.28515625" customWidth="1"/>
    <col min="69" max="69" width="3.42578125" customWidth="1"/>
    <col min="70" max="70" width="3.5703125" customWidth="1"/>
    <col min="71" max="71" width="3.85546875" customWidth="1"/>
    <col min="72" max="73" width="3.5703125" customWidth="1"/>
    <col min="74" max="74" width="4.42578125" customWidth="1"/>
    <col min="75" max="75" width="4.5703125" customWidth="1"/>
    <col min="76" max="77" width="3.140625" customWidth="1"/>
    <col min="78" max="79" width="3.7109375" customWidth="1"/>
    <col min="80" max="80" width="3.42578125" customWidth="1"/>
    <col min="81" max="81" width="3.140625" customWidth="1"/>
    <col min="82" max="82" width="3" customWidth="1"/>
    <col min="83" max="84" width="3.140625" customWidth="1"/>
    <col min="85" max="85" width="3.42578125" customWidth="1"/>
    <col min="86" max="86" width="3" customWidth="1"/>
    <col min="87" max="87" width="3.42578125" customWidth="1"/>
    <col min="88" max="89" width="3.28515625" customWidth="1"/>
    <col min="90" max="90" width="3.42578125" customWidth="1"/>
    <col min="91" max="91" width="3.85546875" customWidth="1"/>
    <col min="92" max="92" width="3.28515625" customWidth="1"/>
    <col min="93" max="93" width="3.140625" customWidth="1"/>
    <col min="94" max="94" width="6" customWidth="1"/>
    <col min="95" max="95" width="17.85546875" customWidth="1"/>
    <col min="96" max="97" width="19.5703125" customWidth="1"/>
    <col min="98" max="98" width="24.42578125" customWidth="1"/>
    <col min="99" max="99" width="22.7109375" customWidth="1"/>
  </cols>
  <sheetData>
    <row r="1" spans="1:99" ht="28.5">
      <c r="A1" s="654" t="s">
        <v>503</v>
      </c>
      <c r="B1" s="655"/>
      <c r="C1" s="655"/>
      <c r="D1" s="655"/>
      <c r="E1" s="655"/>
      <c r="F1" s="654"/>
      <c r="G1" s="655"/>
      <c r="H1" s="655"/>
      <c r="I1" s="655"/>
      <c r="J1" s="655"/>
      <c r="K1" s="654"/>
      <c r="L1" s="655"/>
      <c r="M1" s="655"/>
      <c r="N1" s="655"/>
      <c r="O1" s="655"/>
      <c r="P1" s="22"/>
      <c r="Q1" s="22"/>
      <c r="R1" s="22"/>
      <c r="S1" s="22"/>
      <c r="T1" s="22"/>
      <c r="U1" s="22"/>
      <c r="V1" s="22"/>
      <c r="W1" s="22"/>
      <c r="X1" s="22"/>
      <c r="Y1" s="22"/>
      <c r="Z1" s="22"/>
      <c r="AA1" s="22"/>
      <c r="AB1" s="22"/>
      <c r="AC1" s="21"/>
      <c r="AD1" s="21"/>
      <c r="AE1" s="21"/>
      <c r="AF1" s="21"/>
      <c r="AG1" s="23"/>
      <c r="AH1" s="21"/>
      <c r="AI1" s="24"/>
      <c r="AJ1" s="21"/>
      <c r="AK1" s="32" t="s">
        <v>111</v>
      </c>
      <c r="AL1" s="32"/>
      <c r="AM1" s="32"/>
      <c r="AN1" s="32"/>
      <c r="AO1" s="32"/>
      <c r="AP1" s="32"/>
      <c r="AQ1" s="32"/>
      <c r="AR1" s="32"/>
      <c r="AS1" s="32"/>
      <c r="AT1" s="32"/>
      <c r="AU1" s="32"/>
      <c r="AV1" s="32"/>
      <c r="AW1" s="32"/>
      <c r="AX1" s="32"/>
      <c r="AY1" s="32"/>
      <c r="AZ1" s="32"/>
      <c r="BA1" s="32"/>
      <c r="BB1" s="32"/>
      <c r="BC1" s="32"/>
      <c r="BD1" s="32"/>
      <c r="BE1" s="32"/>
      <c r="BF1" s="32"/>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row>
    <row r="2" spans="1:99">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row>
    <row r="3" spans="1:99" ht="14.25">
      <c r="D3" s="31" t="s">
        <v>104</v>
      </c>
      <c r="E3" s="208" t="s">
        <v>514</v>
      </c>
      <c r="F3" s="236" t="s">
        <v>527</v>
      </c>
      <c r="G3" s="207" t="s">
        <v>528</v>
      </c>
      <c r="H3" s="209" t="s">
        <v>105</v>
      </c>
      <c r="I3" s="210" t="s">
        <v>515</v>
      </c>
      <c r="J3" s="211" t="s">
        <v>106</v>
      </c>
      <c r="K3" s="210" t="s">
        <v>516</v>
      </c>
      <c r="L3" s="212" t="s">
        <v>107</v>
      </c>
      <c r="M3" s="210" t="s">
        <v>517</v>
      </c>
      <c r="N3" s="207"/>
      <c r="O3" s="213" t="s">
        <v>483</v>
      </c>
      <c r="P3" s="210" t="s">
        <v>518</v>
      </c>
      <c r="Q3" s="210"/>
      <c r="R3" s="214" t="s">
        <v>484</v>
      </c>
      <c r="S3" s="207" t="s">
        <v>526</v>
      </c>
      <c r="T3" s="215"/>
      <c r="U3" s="216" t="s">
        <v>485</v>
      </c>
      <c r="V3" s="207" t="s">
        <v>525</v>
      </c>
      <c r="W3" s="207"/>
      <c r="X3" s="217" t="s">
        <v>489</v>
      </c>
      <c r="Y3" s="207" t="s">
        <v>510</v>
      </c>
      <c r="Z3" s="218" t="s">
        <v>490</v>
      </c>
      <c r="AA3" s="207" t="s">
        <v>511</v>
      </c>
      <c r="AB3" s="207"/>
      <c r="AC3" s="219" t="s">
        <v>491</v>
      </c>
      <c r="AD3" s="207" t="s">
        <v>512</v>
      </c>
      <c r="AE3" s="220" t="s">
        <v>492</v>
      </c>
      <c r="AF3" s="207" t="s">
        <v>513</v>
      </c>
      <c r="AG3" s="207"/>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row>
    <row r="4" spans="1:99" ht="15" thickBot="1">
      <c r="C4" t="s">
        <v>535</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row>
    <row r="5" spans="1:99" ht="14.25">
      <c r="D5" s="234" t="s">
        <v>529</v>
      </c>
      <c r="E5" s="221" t="s">
        <v>530</v>
      </c>
      <c r="F5" s="222" t="s">
        <v>35</v>
      </c>
      <c r="G5" s="210" t="s">
        <v>519</v>
      </c>
      <c r="H5" s="223" t="s">
        <v>108</v>
      </c>
      <c r="I5" s="43" t="s">
        <v>520</v>
      </c>
      <c r="J5" s="224" t="s">
        <v>109</v>
      </c>
      <c r="K5" s="207" t="s">
        <v>521</v>
      </c>
      <c r="L5" s="225" t="s">
        <v>486</v>
      </c>
      <c r="M5" s="207" t="s">
        <v>522</v>
      </c>
      <c r="N5" s="207"/>
      <c r="O5" s="226" t="s">
        <v>487</v>
      </c>
      <c r="P5" s="207" t="s">
        <v>523</v>
      </c>
      <c r="Q5" s="207"/>
      <c r="R5" s="227" t="s">
        <v>488</v>
      </c>
      <c r="S5" s="228" t="s">
        <v>524</v>
      </c>
      <c r="T5" s="9"/>
      <c r="U5" s="233" t="s">
        <v>507</v>
      </c>
      <c r="V5" s="207" t="s">
        <v>508</v>
      </c>
      <c r="W5" s="9"/>
      <c r="X5" s="229" t="s">
        <v>496</v>
      </c>
      <c r="Y5" s="207" t="s">
        <v>499</v>
      </c>
      <c r="Z5" s="230" t="s">
        <v>497</v>
      </c>
      <c r="AA5" s="207" t="s">
        <v>500</v>
      </c>
      <c r="AB5" s="9"/>
      <c r="AC5" s="231" t="s">
        <v>498</v>
      </c>
      <c r="AD5" s="207" t="s">
        <v>501</v>
      </c>
      <c r="AE5" s="235" t="s">
        <v>531</v>
      </c>
      <c r="AF5" s="43" t="s">
        <v>532</v>
      </c>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row>
    <row r="6" spans="1:99" ht="14.25">
      <c r="D6" s="349"/>
      <c r="E6" s="385"/>
      <c r="F6" s="351"/>
      <c r="G6" s="352"/>
      <c r="H6" s="353"/>
      <c r="I6" s="354"/>
      <c r="J6" s="355"/>
      <c r="K6" s="207"/>
      <c r="L6" s="355"/>
      <c r="M6" s="207"/>
      <c r="N6" s="207"/>
      <c r="O6" s="355"/>
      <c r="P6" s="207"/>
      <c r="Q6" s="207"/>
      <c r="R6" s="355"/>
      <c r="S6" s="228"/>
      <c r="T6" s="358"/>
      <c r="U6" s="356"/>
      <c r="V6" s="207"/>
      <c r="W6" s="358"/>
      <c r="X6" s="357"/>
      <c r="Y6" s="207"/>
      <c r="Z6" s="357"/>
      <c r="AA6" s="207"/>
      <c r="AB6" s="358"/>
      <c r="AC6" s="357"/>
      <c r="AD6" s="207"/>
      <c r="AE6" s="358"/>
      <c r="AF6" s="43"/>
      <c r="AG6" s="43"/>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row>
    <row r="7" spans="1:99" ht="14.25">
      <c r="D7" s="334" t="s">
        <v>604</v>
      </c>
      <c r="E7" s="335" t="s">
        <v>610</v>
      </c>
      <c r="F7" s="375"/>
      <c r="G7" s="375"/>
      <c r="H7" s="344" t="s">
        <v>620</v>
      </c>
      <c r="I7" s="656" t="s">
        <v>621</v>
      </c>
      <c r="J7" s="658"/>
      <c r="K7" s="374"/>
      <c r="L7" s="394" t="s">
        <v>627</v>
      </c>
      <c r="M7" s="656" t="s">
        <v>628</v>
      </c>
      <c r="N7" s="658"/>
      <c r="O7" s="418" t="s">
        <v>631</v>
      </c>
      <c r="P7" s="656" t="s">
        <v>632</v>
      </c>
      <c r="Q7" s="658"/>
      <c r="R7" s="355"/>
      <c r="S7" s="445" t="s">
        <v>634</v>
      </c>
      <c r="T7" s="43" t="s">
        <v>633</v>
      </c>
      <c r="U7" s="356"/>
      <c r="V7" s="207"/>
      <c r="W7" s="358"/>
      <c r="X7" s="357"/>
      <c r="Y7" s="207"/>
      <c r="Z7" s="357"/>
      <c r="AA7" s="207"/>
      <c r="AB7" s="358"/>
      <c r="AC7" s="357"/>
      <c r="AD7" s="207"/>
      <c r="AE7" s="358"/>
      <c r="AF7" s="43"/>
      <c r="AG7" s="43"/>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row>
    <row r="8" spans="1:99">
      <c r="D8" s="9"/>
      <c r="E8" s="9"/>
      <c r="F8" s="20"/>
      <c r="G8" s="9"/>
      <c r="H8" s="9"/>
      <c r="I8" s="9"/>
      <c r="J8" s="9"/>
      <c r="K8" s="9"/>
      <c r="L8" s="9"/>
      <c r="M8" s="9"/>
      <c r="N8" s="9"/>
      <c r="O8" s="9"/>
      <c r="P8" s="9"/>
      <c r="Q8" s="9"/>
      <c r="R8" s="9"/>
      <c r="S8" s="9"/>
      <c r="U8" s="9"/>
      <c r="V8" s="9"/>
      <c r="W8" s="9"/>
      <c r="X8" s="9"/>
      <c r="Y8" s="9"/>
      <c r="Z8" s="9"/>
      <c r="AB8" s="9"/>
      <c r="AC8" s="9"/>
      <c r="AD8" s="9"/>
      <c r="AE8" s="9"/>
      <c r="AF8" s="9"/>
      <c r="AG8" s="9"/>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row>
    <row r="9" spans="1:99" ht="15" thickBot="1">
      <c r="A9" s="72">
        <f>DATE(2018,11,1)</f>
        <v>43405</v>
      </c>
      <c r="B9" s="153"/>
      <c r="C9" s="151" t="str">
        <f>TEXT(WEEKDAY(DATE(2018,11,1),1),"[$-40c]aaa")</f>
        <v>1900</v>
      </c>
      <c r="D9" s="25" t="str">
        <f>TEXT(WEEKDAY(DATE(2018,11,2),1),"[$-40c]aaa")</f>
        <v>1900</v>
      </c>
      <c r="E9" s="25" t="str">
        <f>TEXT(WEEKDAY(DATE(2018,11,3),1),"[$-40c]aaa")</f>
        <v>1900</v>
      </c>
      <c r="F9" s="25" t="str">
        <f>TEXT(WEEKDAY(DATE(2018,11,4),1),"[$-40c]aaa")</f>
        <v>1900</v>
      </c>
      <c r="G9" s="25" t="str">
        <f>TEXT(WEEKDAY(DATE(2018,9,5),1),"[$-40c]aaa")</f>
        <v>1900</v>
      </c>
      <c r="H9" s="25" t="str">
        <f>TEXT(WEEKDAY(DATE(2018,11,6),1),"[$-40c]aaa")</f>
        <v>1900</v>
      </c>
      <c r="I9" s="25" t="str">
        <f>TEXT(WEEKDAY(DATE(2018,11,7),1),"[$-40c]aaa")</f>
        <v>1900</v>
      </c>
      <c r="J9" s="25" t="str">
        <f>TEXT(WEEKDAY(DATE(2018,11,8),1),"[$-40c]aaa")</f>
        <v>1900</v>
      </c>
      <c r="K9" s="25" t="str">
        <f>TEXT(WEEKDAY(DATE(2018,11,9),1),"[$-40c]aaa")</f>
        <v>1900</v>
      </c>
      <c r="L9" s="25" t="str">
        <f>TEXT(WEEKDAY(DATE(2018,11,10),1),"[$-40c]aaa")</f>
        <v>1900</v>
      </c>
      <c r="M9" s="25" t="str">
        <f>TEXT(WEEKDAY(DATE(2018,11,11),1),"[$-40c]aaa")</f>
        <v>1900</v>
      </c>
      <c r="N9" s="25" t="str">
        <f>TEXT(WEEKDAY(DATE(2018,11,12),1),"[$-40c]aaa")</f>
        <v>1900</v>
      </c>
      <c r="O9" s="25" t="str">
        <f>TEXT(WEEKDAY(DATE(2018,11,13),1),"[$-40c]aaa")</f>
        <v>1900</v>
      </c>
      <c r="P9" s="25" t="str">
        <f>TEXT(WEEKDAY(DATE(2018,11,14),1),"[$-40c]aaa")</f>
        <v>1900</v>
      </c>
      <c r="Q9" s="25" t="str">
        <f>TEXT(WEEKDAY(DATE(2018,11,15),1),"[$-40c]aaa")</f>
        <v>1900</v>
      </c>
      <c r="R9" s="25" t="str">
        <f>TEXT(WEEKDAY(DATE(2018,11,16),1),"[$-40c]aaa")</f>
        <v>1900</v>
      </c>
      <c r="S9" s="25" t="str">
        <f>TEXT(WEEKDAY(DATE(2018,11,17),1),"[$-40c]aaa")</f>
        <v>1900</v>
      </c>
      <c r="T9" s="25" t="str">
        <f>TEXT(WEEKDAY(DATE(2018,11,18),1),"[$-40c]aaa")</f>
        <v>1900</v>
      </c>
      <c r="U9" s="25" t="str">
        <f>TEXT(WEEKDAY(DATE(2018,11,19),1),"[$-40c]aaa")</f>
        <v>1900</v>
      </c>
      <c r="V9" s="25" t="str">
        <f>TEXT(WEEKDAY(DATE(2018,11,20),1),"[$-40c]aaa")</f>
        <v>1900</v>
      </c>
      <c r="W9" s="25" t="str">
        <f>TEXT(WEEKDAY(DATE(2018,11,21),1),"[$-40c]aaa")</f>
        <v>1900</v>
      </c>
      <c r="X9" s="25" t="str">
        <f>TEXT(WEEKDAY(DATE(2018,11,22),1),"[$-40c]aaa")</f>
        <v>1900</v>
      </c>
      <c r="Y9" s="25" t="str">
        <f>TEXT(WEEKDAY(DATE(2018,11,23),1),"[$-40c]aaa")</f>
        <v>1900</v>
      </c>
      <c r="Z9" s="25" t="str">
        <f>TEXT(WEEKDAY(DATE(2018,11,24),1),"[$-40c]aaa")</f>
        <v>1900</v>
      </c>
      <c r="AA9" s="25" t="str">
        <f>TEXT(WEEKDAY(DATE(2018,11,25),1),"[$-40c]aaa")</f>
        <v>1900</v>
      </c>
      <c r="AB9" s="25" t="str">
        <f>TEXT(WEEKDAY(DATE(2018,11,26),1),"[$-40c]aaa")</f>
        <v>1900</v>
      </c>
      <c r="AC9" s="25" t="str">
        <f>TEXT(WEEKDAY(DATE(2018,11,27),1),"[$-40c]aaa")</f>
        <v>1900</v>
      </c>
      <c r="AD9" s="25" t="str">
        <f>TEXT(WEEKDAY(DATE(2018,11,28),1),"[$-40c]aaa")</f>
        <v>1900</v>
      </c>
      <c r="AE9" s="25" t="str">
        <f>TEXT(WEEKDAY(DATE(2018,11,29),1),"[$-40c]aaa")</f>
        <v>1900</v>
      </c>
      <c r="AF9" s="142" t="str">
        <f>TEXT(WEEKDAY(DATE(2018,11,30),1),"[$-40c]aaa")</f>
        <v>1900</v>
      </c>
      <c r="AG9" s="403" t="s">
        <v>36</v>
      </c>
      <c r="AH9" s="403"/>
      <c r="AI9" s="403"/>
      <c r="AJ9" s="403"/>
      <c r="AK9" s="403"/>
      <c r="AL9" s="403"/>
      <c r="AM9" s="403"/>
      <c r="AN9" s="403"/>
      <c r="AO9" s="403"/>
      <c r="AP9" s="403"/>
      <c r="AQ9" s="403"/>
      <c r="AR9" s="403"/>
      <c r="AS9" s="403"/>
      <c r="AT9" s="403"/>
      <c r="AU9" s="403"/>
      <c r="AV9" s="403"/>
      <c r="AW9" s="403"/>
      <c r="AX9" s="140"/>
      <c r="AY9" s="140"/>
      <c r="AZ9" s="140"/>
      <c r="BA9" s="140"/>
      <c r="BB9" s="140"/>
      <c r="BC9" s="140"/>
      <c r="BD9" s="140"/>
      <c r="BE9" s="140"/>
      <c r="BF9" s="85"/>
      <c r="BG9" s="247"/>
      <c r="BH9" s="251"/>
      <c r="BI9" s="299"/>
      <c r="BJ9" s="251"/>
      <c r="BK9" s="251"/>
      <c r="BL9" s="312"/>
      <c r="BM9" s="251"/>
      <c r="BN9" s="251"/>
      <c r="BO9" s="251"/>
      <c r="BP9" s="251"/>
      <c r="BQ9" s="251"/>
      <c r="BR9" s="251"/>
      <c r="BS9" s="251"/>
      <c r="BT9" s="251"/>
      <c r="BU9" s="251"/>
      <c r="BV9" s="251"/>
      <c r="BW9" s="251" t="s">
        <v>575</v>
      </c>
      <c r="BX9" s="251"/>
      <c r="BY9" s="251"/>
      <c r="BZ9" s="251"/>
      <c r="CA9" s="251"/>
      <c r="CB9" s="251"/>
      <c r="CC9" s="251"/>
      <c r="CD9" s="251"/>
      <c r="CE9" s="251"/>
      <c r="CF9" s="251"/>
      <c r="CG9" s="251"/>
      <c r="CH9" s="251"/>
      <c r="CI9" s="251"/>
      <c r="CJ9" s="251"/>
      <c r="CK9" s="251"/>
      <c r="CL9" s="251"/>
      <c r="CM9" s="251"/>
      <c r="CN9" s="251"/>
      <c r="CO9" s="251"/>
      <c r="CP9" s="251"/>
      <c r="CQ9" s="251"/>
      <c r="CR9" s="251"/>
      <c r="CS9" s="251"/>
      <c r="CT9" s="87"/>
    </row>
    <row r="10" spans="1:99" ht="15" thickTop="1" thickBot="1">
      <c r="A10" s="28" t="s">
        <v>33</v>
      </c>
      <c r="B10" s="154" t="s">
        <v>32</v>
      </c>
      <c r="C10" s="3" t="s">
        <v>0</v>
      </c>
      <c r="D10" s="3" t="s">
        <v>1</v>
      </c>
      <c r="E10" s="3" t="s">
        <v>2</v>
      </c>
      <c r="F10" s="3" t="s">
        <v>3</v>
      </c>
      <c r="G10" s="3" t="s">
        <v>4</v>
      </c>
      <c r="H10" s="3" t="s">
        <v>5</v>
      </c>
      <c r="I10" s="3" t="s">
        <v>6</v>
      </c>
      <c r="J10" s="3" t="s">
        <v>7</v>
      </c>
      <c r="K10" s="3" t="s">
        <v>8</v>
      </c>
      <c r="L10" s="3" t="s">
        <v>9</v>
      </c>
      <c r="M10" s="3" t="s">
        <v>10</v>
      </c>
      <c r="N10" s="3" t="s">
        <v>11</v>
      </c>
      <c r="O10" s="3" t="s">
        <v>12</v>
      </c>
      <c r="P10" s="3" t="s">
        <v>13</v>
      </c>
      <c r="Q10" s="3" t="s">
        <v>14</v>
      </c>
      <c r="R10" s="3" t="s">
        <v>15</v>
      </c>
      <c r="S10" s="3" t="s">
        <v>16</v>
      </c>
      <c r="T10" s="3" t="s">
        <v>17</v>
      </c>
      <c r="U10" s="3" t="s">
        <v>18</v>
      </c>
      <c r="V10" s="3" t="s">
        <v>19</v>
      </c>
      <c r="W10" s="3" t="s">
        <v>20</v>
      </c>
      <c r="X10" s="3" t="s">
        <v>21</v>
      </c>
      <c r="Y10" s="3" t="s">
        <v>22</v>
      </c>
      <c r="Z10" s="3" t="s">
        <v>23</v>
      </c>
      <c r="AA10" s="3" t="s">
        <v>24</v>
      </c>
      <c r="AB10" s="3" t="s">
        <v>25</v>
      </c>
      <c r="AC10" s="3" t="s">
        <v>26</v>
      </c>
      <c r="AD10" s="3" t="s">
        <v>27</v>
      </c>
      <c r="AE10" s="3" t="s">
        <v>28</v>
      </c>
      <c r="AF10" s="143" t="s">
        <v>29</v>
      </c>
      <c r="AG10" s="55" t="s">
        <v>104</v>
      </c>
      <c r="AH10" s="236" t="s">
        <v>527</v>
      </c>
      <c r="AI10" s="40" t="s">
        <v>105</v>
      </c>
      <c r="AJ10" s="41" t="s">
        <v>106</v>
      </c>
      <c r="AK10" s="42" t="s">
        <v>107</v>
      </c>
      <c r="AL10" s="75" t="s">
        <v>35</v>
      </c>
      <c r="AM10" s="234" t="s">
        <v>529</v>
      </c>
      <c r="AN10" s="76" t="s">
        <v>108</v>
      </c>
      <c r="AO10" s="77" t="s">
        <v>109</v>
      </c>
      <c r="AP10" s="97" t="s">
        <v>483</v>
      </c>
      <c r="AQ10" s="90" t="s">
        <v>484</v>
      </c>
      <c r="AR10" s="95" t="s">
        <v>485</v>
      </c>
      <c r="AS10" s="96" t="s">
        <v>486</v>
      </c>
      <c r="AT10" s="91" t="s">
        <v>487</v>
      </c>
      <c r="AU10" s="129" t="s">
        <v>489</v>
      </c>
      <c r="AV10" s="92" t="s">
        <v>493</v>
      </c>
      <c r="AW10" s="93" t="s">
        <v>490</v>
      </c>
      <c r="AX10" s="94" t="s">
        <v>491</v>
      </c>
      <c r="AY10" s="111" t="s">
        <v>492</v>
      </c>
      <c r="AZ10" s="408" t="s">
        <v>604</v>
      </c>
      <c r="BA10" s="423" t="s">
        <v>620</v>
      </c>
      <c r="BB10" s="76" t="s">
        <v>627</v>
      </c>
      <c r="BC10" s="424" t="s">
        <v>631</v>
      </c>
      <c r="BD10" s="198" t="s">
        <v>507</v>
      </c>
      <c r="BE10" s="235" t="s">
        <v>531</v>
      </c>
      <c r="BF10" s="133" t="s">
        <v>496</v>
      </c>
      <c r="BG10" s="135" t="s">
        <v>497</v>
      </c>
      <c r="BH10" s="163" t="s">
        <v>498</v>
      </c>
      <c r="BI10" s="313" t="s">
        <v>544</v>
      </c>
      <c r="BJ10" s="146" t="s">
        <v>545</v>
      </c>
      <c r="BK10" s="146" t="s">
        <v>546</v>
      </c>
      <c r="BL10" s="146" t="s">
        <v>542</v>
      </c>
      <c r="BM10" s="146" t="s">
        <v>543</v>
      </c>
      <c r="BN10" s="146" t="s">
        <v>547</v>
      </c>
      <c r="BO10" s="146" t="s">
        <v>548</v>
      </c>
      <c r="BP10" s="146" t="s">
        <v>549</v>
      </c>
      <c r="BQ10" s="146" t="s">
        <v>550</v>
      </c>
      <c r="BR10" s="146" t="s">
        <v>551</v>
      </c>
      <c r="BS10" s="146" t="s">
        <v>552</v>
      </c>
      <c r="BT10" s="146" t="s">
        <v>553</v>
      </c>
      <c r="BU10" s="146" t="s">
        <v>574</v>
      </c>
      <c r="BV10" s="146" t="s">
        <v>554</v>
      </c>
      <c r="BW10" s="146" t="s">
        <v>555</v>
      </c>
      <c r="BX10" s="146" t="s">
        <v>556</v>
      </c>
      <c r="BY10" s="146" t="s">
        <v>558</v>
      </c>
      <c r="BZ10" s="146" t="s">
        <v>557</v>
      </c>
      <c r="CA10" s="146" t="s">
        <v>559</v>
      </c>
      <c r="CB10" s="146" t="s">
        <v>560</v>
      </c>
      <c r="CC10" s="146" t="s">
        <v>561</v>
      </c>
      <c r="CD10" s="146" t="s">
        <v>562</v>
      </c>
      <c r="CE10" s="146" t="s">
        <v>563</v>
      </c>
      <c r="CF10" s="146" t="s">
        <v>564</v>
      </c>
      <c r="CG10" s="146" t="s">
        <v>565</v>
      </c>
      <c r="CH10" s="146" t="s">
        <v>566</v>
      </c>
      <c r="CI10" s="146" t="s">
        <v>567</v>
      </c>
      <c r="CJ10" s="146" t="s">
        <v>568</v>
      </c>
      <c r="CK10" s="146" t="s">
        <v>569</v>
      </c>
      <c r="CL10" s="146" t="s">
        <v>570</v>
      </c>
      <c r="CM10" s="146" t="s">
        <v>571</v>
      </c>
      <c r="CN10" s="146" t="s">
        <v>572</v>
      </c>
      <c r="CO10" s="309" t="s">
        <v>573</v>
      </c>
      <c r="CP10" s="310" t="s">
        <v>611</v>
      </c>
      <c r="CQ10" s="166" t="s">
        <v>494</v>
      </c>
      <c r="CR10" s="166" t="s">
        <v>495</v>
      </c>
      <c r="CS10" s="252" t="s">
        <v>536</v>
      </c>
      <c r="CT10" s="167" t="s">
        <v>502</v>
      </c>
      <c r="CU10" t="s">
        <v>629</v>
      </c>
    </row>
    <row r="11" spans="1:99" ht="14.25" thickTop="1">
      <c r="A11" s="413"/>
      <c r="B11" s="152"/>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44"/>
      <c r="AG11" s="6">
        <f ca="1">COUNTIF(PArticipationNovembre1[[#This Row],[2]:[A]],Code2)</f>
        <v>0</v>
      </c>
      <c r="AH11" s="6">
        <f ca="1">COUNTIF(PArticipationNovembre1[[#This Row],[2]:[A]],code22)</f>
        <v>0</v>
      </c>
      <c r="AI11" s="6">
        <f ca="1">COUNTIF(PArticipationNovembre1[[#This Row],[2]:[A]],Code2)</f>
        <v>0</v>
      </c>
      <c r="AJ11" s="6">
        <f ca="1">COUNTIF(PArticipationNovembre1[[#This Row],[2]:[A]],Code3)</f>
        <v>0</v>
      </c>
      <c r="AK11" s="6"/>
      <c r="AL11" s="6">
        <f ca="1">COUNTIF(PArticipationNovembre1[[#This Row],[2]:[A]],Code5)</f>
        <v>0</v>
      </c>
      <c r="AM11" s="6">
        <f ca="1">COUNTIF(PArticipationNovembre1[[#This Row],[2]:[A]],Code23)</f>
        <v>0</v>
      </c>
      <c r="AN11" s="6">
        <f ca="1">COUNTIF(PArticipationNovembre1[[#This Row],[2]:[A]],Code6)</f>
        <v>0</v>
      </c>
      <c r="AO11" s="6">
        <f ca="1">COUNTIF(PArticipationNovembre1[[#This Row],[2]:[A]],Code7)</f>
        <v>0</v>
      </c>
      <c r="AP11" s="6">
        <f ca="1">COUNTIF(PArticipationNovembre1[[#This Row],[2]:[A]],Code8)</f>
        <v>0</v>
      </c>
      <c r="AQ11" s="6">
        <f ca="1">COUNTIF(PArticipationNovembre1[[#This Row],[2]:[A]],Code9)</f>
        <v>0</v>
      </c>
      <c r="AR11" s="6">
        <f ca="1">COUNTIF(PArticipationNovembre1[[#This Row],[2]:[A]],Code10)</f>
        <v>0</v>
      </c>
      <c r="AS11" s="6">
        <f ca="1">COUNTIF(PArticipationNovembre1[[#This Row],[2]:[A]],Code11)</f>
        <v>0</v>
      </c>
      <c r="AT11" s="6">
        <f ca="1">COUNTIF(PArticipationNovembre1[[#This Row],[2]:[A]],Code12)</f>
        <v>0</v>
      </c>
      <c r="AU11" s="6">
        <f ca="1">COUNTIF(PArticipationNovembre1[[#This Row],[2]:[A]],Code13)</f>
        <v>0</v>
      </c>
      <c r="AV11" s="6">
        <f ca="1">COUNTIF(PArticipationNovembre1[[#This Row],[2]:[A]],Code14)</f>
        <v>0</v>
      </c>
      <c r="AW11" s="6">
        <f ca="1">COUNTIF(PArticipationNovembre1[[#This Row],[2]:[A]],Code15)</f>
        <v>0</v>
      </c>
      <c r="AX11" s="6">
        <f ca="1">COUNTIF(PArticipationNovembre1[[#This Row],[2]:[A]],Code16)</f>
        <v>0</v>
      </c>
      <c r="AY11" s="6">
        <f ca="1">COUNTIF(PArticipationNovembre1[[#This Row],[2]:[A]],Code17)</f>
        <v>0</v>
      </c>
      <c r="AZ11" s="6">
        <f ca="1">COUNTIF(PArticipationNovembre1[[#This Row],[2]:[A]],Code25)</f>
        <v>0</v>
      </c>
      <c r="BA11" s="6">
        <f ca="1">COUNTIF(PArticipationNovembre1[[#This Row],[2]:[A]],Code26)</f>
        <v>0</v>
      </c>
      <c r="BB11" s="6">
        <f ca="1">COUNTIF(PArticipationNovembre1[[#This Row],[2]:[A]],Code27)</f>
        <v>0</v>
      </c>
      <c r="BC11" s="6">
        <f ca="1">COUNTIF(PArticipationNovembre1[[#This Row],[2]:[A]],Code28)</f>
        <v>0</v>
      </c>
      <c r="BD11" s="6">
        <f ca="1">COUNTIF(PArticipationNovembre1[[#This Row],[2]:[A]],code21)</f>
        <v>0</v>
      </c>
      <c r="BE11" s="6">
        <f ca="1">COUNTIF(PArticipationNovembre1[[#This Row],[2]:[A]],Code24)</f>
        <v>0</v>
      </c>
      <c r="BF11" s="6">
        <f ca="1">COUNTIF(PArticipationNovembre1[[#This Row],[2]:[A]],code18)</f>
        <v>0</v>
      </c>
      <c r="BG11" s="6">
        <f ca="1">COUNTIF(PArticipationNovembre1[[#This Row],[2]:[A]],code19)</f>
        <v>0</v>
      </c>
      <c r="BH11" s="182">
        <f ca="1">COUNTIF(PArticipationNovembre1[[#This Row],[2]:[A]],code20)</f>
        <v>0</v>
      </c>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204"/>
      <c r="CP11" s="182"/>
      <c r="CQ11" s="156">
        <f t="shared" ref="CQ11:CQ35" ca="1" si="0">SUM((AH11*1)+(AI11*1.5)+(AJ11*2)+(AK11*3)+(AP11*5)+(AQ11*6)+(AR11*7)+(AU11*2)+(AX11*3)+(AY11*4)+(BA11*5)+(BB11*3)+(BC11*2)+(BE11*2)+(AZ11*2)+(BD11*2))</f>
        <v>0</v>
      </c>
      <c r="CR11" s="156">
        <f t="shared" ref="CR11:CR35" ca="1" si="1">SUM((AN11*1)+(AM11*2)+(AO11*3)+(AP11*4)+(AT11*5)+(AU11*7)+(AV11*7)+(AW11*7)+(AX11*4)+(AY11*3)+(BA11*2)+(BC11*4)+(BB11*1)+(BE11*2)+(AZ11*5)+(BD11*1))</f>
        <v>0</v>
      </c>
      <c r="CS11" s="237">
        <f t="shared" ref="CS11:CS35" ca="1" si="2">BE11*2</f>
        <v>0</v>
      </c>
      <c r="CT11" s="177">
        <f ca="1">SUM((BF11*7)+(BG11*10)+(BH11*12))</f>
        <v>0</v>
      </c>
    </row>
    <row r="12" spans="1:99">
      <c r="A12" s="414" t="str">
        <f>IFERROR(VLOOKUP(ParticipationDecembre1[[#This Row],[Référence]],ListeÉtudiants1[],18,FALSE),"")</f>
        <v/>
      </c>
      <c r="B12" s="152" t="str">
        <f>IFERROR(VLOOKUP(ParticipationDecembre1[[#This Row],[Référence]],ListeÉtudiants1[],18,FALSE),"")</f>
        <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44"/>
      <c r="AG12" s="6">
        <f ca="1">COUNTIF(PArticipationNovembre1[[#This Row],[2]:[A]],Code2)</f>
        <v>0</v>
      </c>
      <c r="AH12" s="6">
        <f ca="1">COUNTIF(PArticipationNovembre1[[#This Row],[2]:[A]],code22)</f>
        <v>0</v>
      </c>
      <c r="AI12" s="6">
        <f ca="1">COUNTIF(PArticipationNovembre1[[#This Row],[2]:[A]],Code2)</f>
        <v>0</v>
      </c>
      <c r="AJ12" s="6">
        <f ca="1">COUNTIF(PArticipationNovembre1[[#This Row],[2]:[A]],Code3)</f>
        <v>0</v>
      </c>
      <c r="AK12" s="6">
        <f ca="1">COUNTIF(PArticipationNovembre1[[#This Row],[2]:[A]],Code4)</f>
        <v>0</v>
      </c>
      <c r="AL12" s="6">
        <f ca="1">COUNTIF(PArticipationNovembre1[[#This Row],[2]:[A]],Code5)</f>
        <v>0</v>
      </c>
      <c r="AM12" s="6">
        <f ca="1">COUNTIF(PArticipationNovembre1[[#This Row],[2]:[A]],Code23)</f>
        <v>0</v>
      </c>
      <c r="AN12" s="6">
        <f ca="1">COUNTIF(PArticipationNovembre1[[#This Row],[2]:[A]],Code6)</f>
        <v>0</v>
      </c>
      <c r="AO12" s="6">
        <f ca="1">COUNTIF(PArticipationNovembre1[[#This Row],[2]:[A]],Code7)</f>
        <v>0</v>
      </c>
      <c r="AP12" s="6">
        <f ca="1">COUNTIF(PArticipationNovembre1[[#This Row],[2]:[A]],Code8)</f>
        <v>0</v>
      </c>
      <c r="AQ12" s="6">
        <f ca="1">COUNTIF(PArticipationNovembre1[[#This Row],[2]:[A]],Code9)</f>
        <v>0</v>
      </c>
      <c r="AR12" s="6">
        <f ca="1">COUNTIF(PArticipationNovembre1[[#This Row],[2]:[A]],Code10)</f>
        <v>0</v>
      </c>
      <c r="AS12" s="6">
        <f ca="1">COUNTIF(PArticipationNovembre1[[#This Row],[2]:[A]],Code11)</f>
        <v>0</v>
      </c>
      <c r="AT12" s="6">
        <f ca="1">COUNTIF(PArticipationNovembre1[[#This Row],[2]:[A]],Code12)</f>
        <v>0</v>
      </c>
      <c r="AU12" s="6">
        <f ca="1">COUNTIF(PArticipationNovembre1[[#This Row],[2]:[A]],Code13)</f>
        <v>0</v>
      </c>
      <c r="AV12" s="6">
        <f ca="1">COUNTIF(PArticipationNovembre1[[#This Row],[2]:[A]],Code14)</f>
        <v>0</v>
      </c>
      <c r="AW12" s="6">
        <f ca="1">COUNTIF(PArticipationNovembre1[[#This Row],[2]:[A]],Code15)</f>
        <v>0</v>
      </c>
      <c r="AX12" s="6">
        <f ca="1">COUNTIF(PArticipationNovembre1[[#This Row],[2]:[A]],Code16)</f>
        <v>0</v>
      </c>
      <c r="AY12" s="6">
        <f ca="1">COUNTIF(PArticipationNovembre1[[#This Row],[2]:[A]],Code17)</f>
        <v>0</v>
      </c>
      <c r="AZ12" s="6">
        <f ca="1">COUNTIF(PArticipationNovembre1[[#This Row],[2]:[A]],Code25)</f>
        <v>0</v>
      </c>
      <c r="BA12" s="6">
        <f ca="1">COUNTIF(PArticipationNovembre1[[#This Row],[2]:[A]],Code26)</f>
        <v>0</v>
      </c>
      <c r="BB12" s="6">
        <f ca="1">COUNTIF(PArticipationNovembre1[[#This Row],[2]:[A]],Code27)</f>
        <v>0</v>
      </c>
      <c r="BC12" s="6">
        <f ca="1">COUNTIF(PArticipationNovembre1[[#This Row],[2]:[A]],Code28)</f>
        <v>0</v>
      </c>
      <c r="BD12" s="6">
        <f ca="1">COUNTIF(PArticipationNovembre1[[#This Row],[2]:[A]],code21)</f>
        <v>0</v>
      </c>
      <c r="BE12" s="6">
        <f ca="1">COUNTIF(PArticipationNovembre1[[#This Row],[2]:[A]],Code24)</f>
        <v>0</v>
      </c>
      <c r="BF12" s="6">
        <f ca="1">COUNTIF(PArticipationNovembre1[[#This Row],[2]:[A]],code18)</f>
        <v>0</v>
      </c>
      <c r="BG12" s="6">
        <f ca="1">COUNTIF(PArticipationNovembre1[[#This Row],[2]:[A]],code19)</f>
        <v>0</v>
      </c>
      <c r="BH12" s="182">
        <f ca="1">COUNTIF(PArticipationNovembre1[[#This Row],[2]:[A]],code20)</f>
        <v>0</v>
      </c>
      <c r="BI12" s="314"/>
      <c r="BJ12" s="314"/>
      <c r="BK12" s="314"/>
      <c r="BL12" s="314"/>
      <c r="BM12" s="314"/>
      <c r="BN12" s="314"/>
      <c r="BO12" s="314"/>
      <c r="BP12" s="314"/>
      <c r="BQ12" s="314"/>
      <c r="BR12" s="314"/>
      <c r="BS12" s="314"/>
      <c r="BT12" s="314"/>
      <c r="BU12" s="314"/>
      <c r="BV12" s="314"/>
      <c r="BW12" s="314"/>
      <c r="BX12" s="314"/>
      <c r="BY12" s="314"/>
      <c r="BZ12" s="314"/>
      <c r="CA12" s="314"/>
      <c r="CB12" s="314"/>
      <c r="CC12" s="314"/>
      <c r="CD12" s="314"/>
      <c r="CE12" s="314"/>
      <c r="CF12" s="314"/>
      <c r="CG12" s="314"/>
      <c r="CH12" s="314"/>
      <c r="CI12" s="314"/>
      <c r="CJ12" s="314"/>
      <c r="CK12" s="314"/>
      <c r="CL12" s="314"/>
      <c r="CM12" s="314"/>
      <c r="CN12" s="314"/>
      <c r="CO12" s="314"/>
      <c r="CP12" s="315"/>
      <c r="CQ12" s="156">
        <f t="shared" ca="1" si="0"/>
        <v>0</v>
      </c>
      <c r="CR12" s="156">
        <f t="shared" ca="1" si="1"/>
        <v>0</v>
      </c>
      <c r="CS12" s="404">
        <f t="shared" ca="1" si="2"/>
        <v>0</v>
      </c>
      <c r="CT12" s="157">
        <f t="shared" ref="CT12:CT30" ca="1" si="3">SUM((BF12*7)+(BG12*10)+(BH12*12))</f>
        <v>0</v>
      </c>
    </row>
    <row r="13" spans="1:99">
      <c r="A13" s="413" t="str">
        <f>IFERROR(VLOOKUP(ParticipationDecembre1[[#This Row],[Référence]],ListeÉtudiants1[],18,FALSE),"")</f>
        <v/>
      </c>
      <c r="B13" s="152" t="str">
        <f>IFERROR(VLOOKUP(ParticipationDecembre1[[#This Row],[Référence]],ListeÉtudiants1[],18,FALSE),"")</f>
        <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44"/>
      <c r="AG13" s="6">
        <f ca="1">COUNTIF(PArticipationNovembre1[[#This Row],[2]:[A]],Code2)</f>
        <v>0</v>
      </c>
      <c r="AH13" s="6">
        <f ca="1">COUNTIF(PArticipationNovembre1[[#This Row],[2]:[A]],code22)</f>
        <v>0</v>
      </c>
      <c r="AI13" s="6">
        <f ca="1">COUNTIF(PArticipationNovembre1[[#This Row],[2]:[A]],Code2)</f>
        <v>0</v>
      </c>
      <c r="AJ13" s="6">
        <f ca="1">COUNTIF(PArticipationNovembre1[[#This Row],[2]:[A]],Code3)</f>
        <v>0</v>
      </c>
      <c r="AK13" s="6">
        <f ca="1">COUNTIF(PArticipationNovembre1[[#This Row],[2]:[A]],Code4)</f>
        <v>0</v>
      </c>
      <c r="AL13" s="6">
        <f ca="1">COUNTIF(PArticipationNovembre1[[#This Row],[2]:[A]],Code5)</f>
        <v>0</v>
      </c>
      <c r="AM13" s="6">
        <f ca="1">COUNTIF(PArticipationNovembre1[[#This Row],[2]:[A]],Code23)</f>
        <v>0</v>
      </c>
      <c r="AN13" s="6">
        <f ca="1">COUNTIF(PArticipationNovembre1[[#This Row],[2]:[A]],Code6)</f>
        <v>0</v>
      </c>
      <c r="AO13" s="6">
        <f ca="1">COUNTIF(PArticipationNovembre1[[#This Row],[2]:[A]],Code7)</f>
        <v>0</v>
      </c>
      <c r="AP13" s="6">
        <f ca="1">COUNTIF(PArticipationNovembre1[[#This Row],[2]:[A]],Code8)</f>
        <v>0</v>
      </c>
      <c r="AQ13" s="6">
        <f ca="1">COUNTIF(PArticipationNovembre1[[#This Row],[2]:[A]],Code9)</f>
        <v>0</v>
      </c>
      <c r="AR13" s="6">
        <f ca="1">COUNTIF(PArticipationNovembre1[[#This Row],[2]:[A]],Code10)</f>
        <v>0</v>
      </c>
      <c r="AS13" s="6">
        <f ca="1">COUNTIF(PArticipationNovembre1[[#This Row],[2]:[A]],Code11)</f>
        <v>0</v>
      </c>
      <c r="AT13" s="6">
        <f ca="1">COUNTIF(PArticipationNovembre1[[#This Row],[2]:[A]],Code12)</f>
        <v>0</v>
      </c>
      <c r="AU13" s="6">
        <f ca="1">COUNTIF(PArticipationNovembre1[[#This Row],[2]:[A]],Code13)</f>
        <v>0</v>
      </c>
      <c r="AV13" s="6">
        <f ca="1">COUNTIF(PArticipationNovembre1[[#This Row],[2]:[A]],Code14)</f>
        <v>0</v>
      </c>
      <c r="AW13" s="6">
        <f ca="1">COUNTIF(PArticipationNovembre1[[#This Row],[2]:[A]],Code15)</f>
        <v>0</v>
      </c>
      <c r="AX13" s="6">
        <f ca="1">COUNTIF(PArticipationNovembre1[[#This Row],[2]:[A]],Code16)</f>
        <v>0</v>
      </c>
      <c r="AY13" s="6">
        <f ca="1">COUNTIF(PArticipationNovembre1[[#This Row],[2]:[A]],Code17)</f>
        <v>0</v>
      </c>
      <c r="AZ13" s="6">
        <f ca="1">COUNTIF(PArticipationNovembre1[[#This Row],[2]:[A]],Code25)</f>
        <v>0</v>
      </c>
      <c r="BA13" s="6">
        <f ca="1">COUNTIF(PArticipationNovembre1[[#This Row],[2]:[A]],Code26)</f>
        <v>0</v>
      </c>
      <c r="BB13" s="6">
        <f ca="1">COUNTIF(PArticipationNovembre1[[#This Row],[2]:[A]],Code27)</f>
        <v>0</v>
      </c>
      <c r="BC13" s="6">
        <f ca="1">COUNTIF(PArticipationNovembre1[[#This Row],[2]:[A]],Code28)</f>
        <v>0</v>
      </c>
      <c r="BD13" s="6">
        <f ca="1">COUNTIF(PArticipationNovembre1[[#This Row],[2]:[A]],code21)</f>
        <v>0</v>
      </c>
      <c r="BE13" s="6">
        <f ca="1">COUNTIF(PArticipationNovembre1[[#This Row],[2]:[A]],Code24)</f>
        <v>0</v>
      </c>
      <c r="BF13" s="6">
        <f ca="1">COUNTIF(PArticipationNovembre1[[#This Row],[2]:[A]],code18)</f>
        <v>0</v>
      </c>
      <c r="BG13" s="6">
        <f ca="1">COUNTIF(PArticipationNovembre1[[#This Row],[2]:[A]],code19)</f>
        <v>0</v>
      </c>
      <c r="BH13" s="182">
        <f ca="1">COUNTIF(PArticipationNovembre1[[#This Row],[2]:[A]],code20)</f>
        <v>0</v>
      </c>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164"/>
      <c r="CQ13" s="156">
        <f t="shared" ca="1" si="0"/>
        <v>0</v>
      </c>
      <c r="CR13" s="156">
        <f t="shared" ca="1" si="1"/>
        <v>0</v>
      </c>
      <c r="CS13" s="253">
        <f t="shared" ca="1" si="2"/>
        <v>0</v>
      </c>
      <c r="CT13" s="157">
        <f t="shared" ca="1" si="3"/>
        <v>0</v>
      </c>
    </row>
    <row r="14" spans="1:99">
      <c r="A14" s="414" t="str">
        <f>IFERROR(VLOOKUP(ParticipationDecembre1[[#This Row],[Référence]],ListeÉtudiants1[],18,FALSE),"")</f>
        <v/>
      </c>
      <c r="B14" s="152" t="str">
        <f>IFERROR(VLOOKUP(ParticipationDecembre1[[#This Row],[Référence]],ListeÉtudiants1[],18,FALSE),"")</f>
        <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44"/>
      <c r="AG14" s="6">
        <f ca="1">COUNTIF(PArticipationNovembre1[[#This Row],[2]:[A]],Code2)</f>
        <v>0</v>
      </c>
      <c r="AH14" s="6">
        <f ca="1">COUNTIF(PArticipationNovembre1[[#This Row],[2]:[A]],code22)</f>
        <v>0</v>
      </c>
      <c r="AI14" s="6">
        <f ca="1">COUNTIF(PArticipationNovembre1[[#This Row],[2]:[A]],Code2)</f>
        <v>0</v>
      </c>
      <c r="AJ14" s="6">
        <f ca="1">COUNTIF(PArticipationNovembre1[[#This Row],[2]:[A]],Code3)</f>
        <v>0</v>
      </c>
      <c r="AK14" s="6">
        <f ca="1">COUNTIF(PArticipationNovembre1[[#This Row],[2]:[A]],Code4)</f>
        <v>0</v>
      </c>
      <c r="AL14" s="6">
        <f ca="1">COUNTIF(PArticipationNovembre1[[#This Row],[2]:[A]],Code5)</f>
        <v>0</v>
      </c>
      <c r="AM14" s="6">
        <f ca="1">COUNTIF(PArticipationNovembre1[[#This Row],[2]:[A]],Code23)</f>
        <v>0</v>
      </c>
      <c r="AN14" s="6">
        <f ca="1">COUNTIF(PArticipationNovembre1[[#This Row],[2]:[A]],Code6)</f>
        <v>0</v>
      </c>
      <c r="AO14" s="6">
        <f ca="1">COUNTIF(PArticipationNovembre1[[#This Row],[2]:[A]],Code7)</f>
        <v>0</v>
      </c>
      <c r="AP14" s="6">
        <f ca="1">COUNTIF(PArticipationNovembre1[[#This Row],[2]:[A]],Code8)</f>
        <v>0</v>
      </c>
      <c r="AQ14" s="6">
        <f ca="1">COUNTIF(PArticipationNovembre1[[#This Row],[2]:[A]],Code9)</f>
        <v>0</v>
      </c>
      <c r="AR14" s="6">
        <f ca="1">COUNTIF(PArticipationNovembre1[[#This Row],[2]:[A]],Code10)</f>
        <v>0</v>
      </c>
      <c r="AS14" s="6">
        <f ca="1">COUNTIF(PArticipationNovembre1[[#This Row],[2]:[A]],Code11)</f>
        <v>0</v>
      </c>
      <c r="AT14" s="6">
        <f ca="1">COUNTIF(PArticipationNovembre1[[#This Row],[2]:[A]],Code12)</f>
        <v>0</v>
      </c>
      <c r="AU14" s="6">
        <f ca="1">COUNTIF(PArticipationNovembre1[[#This Row],[2]:[A]],Code13)</f>
        <v>0</v>
      </c>
      <c r="AV14" s="6">
        <f ca="1">COUNTIF(PArticipationNovembre1[[#This Row],[2]:[A]],Code14)</f>
        <v>0</v>
      </c>
      <c r="AW14" s="6">
        <f ca="1">COUNTIF(PArticipationNovembre1[[#This Row],[2]:[A]],Code15)</f>
        <v>0</v>
      </c>
      <c r="AX14" s="6">
        <f ca="1">COUNTIF(PArticipationNovembre1[[#This Row],[2]:[A]],Code16)</f>
        <v>0</v>
      </c>
      <c r="AY14" s="6">
        <f ca="1">COUNTIF(PArticipationNovembre1[[#This Row],[2]:[A]],Code17)</f>
        <v>0</v>
      </c>
      <c r="AZ14" s="6">
        <f ca="1">COUNTIF(PArticipationNovembre1[[#This Row],[2]:[A]],Code25)</f>
        <v>0</v>
      </c>
      <c r="BA14" s="6">
        <f ca="1">COUNTIF(PArticipationNovembre1[[#This Row],[2]:[A]],Code26)</f>
        <v>0</v>
      </c>
      <c r="BB14" s="6">
        <f ca="1">COUNTIF(PArticipationNovembre1[[#This Row],[2]:[A]],Code27)</f>
        <v>0</v>
      </c>
      <c r="BC14" s="6">
        <f ca="1">COUNTIF(PArticipationNovembre1[[#This Row],[2]:[A]],Code28)</f>
        <v>0</v>
      </c>
      <c r="BD14" s="6">
        <f ca="1">COUNTIF(PArticipationNovembre1[[#This Row],[2]:[A]],code21)</f>
        <v>0</v>
      </c>
      <c r="BE14" s="6">
        <f ca="1">COUNTIF(PArticipationNovembre1[[#This Row],[2]:[A]],Code24)</f>
        <v>0</v>
      </c>
      <c r="BF14" s="6">
        <f ca="1">COUNTIF(PArticipationNovembre1[[#This Row],[2]:[A]],code18)</f>
        <v>0</v>
      </c>
      <c r="BG14" s="6">
        <f ca="1">COUNTIF(PArticipationNovembre1[[#This Row],[2]:[A]],code19)</f>
        <v>0</v>
      </c>
      <c r="BH14" s="182">
        <f ca="1">COUNTIF(PArticipationNovembre1[[#This Row],[2]:[A]],code20)</f>
        <v>0</v>
      </c>
      <c r="BI14" s="314"/>
      <c r="BJ14" s="314"/>
      <c r="BK14" s="314"/>
      <c r="BL14" s="314"/>
      <c r="BM14" s="314"/>
      <c r="BN14" s="314"/>
      <c r="BO14" s="314"/>
      <c r="BP14" s="314"/>
      <c r="BQ14" s="314"/>
      <c r="BR14" s="314"/>
      <c r="BS14" s="314"/>
      <c r="BT14" s="314"/>
      <c r="BU14" s="314"/>
      <c r="BV14" s="314"/>
      <c r="BW14" s="314"/>
      <c r="BX14" s="314"/>
      <c r="BY14" s="314"/>
      <c r="BZ14" s="314"/>
      <c r="CA14" s="314"/>
      <c r="CB14" s="314"/>
      <c r="CC14" s="314"/>
      <c r="CD14" s="314"/>
      <c r="CE14" s="314"/>
      <c r="CF14" s="314"/>
      <c r="CG14" s="314"/>
      <c r="CH14" s="314"/>
      <c r="CI14" s="314"/>
      <c r="CJ14" s="314"/>
      <c r="CK14" s="314"/>
      <c r="CL14" s="314"/>
      <c r="CM14" s="314"/>
      <c r="CN14" s="314"/>
      <c r="CO14" s="314"/>
      <c r="CP14" s="315"/>
      <c r="CQ14" s="156">
        <f t="shared" ca="1" si="0"/>
        <v>0</v>
      </c>
      <c r="CR14" s="156">
        <f t="shared" ca="1" si="1"/>
        <v>0</v>
      </c>
      <c r="CS14" s="253">
        <f t="shared" ca="1" si="2"/>
        <v>0</v>
      </c>
      <c r="CT14" s="157">
        <f t="shared" ca="1" si="3"/>
        <v>0</v>
      </c>
    </row>
    <row r="15" spans="1:99">
      <c r="A15" s="413" t="str">
        <f>IFERROR(VLOOKUP(ParticipationDecembre1[[#This Row],[Référence]],ListeÉtudiants1[],18,FALSE),"")</f>
        <v/>
      </c>
      <c r="B15" s="152" t="str">
        <f>IFERROR(VLOOKUP(ParticipationDecembre1[[#This Row],[Référence]],ListeÉtudiants1[],18,FALSE),"")</f>
        <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44"/>
      <c r="AG15" s="6">
        <f ca="1">COUNTIF(PArticipationNovembre1[[#This Row],[2]:[A]],Code2)</f>
        <v>0</v>
      </c>
      <c r="AH15" s="6">
        <f ca="1">COUNTIF(PArticipationNovembre1[[#This Row],[2]:[A]],code22)</f>
        <v>0</v>
      </c>
      <c r="AI15" s="6">
        <f ca="1">COUNTIF(PArticipationNovembre1[[#This Row],[2]:[A]],Code2)</f>
        <v>0</v>
      </c>
      <c r="AJ15" s="6">
        <f ca="1">COUNTIF(PArticipationNovembre1[[#This Row],[2]:[A]],Code3)</f>
        <v>0</v>
      </c>
      <c r="AK15" s="6">
        <f ca="1">COUNTIF(PArticipationNovembre1[[#This Row],[2]:[A]],Code4)</f>
        <v>0</v>
      </c>
      <c r="AL15" s="6">
        <f ca="1">COUNTIF(PArticipationNovembre1[[#This Row],[2]:[A]],Code5)</f>
        <v>0</v>
      </c>
      <c r="AM15" s="6">
        <f ca="1">COUNTIF(PArticipationNovembre1[[#This Row],[2]:[A]],Code23)</f>
        <v>0</v>
      </c>
      <c r="AN15" s="6">
        <f ca="1">COUNTIF(PArticipationNovembre1[[#This Row],[2]:[A]],Code6)</f>
        <v>0</v>
      </c>
      <c r="AO15" s="6">
        <f ca="1">COUNTIF(PArticipationNovembre1[[#This Row],[2]:[A]],Code7)</f>
        <v>0</v>
      </c>
      <c r="AP15" s="6">
        <f ca="1">COUNTIF(PArticipationNovembre1[[#This Row],[2]:[A]],Code8)</f>
        <v>0</v>
      </c>
      <c r="AQ15" s="6">
        <f ca="1">COUNTIF(PArticipationNovembre1[[#This Row],[2]:[A]],Code9)</f>
        <v>0</v>
      </c>
      <c r="AR15" s="6">
        <f ca="1">COUNTIF(PArticipationNovembre1[[#This Row],[2]:[A]],Code10)</f>
        <v>0</v>
      </c>
      <c r="AS15" s="6">
        <f ca="1">COUNTIF(PArticipationNovembre1[[#This Row],[2]:[A]],Code11)</f>
        <v>0</v>
      </c>
      <c r="AT15" s="6">
        <f ca="1">COUNTIF(PArticipationNovembre1[[#This Row],[2]:[A]],Code12)</f>
        <v>0</v>
      </c>
      <c r="AU15" s="6">
        <f ca="1">COUNTIF(PArticipationNovembre1[[#This Row],[2]:[A]],Code13)</f>
        <v>0</v>
      </c>
      <c r="AV15" s="6">
        <f ca="1">COUNTIF(PArticipationNovembre1[[#This Row],[2]:[A]],Code14)</f>
        <v>0</v>
      </c>
      <c r="AW15" s="6">
        <f ca="1">COUNTIF(PArticipationNovembre1[[#This Row],[2]:[A]],Code15)</f>
        <v>0</v>
      </c>
      <c r="AX15" s="6">
        <f ca="1">COUNTIF(PArticipationNovembre1[[#This Row],[2]:[A]],Code16)</f>
        <v>0</v>
      </c>
      <c r="AY15" s="6">
        <f ca="1">COUNTIF(PArticipationNovembre1[[#This Row],[2]:[A]],Code17)</f>
        <v>0</v>
      </c>
      <c r="AZ15" s="6">
        <f ca="1">COUNTIF(PArticipationNovembre1[[#This Row],[2]:[A]],Code25)</f>
        <v>0</v>
      </c>
      <c r="BA15" s="6">
        <f ca="1">COUNTIF(PArticipationNovembre1[[#This Row],[2]:[A]],Code26)</f>
        <v>0</v>
      </c>
      <c r="BB15" s="6">
        <f ca="1">COUNTIF(PArticipationNovembre1[[#This Row],[2]:[A]],Code27)</f>
        <v>0</v>
      </c>
      <c r="BC15" s="6">
        <f ca="1">COUNTIF(PArticipationNovembre1[[#This Row],[2]:[A]],Code28)</f>
        <v>0</v>
      </c>
      <c r="BD15" s="6">
        <f ca="1">COUNTIF(PArticipationNovembre1[[#This Row],[2]:[A]],code21)</f>
        <v>0</v>
      </c>
      <c r="BE15" s="6">
        <f ca="1">COUNTIF(PArticipationNovembre1[[#This Row],[2]:[A]],Code24)</f>
        <v>0</v>
      </c>
      <c r="BF15" s="6">
        <f ca="1">COUNTIF(PArticipationNovembre1[[#This Row],[2]:[A]],code18)</f>
        <v>0</v>
      </c>
      <c r="BG15" s="6">
        <f ca="1">COUNTIF(PArticipationNovembre1[[#This Row],[2]:[A]],code19)</f>
        <v>0</v>
      </c>
      <c r="BH15" s="182">
        <f ca="1">COUNTIF(PArticipationNovembre1[[#This Row],[2]:[A]],code20)</f>
        <v>0</v>
      </c>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164"/>
      <c r="CQ15" s="156">
        <f t="shared" ca="1" si="0"/>
        <v>0</v>
      </c>
      <c r="CR15" s="156">
        <f t="shared" ca="1" si="1"/>
        <v>0</v>
      </c>
      <c r="CS15" s="253">
        <f t="shared" ca="1" si="2"/>
        <v>0</v>
      </c>
      <c r="CT15" s="157">
        <f t="shared" ca="1" si="3"/>
        <v>0</v>
      </c>
    </row>
    <row r="16" spans="1:99">
      <c r="A16" s="414" t="str">
        <f>IFERROR(VLOOKUP(ParticipationDecembre1[[#This Row],[Référence]],ListeÉtudiants1[],18,FALSE),"")</f>
        <v/>
      </c>
      <c r="B16" s="152" t="str">
        <f>IFERROR(VLOOKUP(ParticipationDecembre1[[#This Row],[Référence]],ListeÉtudiants1[],18,FALSE),"")</f>
        <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44"/>
      <c r="AG16" s="6">
        <f ca="1">COUNTIF(PArticipationNovembre1[[#This Row],[2]:[A]],Code2)</f>
        <v>0</v>
      </c>
      <c r="AH16" s="6">
        <f ca="1">COUNTIF(PArticipationNovembre1[[#This Row],[2]:[A]],code22)</f>
        <v>0</v>
      </c>
      <c r="AI16" s="6">
        <f ca="1">COUNTIF(PArticipationNovembre1[[#This Row],[2]:[A]],Code2)</f>
        <v>0</v>
      </c>
      <c r="AJ16" s="6">
        <f ca="1">COUNTIF(PArticipationNovembre1[[#This Row],[2]:[A]],Code3)</f>
        <v>0</v>
      </c>
      <c r="AK16" s="6">
        <f ca="1">COUNTIF(PArticipationNovembre1[[#This Row],[2]:[A]],Code4)</f>
        <v>0</v>
      </c>
      <c r="AL16" s="6">
        <f ca="1">COUNTIF(PArticipationNovembre1[[#This Row],[2]:[A]],Code5)</f>
        <v>0</v>
      </c>
      <c r="AM16" s="6">
        <f ca="1">COUNTIF(PArticipationNovembre1[[#This Row],[2]:[A]],Code23)</f>
        <v>0</v>
      </c>
      <c r="AN16" s="6">
        <f ca="1">COUNTIF(PArticipationNovembre1[[#This Row],[2]:[A]],Code6)</f>
        <v>0</v>
      </c>
      <c r="AO16" s="6">
        <f ca="1">COUNTIF(PArticipationNovembre1[[#This Row],[2]:[A]],Code7)</f>
        <v>0</v>
      </c>
      <c r="AP16" s="6">
        <f ca="1">COUNTIF(PArticipationNovembre1[[#This Row],[2]:[A]],Code8)</f>
        <v>0</v>
      </c>
      <c r="AQ16" s="6">
        <f ca="1">COUNTIF(PArticipationNovembre1[[#This Row],[2]:[A]],Code9)</f>
        <v>0</v>
      </c>
      <c r="AR16" s="6">
        <f ca="1">COUNTIF(PArticipationNovembre1[[#This Row],[2]:[A]],Code10)</f>
        <v>0</v>
      </c>
      <c r="AS16" s="6">
        <f ca="1">COUNTIF(PArticipationNovembre1[[#This Row],[2]:[A]],Code11)</f>
        <v>0</v>
      </c>
      <c r="AT16" s="6">
        <f ca="1">COUNTIF(PArticipationNovembre1[[#This Row],[2]:[A]],Code12)</f>
        <v>0</v>
      </c>
      <c r="AU16" s="6">
        <f ca="1">COUNTIF(PArticipationNovembre1[[#This Row],[2]:[A]],Code13)</f>
        <v>0</v>
      </c>
      <c r="AV16" s="6">
        <f ca="1">COUNTIF(PArticipationNovembre1[[#This Row],[2]:[A]],Code14)</f>
        <v>0</v>
      </c>
      <c r="AW16" s="6">
        <f ca="1">COUNTIF(PArticipationNovembre1[[#This Row],[2]:[A]],Code15)</f>
        <v>0</v>
      </c>
      <c r="AX16" s="6">
        <f ca="1">COUNTIF(PArticipationNovembre1[[#This Row],[2]:[A]],Code16)</f>
        <v>0</v>
      </c>
      <c r="AY16" s="6">
        <f ca="1">COUNTIF(PArticipationNovembre1[[#This Row],[2]:[A]],Code17)</f>
        <v>0</v>
      </c>
      <c r="AZ16" s="6">
        <f ca="1">COUNTIF(PArticipationNovembre1[[#This Row],[2]:[A]],Code25)</f>
        <v>0</v>
      </c>
      <c r="BA16" s="6">
        <f ca="1">COUNTIF(PArticipationNovembre1[[#This Row],[2]:[A]],Code26)</f>
        <v>0</v>
      </c>
      <c r="BB16" s="6">
        <f ca="1">COUNTIF(PArticipationNovembre1[[#This Row],[2]:[A]],Code27)</f>
        <v>0</v>
      </c>
      <c r="BC16" s="6">
        <f ca="1">COUNTIF(PArticipationNovembre1[[#This Row],[2]:[A]],Code28)</f>
        <v>0</v>
      </c>
      <c r="BD16" s="6">
        <f ca="1">COUNTIF(PArticipationNovembre1[[#This Row],[2]:[A]],code21)</f>
        <v>0</v>
      </c>
      <c r="BE16" s="6">
        <f ca="1">COUNTIF(PArticipationNovembre1[[#This Row],[2]:[A]],Code24)</f>
        <v>0</v>
      </c>
      <c r="BF16" s="6">
        <f ca="1">COUNTIF(PArticipationNovembre1[[#This Row],[2]:[A]],code18)</f>
        <v>0</v>
      </c>
      <c r="BG16" s="6">
        <f ca="1">COUNTIF(PArticipationNovembre1[[#This Row],[2]:[A]],code19)</f>
        <v>0</v>
      </c>
      <c r="BH16" s="182">
        <f ca="1">COUNTIF(PArticipationNovembre1[[#This Row],[2]:[A]],code20)</f>
        <v>0</v>
      </c>
      <c r="BI16" s="314"/>
      <c r="BJ16" s="314"/>
      <c r="BK16" s="314"/>
      <c r="BL16" s="314"/>
      <c r="BM16" s="314"/>
      <c r="BN16" s="314"/>
      <c r="BO16" s="314"/>
      <c r="BP16" s="314"/>
      <c r="BQ16" s="314"/>
      <c r="BR16" s="314"/>
      <c r="BS16" s="314"/>
      <c r="BT16" s="314"/>
      <c r="BU16" s="314"/>
      <c r="BV16" s="314"/>
      <c r="BW16" s="314"/>
      <c r="BX16" s="314"/>
      <c r="BY16" s="314"/>
      <c r="BZ16" s="314"/>
      <c r="CA16" s="314"/>
      <c r="CB16" s="314"/>
      <c r="CC16" s="314"/>
      <c r="CD16" s="314"/>
      <c r="CE16" s="314"/>
      <c r="CF16" s="314"/>
      <c r="CG16" s="314"/>
      <c r="CH16" s="314"/>
      <c r="CI16" s="314"/>
      <c r="CJ16" s="314"/>
      <c r="CK16" s="314"/>
      <c r="CL16" s="314"/>
      <c r="CM16" s="314"/>
      <c r="CN16" s="314"/>
      <c r="CO16" s="314"/>
      <c r="CP16" s="315"/>
      <c r="CQ16" s="156">
        <f t="shared" ca="1" si="0"/>
        <v>0</v>
      </c>
      <c r="CR16" s="156">
        <f t="shared" ca="1" si="1"/>
        <v>0</v>
      </c>
      <c r="CS16" s="253">
        <f t="shared" ca="1" si="2"/>
        <v>0</v>
      </c>
      <c r="CT16" s="157">
        <f t="shared" ca="1" si="3"/>
        <v>0</v>
      </c>
    </row>
    <row r="17" spans="1:98">
      <c r="A17" s="413" t="str">
        <f>IFERROR(VLOOKUP(ParticipationDecembre1[[#This Row],[Référence]],ListeÉtudiants1[],18,FALSE),"")</f>
        <v/>
      </c>
      <c r="B17" s="152" t="str">
        <f>IFERROR(VLOOKUP(ParticipationDecembre1[[#This Row],[Référence]],ListeÉtudiants1[],18,FALSE),"")</f>
        <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44"/>
      <c r="AG17" s="6">
        <f ca="1">COUNTIF(PArticipationNovembre1[[#This Row],[2]:[A]],Code2)</f>
        <v>0</v>
      </c>
      <c r="AH17" s="6">
        <f ca="1">COUNTIF(PArticipationNovembre1[[#This Row],[2]:[A]],code22)</f>
        <v>0</v>
      </c>
      <c r="AI17" s="6">
        <f ca="1">COUNTIF(PArticipationNovembre1[[#This Row],[2]:[A]],Code2)</f>
        <v>0</v>
      </c>
      <c r="AJ17" s="6">
        <f ca="1">COUNTIF(PArticipationNovembre1[[#This Row],[2]:[A]],Code3)</f>
        <v>0</v>
      </c>
      <c r="AK17" s="6">
        <f ca="1">COUNTIF(PArticipationNovembre1[[#This Row],[2]:[A]],Code4)</f>
        <v>0</v>
      </c>
      <c r="AL17" s="6">
        <f ca="1">COUNTIF(PArticipationNovembre1[[#This Row],[2]:[A]],Code5)</f>
        <v>0</v>
      </c>
      <c r="AM17" s="6">
        <f ca="1">COUNTIF(PArticipationNovembre1[[#This Row],[2]:[A]],Code23)</f>
        <v>0</v>
      </c>
      <c r="AN17" s="6">
        <f ca="1">COUNTIF(PArticipationNovembre1[[#This Row],[2]:[A]],Code6)</f>
        <v>0</v>
      </c>
      <c r="AO17" s="6">
        <f ca="1">COUNTIF(PArticipationNovembre1[[#This Row],[2]:[A]],Code7)</f>
        <v>0</v>
      </c>
      <c r="AP17" s="6">
        <f ca="1">COUNTIF(PArticipationNovembre1[[#This Row],[2]:[A]],Code8)</f>
        <v>0</v>
      </c>
      <c r="AQ17" s="6">
        <f ca="1">COUNTIF(PArticipationNovembre1[[#This Row],[2]:[A]],Code9)</f>
        <v>0</v>
      </c>
      <c r="AR17" s="6">
        <f ca="1">COUNTIF(PArticipationNovembre1[[#This Row],[2]:[A]],Code10)</f>
        <v>0</v>
      </c>
      <c r="AS17" s="6">
        <f ca="1">COUNTIF(PArticipationNovembre1[[#This Row],[2]:[A]],Code11)</f>
        <v>0</v>
      </c>
      <c r="AT17" s="6">
        <f ca="1">COUNTIF(PArticipationNovembre1[[#This Row],[2]:[A]],Code12)</f>
        <v>0</v>
      </c>
      <c r="AU17" s="6">
        <f ca="1">COUNTIF(PArticipationNovembre1[[#This Row],[2]:[A]],Code13)</f>
        <v>0</v>
      </c>
      <c r="AV17" s="6">
        <f ca="1">COUNTIF(PArticipationNovembre1[[#This Row],[2]:[A]],Code14)</f>
        <v>0</v>
      </c>
      <c r="AW17" s="6">
        <f ca="1">COUNTIF(PArticipationNovembre1[[#This Row],[2]:[A]],Code15)</f>
        <v>0</v>
      </c>
      <c r="AX17" s="6">
        <f ca="1">COUNTIF(PArticipationNovembre1[[#This Row],[2]:[A]],Code16)</f>
        <v>0</v>
      </c>
      <c r="AY17" s="6">
        <f ca="1">COUNTIF(PArticipationNovembre1[[#This Row],[2]:[A]],Code17)</f>
        <v>0</v>
      </c>
      <c r="AZ17" s="6">
        <f ca="1">COUNTIF(PArticipationNovembre1[[#This Row],[2]:[A]],Code25)</f>
        <v>0</v>
      </c>
      <c r="BA17" s="6">
        <f ca="1">COUNTIF(PArticipationNovembre1[[#This Row],[2]:[A]],Code26)</f>
        <v>0</v>
      </c>
      <c r="BB17" s="6">
        <f ca="1">COUNTIF(PArticipationNovembre1[[#This Row],[2]:[A]],Code27)</f>
        <v>0</v>
      </c>
      <c r="BC17" s="6">
        <f ca="1">COUNTIF(PArticipationNovembre1[[#This Row],[2]:[A]],Code28)</f>
        <v>0</v>
      </c>
      <c r="BD17" s="6">
        <f ca="1">COUNTIF(PArticipationNovembre1[[#This Row],[2]:[A]],code21)</f>
        <v>0</v>
      </c>
      <c r="BE17" s="6">
        <f ca="1">COUNTIF(PArticipationNovembre1[[#This Row],[2]:[A]],Code24)</f>
        <v>0</v>
      </c>
      <c r="BF17" s="6">
        <f ca="1">COUNTIF(PArticipationNovembre1[[#This Row],[2]:[A]],code18)</f>
        <v>0</v>
      </c>
      <c r="BG17" s="6">
        <f ca="1">COUNTIF(PArticipationNovembre1[[#This Row],[2]:[A]],code19)</f>
        <v>0</v>
      </c>
      <c r="BH17" s="182">
        <f ca="1">COUNTIF(PArticipationNovembre1[[#This Row],[2]:[A]],code20)</f>
        <v>0</v>
      </c>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164"/>
      <c r="CQ17" s="156">
        <f t="shared" ca="1" si="0"/>
        <v>0</v>
      </c>
      <c r="CR17" s="156">
        <f t="shared" ca="1" si="1"/>
        <v>0</v>
      </c>
      <c r="CS17" s="253">
        <f t="shared" ca="1" si="2"/>
        <v>0</v>
      </c>
      <c r="CT17" s="157">
        <f t="shared" ca="1" si="3"/>
        <v>0</v>
      </c>
    </row>
    <row r="18" spans="1:98">
      <c r="A18" s="414" t="str">
        <f>IFERROR(VLOOKUP(ParticipationDecembre1[[#This Row],[Référence]],ListeÉtudiants1[],18,FALSE),"")</f>
        <v/>
      </c>
      <c r="B18" s="152" t="str">
        <f>IFERROR(VLOOKUP(ParticipationDecembre1[[#This Row],[Référence]],ListeÉtudiants1[],18,FALSE),"")</f>
        <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44"/>
      <c r="AG18" s="6">
        <f ca="1">COUNTIF(PArticipationNovembre1[[#This Row],[2]:[A]],Code2)</f>
        <v>0</v>
      </c>
      <c r="AH18" s="6">
        <f ca="1">COUNTIF(PArticipationNovembre1[[#This Row],[2]:[A]],code22)</f>
        <v>0</v>
      </c>
      <c r="AI18" s="6">
        <f ca="1">COUNTIF(PArticipationNovembre1[[#This Row],[2]:[A]],Code2)</f>
        <v>0</v>
      </c>
      <c r="AJ18" s="6">
        <f ca="1">COUNTIF(PArticipationNovembre1[[#This Row],[2]:[A]],Code3)</f>
        <v>0</v>
      </c>
      <c r="AK18" s="6">
        <f ca="1">COUNTIF(PArticipationNovembre1[[#This Row],[2]:[A]],Code4)</f>
        <v>0</v>
      </c>
      <c r="AL18" s="6">
        <f ca="1">COUNTIF(PArticipationNovembre1[[#This Row],[2]:[A]],Code5)</f>
        <v>0</v>
      </c>
      <c r="AM18" s="6">
        <f ca="1">COUNTIF(PArticipationNovembre1[[#This Row],[2]:[A]],Code23)</f>
        <v>0</v>
      </c>
      <c r="AN18" s="6">
        <f ca="1">COUNTIF(PArticipationNovembre1[[#This Row],[2]:[A]],Code6)</f>
        <v>0</v>
      </c>
      <c r="AO18" s="6">
        <f ca="1">COUNTIF(PArticipationNovembre1[[#This Row],[2]:[A]],Code7)</f>
        <v>0</v>
      </c>
      <c r="AP18" s="6">
        <f ca="1">COUNTIF(PArticipationNovembre1[[#This Row],[2]:[A]],Code8)</f>
        <v>0</v>
      </c>
      <c r="AQ18" s="6">
        <f ca="1">COUNTIF(PArticipationNovembre1[[#This Row],[2]:[A]],Code9)</f>
        <v>0</v>
      </c>
      <c r="AR18" s="6">
        <f ca="1">COUNTIF(PArticipationNovembre1[[#This Row],[2]:[A]],Code10)</f>
        <v>0</v>
      </c>
      <c r="AS18" s="6">
        <f ca="1">COUNTIF(PArticipationNovembre1[[#This Row],[2]:[A]],Code11)</f>
        <v>0</v>
      </c>
      <c r="AT18" s="6">
        <f ca="1">COUNTIF(PArticipationNovembre1[[#This Row],[2]:[A]],Code12)</f>
        <v>0</v>
      </c>
      <c r="AU18" s="6">
        <f ca="1">COUNTIF(PArticipationNovembre1[[#This Row],[2]:[A]],Code13)</f>
        <v>0</v>
      </c>
      <c r="AV18" s="6">
        <f ca="1">COUNTIF(PArticipationNovembre1[[#This Row],[2]:[A]],Code14)</f>
        <v>0</v>
      </c>
      <c r="AW18" s="6">
        <f ca="1">COUNTIF(PArticipationNovembre1[[#This Row],[2]:[A]],Code15)</f>
        <v>0</v>
      </c>
      <c r="AX18" s="6">
        <f ca="1">COUNTIF(PArticipationNovembre1[[#This Row],[2]:[A]],Code16)</f>
        <v>0</v>
      </c>
      <c r="AY18" s="6">
        <f ca="1">COUNTIF(PArticipationNovembre1[[#This Row],[2]:[A]],Code17)</f>
        <v>0</v>
      </c>
      <c r="AZ18" s="6">
        <f ca="1">COUNTIF(PArticipationNovembre1[[#This Row],[2]:[A]],Code25)</f>
        <v>0</v>
      </c>
      <c r="BA18" s="6">
        <f ca="1">COUNTIF(PArticipationNovembre1[[#This Row],[2]:[A]],Code26)</f>
        <v>0</v>
      </c>
      <c r="BB18" s="6">
        <f ca="1">COUNTIF(PArticipationNovembre1[[#This Row],[2]:[A]],Code27)</f>
        <v>0</v>
      </c>
      <c r="BC18" s="6">
        <f ca="1">COUNTIF(PArticipationNovembre1[[#This Row],[2]:[A]],Code28)</f>
        <v>0</v>
      </c>
      <c r="BD18" s="6">
        <f ca="1">COUNTIF(PArticipationNovembre1[[#This Row],[2]:[A]],code21)</f>
        <v>0</v>
      </c>
      <c r="BE18" s="6">
        <f ca="1">COUNTIF(PArticipationNovembre1[[#This Row],[2]:[A]],Code24)</f>
        <v>0</v>
      </c>
      <c r="BF18" s="6">
        <f ca="1">COUNTIF(PArticipationNovembre1[[#This Row],[2]:[A]],code18)</f>
        <v>0</v>
      </c>
      <c r="BG18" s="6">
        <f ca="1">COUNTIF(PArticipationNovembre1[[#This Row],[2]:[A]],code19)</f>
        <v>0</v>
      </c>
      <c r="BH18" s="182">
        <f ca="1">COUNTIF(PArticipationNovembre1[[#This Row],[2]:[A]],code20)</f>
        <v>0</v>
      </c>
      <c r="BI18" s="314"/>
      <c r="BJ18" s="314"/>
      <c r="BK18" s="314"/>
      <c r="BL18" s="314"/>
      <c r="BM18" s="314"/>
      <c r="BN18" s="314"/>
      <c r="BO18" s="314"/>
      <c r="BP18" s="314"/>
      <c r="BQ18" s="314"/>
      <c r="BR18" s="314"/>
      <c r="BS18" s="314"/>
      <c r="BT18" s="314"/>
      <c r="BU18" s="314"/>
      <c r="BV18" s="314"/>
      <c r="BW18" s="314"/>
      <c r="BX18" s="314"/>
      <c r="BY18" s="314"/>
      <c r="BZ18" s="314"/>
      <c r="CA18" s="314"/>
      <c r="CB18" s="314"/>
      <c r="CC18" s="314"/>
      <c r="CD18" s="314"/>
      <c r="CE18" s="314"/>
      <c r="CF18" s="314"/>
      <c r="CG18" s="314"/>
      <c r="CH18" s="314"/>
      <c r="CI18" s="314"/>
      <c r="CJ18" s="314"/>
      <c r="CK18" s="314"/>
      <c r="CL18" s="314"/>
      <c r="CM18" s="314"/>
      <c r="CN18" s="314"/>
      <c r="CO18" s="314"/>
      <c r="CP18" s="315"/>
      <c r="CQ18" s="156">
        <f t="shared" ca="1" si="0"/>
        <v>0</v>
      </c>
      <c r="CR18" s="156">
        <f t="shared" ca="1" si="1"/>
        <v>0</v>
      </c>
      <c r="CS18" s="253">
        <f t="shared" ca="1" si="2"/>
        <v>0</v>
      </c>
      <c r="CT18" s="157">
        <f t="shared" ca="1" si="3"/>
        <v>0</v>
      </c>
    </row>
    <row r="19" spans="1:98">
      <c r="A19" s="413" t="str">
        <f>IFERROR(VLOOKUP(ParticipationDecembre1[[#This Row],[Référence]],ListeÉtudiants1[],18,FALSE),"")</f>
        <v/>
      </c>
      <c r="B19" s="152" t="str">
        <f>IFERROR(VLOOKUP(ParticipationDecembre1[[#This Row],[Référence]],ListeÉtudiants1[],18,FALSE),"")</f>
        <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44"/>
      <c r="AG19" s="6">
        <f ca="1">COUNTIF(PArticipationNovembre1[[#This Row],[2]:[A]],Code2)</f>
        <v>0</v>
      </c>
      <c r="AH19" s="6">
        <f ca="1">COUNTIF(PArticipationNovembre1[[#This Row],[2]:[A]],code22)</f>
        <v>0</v>
      </c>
      <c r="AI19" s="6">
        <f ca="1">COUNTIF(PArticipationNovembre1[[#This Row],[2]:[A]],Code2)</f>
        <v>0</v>
      </c>
      <c r="AJ19" s="6">
        <f ca="1">COUNTIF(PArticipationNovembre1[[#This Row],[2]:[A]],Code3)</f>
        <v>0</v>
      </c>
      <c r="AK19" s="6">
        <f ca="1">COUNTIF(PArticipationNovembre1[[#This Row],[2]:[A]],Code4)</f>
        <v>0</v>
      </c>
      <c r="AL19" s="6">
        <f ca="1">COUNTIF(PArticipationNovembre1[[#This Row],[2]:[A]],Code5)</f>
        <v>0</v>
      </c>
      <c r="AM19" s="6">
        <f ca="1">COUNTIF(PArticipationNovembre1[[#This Row],[2]:[A]],Code23)</f>
        <v>0</v>
      </c>
      <c r="AN19" s="6">
        <f ca="1">COUNTIF(PArticipationNovembre1[[#This Row],[2]:[A]],Code6)</f>
        <v>0</v>
      </c>
      <c r="AO19" s="6">
        <f ca="1">COUNTIF(PArticipationNovembre1[[#This Row],[2]:[A]],Code7)</f>
        <v>0</v>
      </c>
      <c r="AP19" s="6">
        <f ca="1">COUNTIF(PArticipationNovembre1[[#This Row],[2]:[A]],Code8)</f>
        <v>0</v>
      </c>
      <c r="AQ19" s="6">
        <f ca="1">COUNTIF(PArticipationNovembre1[[#This Row],[2]:[A]],Code9)</f>
        <v>0</v>
      </c>
      <c r="AR19" s="6">
        <f ca="1">COUNTIF(PArticipationNovembre1[[#This Row],[2]:[A]],Code10)</f>
        <v>0</v>
      </c>
      <c r="AS19" s="6">
        <f ca="1">COUNTIF(PArticipationNovembre1[[#This Row],[2]:[A]],Code11)</f>
        <v>0</v>
      </c>
      <c r="AT19" s="6">
        <f ca="1">COUNTIF(PArticipationNovembre1[[#This Row],[2]:[A]],Code12)</f>
        <v>0</v>
      </c>
      <c r="AU19" s="6">
        <f ca="1">COUNTIF(PArticipationNovembre1[[#This Row],[2]:[A]],Code13)</f>
        <v>0</v>
      </c>
      <c r="AV19" s="6">
        <f ca="1">COUNTIF(PArticipationNovembre1[[#This Row],[2]:[A]],Code14)</f>
        <v>0</v>
      </c>
      <c r="AW19" s="6">
        <f ca="1">COUNTIF(PArticipationNovembre1[[#This Row],[2]:[A]],Code15)</f>
        <v>0</v>
      </c>
      <c r="AX19" s="6">
        <f ca="1">COUNTIF(PArticipationNovembre1[[#This Row],[2]:[A]],Code16)</f>
        <v>0</v>
      </c>
      <c r="AY19" s="6">
        <f ca="1">COUNTIF(PArticipationNovembre1[[#This Row],[2]:[A]],Code17)</f>
        <v>0</v>
      </c>
      <c r="AZ19" s="6">
        <f ca="1">COUNTIF(PArticipationNovembre1[[#This Row],[2]:[A]],Code25)</f>
        <v>0</v>
      </c>
      <c r="BA19" s="6">
        <f ca="1">COUNTIF(PArticipationNovembre1[[#This Row],[2]:[A]],Code26)</f>
        <v>0</v>
      </c>
      <c r="BB19" s="6">
        <f ca="1">COUNTIF(PArticipationNovembre1[[#This Row],[2]:[A]],Code27)</f>
        <v>0</v>
      </c>
      <c r="BC19" s="6">
        <f ca="1">COUNTIF(PArticipationNovembre1[[#This Row],[2]:[A]],Code28)</f>
        <v>0</v>
      </c>
      <c r="BD19" s="6">
        <f ca="1">COUNTIF(PArticipationNovembre1[[#This Row],[2]:[A]],code21)</f>
        <v>0</v>
      </c>
      <c r="BE19" s="6">
        <f ca="1">COUNTIF(PArticipationNovembre1[[#This Row],[2]:[A]],Code24)</f>
        <v>0</v>
      </c>
      <c r="BF19" s="6">
        <f ca="1">COUNTIF(PArticipationNovembre1[[#This Row],[2]:[A]],code18)</f>
        <v>0</v>
      </c>
      <c r="BG19" s="6">
        <f ca="1">COUNTIF(PArticipationNovembre1[[#This Row],[2]:[A]],code19)</f>
        <v>0</v>
      </c>
      <c r="BH19" s="182">
        <f ca="1">COUNTIF(PArticipationNovembre1[[#This Row],[2]:[A]],code20)</f>
        <v>0</v>
      </c>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164"/>
      <c r="CQ19" s="156">
        <f t="shared" ca="1" si="0"/>
        <v>0</v>
      </c>
      <c r="CR19" s="156">
        <f t="shared" ca="1" si="1"/>
        <v>0</v>
      </c>
      <c r="CS19" s="253">
        <f t="shared" ca="1" si="2"/>
        <v>0</v>
      </c>
      <c r="CT19" s="157">
        <f t="shared" ca="1" si="3"/>
        <v>0</v>
      </c>
    </row>
    <row r="20" spans="1:98">
      <c r="A20" s="414" t="str">
        <f>IFERROR(VLOOKUP(ParticipationDecembre1[[#This Row],[Référence]],ListeÉtudiants1[],18,FALSE),"")</f>
        <v/>
      </c>
      <c r="B20" s="152" t="str">
        <f>IFERROR(VLOOKUP(ParticipationDecembre1[[#This Row],[Référence]],ListeÉtudiants1[],18,FALSE),"")</f>
        <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44"/>
      <c r="AG20" s="6">
        <f ca="1">COUNTIF(PArticipationNovembre1[[#This Row],[2]:[A]],Code2)</f>
        <v>0</v>
      </c>
      <c r="AH20" s="6">
        <f ca="1">COUNTIF(PArticipationNovembre1[[#This Row],[2]:[A]],code22)</f>
        <v>0</v>
      </c>
      <c r="AI20" s="6">
        <f ca="1">COUNTIF(PArticipationNovembre1[[#This Row],[2]:[A]],Code2)</f>
        <v>0</v>
      </c>
      <c r="AJ20" s="6">
        <f ca="1">COUNTIF(PArticipationNovembre1[[#This Row],[2]:[A]],Code3)</f>
        <v>0</v>
      </c>
      <c r="AK20" s="6">
        <f ca="1">COUNTIF(PArticipationNovembre1[[#This Row],[2]:[A]],Code4)</f>
        <v>0</v>
      </c>
      <c r="AL20" s="6">
        <f ca="1">COUNTIF(PArticipationNovembre1[[#This Row],[2]:[A]],Code5)</f>
        <v>0</v>
      </c>
      <c r="AM20" s="6">
        <f ca="1">COUNTIF(PArticipationNovembre1[[#This Row],[2]:[A]],Code23)</f>
        <v>0</v>
      </c>
      <c r="AN20" s="6">
        <f ca="1">COUNTIF(PArticipationNovembre1[[#This Row],[2]:[A]],Code6)</f>
        <v>0</v>
      </c>
      <c r="AO20" s="6">
        <f ca="1">COUNTIF(PArticipationNovembre1[[#This Row],[2]:[A]],Code7)</f>
        <v>0</v>
      </c>
      <c r="AP20" s="6">
        <f ca="1">COUNTIF(PArticipationNovembre1[[#This Row],[2]:[A]],Code8)</f>
        <v>0</v>
      </c>
      <c r="AQ20" s="6">
        <f ca="1">COUNTIF(PArticipationNovembre1[[#This Row],[2]:[A]],Code9)</f>
        <v>0</v>
      </c>
      <c r="AR20" s="6">
        <f ca="1">COUNTIF(PArticipationNovembre1[[#This Row],[2]:[A]],Code10)</f>
        <v>0</v>
      </c>
      <c r="AS20" s="6">
        <f ca="1">COUNTIF(PArticipationNovembre1[[#This Row],[2]:[A]],Code11)</f>
        <v>0</v>
      </c>
      <c r="AT20" s="6">
        <f ca="1">COUNTIF(PArticipationNovembre1[[#This Row],[2]:[A]],Code12)</f>
        <v>0</v>
      </c>
      <c r="AU20" s="6">
        <f ca="1">COUNTIF(PArticipationNovembre1[[#This Row],[2]:[A]],Code13)</f>
        <v>0</v>
      </c>
      <c r="AV20" s="6">
        <f ca="1">COUNTIF(PArticipationNovembre1[[#This Row],[2]:[A]],Code14)</f>
        <v>0</v>
      </c>
      <c r="AW20" s="6">
        <f ca="1">COUNTIF(PArticipationNovembre1[[#This Row],[2]:[A]],Code15)</f>
        <v>0</v>
      </c>
      <c r="AX20" s="6">
        <f ca="1">COUNTIF(PArticipationNovembre1[[#This Row],[2]:[A]],Code16)</f>
        <v>0</v>
      </c>
      <c r="AY20" s="6">
        <f ca="1">COUNTIF(PArticipationNovembre1[[#This Row],[2]:[A]],Code17)</f>
        <v>0</v>
      </c>
      <c r="AZ20" s="6">
        <f ca="1">COUNTIF(PArticipationNovembre1[[#This Row],[2]:[A]],Code25)</f>
        <v>0</v>
      </c>
      <c r="BA20" s="6">
        <f ca="1">COUNTIF(PArticipationNovembre1[[#This Row],[2]:[A]],Code26)</f>
        <v>0</v>
      </c>
      <c r="BB20" s="6">
        <f ca="1">COUNTIF(PArticipationNovembre1[[#This Row],[2]:[A]],Code27)</f>
        <v>0</v>
      </c>
      <c r="BC20" s="6">
        <f ca="1">COUNTIF(PArticipationNovembre1[[#This Row],[2]:[A]],Code28)</f>
        <v>0</v>
      </c>
      <c r="BD20" s="6">
        <f ca="1">COUNTIF(PArticipationNovembre1[[#This Row],[2]:[A]],code21)</f>
        <v>0</v>
      </c>
      <c r="BE20" s="6">
        <f ca="1">COUNTIF(PArticipationNovembre1[[#This Row],[2]:[A]],Code24)</f>
        <v>0</v>
      </c>
      <c r="BF20" s="6">
        <f ca="1">COUNTIF(PArticipationNovembre1[[#This Row],[2]:[A]],code18)</f>
        <v>0</v>
      </c>
      <c r="BG20" s="6">
        <f ca="1">COUNTIF(PArticipationNovembre1[[#This Row],[2]:[A]],code19)</f>
        <v>0</v>
      </c>
      <c r="BH20" s="182">
        <f ca="1">COUNTIF(PArticipationNovembre1[[#This Row],[2]:[A]],code20)</f>
        <v>0</v>
      </c>
      <c r="BI20" s="314"/>
      <c r="BJ20" s="314"/>
      <c r="BK20" s="314"/>
      <c r="BL20" s="314"/>
      <c r="BM20" s="314"/>
      <c r="BN20" s="314"/>
      <c r="BO20" s="314"/>
      <c r="BP20" s="314"/>
      <c r="BQ20" s="314"/>
      <c r="BR20" s="314"/>
      <c r="BS20" s="314"/>
      <c r="BT20" s="314"/>
      <c r="BU20" s="314"/>
      <c r="BV20" s="314"/>
      <c r="BW20" s="314"/>
      <c r="BX20" s="314"/>
      <c r="BY20" s="314"/>
      <c r="BZ20" s="314"/>
      <c r="CA20" s="314"/>
      <c r="CB20" s="314"/>
      <c r="CC20" s="314"/>
      <c r="CD20" s="314"/>
      <c r="CE20" s="314"/>
      <c r="CF20" s="314"/>
      <c r="CG20" s="314"/>
      <c r="CH20" s="314"/>
      <c r="CI20" s="314"/>
      <c r="CJ20" s="314"/>
      <c r="CK20" s="314"/>
      <c r="CL20" s="314"/>
      <c r="CM20" s="314"/>
      <c r="CN20" s="314"/>
      <c r="CO20" s="314"/>
      <c r="CP20" s="315"/>
      <c r="CQ20" s="156">
        <f t="shared" ca="1" si="0"/>
        <v>0</v>
      </c>
      <c r="CR20" s="156">
        <f t="shared" ca="1" si="1"/>
        <v>0</v>
      </c>
      <c r="CS20" s="253">
        <f t="shared" ca="1" si="2"/>
        <v>0</v>
      </c>
      <c r="CT20" s="157">
        <f t="shared" ca="1" si="3"/>
        <v>0</v>
      </c>
    </row>
    <row r="21" spans="1:98">
      <c r="A21" s="413" t="str">
        <f>IFERROR(VLOOKUP(ParticipationDecembre1[[#This Row],[Référence]],ListeÉtudiants1[],18,FALSE),"")</f>
        <v/>
      </c>
      <c r="B21" s="152" t="str">
        <f>IFERROR(VLOOKUP(ParticipationDecembre1[[#This Row],[Référence]],ListeÉtudiants1[],18,FALSE),"")</f>
        <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44"/>
      <c r="AG21" s="6">
        <f ca="1">COUNTIF(PArticipationNovembre1[[#This Row],[2]:[A]],Code2)</f>
        <v>0</v>
      </c>
      <c r="AH21" s="6">
        <f ca="1">COUNTIF(PArticipationNovembre1[[#This Row],[2]:[A]],code22)</f>
        <v>0</v>
      </c>
      <c r="AI21" s="6">
        <f ca="1">COUNTIF(PArticipationNovembre1[[#This Row],[2]:[A]],Code2)</f>
        <v>0</v>
      </c>
      <c r="AJ21" s="6">
        <f ca="1">COUNTIF(PArticipationNovembre1[[#This Row],[2]:[A]],Code3)</f>
        <v>0</v>
      </c>
      <c r="AK21" s="6">
        <f ca="1">COUNTIF(PArticipationNovembre1[[#This Row],[2]:[A]],Code4)</f>
        <v>0</v>
      </c>
      <c r="AL21" s="6">
        <f ca="1">COUNTIF(PArticipationNovembre1[[#This Row],[2]:[A]],Code5)</f>
        <v>0</v>
      </c>
      <c r="AM21" s="6">
        <f ca="1">COUNTIF(PArticipationNovembre1[[#This Row],[2]:[A]],Code23)</f>
        <v>0</v>
      </c>
      <c r="AN21" s="6">
        <f ca="1">COUNTIF(PArticipationNovembre1[[#This Row],[2]:[A]],Code6)</f>
        <v>0</v>
      </c>
      <c r="AO21" s="6">
        <f ca="1">COUNTIF(PArticipationNovembre1[[#This Row],[2]:[A]],Code7)</f>
        <v>0</v>
      </c>
      <c r="AP21" s="6">
        <f ca="1">COUNTIF(PArticipationNovembre1[[#This Row],[2]:[A]],Code8)</f>
        <v>0</v>
      </c>
      <c r="AQ21" s="6">
        <f ca="1">COUNTIF(PArticipationNovembre1[[#This Row],[2]:[A]],Code9)</f>
        <v>0</v>
      </c>
      <c r="AR21" s="6">
        <f ca="1">COUNTIF(PArticipationNovembre1[[#This Row],[2]:[A]],Code10)</f>
        <v>0</v>
      </c>
      <c r="AS21" s="6">
        <f ca="1">COUNTIF(PArticipationNovembre1[[#This Row],[2]:[A]],Code11)</f>
        <v>0</v>
      </c>
      <c r="AT21" s="6">
        <f ca="1">COUNTIF(PArticipationNovembre1[[#This Row],[2]:[A]],Code12)</f>
        <v>0</v>
      </c>
      <c r="AU21" s="6">
        <f ca="1">COUNTIF(PArticipationNovembre1[[#This Row],[2]:[A]],Code13)</f>
        <v>0</v>
      </c>
      <c r="AV21" s="6">
        <f ca="1">COUNTIF(PArticipationNovembre1[[#This Row],[2]:[A]],Code14)</f>
        <v>0</v>
      </c>
      <c r="AW21" s="6">
        <f ca="1">COUNTIF(PArticipationNovembre1[[#This Row],[2]:[A]],Code15)</f>
        <v>0</v>
      </c>
      <c r="AX21" s="6">
        <f ca="1">COUNTIF(PArticipationNovembre1[[#This Row],[2]:[A]],Code16)</f>
        <v>0</v>
      </c>
      <c r="AY21" s="6">
        <f ca="1">COUNTIF(PArticipationNovembre1[[#This Row],[2]:[A]],Code17)</f>
        <v>0</v>
      </c>
      <c r="AZ21" s="6">
        <f ca="1">COUNTIF(PArticipationNovembre1[[#This Row],[2]:[A]],Code25)</f>
        <v>0</v>
      </c>
      <c r="BA21" s="6">
        <f ca="1">COUNTIF(PArticipationNovembre1[[#This Row],[2]:[A]],Code26)</f>
        <v>0</v>
      </c>
      <c r="BB21" s="6">
        <f ca="1">COUNTIF(PArticipationNovembre1[[#This Row],[2]:[A]],Code27)</f>
        <v>0</v>
      </c>
      <c r="BC21" s="6">
        <f ca="1">COUNTIF(PArticipationNovembre1[[#This Row],[2]:[A]],Code28)</f>
        <v>0</v>
      </c>
      <c r="BD21" s="6">
        <f ca="1">COUNTIF(PArticipationNovembre1[[#This Row],[2]:[A]],code21)</f>
        <v>0</v>
      </c>
      <c r="BE21" s="6">
        <f ca="1">COUNTIF(PArticipationNovembre1[[#This Row],[2]:[A]],Code24)</f>
        <v>0</v>
      </c>
      <c r="BF21" s="6">
        <f ca="1">COUNTIF(PArticipationNovembre1[[#This Row],[2]:[A]],code18)</f>
        <v>0</v>
      </c>
      <c r="BG21" s="6">
        <f ca="1">COUNTIF(PArticipationNovembre1[[#This Row],[2]:[A]],code19)</f>
        <v>0</v>
      </c>
      <c r="BH21" s="182">
        <f ca="1">COUNTIF(PArticipationNovembre1[[#This Row],[2]:[A]],code20)</f>
        <v>0</v>
      </c>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164"/>
      <c r="CQ21" s="156">
        <f t="shared" ca="1" si="0"/>
        <v>0</v>
      </c>
      <c r="CR21" s="156">
        <f t="shared" ca="1" si="1"/>
        <v>0</v>
      </c>
      <c r="CS21" s="253">
        <f t="shared" ca="1" si="2"/>
        <v>0</v>
      </c>
      <c r="CT21" s="157">
        <f t="shared" ca="1" si="3"/>
        <v>0</v>
      </c>
    </row>
    <row r="22" spans="1:98">
      <c r="A22" s="414" t="str">
        <f>IFERROR(VLOOKUP(ParticipationDecembre1[[#This Row],[Référence]],ListeÉtudiants1[],18,FALSE),"")</f>
        <v/>
      </c>
      <c r="B22" s="152" t="str">
        <f>IFERROR(VLOOKUP(ParticipationDecembre1[[#This Row],[Référence]],ListeÉtudiants1[],18,FALSE),"")</f>
        <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44"/>
      <c r="AG22" s="6">
        <f ca="1">COUNTIF(PArticipationNovembre1[[#This Row],[2]:[A]],Code2)</f>
        <v>0</v>
      </c>
      <c r="AH22" s="6">
        <f ca="1">COUNTIF(PArticipationNovembre1[[#This Row],[2]:[A]],code22)</f>
        <v>0</v>
      </c>
      <c r="AI22" s="6">
        <f ca="1">COUNTIF(PArticipationNovembre1[[#This Row],[2]:[A]],Code2)</f>
        <v>0</v>
      </c>
      <c r="AJ22" s="6">
        <f ca="1">COUNTIF(PArticipationNovembre1[[#This Row],[2]:[A]],Code3)</f>
        <v>0</v>
      </c>
      <c r="AK22" s="6">
        <f ca="1">COUNTIF(PArticipationNovembre1[[#This Row],[2]:[A]],Code4)</f>
        <v>0</v>
      </c>
      <c r="AL22" s="6">
        <f ca="1">COUNTIF(PArticipationNovembre1[[#This Row],[2]:[A]],Code5)</f>
        <v>0</v>
      </c>
      <c r="AM22" s="6">
        <f ca="1">COUNTIF(PArticipationNovembre1[[#This Row],[2]:[A]],Code23)</f>
        <v>0</v>
      </c>
      <c r="AN22" s="6">
        <f ca="1">COUNTIF(PArticipationNovembre1[[#This Row],[2]:[A]],Code6)</f>
        <v>0</v>
      </c>
      <c r="AO22" s="6">
        <f ca="1">COUNTIF(PArticipationNovembre1[[#This Row],[2]:[A]],Code7)</f>
        <v>0</v>
      </c>
      <c r="AP22" s="6">
        <f ca="1">COUNTIF(PArticipationNovembre1[[#This Row],[2]:[A]],Code8)</f>
        <v>0</v>
      </c>
      <c r="AQ22" s="6">
        <f ca="1">COUNTIF(PArticipationNovembre1[[#This Row],[2]:[A]],Code9)</f>
        <v>0</v>
      </c>
      <c r="AR22" s="6">
        <f ca="1">COUNTIF(PArticipationNovembre1[[#This Row],[2]:[A]],Code10)</f>
        <v>0</v>
      </c>
      <c r="AS22" s="6">
        <f ca="1">COUNTIF(PArticipationNovembre1[[#This Row],[2]:[A]],Code11)</f>
        <v>0</v>
      </c>
      <c r="AT22" s="6">
        <f ca="1">COUNTIF(PArticipationNovembre1[[#This Row],[2]:[A]],Code12)</f>
        <v>0</v>
      </c>
      <c r="AU22" s="6">
        <f ca="1">COUNTIF(PArticipationNovembre1[[#This Row],[2]:[A]],Code13)</f>
        <v>0</v>
      </c>
      <c r="AV22" s="6">
        <f ca="1">COUNTIF(PArticipationNovembre1[[#This Row],[2]:[A]],Code14)</f>
        <v>0</v>
      </c>
      <c r="AW22" s="6">
        <f ca="1">COUNTIF(PArticipationNovembre1[[#This Row],[2]:[A]],Code15)</f>
        <v>0</v>
      </c>
      <c r="AX22" s="6">
        <f ca="1">COUNTIF(PArticipationNovembre1[[#This Row],[2]:[A]],Code16)</f>
        <v>0</v>
      </c>
      <c r="AY22" s="6">
        <f ca="1">COUNTIF(PArticipationNovembre1[[#This Row],[2]:[A]],Code17)</f>
        <v>0</v>
      </c>
      <c r="AZ22" s="6">
        <f ca="1">COUNTIF(PArticipationNovembre1[[#This Row],[2]:[A]],Code25)</f>
        <v>0</v>
      </c>
      <c r="BA22" s="6">
        <f ca="1">COUNTIF(PArticipationNovembre1[[#This Row],[2]:[A]],Code26)</f>
        <v>0</v>
      </c>
      <c r="BB22" s="6">
        <f ca="1">COUNTIF(PArticipationNovembre1[[#This Row],[2]:[A]],Code27)</f>
        <v>0</v>
      </c>
      <c r="BC22" s="6">
        <f ca="1">COUNTIF(PArticipationNovembre1[[#This Row],[2]:[A]],Code28)</f>
        <v>0</v>
      </c>
      <c r="BD22" s="6">
        <f ca="1">COUNTIF(PArticipationNovembre1[[#This Row],[2]:[A]],code21)</f>
        <v>0</v>
      </c>
      <c r="BE22" s="6">
        <f ca="1">COUNTIF(PArticipationNovembre1[[#This Row],[2]:[A]],Code24)</f>
        <v>0</v>
      </c>
      <c r="BF22" s="6">
        <f ca="1">COUNTIF(PArticipationNovembre1[[#This Row],[2]:[A]],code18)</f>
        <v>0</v>
      </c>
      <c r="BG22" s="6">
        <f ca="1">COUNTIF(PArticipationNovembre1[[#This Row],[2]:[A]],code19)</f>
        <v>0</v>
      </c>
      <c r="BH22" s="182">
        <f ca="1">COUNTIF(PArticipationNovembre1[[#This Row],[2]:[A]],code20)</f>
        <v>0</v>
      </c>
      <c r="BI22" s="314"/>
      <c r="BJ22" s="314"/>
      <c r="BK22" s="314"/>
      <c r="BL22" s="314"/>
      <c r="BM22" s="314"/>
      <c r="BN22" s="314"/>
      <c r="BO22" s="314"/>
      <c r="BP22" s="314"/>
      <c r="BQ22" s="314"/>
      <c r="BR22" s="314"/>
      <c r="BS22" s="314"/>
      <c r="BT22" s="314"/>
      <c r="BU22" s="314"/>
      <c r="BV22" s="314"/>
      <c r="BW22" s="314"/>
      <c r="BX22" s="314"/>
      <c r="BY22" s="314"/>
      <c r="BZ22" s="314"/>
      <c r="CA22" s="314"/>
      <c r="CB22" s="314"/>
      <c r="CC22" s="314"/>
      <c r="CD22" s="314"/>
      <c r="CE22" s="314"/>
      <c r="CF22" s="314"/>
      <c r="CG22" s="314"/>
      <c r="CH22" s="314"/>
      <c r="CI22" s="314"/>
      <c r="CJ22" s="314"/>
      <c r="CK22" s="314"/>
      <c r="CL22" s="314"/>
      <c r="CM22" s="314"/>
      <c r="CN22" s="314"/>
      <c r="CO22" s="314"/>
      <c r="CP22" s="315"/>
      <c r="CQ22" s="156">
        <f t="shared" ca="1" si="0"/>
        <v>0</v>
      </c>
      <c r="CR22" s="156">
        <f t="shared" ca="1" si="1"/>
        <v>0</v>
      </c>
      <c r="CS22" s="253">
        <f t="shared" ca="1" si="2"/>
        <v>0</v>
      </c>
      <c r="CT22" s="157">
        <f t="shared" ca="1" si="3"/>
        <v>0</v>
      </c>
    </row>
    <row r="23" spans="1:98">
      <c r="A23" s="413" t="str">
        <f>IFERROR(VLOOKUP(ParticipationDecembre1[[#This Row],[Référence]],ListeÉtudiants1[],18,FALSE),"")</f>
        <v/>
      </c>
      <c r="B23" s="152" t="str">
        <f>IFERROR(VLOOKUP(ParticipationDecembre1[[#This Row],[Référence]],ListeÉtudiants1[],18,FALSE),"")</f>
        <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44"/>
      <c r="AG23" s="6">
        <f ca="1">COUNTIF(PArticipationNovembre1[[#This Row],[2]:[A]],Code2)</f>
        <v>0</v>
      </c>
      <c r="AH23" s="6">
        <f ca="1">COUNTIF(PArticipationNovembre1[[#This Row],[2]:[A]],code22)</f>
        <v>0</v>
      </c>
      <c r="AI23" s="6">
        <f ca="1">COUNTIF(PArticipationNovembre1[[#This Row],[2]:[A]],Code2)</f>
        <v>0</v>
      </c>
      <c r="AJ23" s="6">
        <f ca="1">COUNTIF(PArticipationNovembre1[[#This Row],[2]:[A]],Code3)</f>
        <v>0</v>
      </c>
      <c r="AK23" s="6">
        <f ca="1">COUNTIF(PArticipationNovembre1[[#This Row],[2]:[A]],Code4)</f>
        <v>0</v>
      </c>
      <c r="AL23" s="6">
        <f ca="1">COUNTIF(PArticipationNovembre1[[#This Row],[2]:[A]],Code5)</f>
        <v>0</v>
      </c>
      <c r="AM23" s="6">
        <f ca="1">COUNTIF(PArticipationNovembre1[[#This Row],[2]:[A]],Code23)</f>
        <v>0</v>
      </c>
      <c r="AN23" s="6">
        <f ca="1">COUNTIF(PArticipationNovembre1[[#This Row],[2]:[A]],Code6)</f>
        <v>0</v>
      </c>
      <c r="AO23" s="6">
        <f ca="1">COUNTIF(PArticipationNovembre1[[#This Row],[2]:[A]],Code7)</f>
        <v>0</v>
      </c>
      <c r="AP23" s="6">
        <f ca="1">COUNTIF(PArticipationNovembre1[[#This Row],[2]:[A]],Code8)</f>
        <v>0</v>
      </c>
      <c r="AQ23" s="6">
        <f ca="1">COUNTIF(PArticipationNovembre1[[#This Row],[2]:[A]],Code9)</f>
        <v>0</v>
      </c>
      <c r="AR23" s="6">
        <f ca="1">COUNTIF(PArticipationNovembre1[[#This Row],[2]:[A]],Code10)</f>
        <v>0</v>
      </c>
      <c r="AS23" s="6">
        <f ca="1">COUNTIF(PArticipationNovembre1[[#This Row],[2]:[A]],Code11)</f>
        <v>0</v>
      </c>
      <c r="AT23" s="6">
        <f ca="1">COUNTIF(PArticipationNovembre1[[#This Row],[2]:[A]],Code12)</f>
        <v>0</v>
      </c>
      <c r="AU23" s="6">
        <f ca="1">COUNTIF(PArticipationNovembre1[[#This Row],[2]:[A]],Code13)</f>
        <v>0</v>
      </c>
      <c r="AV23" s="6">
        <f ca="1">COUNTIF(PArticipationNovembre1[[#This Row],[2]:[A]],Code14)</f>
        <v>0</v>
      </c>
      <c r="AW23" s="6">
        <f ca="1">COUNTIF(PArticipationNovembre1[[#This Row],[2]:[A]],Code15)</f>
        <v>0</v>
      </c>
      <c r="AX23" s="6">
        <f ca="1">COUNTIF(PArticipationNovembre1[[#This Row],[2]:[A]],Code16)</f>
        <v>0</v>
      </c>
      <c r="AY23" s="6">
        <f ca="1">COUNTIF(PArticipationNovembre1[[#This Row],[2]:[A]],Code17)</f>
        <v>0</v>
      </c>
      <c r="AZ23" s="6">
        <f ca="1">COUNTIF(PArticipationNovembre1[[#This Row],[2]:[A]],Code25)</f>
        <v>0</v>
      </c>
      <c r="BA23" s="6">
        <f ca="1">COUNTIF(PArticipationNovembre1[[#This Row],[2]:[A]],Code26)</f>
        <v>0</v>
      </c>
      <c r="BB23" s="6">
        <f ca="1">COUNTIF(PArticipationNovembre1[[#This Row],[2]:[A]],Code27)</f>
        <v>0</v>
      </c>
      <c r="BC23" s="6">
        <f ca="1">COUNTIF(PArticipationNovembre1[[#This Row],[2]:[A]],Code28)</f>
        <v>0</v>
      </c>
      <c r="BD23" s="6">
        <f ca="1">COUNTIF(PArticipationNovembre1[[#This Row],[2]:[A]],code21)</f>
        <v>0</v>
      </c>
      <c r="BE23" s="6">
        <f ca="1">COUNTIF(PArticipationNovembre1[[#This Row],[2]:[A]],Code24)</f>
        <v>0</v>
      </c>
      <c r="BF23" s="6">
        <f ca="1">COUNTIF(PArticipationNovembre1[[#This Row],[2]:[A]],code18)</f>
        <v>0</v>
      </c>
      <c r="BG23" s="6">
        <f ca="1">COUNTIF(PArticipationNovembre1[[#This Row],[2]:[A]],code19)</f>
        <v>0</v>
      </c>
      <c r="BH23" s="182">
        <f ca="1">COUNTIF(PArticipationNovembre1[[#This Row],[2]:[A]],code20)</f>
        <v>0</v>
      </c>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164"/>
      <c r="CQ23" s="156">
        <f t="shared" ca="1" si="0"/>
        <v>0</v>
      </c>
      <c r="CR23" s="156">
        <f t="shared" ca="1" si="1"/>
        <v>0</v>
      </c>
      <c r="CS23" s="253">
        <f t="shared" ca="1" si="2"/>
        <v>0</v>
      </c>
      <c r="CT23" s="157">
        <f t="shared" ca="1" si="3"/>
        <v>0</v>
      </c>
    </row>
    <row r="24" spans="1:98">
      <c r="A24" s="414" t="str">
        <f>IFERROR(VLOOKUP(ParticipationDecembre1[[#This Row],[Référence]],ListeÉtudiants1[],18,FALSE),"")</f>
        <v/>
      </c>
      <c r="B24" s="152" t="str">
        <f>IFERROR(VLOOKUP(ParticipationDecembre1[[#This Row],[Référence]],ListeÉtudiants1[],18,FALSE),"")</f>
        <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44"/>
      <c r="AG24" s="6">
        <f ca="1">COUNTIF(PArticipationNovembre1[[#This Row],[2]:[A]],Code2)</f>
        <v>0</v>
      </c>
      <c r="AH24" s="6">
        <f ca="1">COUNTIF(PArticipationNovembre1[[#This Row],[2]:[A]],code22)</f>
        <v>0</v>
      </c>
      <c r="AI24" s="6">
        <f ca="1">COUNTIF(PArticipationNovembre1[[#This Row],[2]:[A]],Code2)</f>
        <v>0</v>
      </c>
      <c r="AJ24" s="6">
        <f ca="1">COUNTIF(PArticipationNovembre1[[#This Row],[2]:[A]],Code3)</f>
        <v>0</v>
      </c>
      <c r="AK24" s="6">
        <f ca="1">COUNTIF(PArticipationNovembre1[[#This Row],[2]:[A]],Code4)</f>
        <v>0</v>
      </c>
      <c r="AL24" s="6">
        <f ca="1">COUNTIF(PArticipationNovembre1[[#This Row],[2]:[A]],Code5)</f>
        <v>0</v>
      </c>
      <c r="AM24" s="6">
        <f ca="1">COUNTIF(PArticipationNovembre1[[#This Row],[2]:[A]],Code23)</f>
        <v>0</v>
      </c>
      <c r="AN24" s="6">
        <f ca="1">COUNTIF(PArticipationNovembre1[[#This Row],[2]:[A]],Code6)</f>
        <v>0</v>
      </c>
      <c r="AO24" s="6">
        <f ca="1">COUNTIF(PArticipationNovembre1[[#This Row],[2]:[A]],Code7)</f>
        <v>0</v>
      </c>
      <c r="AP24" s="6">
        <f ca="1">COUNTIF(PArticipationNovembre1[[#This Row],[2]:[A]],Code8)</f>
        <v>0</v>
      </c>
      <c r="AQ24" s="6">
        <f ca="1">COUNTIF(PArticipationNovembre1[[#This Row],[2]:[A]],Code9)</f>
        <v>0</v>
      </c>
      <c r="AR24" s="6">
        <f ca="1">COUNTIF(PArticipationNovembre1[[#This Row],[2]:[A]],Code10)</f>
        <v>0</v>
      </c>
      <c r="AS24" s="6">
        <f ca="1">COUNTIF(PArticipationNovembre1[[#This Row],[2]:[A]],Code11)</f>
        <v>0</v>
      </c>
      <c r="AT24" s="6">
        <f ca="1">COUNTIF(PArticipationNovembre1[[#This Row],[2]:[A]],Code12)</f>
        <v>0</v>
      </c>
      <c r="AU24" s="6">
        <f ca="1">COUNTIF(PArticipationNovembre1[[#This Row],[2]:[A]],Code13)</f>
        <v>0</v>
      </c>
      <c r="AV24" s="6">
        <f ca="1">COUNTIF(PArticipationNovembre1[[#This Row],[2]:[A]],Code14)</f>
        <v>0</v>
      </c>
      <c r="AW24" s="6">
        <f ca="1">COUNTIF(PArticipationNovembre1[[#This Row],[2]:[A]],Code15)</f>
        <v>0</v>
      </c>
      <c r="AX24" s="6">
        <f ca="1">COUNTIF(PArticipationNovembre1[[#This Row],[2]:[A]],Code16)</f>
        <v>0</v>
      </c>
      <c r="AY24" s="6">
        <f ca="1">COUNTIF(PArticipationNovembre1[[#This Row],[2]:[A]],Code17)</f>
        <v>0</v>
      </c>
      <c r="AZ24" s="6">
        <f ca="1">COUNTIF(PArticipationNovembre1[[#This Row],[2]:[A]],Code25)</f>
        <v>0</v>
      </c>
      <c r="BA24" s="6">
        <f ca="1">COUNTIF(PArticipationNovembre1[[#This Row],[2]:[A]],Code26)</f>
        <v>0</v>
      </c>
      <c r="BB24" s="6">
        <f ca="1">COUNTIF(PArticipationNovembre1[[#This Row],[2]:[A]],Code27)</f>
        <v>0</v>
      </c>
      <c r="BC24" s="6">
        <f ca="1">COUNTIF(PArticipationNovembre1[[#This Row],[2]:[A]],Code28)</f>
        <v>0</v>
      </c>
      <c r="BD24" s="6">
        <f ca="1">COUNTIF(PArticipationNovembre1[[#This Row],[2]:[A]],code21)</f>
        <v>0</v>
      </c>
      <c r="BE24" s="6">
        <f ca="1">COUNTIF(PArticipationNovembre1[[#This Row],[2]:[A]],Code24)</f>
        <v>0</v>
      </c>
      <c r="BF24" s="6">
        <f ca="1">COUNTIF(PArticipationNovembre1[[#This Row],[2]:[A]],code18)</f>
        <v>0</v>
      </c>
      <c r="BG24" s="6">
        <f ca="1">COUNTIF(PArticipationNovembre1[[#This Row],[2]:[A]],code19)</f>
        <v>0</v>
      </c>
      <c r="BH24" s="182">
        <f ca="1">COUNTIF(PArticipationNovembre1[[#This Row],[2]:[A]],code20)</f>
        <v>0</v>
      </c>
      <c r="BI24" s="314"/>
      <c r="BJ24" s="314"/>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14"/>
      <c r="CG24" s="314"/>
      <c r="CH24" s="314"/>
      <c r="CI24" s="314"/>
      <c r="CJ24" s="314"/>
      <c r="CK24" s="314"/>
      <c r="CL24" s="314"/>
      <c r="CM24" s="314"/>
      <c r="CN24" s="314"/>
      <c r="CO24" s="314"/>
      <c r="CP24" s="315"/>
      <c r="CQ24" s="156">
        <f t="shared" ca="1" si="0"/>
        <v>0</v>
      </c>
      <c r="CR24" s="156">
        <f t="shared" ca="1" si="1"/>
        <v>0</v>
      </c>
      <c r="CS24" s="253">
        <f t="shared" ca="1" si="2"/>
        <v>0</v>
      </c>
      <c r="CT24" s="157">
        <f t="shared" ca="1" si="3"/>
        <v>0</v>
      </c>
    </row>
    <row r="25" spans="1:98">
      <c r="A25" s="413" t="str">
        <f>IFERROR(VLOOKUP(ParticipationDecembre1[[#This Row],[Référence]],ListeÉtudiants1[],18,FALSE),"")</f>
        <v/>
      </c>
      <c r="B25" s="152" t="str">
        <f>IFERROR(VLOOKUP(ParticipationDecembre1[[#This Row],[Référence]],ListeÉtudiants1[],18,FALSE),"")</f>
        <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44"/>
      <c r="AG25" s="6">
        <f ca="1">COUNTIF(PArticipationNovembre1[[#This Row],[2]:[A]],Code2)</f>
        <v>0</v>
      </c>
      <c r="AH25" s="6">
        <f ca="1">COUNTIF(PArticipationNovembre1[[#This Row],[2]:[A]],code22)</f>
        <v>0</v>
      </c>
      <c r="AI25" s="6">
        <f ca="1">COUNTIF(PArticipationNovembre1[[#This Row],[2]:[A]],Code2)</f>
        <v>0</v>
      </c>
      <c r="AJ25" s="6">
        <f ca="1">COUNTIF(PArticipationNovembre1[[#This Row],[2]:[A]],Code3)</f>
        <v>0</v>
      </c>
      <c r="AK25" s="6">
        <f ca="1">COUNTIF(PArticipationNovembre1[[#This Row],[2]:[A]],Code4)</f>
        <v>0</v>
      </c>
      <c r="AL25" s="6">
        <f ca="1">COUNTIF(PArticipationNovembre1[[#This Row],[2]:[A]],Code5)</f>
        <v>0</v>
      </c>
      <c r="AM25" s="6">
        <f ca="1">COUNTIF(PArticipationNovembre1[[#This Row],[2]:[A]],Code23)</f>
        <v>0</v>
      </c>
      <c r="AN25" s="6">
        <f ca="1">COUNTIF(PArticipationNovembre1[[#This Row],[2]:[A]],Code6)</f>
        <v>0</v>
      </c>
      <c r="AO25" s="6">
        <f ca="1">COUNTIF(PArticipationNovembre1[[#This Row],[2]:[A]],Code7)</f>
        <v>0</v>
      </c>
      <c r="AP25" s="6">
        <f ca="1">COUNTIF(PArticipationNovembre1[[#This Row],[2]:[A]],Code8)</f>
        <v>0</v>
      </c>
      <c r="AQ25" s="6">
        <f ca="1">COUNTIF(PArticipationNovembre1[[#This Row],[2]:[A]],Code9)</f>
        <v>0</v>
      </c>
      <c r="AR25" s="6">
        <f ca="1">COUNTIF(PArticipationNovembre1[[#This Row],[2]:[A]],Code10)</f>
        <v>0</v>
      </c>
      <c r="AS25" s="6">
        <f ca="1">COUNTIF(PArticipationNovembre1[[#This Row],[2]:[A]],Code11)</f>
        <v>0</v>
      </c>
      <c r="AT25" s="6">
        <f ca="1">COUNTIF(PArticipationNovembre1[[#This Row],[2]:[A]],Code12)</f>
        <v>0</v>
      </c>
      <c r="AU25" s="6">
        <f ca="1">COUNTIF(PArticipationNovembre1[[#This Row],[2]:[A]],Code13)</f>
        <v>0</v>
      </c>
      <c r="AV25" s="6">
        <f ca="1">COUNTIF(PArticipationNovembre1[[#This Row],[2]:[A]],Code14)</f>
        <v>0</v>
      </c>
      <c r="AW25" s="6">
        <f ca="1">COUNTIF(PArticipationNovembre1[[#This Row],[2]:[A]],Code15)</f>
        <v>0</v>
      </c>
      <c r="AX25" s="6">
        <f ca="1">COUNTIF(PArticipationNovembre1[[#This Row],[2]:[A]],Code16)</f>
        <v>0</v>
      </c>
      <c r="AY25" s="6">
        <f ca="1">COUNTIF(PArticipationNovembre1[[#This Row],[2]:[A]],Code17)</f>
        <v>0</v>
      </c>
      <c r="AZ25" s="6">
        <f ca="1">COUNTIF(PArticipationNovembre1[[#This Row],[2]:[A]],Code25)</f>
        <v>0</v>
      </c>
      <c r="BA25" s="6">
        <f ca="1">COUNTIF(PArticipationNovembre1[[#This Row],[2]:[A]],Code26)</f>
        <v>0</v>
      </c>
      <c r="BB25" s="6">
        <f ca="1">COUNTIF(PArticipationNovembre1[[#This Row],[2]:[A]],Code27)</f>
        <v>0</v>
      </c>
      <c r="BC25" s="6">
        <f ca="1">COUNTIF(PArticipationNovembre1[[#This Row],[2]:[A]],Code28)</f>
        <v>0</v>
      </c>
      <c r="BD25" s="6">
        <f ca="1">COUNTIF(PArticipationNovembre1[[#This Row],[2]:[A]],code21)</f>
        <v>0</v>
      </c>
      <c r="BE25" s="6">
        <f ca="1">COUNTIF(PArticipationNovembre1[[#This Row],[2]:[A]],Code24)</f>
        <v>0</v>
      </c>
      <c r="BF25" s="6">
        <f ca="1">COUNTIF(PArticipationNovembre1[[#This Row],[2]:[A]],code18)</f>
        <v>0</v>
      </c>
      <c r="BG25" s="6">
        <f ca="1">COUNTIF(PArticipationNovembre1[[#This Row],[2]:[A]],code19)</f>
        <v>0</v>
      </c>
      <c r="BH25" s="182">
        <f ca="1">COUNTIF(PArticipationNovembre1[[#This Row],[2]:[A]],code20)</f>
        <v>0</v>
      </c>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164"/>
      <c r="CQ25" s="156">
        <f t="shared" ca="1" si="0"/>
        <v>0</v>
      </c>
      <c r="CR25" s="156">
        <f t="shared" ca="1" si="1"/>
        <v>0</v>
      </c>
      <c r="CS25" s="253">
        <f t="shared" ca="1" si="2"/>
        <v>0</v>
      </c>
      <c r="CT25" s="157">
        <f t="shared" ca="1" si="3"/>
        <v>0</v>
      </c>
    </row>
    <row r="26" spans="1:98">
      <c r="A26" s="414" t="str">
        <f>IFERROR(VLOOKUP(ParticipationDecembre1[[#This Row],[Référence]],ListeÉtudiants1[],18,FALSE),"")</f>
        <v/>
      </c>
      <c r="B26" s="152" t="str">
        <f>IFERROR(VLOOKUP(ParticipationDecembre1[[#This Row],[Référence]],ListeÉtudiants1[],18,FALSE),"")</f>
        <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44"/>
      <c r="AG26" s="6">
        <f ca="1">COUNTIF(PArticipationNovembre1[[#This Row],[2]:[A]],Code2)</f>
        <v>0</v>
      </c>
      <c r="AH26" s="6">
        <f ca="1">COUNTIF(PArticipationNovembre1[[#This Row],[2]:[A]],code22)</f>
        <v>0</v>
      </c>
      <c r="AI26" s="6">
        <f ca="1">COUNTIF(PArticipationNovembre1[[#This Row],[2]:[A]],Code2)</f>
        <v>0</v>
      </c>
      <c r="AJ26" s="6">
        <f ca="1">COUNTIF(PArticipationNovembre1[[#This Row],[2]:[A]],Code3)</f>
        <v>0</v>
      </c>
      <c r="AK26" s="6">
        <f ca="1">COUNTIF(PArticipationNovembre1[[#This Row],[2]:[A]],Code4)</f>
        <v>0</v>
      </c>
      <c r="AL26" s="6">
        <f ca="1">COUNTIF(PArticipationNovembre1[[#This Row],[2]:[A]],Code5)</f>
        <v>0</v>
      </c>
      <c r="AM26" s="6">
        <f ca="1">COUNTIF(PArticipationNovembre1[[#This Row],[2]:[A]],Code23)</f>
        <v>0</v>
      </c>
      <c r="AN26" s="6">
        <f ca="1">COUNTIF(PArticipationNovembre1[[#This Row],[2]:[A]],Code6)</f>
        <v>0</v>
      </c>
      <c r="AO26" s="6">
        <f ca="1">COUNTIF(PArticipationNovembre1[[#This Row],[2]:[A]],Code7)</f>
        <v>0</v>
      </c>
      <c r="AP26" s="6">
        <f ca="1">COUNTIF(PArticipationNovembre1[[#This Row],[2]:[A]],Code8)</f>
        <v>0</v>
      </c>
      <c r="AQ26" s="6">
        <f ca="1">COUNTIF(PArticipationNovembre1[[#This Row],[2]:[A]],Code9)</f>
        <v>0</v>
      </c>
      <c r="AR26" s="6">
        <f ca="1">COUNTIF(PArticipationNovembre1[[#This Row],[2]:[A]],Code10)</f>
        <v>0</v>
      </c>
      <c r="AS26" s="6">
        <f ca="1">COUNTIF(PArticipationNovembre1[[#This Row],[2]:[A]],Code11)</f>
        <v>0</v>
      </c>
      <c r="AT26" s="6">
        <f ca="1">COUNTIF(PArticipationNovembre1[[#This Row],[2]:[A]],Code12)</f>
        <v>0</v>
      </c>
      <c r="AU26" s="6">
        <f ca="1">COUNTIF(PArticipationNovembre1[[#This Row],[2]:[A]],Code13)</f>
        <v>0</v>
      </c>
      <c r="AV26" s="6">
        <f ca="1">COUNTIF(PArticipationNovembre1[[#This Row],[2]:[A]],Code14)</f>
        <v>0</v>
      </c>
      <c r="AW26" s="6">
        <f ca="1">COUNTIF(PArticipationNovembre1[[#This Row],[2]:[A]],Code15)</f>
        <v>0</v>
      </c>
      <c r="AX26" s="6">
        <f ca="1">COUNTIF(PArticipationNovembre1[[#This Row],[2]:[A]],Code16)</f>
        <v>0</v>
      </c>
      <c r="AY26" s="6">
        <f ca="1">COUNTIF(PArticipationNovembre1[[#This Row],[2]:[A]],Code17)</f>
        <v>0</v>
      </c>
      <c r="AZ26" s="6">
        <f ca="1">COUNTIF(PArticipationNovembre1[[#This Row],[2]:[A]],Code25)</f>
        <v>0</v>
      </c>
      <c r="BA26" s="6">
        <f ca="1">COUNTIF(PArticipationNovembre1[[#This Row],[2]:[A]],Code26)</f>
        <v>0</v>
      </c>
      <c r="BB26" s="6">
        <f ca="1">COUNTIF(PArticipationNovembre1[[#This Row],[2]:[A]],Code27)</f>
        <v>0</v>
      </c>
      <c r="BC26" s="6">
        <f ca="1">COUNTIF(PArticipationNovembre1[[#This Row],[2]:[A]],Code28)</f>
        <v>0</v>
      </c>
      <c r="BD26" s="6">
        <f ca="1">COUNTIF(PArticipationNovembre1[[#This Row],[2]:[A]],code21)</f>
        <v>0</v>
      </c>
      <c r="BE26" s="6">
        <f ca="1">COUNTIF(PArticipationNovembre1[[#This Row],[2]:[A]],Code24)</f>
        <v>0</v>
      </c>
      <c r="BF26" s="6">
        <f ca="1">COUNTIF(PArticipationNovembre1[[#This Row],[2]:[A]],code18)</f>
        <v>0</v>
      </c>
      <c r="BG26" s="6">
        <f ca="1">COUNTIF(PArticipationNovembre1[[#This Row],[2]:[A]],code19)</f>
        <v>0</v>
      </c>
      <c r="BH26" s="182">
        <f ca="1">COUNTIF(PArticipationNovembre1[[#This Row],[2]:[A]],code20)</f>
        <v>0</v>
      </c>
      <c r="BI26" s="314"/>
      <c r="BJ26" s="314"/>
      <c r="BK26" s="314"/>
      <c r="BL26" s="314"/>
      <c r="BM26" s="314"/>
      <c r="BN26" s="314"/>
      <c r="BO26" s="314"/>
      <c r="BP26" s="314"/>
      <c r="BQ26" s="314"/>
      <c r="BR26" s="314"/>
      <c r="BS26" s="314"/>
      <c r="BT26" s="314"/>
      <c r="BU26" s="314"/>
      <c r="BV26" s="314"/>
      <c r="BW26" s="314"/>
      <c r="BX26" s="314"/>
      <c r="BY26" s="314"/>
      <c r="BZ26" s="314"/>
      <c r="CA26" s="314"/>
      <c r="CB26" s="314"/>
      <c r="CC26" s="314"/>
      <c r="CD26" s="314"/>
      <c r="CE26" s="314"/>
      <c r="CF26" s="314"/>
      <c r="CG26" s="314"/>
      <c r="CH26" s="314"/>
      <c r="CI26" s="314"/>
      <c r="CJ26" s="314"/>
      <c r="CK26" s="314"/>
      <c r="CL26" s="314"/>
      <c r="CM26" s="314"/>
      <c r="CN26" s="314"/>
      <c r="CO26" s="314"/>
      <c r="CP26" s="315"/>
      <c r="CQ26" s="156">
        <f t="shared" ca="1" si="0"/>
        <v>0</v>
      </c>
      <c r="CR26" s="156">
        <f t="shared" ca="1" si="1"/>
        <v>0</v>
      </c>
      <c r="CS26" s="253">
        <f t="shared" ca="1" si="2"/>
        <v>0</v>
      </c>
      <c r="CT26" s="157">
        <f t="shared" ca="1" si="3"/>
        <v>0</v>
      </c>
    </row>
    <row r="27" spans="1:98">
      <c r="A27" s="413" t="str">
        <f>IFERROR(VLOOKUP(ParticipationDecembre1[[#This Row],[Référence]],ListeÉtudiants1[],18,FALSE),"")</f>
        <v/>
      </c>
      <c r="B27" s="152" t="str">
        <f>IFERROR(VLOOKUP(ParticipationDecembre1[[#This Row],[Référence]],ListeÉtudiants1[],18,FALSE),"")</f>
        <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44"/>
      <c r="AG27" s="6">
        <f ca="1">COUNTIF(PArticipationNovembre1[[#This Row],[2]:[A]],Code2)</f>
        <v>0</v>
      </c>
      <c r="AH27" s="6">
        <f ca="1">COUNTIF(PArticipationNovembre1[[#This Row],[2]:[A]],code22)</f>
        <v>0</v>
      </c>
      <c r="AI27" s="6">
        <f ca="1">COUNTIF(PArticipationNovembre1[[#This Row],[2]:[A]],Code2)</f>
        <v>0</v>
      </c>
      <c r="AJ27" s="6">
        <f ca="1">COUNTIF(PArticipationNovembre1[[#This Row],[2]:[A]],Code3)</f>
        <v>0</v>
      </c>
      <c r="AK27" s="6">
        <f ca="1">COUNTIF(PArticipationNovembre1[[#This Row],[2]:[A]],Code4)</f>
        <v>0</v>
      </c>
      <c r="AL27" s="6">
        <f ca="1">COUNTIF(PArticipationNovembre1[[#This Row],[2]:[A]],Code5)</f>
        <v>0</v>
      </c>
      <c r="AM27" s="6">
        <f ca="1">COUNTIF(PArticipationNovembre1[[#This Row],[2]:[A]],Code23)</f>
        <v>0</v>
      </c>
      <c r="AN27" s="6">
        <f ca="1">COUNTIF(PArticipationNovembre1[[#This Row],[2]:[A]],Code6)</f>
        <v>0</v>
      </c>
      <c r="AO27" s="6">
        <f ca="1">COUNTIF(PArticipationNovembre1[[#This Row],[2]:[A]],Code7)</f>
        <v>0</v>
      </c>
      <c r="AP27" s="6">
        <f ca="1">COUNTIF(PArticipationNovembre1[[#This Row],[2]:[A]],Code8)</f>
        <v>0</v>
      </c>
      <c r="AQ27" s="6">
        <f ca="1">COUNTIF(PArticipationNovembre1[[#This Row],[2]:[A]],Code9)</f>
        <v>0</v>
      </c>
      <c r="AR27" s="6">
        <f ca="1">COUNTIF(PArticipationNovembre1[[#This Row],[2]:[A]],Code10)</f>
        <v>0</v>
      </c>
      <c r="AS27" s="6">
        <f ca="1">COUNTIF(PArticipationNovembre1[[#This Row],[2]:[A]],Code11)</f>
        <v>0</v>
      </c>
      <c r="AT27" s="6">
        <f ca="1">COUNTIF(PArticipationNovembre1[[#This Row],[2]:[A]],Code12)</f>
        <v>0</v>
      </c>
      <c r="AU27" s="6">
        <f ca="1">COUNTIF(PArticipationNovembre1[[#This Row],[2]:[A]],Code13)</f>
        <v>0</v>
      </c>
      <c r="AV27" s="6">
        <f ca="1">COUNTIF(PArticipationNovembre1[[#This Row],[2]:[A]],Code14)</f>
        <v>0</v>
      </c>
      <c r="AW27" s="6">
        <f ca="1">COUNTIF(PArticipationNovembre1[[#This Row],[2]:[A]],Code15)</f>
        <v>0</v>
      </c>
      <c r="AX27" s="6">
        <f ca="1">COUNTIF(PArticipationNovembre1[[#This Row],[2]:[A]],Code16)</f>
        <v>0</v>
      </c>
      <c r="AY27" s="6">
        <f ca="1">COUNTIF(PArticipationNovembre1[[#This Row],[2]:[A]],Code17)</f>
        <v>0</v>
      </c>
      <c r="AZ27" s="6">
        <f ca="1">COUNTIF(PArticipationNovembre1[[#This Row],[2]:[A]],Code25)</f>
        <v>0</v>
      </c>
      <c r="BA27" s="6">
        <f ca="1">COUNTIF(PArticipationNovembre1[[#This Row],[2]:[A]],Code26)</f>
        <v>0</v>
      </c>
      <c r="BB27" s="6">
        <f ca="1">COUNTIF(PArticipationNovembre1[[#This Row],[2]:[A]],Code27)</f>
        <v>0</v>
      </c>
      <c r="BC27" s="6">
        <f ca="1">COUNTIF(PArticipationNovembre1[[#This Row],[2]:[A]],Code28)</f>
        <v>0</v>
      </c>
      <c r="BD27" s="6">
        <f ca="1">COUNTIF(PArticipationNovembre1[[#This Row],[2]:[A]],code21)</f>
        <v>0</v>
      </c>
      <c r="BE27" s="6">
        <f ca="1">COUNTIF(PArticipationNovembre1[[#This Row],[2]:[A]],Code24)</f>
        <v>0</v>
      </c>
      <c r="BF27" s="6">
        <f ca="1">COUNTIF(PArticipationNovembre1[[#This Row],[2]:[A]],code18)</f>
        <v>0</v>
      </c>
      <c r="BG27" s="6">
        <f ca="1">COUNTIF(PArticipationNovembre1[[#This Row],[2]:[A]],code19)</f>
        <v>0</v>
      </c>
      <c r="BH27" s="182">
        <f ca="1">COUNTIF(PArticipationNovembre1[[#This Row],[2]:[A]],code20)</f>
        <v>0</v>
      </c>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164"/>
      <c r="CQ27" s="156">
        <f t="shared" ca="1" si="0"/>
        <v>0</v>
      </c>
      <c r="CR27" s="156">
        <f t="shared" ca="1" si="1"/>
        <v>0</v>
      </c>
      <c r="CS27" s="253">
        <f t="shared" ca="1" si="2"/>
        <v>0</v>
      </c>
      <c r="CT27" s="157">
        <f t="shared" ca="1" si="3"/>
        <v>0</v>
      </c>
    </row>
    <row r="28" spans="1:98">
      <c r="A28" s="414" t="str">
        <f>IFERROR(VLOOKUP(ParticipationDecembre1[[#This Row],[Référence]],ListeÉtudiants1[],18,FALSE),"")</f>
        <v/>
      </c>
      <c r="B28" s="152" t="str">
        <f>IFERROR(VLOOKUP(ParticipationDecembre1[[#This Row],[Référence]],ListeÉtudiants1[],18,FALSE),"")</f>
        <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44"/>
      <c r="AG28" s="6">
        <f ca="1">COUNTIF(PArticipationNovembre1[[#This Row],[2]:[A]],Code2)</f>
        <v>0</v>
      </c>
      <c r="AH28" s="6">
        <f ca="1">COUNTIF(PArticipationNovembre1[[#This Row],[2]:[A]],code22)</f>
        <v>0</v>
      </c>
      <c r="AI28" s="6">
        <f ca="1">COUNTIF(PArticipationNovembre1[[#This Row],[2]:[A]],Code2)</f>
        <v>0</v>
      </c>
      <c r="AJ28" s="6">
        <f ca="1">COUNTIF(PArticipationNovembre1[[#This Row],[2]:[A]],Code3)</f>
        <v>0</v>
      </c>
      <c r="AK28" s="6">
        <f ca="1">COUNTIF(PArticipationNovembre1[[#This Row],[2]:[A]],Code4)</f>
        <v>0</v>
      </c>
      <c r="AL28" s="6">
        <f ca="1">COUNTIF(PArticipationNovembre1[[#This Row],[2]:[A]],Code5)</f>
        <v>0</v>
      </c>
      <c r="AM28" s="6">
        <f ca="1">COUNTIF(PArticipationNovembre1[[#This Row],[2]:[A]],Code23)</f>
        <v>0</v>
      </c>
      <c r="AN28" s="6">
        <f ca="1">COUNTIF(PArticipationNovembre1[[#This Row],[2]:[A]],Code6)</f>
        <v>0</v>
      </c>
      <c r="AO28" s="6">
        <f ca="1">COUNTIF(PArticipationNovembre1[[#This Row],[2]:[A]],Code7)</f>
        <v>0</v>
      </c>
      <c r="AP28" s="6">
        <f ca="1">COUNTIF(PArticipationNovembre1[[#This Row],[2]:[A]],Code8)</f>
        <v>0</v>
      </c>
      <c r="AQ28" s="6">
        <f ca="1">COUNTIF(PArticipationNovembre1[[#This Row],[2]:[A]],Code9)</f>
        <v>0</v>
      </c>
      <c r="AR28" s="6">
        <f ca="1">COUNTIF(PArticipationNovembre1[[#This Row],[2]:[A]],Code10)</f>
        <v>0</v>
      </c>
      <c r="AS28" s="6">
        <f ca="1">COUNTIF(PArticipationNovembre1[[#This Row],[2]:[A]],Code11)</f>
        <v>0</v>
      </c>
      <c r="AT28" s="6">
        <f ca="1">COUNTIF(PArticipationNovembre1[[#This Row],[2]:[A]],Code12)</f>
        <v>0</v>
      </c>
      <c r="AU28" s="6">
        <f ca="1">COUNTIF(PArticipationNovembre1[[#This Row],[2]:[A]],Code13)</f>
        <v>0</v>
      </c>
      <c r="AV28" s="6">
        <f ca="1">COUNTIF(PArticipationNovembre1[[#This Row],[2]:[A]],Code14)</f>
        <v>0</v>
      </c>
      <c r="AW28" s="6">
        <f ca="1">COUNTIF(PArticipationNovembre1[[#This Row],[2]:[A]],Code15)</f>
        <v>0</v>
      </c>
      <c r="AX28" s="6">
        <f ca="1">COUNTIF(PArticipationNovembre1[[#This Row],[2]:[A]],Code16)</f>
        <v>0</v>
      </c>
      <c r="AY28" s="6">
        <f ca="1">COUNTIF(PArticipationNovembre1[[#This Row],[2]:[A]],Code17)</f>
        <v>0</v>
      </c>
      <c r="AZ28" s="6">
        <f ca="1">COUNTIF(PArticipationNovembre1[[#This Row],[2]:[A]],Code25)</f>
        <v>0</v>
      </c>
      <c r="BA28" s="6">
        <f ca="1">COUNTIF(PArticipationNovembre1[[#This Row],[2]:[A]],Code26)</f>
        <v>0</v>
      </c>
      <c r="BB28" s="6">
        <f ca="1">COUNTIF(PArticipationNovembre1[[#This Row],[2]:[A]],Code27)</f>
        <v>0</v>
      </c>
      <c r="BC28" s="6">
        <f ca="1">COUNTIF(PArticipationNovembre1[[#This Row],[2]:[A]],Code28)</f>
        <v>0</v>
      </c>
      <c r="BD28" s="6">
        <f ca="1">COUNTIF(PArticipationNovembre1[[#This Row],[2]:[A]],code21)</f>
        <v>0</v>
      </c>
      <c r="BE28" s="6">
        <f ca="1">COUNTIF(PArticipationNovembre1[[#This Row],[2]:[A]],Code24)</f>
        <v>0</v>
      </c>
      <c r="BF28" s="6">
        <f ca="1">COUNTIF(PArticipationNovembre1[[#This Row],[2]:[A]],code18)</f>
        <v>0</v>
      </c>
      <c r="BG28" s="6">
        <f ca="1">COUNTIF(PArticipationNovembre1[[#This Row],[2]:[A]],code19)</f>
        <v>0</v>
      </c>
      <c r="BH28" s="182">
        <f ca="1">COUNTIF(PArticipationNovembre1[[#This Row],[2]:[A]],code20)</f>
        <v>0</v>
      </c>
      <c r="BI28" s="314"/>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5"/>
      <c r="CQ28" s="156">
        <f t="shared" ca="1" si="0"/>
        <v>0</v>
      </c>
      <c r="CR28" s="156">
        <f t="shared" ca="1" si="1"/>
        <v>0</v>
      </c>
      <c r="CS28" s="253">
        <f t="shared" ca="1" si="2"/>
        <v>0</v>
      </c>
      <c r="CT28" s="157">
        <f t="shared" ca="1" si="3"/>
        <v>0</v>
      </c>
    </row>
    <row r="29" spans="1:98">
      <c r="A29" s="413" t="str">
        <f>IFERROR(VLOOKUP(ParticipationDecembre1[[#This Row],[Référence]],ListeÉtudiants1[],18,FALSE),"")</f>
        <v/>
      </c>
      <c r="B29" s="152" t="str">
        <f>IFERROR(VLOOKUP(ParticipationDecembre1[[#This Row],[Référence]],ListeÉtudiants1[],18,FALSE),"")</f>
        <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44"/>
      <c r="AG29" s="6">
        <f ca="1">COUNTIF(PArticipationNovembre1[[#This Row],[2]:[A]],Code2)</f>
        <v>0</v>
      </c>
      <c r="AH29" s="6">
        <f ca="1">COUNTIF(PArticipationNovembre1[[#This Row],[2]:[A]],code22)</f>
        <v>0</v>
      </c>
      <c r="AI29" s="6">
        <f ca="1">COUNTIF(PArticipationNovembre1[[#This Row],[2]:[A]],Code2)</f>
        <v>0</v>
      </c>
      <c r="AJ29" s="6">
        <f ca="1">COUNTIF(PArticipationNovembre1[[#This Row],[2]:[A]],Code3)</f>
        <v>0</v>
      </c>
      <c r="AK29" s="6">
        <f ca="1">COUNTIF(PArticipationNovembre1[[#This Row],[2]:[A]],Code4)</f>
        <v>0</v>
      </c>
      <c r="AL29" s="6">
        <f ca="1">COUNTIF(PArticipationNovembre1[[#This Row],[2]:[A]],Code5)</f>
        <v>0</v>
      </c>
      <c r="AM29" s="6">
        <f ca="1">COUNTIF(PArticipationNovembre1[[#This Row],[2]:[A]],Code23)</f>
        <v>0</v>
      </c>
      <c r="AN29" s="6">
        <f ca="1">COUNTIF(PArticipationNovembre1[[#This Row],[2]:[A]],Code6)</f>
        <v>0</v>
      </c>
      <c r="AO29" s="6">
        <f ca="1">COUNTIF(PArticipationNovembre1[[#This Row],[2]:[A]],Code7)</f>
        <v>0</v>
      </c>
      <c r="AP29" s="6">
        <f ca="1">COUNTIF(PArticipationNovembre1[[#This Row],[2]:[A]],Code8)</f>
        <v>0</v>
      </c>
      <c r="AQ29" s="6">
        <f ca="1">COUNTIF(PArticipationNovembre1[[#This Row],[2]:[A]],Code9)</f>
        <v>0</v>
      </c>
      <c r="AR29" s="6">
        <f ca="1">COUNTIF(PArticipationNovembre1[[#This Row],[2]:[A]],Code10)</f>
        <v>0</v>
      </c>
      <c r="AS29" s="6">
        <f ca="1">COUNTIF(PArticipationNovembre1[[#This Row],[2]:[A]],Code11)</f>
        <v>0</v>
      </c>
      <c r="AT29" s="6">
        <f ca="1">COUNTIF(PArticipationNovembre1[[#This Row],[2]:[A]],Code12)</f>
        <v>0</v>
      </c>
      <c r="AU29" s="6">
        <f ca="1">COUNTIF(PArticipationNovembre1[[#This Row],[2]:[A]],Code13)</f>
        <v>0</v>
      </c>
      <c r="AV29" s="6">
        <f ca="1">COUNTIF(PArticipationNovembre1[[#This Row],[2]:[A]],Code14)</f>
        <v>0</v>
      </c>
      <c r="AW29" s="6">
        <f ca="1">COUNTIF(PArticipationNovembre1[[#This Row],[2]:[A]],Code15)</f>
        <v>0</v>
      </c>
      <c r="AX29" s="6">
        <f ca="1">COUNTIF(PArticipationNovembre1[[#This Row],[2]:[A]],Code16)</f>
        <v>0</v>
      </c>
      <c r="AY29" s="6">
        <f ca="1">COUNTIF(PArticipationNovembre1[[#This Row],[2]:[A]],Code17)</f>
        <v>0</v>
      </c>
      <c r="AZ29" s="6">
        <f ca="1">COUNTIF(PArticipationNovembre1[[#This Row],[2]:[A]],Code25)</f>
        <v>0</v>
      </c>
      <c r="BA29" s="6">
        <f ca="1">COUNTIF(PArticipationNovembre1[[#This Row],[2]:[A]],Code26)</f>
        <v>0</v>
      </c>
      <c r="BB29" s="6">
        <f ca="1">COUNTIF(PArticipationNovembre1[[#This Row],[2]:[A]],Code27)</f>
        <v>0</v>
      </c>
      <c r="BC29" s="6">
        <f ca="1">COUNTIF(PArticipationNovembre1[[#This Row],[2]:[A]],Code28)</f>
        <v>0</v>
      </c>
      <c r="BD29" s="6">
        <f ca="1">COUNTIF(PArticipationNovembre1[[#This Row],[2]:[A]],code21)</f>
        <v>0</v>
      </c>
      <c r="BE29" s="6">
        <f ca="1">COUNTIF(PArticipationNovembre1[[#This Row],[2]:[A]],Code24)</f>
        <v>0</v>
      </c>
      <c r="BF29" s="6">
        <f ca="1">COUNTIF(PArticipationNovembre1[[#This Row],[2]:[A]],code18)</f>
        <v>0</v>
      </c>
      <c r="BG29" s="6">
        <f ca="1">COUNTIF(PArticipationNovembre1[[#This Row],[2]:[A]],code19)</f>
        <v>0</v>
      </c>
      <c r="BH29" s="182">
        <f ca="1">COUNTIF(PArticipationNovembre1[[#This Row],[2]:[A]],code20)</f>
        <v>0</v>
      </c>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164"/>
      <c r="CQ29" s="156">
        <f t="shared" ca="1" si="0"/>
        <v>0</v>
      </c>
      <c r="CR29" s="156">
        <f t="shared" ca="1" si="1"/>
        <v>0</v>
      </c>
      <c r="CS29" s="253">
        <f t="shared" ca="1" si="2"/>
        <v>0</v>
      </c>
      <c r="CT29" s="157">
        <f t="shared" ca="1" si="3"/>
        <v>0</v>
      </c>
    </row>
    <row r="30" spans="1:98">
      <c r="A30" s="414" t="str">
        <f>IFERROR(VLOOKUP(ParticipationDecembre1[[#This Row],[Référence]],ListeÉtudiants1[],18,FALSE),"")</f>
        <v/>
      </c>
      <c r="B30" s="152" t="str">
        <f>IFERROR(VLOOKUP(ParticipationDecembre1[[#This Row],[Référence]],ListeÉtudiants1[],18,FALSE),"")</f>
        <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44"/>
      <c r="AG30" s="6">
        <f ca="1">COUNTIF(PArticipationNovembre1[[#This Row],[2]:[A]],Code2)</f>
        <v>0</v>
      </c>
      <c r="AH30" s="6">
        <f ca="1">COUNTIF(PArticipationNovembre1[[#This Row],[2]:[A]],code22)</f>
        <v>0</v>
      </c>
      <c r="AI30" s="6">
        <f ca="1">COUNTIF(PArticipationNovembre1[[#This Row],[2]:[A]],Code2)</f>
        <v>0</v>
      </c>
      <c r="AJ30" s="6">
        <f ca="1">COUNTIF(PArticipationNovembre1[[#This Row],[2]:[A]],Code3)</f>
        <v>0</v>
      </c>
      <c r="AK30" s="6">
        <f ca="1">COUNTIF(PArticipationNovembre1[[#This Row],[2]:[A]],Code4)</f>
        <v>0</v>
      </c>
      <c r="AL30" s="6">
        <f ca="1">COUNTIF(PArticipationNovembre1[[#This Row],[2]:[A]],Code5)</f>
        <v>0</v>
      </c>
      <c r="AM30" s="6">
        <f ca="1">COUNTIF(PArticipationNovembre1[[#This Row],[2]:[A]],Code23)</f>
        <v>0</v>
      </c>
      <c r="AN30" s="6">
        <f ca="1">COUNTIF(PArticipationNovembre1[[#This Row],[2]:[A]],Code6)</f>
        <v>0</v>
      </c>
      <c r="AO30" s="6">
        <f ca="1">COUNTIF(PArticipationNovembre1[[#This Row],[2]:[A]],Code7)</f>
        <v>0</v>
      </c>
      <c r="AP30" s="6">
        <f ca="1">COUNTIF(PArticipationNovembre1[[#This Row],[2]:[A]],Code8)</f>
        <v>0</v>
      </c>
      <c r="AQ30" s="6">
        <f ca="1">COUNTIF(PArticipationNovembre1[[#This Row],[2]:[A]],Code9)</f>
        <v>0</v>
      </c>
      <c r="AR30" s="6">
        <f ca="1">COUNTIF(PArticipationNovembre1[[#This Row],[2]:[A]],Code10)</f>
        <v>0</v>
      </c>
      <c r="AS30" s="6">
        <f ca="1">COUNTIF(PArticipationNovembre1[[#This Row],[2]:[A]],Code11)</f>
        <v>0</v>
      </c>
      <c r="AT30" s="6">
        <f ca="1">COUNTIF(PArticipationNovembre1[[#This Row],[2]:[A]],Code12)</f>
        <v>0</v>
      </c>
      <c r="AU30" s="6">
        <f ca="1">COUNTIF(PArticipationNovembre1[[#This Row],[2]:[A]],Code13)</f>
        <v>0</v>
      </c>
      <c r="AV30" s="6">
        <f ca="1">COUNTIF(PArticipationNovembre1[[#This Row],[2]:[A]],Code14)</f>
        <v>0</v>
      </c>
      <c r="AW30" s="6">
        <f ca="1">COUNTIF(PArticipationNovembre1[[#This Row],[2]:[A]],Code15)</f>
        <v>0</v>
      </c>
      <c r="AX30" s="6">
        <f ca="1">COUNTIF(PArticipationNovembre1[[#This Row],[2]:[A]],Code16)</f>
        <v>0</v>
      </c>
      <c r="AY30" s="6">
        <f ca="1">COUNTIF(PArticipationNovembre1[[#This Row],[2]:[A]],Code17)</f>
        <v>0</v>
      </c>
      <c r="AZ30" s="6">
        <f ca="1">COUNTIF(PArticipationNovembre1[[#This Row],[2]:[A]],Code25)</f>
        <v>0</v>
      </c>
      <c r="BA30" s="6">
        <f ca="1">COUNTIF(PArticipationNovembre1[[#This Row],[2]:[A]],Code26)</f>
        <v>0</v>
      </c>
      <c r="BB30" s="6">
        <f ca="1">COUNTIF(PArticipationNovembre1[[#This Row],[2]:[A]],Code27)</f>
        <v>0</v>
      </c>
      <c r="BC30" s="6">
        <f ca="1">COUNTIF(PArticipationNovembre1[[#This Row],[2]:[A]],Code28)</f>
        <v>0</v>
      </c>
      <c r="BD30" s="6">
        <f ca="1">COUNTIF(PArticipationNovembre1[[#This Row],[2]:[A]],code21)</f>
        <v>0</v>
      </c>
      <c r="BE30" s="6">
        <f ca="1">COUNTIF(PArticipationNovembre1[[#This Row],[2]:[A]],Code24)</f>
        <v>0</v>
      </c>
      <c r="BF30" s="6">
        <f ca="1">COUNTIF(PArticipationNovembre1[[#This Row],[2]:[A]],code18)</f>
        <v>0</v>
      </c>
      <c r="BG30" s="6">
        <f ca="1">COUNTIF(PArticipationNovembre1[[#This Row],[2]:[A]],code19)</f>
        <v>0</v>
      </c>
      <c r="BH30" s="182">
        <f ca="1">COUNTIF(PArticipationNovembre1[[#This Row],[2]:[A]],code20)</f>
        <v>0</v>
      </c>
      <c r="BI30" s="314"/>
      <c r="BJ30" s="314"/>
      <c r="BK30" s="314"/>
      <c r="BL30" s="314"/>
      <c r="BM30" s="314"/>
      <c r="BN30" s="314"/>
      <c r="BO30" s="314"/>
      <c r="BP30" s="314"/>
      <c r="BQ30" s="314"/>
      <c r="BR30" s="314"/>
      <c r="BS30" s="314"/>
      <c r="BT30" s="314"/>
      <c r="BU30" s="314"/>
      <c r="BV30" s="314"/>
      <c r="BW30" s="314"/>
      <c r="BX30" s="314"/>
      <c r="BY30" s="314"/>
      <c r="BZ30" s="314"/>
      <c r="CA30" s="314"/>
      <c r="CB30" s="314"/>
      <c r="CC30" s="314"/>
      <c r="CD30" s="314"/>
      <c r="CE30" s="314"/>
      <c r="CF30" s="314"/>
      <c r="CG30" s="314"/>
      <c r="CH30" s="314"/>
      <c r="CI30" s="314"/>
      <c r="CJ30" s="314"/>
      <c r="CK30" s="314"/>
      <c r="CL30" s="314"/>
      <c r="CM30" s="314"/>
      <c r="CN30" s="314"/>
      <c r="CO30" s="314"/>
      <c r="CP30" s="315"/>
      <c r="CQ30" s="156">
        <f t="shared" ca="1" si="0"/>
        <v>0</v>
      </c>
      <c r="CR30" s="156">
        <f t="shared" ca="1" si="1"/>
        <v>0</v>
      </c>
      <c r="CS30" s="253">
        <f t="shared" ca="1" si="2"/>
        <v>0</v>
      </c>
      <c r="CT30" s="157">
        <f t="shared" ca="1" si="3"/>
        <v>0</v>
      </c>
    </row>
    <row r="31" spans="1:98">
      <c r="A31" s="413" t="str">
        <f>IFERROR(VLOOKUP(ParticipationDecembre1[[#This Row],[Référence]],ListeÉtudiants1[],18,FALSE),"")</f>
        <v/>
      </c>
      <c r="B31" s="152" t="str">
        <f>IFERROR(VLOOKUP(ParticipationDecembre1[[#This Row],[Référence]],ListeÉtudiants1[],18,FALSE),"")</f>
        <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44"/>
      <c r="AG31" s="6">
        <f ca="1">COUNTIF(PArticipationNovembre1[[#This Row],[2]:[A]],Code2)</f>
        <v>0</v>
      </c>
      <c r="AH31" s="6">
        <f ca="1">COUNTIF(PArticipationNovembre1[[#This Row],[2]:[A]],code22)</f>
        <v>0</v>
      </c>
      <c r="AI31" s="6">
        <f ca="1">COUNTIF(PArticipationNovembre1[[#This Row],[2]:[A]],Code2)</f>
        <v>0</v>
      </c>
      <c r="AJ31" s="6">
        <f ca="1">COUNTIF(PArticipationNovembre1[[#This Row],[2]:[A]],Code3)</f>
        <v>0</v>
      </c>
      <c r="AK31" s="6">
        <f ca="1">COUNTIF(PArticipationNovembre1[[#This Row],[2]:[A]],Code4)</f>
        <v>0</v>
      </c>
      <c r="AL31" s="6">
        <f ca="1">COUNTIF(PArticipationNovembre1[[#This Row],[2]:[A]],Code5)</f>
        <v>0</v>
      </c>
      <c r="AM31" s="6">
        <f ca="1">COUNTIF(PArticipationNovembre1[[#This Row],[2]:[A]],Code23)</f>
        <v>0</v>
      </c>
      <c r="AN31" s="6">
        <f ca="1">COUNTIF(PArticipationNovembre1[[#This Row],[2]:[A]],Code6)</f>
        <v>0</v>
      </c>
      <c r="AO31" s="6">
        <f ca="1">COUNTIF(PArticipationNovembre1[[#This Row],[2]:[A]],Code7)</f>
        <v>0</v>
      </c>
      <c r="AP31" s="6">
        <f ca="1">COUNTIF(PArticipationNovembre1[[#This Row],[2]:[A]],Code8)</f>
        <v>0</v>
      </c>
      <c r="AQ31" s="6">
        <f ca="1">COUNTIF(PArticipationNovembre1[[#This Row],[2]:[A]],Code9)</f>
        <v>0</v>
      </c>
      <c r="AR31" s="6">
        <f ca="1">COUNTIF(PArticipationNovembre1[[#This Row],[2]:[A]],Code10)</f>
        <v>0</v>
      </c>
      <c r="AS31" s="6">
        <f ca="1">COUNTIF(PArticipationNovembre1[[#This Row],[2]:[A]],Code11)</f>
        <v>0</v>
      </c>
      <c r="AT31" s="6">
        <f ca="1">COUNTIF(PArticipationNovembre1[[#This Row],[2]:[A]],Code12)</f>
        <v>0</v>
      </c>
      <c r="AU31" s="6">
        <f ca="1">COUNTIF(PArticipationNovembre1[[#This Row],[2]:[A]],Code13)</f>
        <v>0</v>
      </c>
      <c r="AV31" s="6">
        <f ca="1">COUNTIF(PArticipationNovembre1[[#This Row],[2]:[A]],Code14)</f>
        <v>0</v>
      </c>
      <c r="AW31" s="6">
        <f ca="1">COUNTIF(PArticipationNovembre1[[#This Row],[2]:[A]],Code15)</f>
        <v>0</v>
      </c>
      <c r="AX31" s="6">
        <f ca="1">COUNTIF(PArticipationNovembre1[[#This Row],[2]:[A]],Code16)</f>
        <v>0</v>
      </c>
      <c r="AY31" s="6">
        <f ca="1">COUNTIF(PArticipationNovembre1[[#This Row],[2]:[A]],Code17)</f>
        <v>0</v>
      </c>
      <c r="AZ31" s="6">
        <f ca="1">COUNTIF(PArticipationNovembre1[[#This Row],[2]:[A]],Code25)</f>
        <v>0</v>
      </c>
      <c r="BA31" s="6">
        <f ca="1">COUNTIF(PArticipationNovembre1[[#This Row],[2]:[A]],Code26)</f>
        <v>0</v>
      </c>
      <c r="BB31" s="6">
        <f ca="1">COUNTIF(PArticipationNovembre1[[#This Row],[2]:[A]],Code27)</f>
        <v>0</v>
      </c>
      <c r="BC31" s="6">
        <f ca="1">COUNTIF(PArticipationNovembre1[[#This Row],[2]:[A]],Code28)</f>
        <v>0</v>
      </c>
      <c r="BD31" s="6">
        <f ca="1">COUNTIF(PArticipationNovembre1[[#This Row],[2]:[A]],code21)</f>
        <v>0</v>
      </c>
      <c r="BE31" s="6">
        <f ca="1">COUNTIF(PArticipationNovembre1[[#This Row],[2]:[A]],Code24)</f>
        <v>0</v>
      </c>
      <c r="BF31" s="6">
        <f ca="1">COUNTIF(PArticipationNovembre1[[#This Row],[2]:[A]],code18)</f>
        <v>0</v>
      </c>
      <c r="BG31" s="6">
        <f ca="1">COUNTIF(PArticipationNovembre1[[#This Row],[2]:[A]],code19)</f>
        <v>0</v>
      </c>
      <c r="BH31" s="182">
        <f ca="1">COUNTIF(PArticipationNovembre1[[#This Row],[2]:[A]],code20)</f>
        <v>0</v>
      </c>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164"/>
      <c r="CQ31" s="156">
        <f t="shared" ca="1" si="0"/>
        <v>0</v>
      </c>
      <c r="CR31" s="156">
        <f t="shared" ca="1" si="1"/>
        <v>0</v>
      </c>
      <c r="CS31" s="253">
        <f t="shared" ca="1" si="2"/>
        <v>0</v>
      </c>
      <c r="CT31" s="157"/>
    </row>
    <row r="32" spans="1:98">
      <c r="A32" s="414" t="str">
        <f>IFERROR(VLOOKUP(ParticipationDecembre1[[#This Row],[Référence]],ListeÉtudiants1[],18,FALSE),"")</f>
        <v/>
      </c>
      <c r="B32" s="152" t="str">
        <f>IFERROR(VLOOKUP(ParticipationDecembre1[[#This Row],[Référence]],ListeÉtudiants1[],18,FALSE),"")</f>
        <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44"/>
      <c r="AG32" s="6">
        <f ca="1">COUNTIF(PArticipationNovembre1[[#This Row],[2]:[A]],Code2)</f>
        <v>0</v>
      </c>
      <c r="AH32" s="6">
        <f ca="1">COUNTIF(PArticipationNovembre1[[#This Row],[2]:[A]],code22)</f>
        <v>0</v>
      </c>
      <c r="AI32" s="6">
        <f ca="1">COUNTIF(PArticipationNovembre1[[#This Row],[2]:[A]],Code2)</f>
        <v>0</v>
      </c>
      <c r="AJ32" s="6">
        <f ca="1">COUNTIF(PArticipationNovembre1[[#This Row],[2]:[A]],Code3)</f>
        <v>0</v>
      </c>
      <c r="AK32" s="6">
        <f ca="1">COUNTIF(PArticipationNovembre1[[#This Row],[2]:[A]],Code4)</f>
        <v>0</v>
      </c>
      <c r="AL32" s="6">
        <f ca="1">COUNTIF(PArticipationNovembre1[[#This Row],[2]:[A]],Code5)</f>
        <v>0</v>
      </c>
      <c r="AM32" s="6">
        <f ca="1">COUNTIF(PArticipationNovembre1[[#This Row],[2]:[A]],Code23)</f>
        <v>0</v>
      </c>
      <c r="AN32" s="6">
        <f ca="1">COUNTIF(PArticipationNovembre1[[#This Row],[2]:[A]],Code6)</f>
        <v>0</v>
      </c>
      <c r="AO32" s="6">
        <f ca="1">COUNTIF(PArticipationNovembre1[[#This Row],[2]:[A]],Code7)</f>
        <v>0</v>
      </c>
      <c r="AP32" s="6">
        <f ca="1">COUNTIF(PArticipationNovembre1[[#This Row],[2]:[A]],Code8)</f>
        <v>0</v>
      </c>
      <c r="AQ32" s="6">
        <f ca="1">COUNTIF(PArticipationNovembre1[[#This Row],[2]:[A]],Code9)</f>
        <v>0</v>
      </c>
      <c r="AR32" s="6">
        <f ca="1">COUNTIF(PArticipationNovembre1[[#This Row],[2]:[A]],Code10)</f>
        <v>0</v>
      </c>
      <c r="AS32" s="6">
        <f ca="1">COUNTIF(PArticipationNovembre1[[#This Row],[2]:[A]],Code11)</f>
        <v>0</v>
      </c>
      <c r="AT32" s="6">
        <f ca="1">COUNTIF(PArticipationNovembre1[[#This Row],[2]:[A]],Code12)</f>
        <v>0</v>
      </c>
      <c r="AU32" s="6">
        <f ca="1">COUNTIF(PArticipationNovembre1[[#This Row],[2]:[A]],Code13)</f>
        <v>0</v>
      </c>
      <c r="AV32" s="6">
        <f ca="1">COUNTIF(PArticipationNovembre1[[#This Row],[2]:[A]],Code14)</f>
        <v>0</v>
      </c>
      <c r="AW32" s="6">
        <f ca="1">COUNTIF(PArticipationNovembre1[[#This Row],[2]:[A]],Code15)</f>
        <v>0</v>
      </c>
      <c r="AX32" s="6">
        <f ca="1">COUNTIF(PArticipationNovembre1[[#This Row],[2]:[A]],Code16)</f>
        <v>0</v>
      </c>
      <c r="AY32" s="6">
        <f ca="1">COUNTIF(PArticipationNovembre1[[#This Row],[2]:[A]],Code17)</f>
        <v>0</v>
      </c>
      <c r="AZ32" s="6">
        <f ca="1">COUNTIF(PArticipationNovembre1[[#This Row],[2]:[A]],Code25)</f>
        <v>0</v>
      </c>
      <c r="BA32" s="6">
        <f ca="1">COUNTIF(PArticipationNovembre1[[#This Row],[2]:[A]],Code26)</f>
        <v>0</v>
      </c>
      <c r="BB32" s="6">
        <f ca="1">COUNTIF(PArticipationNovembre1[[#This Row],[2]:[A]],Code27)</f>
        <v>0</v>
      </c>
      <c r="BC32" s="6">
        <f ca="1">COUNTIF(PArticipationNovembre1[[#This Row],[2]:[A]],Code28)</f>
        <v>0</v>
      </c>
      <c r="BD32" s="6">
        <f ca="1">COUNTIF(PArticipationNovembre1[[#This Row],[2]:[A]],code21)</f>
        <v>0</v>
      </c>
      <c r="BE32" s="6">
        <f ca="1">COUNTIF(PArticipationNovembre1[[#This Row],[2]:[A]],Code24)</f>
        <v>0</v>
      </c>
      <c r="BF32" s="6">
        <f ca="1">COUNTIF(PArticipationNovembre1[[#This Row],[2]:[A]],code18)</f>
        <v>0</v>
      </c>
      <c r="BG32" s="6">
        <f ca="1">COUNTIF(PArticipationNovembre1[[#This Row],[2]:[A]],code19)</f>
        <v>0</v>
      </c>
      <c r="BH32" s="182">
        <f ca="1">COUNTIF(PArticipationNovembre1[[#This Row],[2]:[A]],code20)</f>
        <v>0</v>
      </c>
      <c r="BI32" s="314"/>
      <c r="BJ32" s="314"/>
      <c r="BK32" s="314"/>
      <c r="BL32" s="314"/>
      <c r="BM32" s="314"/>
      <c r="BN32" s="314"/>
      <c r="BO32" s="314"/>
      <c r="BP32" s="314"/>
      <c r="BQ32" s="314"/>
      <c r="BR32" s="314"/>
      <c r="BS32" s="314"/>
      <c r="BT32" s="314"/>
      <c r="BU32" s="314"/>
      <c r="BV32" s="314"/>
      <c r="BW32" s="314"/>
      <c r="BX32" s="314"/>
      <c r="BY32" s="314"/>
      <c r="BZ32" s="314"/>
      <c r="CA32" s="314"/>
      <c r="CB32" s="314"/>
      <c r="CC32" s="314"/>
      <c r="CD32" s="314"/>
      <c r="CE32" s="314"/>
      <c r="CF32" s="314"/>
      <c r="CG32" s="314"/>
      <c r="CH32" s="314"/>
      <c r="CI32" s="314"/>
      <c r="CJ32" s="314"/>
      <c r="CK32" s="314"/>
      <c r="CL32" s="314"/>
      <c r="CM32" s="314"/>
      <c r="CN32" s="314"/>
      <c r="CO32" s="314"/>
      <c r="CP32" s="315"/>
      <c r="CQ32" s="156">
        <f t="shared" ca="1" si="0"/>
        <v>0</v>
      </c>
      <c r="CR32" s="156">
        <f t="shared" ca="1" si="1"/>
        <v>0</v>
      </c>
      <c r="CS32" s="253">
        <f t="shared" ca="1" si="2"/>
        <v>0</v>
      </c>
      <c r="CT32" s="185">
        <f ca="1">SUM(AP32:CQ32)</f>
        <v>0</v>
      </c>
    </row>
    <row r="33" spans="1:99">
      <c r="A33" s="413" t="str">
        <f>IFERROR(VLOOKUP(ParticipationDecembre1[[#This Row],[Référence]],ListeÉtudiants1[],18,FALSE),"")</f>
        <v/>
      </c>
      <c r="B33" s="152" t="str">
        <f>IFERROR(VLOOKUP(ParticipationDecembre1[[#This Row],[Référence]],ListeÉtudiants1[],18,FALSE),"")</f>
        <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44"/>
      <c r="AG33" s="6">
        <f ca="1">COUNTIF(PArticipationNovembre1[[#This Row],[2]:[A]],Code2)</f>
        <v>0</v>
      </c>
      <c r="AH33" s="6">
        <f ca="1">COUNTIF(PArticipationNovembre1[[#This Row],[2]:[A]],code22)</f>
        <v>0</v>
      </c>
      <c r="AI33" s="6">
        <f ca="1">COUNTIF(PArticipationNovembre1[[#This Row],[2]:[A]],Code2)</f>
        <v>0</v>
      </c>
      <c r="AJ33" s="6">
        <f ca="1">COUNTIF(PArticipationNovembre1[[#This Row],[2]:[A]],Code3)</f>
        <v>0</v>
      </c>
      <c r="AK33" s="6">
        <f ca="1">COUNTIF(PArticipationNovembre1[[#This Row],[2]:[A]],Code4)</f>
        <v>0</v>
      </c>
      <c r="AL33" s="6">
        <f ca="1">COUNTIF(PArticipationNovembre1[[#This Row],[2]:[A]],Code5)</f>
        <v>0</v>
      </c>
      <c r="AM33" s="6">
        <f ca="1">COUNTIF(PArticipationNovembre1[[#This Row],[2]:[A]],Code23)</f>
        <v>0</v>
      </c>
      <c r="AN33" s="6">
        <f ca="1">COUNTIF(PArticipationNovembre1[[#This Row],[2]:[A]],Code6)</f>
        <v>0</v>
      </c>
      <c r="AO33" s="6">
        <f ca="1">COUNTIF(PArticipationNovembre1[[#This Row],[2]:[A]],Code7)</f>
        <v>0</v>
      </c>
      <c r="AP33" s="6">
        <f ca="1">COUNTIF(PArticipationNovembre1[[#This Row],[2]:[A]],Code8)</f>
        <v>0</v>
      </c>
      <c r="AQ33" s="6">
        <f ca="1">COUNTIF(PArticipationNovembre1[[#This Row],[2]:[A]],Code9)</f>
        <v>0</v>
      </c>
      <c r="AR33" s="6">
        <f ca="1">COUNTIF(PArticipationNovembre1[[#This Row],[2]:[A]],Code10)</f>
        <v>0</v>
      </c>
      <c r="AS33" s="6">
        <f ca="1">COUNTIF(PArticipationNovembre1[[#This Row],[2]:[A]],Code11)</f>
        <v>0</v>
      </c>
      <c r="AT33" s="6">
        <f ca="1">COUNTIF(PArticipationNovembre1[[#This Row],[2]:[A]],Code12)</f>
        <v>0</v>
      </c>
      <c r="AU33" s="6">
        <f ca="1">COUNTIF(PArticipationNovembre1[[#This Row],[2]:[A]],Code13)</f>
        <v>0</v>
      </c>
      <c r="AV33" s="6">
        <f ca="1">COUNTIF(PArticipationNovembre1[[#This Row],[2]:[A]],Code14)</f>
        <v>0</v>
      </c>
      <c r="AW33" s="6">
        <f ca="1">COUNTIF(PArticipationNovembre1[[#This Row],[2]:[A]],Code15)</f>
        <v>0</v>
      </c>
      <c r="AX33" s="6">
        <f ca="1">COUNTIF(PArticipationNovembre1[[#This Row],[2]:[A]],Code16)</f>
        <v>0</v>
      </c>
      <c r="AY33" s="6">
        <f ca="1">COUNTIF(PArticipationNovembre1[[#This Row],[2]:[A]],Code17)</f>
        <v>0</v>
      </c>
      <c r="AZ33" s="6">
        <f ca="1">COUNTIF(PArticipationNovembre1[[#This Row],[2]:[A]],Code25)</f>
        <v>0</v>
      </c>
      <c r="BA33" s="6">
        <f ca="1">COUNTIF(PArticipationNovembre1[[#This Row],[2]:[A]],Code26)</f>
        <v>0</v>
      </c>
      <c r="BB33" s="6">
        <f ca="1">COUNTIF(PArticipationNovembre1[[#This Row],[2]:[A]],Code27)</f>
        <v>0</v>
      </c>
      <c r="BC33" s="6">
        <f ca="1">COUNTIF(PArticipationNovembre1[[#This Row],[2]:[A]],Code28)</f>
        <v>0</v>
      </c>
      <c r="BD33" s="6">
        <f ca="1">COUNTIF(PArticipationNovembre1[[#This Row],[2]:[A]],code21)</f>
        <v>0</v>
      </c>
      <c r="BE33" s="6">
        <f ca="1">COUNTIF(PArticipationNovembre1[[#This Row],[2]:[A]],Code24)</f>
        <v>0</v>
      </c>
      <c r="BF33" s="6">
        <f ca="1">COUNTIF(PArticipationNovembre1[[#This Row],[2]:[A]],code18)</f>
        <v>0</v>
      </c>
      <c r="BG33" s="6">
        <f ca="1">COUNTIF(PArticipationNovembre1[[#This Row],[2]:[A]],code19)</f>
        <v>0</v>
      </c>
      <c r="BH33" s="182">
        <f ca="1">COUNTIF(PArticipationNovembre1[[#This Row],[2]:[A]],code20)</f>
        <v>0</v>
      </c>
      <c r="BI33" s="318"/>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164"/>
      <c r="CQ33" s="156">
        <f t="shared" ca="1" si="0"/>
        <v>0</v>
      </c>
      <c r="CR33" s="156">
        <f t="shared" ca="1" si="1"/>
        <v>0</v>
      </c>
      <c r="CS33" s="253">
        <f t="shared" ca="1" si="2"/>
        <v>0</v>
      </c>
      <c r="CT33" s="185">
        <f ca="1">SUM(AP33:CQ33)</f>
        <v>0</v>
      </c>
    </row>
    <row r="34" spans="1:99" ht="14.25" thickBot="1">
      <c r="A34" s="414" t="str">
        <f>IFERROR(VLOOKUP(ParticipationDecembre1[[#This Row],[Référence]],ListeÉtudiants1[],18,FALSE),"")</f>
        <v/>
      </c>
      <c r="B34" s="152" t="str">
        <f>IFERROR(VLOOKUP(ParticipationDecembre1[[#This Row],[Référence]],ListeÉtudiants1[],18,FALSE),"")</f>
        <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44"/>
      <c r="AG34" s="6">
        <f ca="1">COUNTIF(PArticipationNovembre1[[#This Row],[2]:[A]],Code2)</f>
        <v>0</v>
      </c>
      <c r="AH34" s="6">
        <f ca="1">COUNTIF(PArticipationNovembre1[[#This Row],[2]:[A]],code22)</f>
        <v>0</v>
      </c>
      <c r="AI34" s="6">
        <f ca="1">COUNTIF(PArticipationNovembre1[[#This Row],[2]:[A]],Code2)</f>
        <v>0</v>
      </c>
      <c r="AJ34" s="6">
        <f ca="1">COUNTIF(PArticipationNovembre1[[#This Row],[2]:[A]],Code3)</f>
        <v>0</v>
      </c>
      <c r="AK34" s="6">
        <f ca="1">COUNTIF(PArticipationNovembre1[[#This Row],[2]:[A]],Code4)</f>
        <v>0</v>
      </c>
      <c r="AL34" s="6">
        <f ca="1">COUNTIF(PArticipationNovembre1[[#This Row],[2]:[A]],Code5)</f>
        <v>0</v>
      </c>
      <c r="AM34" s="6">
        <f ca="1">COUNTIF(PArticipationNovembre1[[#This Row],[2]:[A]],Code23)</f>
        <v>0</v>
      </c>
      <c r="AN34" s="6">
        <f ca="1">COUNTIF(PArticipationNovembre1[[#This Row],[2]:[A]],Code6)</f>
        <v>0</v>
      </c>
      <c r="AO34" s="6">
        <f ca="1">COUNTIF(PArticipationNovembre1[[#This Row],[2]:[A]],Code7)</f>
        <v>0</v>
      </c>
      <c r="AP34" s="6">
        <f ca="1">COUNTIF(PArticipationNovembre1[[#This Row],[2]:[A]],Code8)</f>
        <v>0</v>
      </c>
      <c r="AQ34" s="6">
        <f ca="1">COUNTIF(PArticipationNovembre1[[#This Row],[2]:[A]],Code9)</f>
        <v>0</v>
      </c>
      <c r="AR34" s="6">
        <f ca="1">COUNTIF(PArticipationNovembre1[[#This Row],[2]:[A]],Code10)</f>
        <v>0</v>
      </c>
      <c r="AS34" s="6">
        <f ca="1">COUNTIF(PArticipationNovembre1[[#This Row],[2]:[A]],Code11)</f>
        <v>0</v>
      </c>
      <c r="AT34" s="6">
        <f ca="1">COUNTIF(PArticipationNovembre1[[#This Row],[2]:[A]],Code12)</f>
        <v>0</v>
      </c>
      <c r="AU34" s="6">
        <f ca="1">COUNTIF(PArticipationNovembre1[[#This Row],[2]:[A]],Code13)</f>
        <v>0</v>
      </c>
      <c r="AV34" s="6">
        <f ca="1">COUNTIF(PArticipationNovembre1[[#This Row],[2]:[A]],Code14)</f>
        <v>0</v>
      </c>
      <c r="AW34" s="6">
        <f ca="1">COUNTIF(PArticipationNovembre1[[#This Row],[2]:[A]],Code15)</f>
        <v>0</v>
      </c>
      <c r="AX34" s="6">
        <f ca="1">COUNTIF(PArticipationNovembre1[[#This Row],[2]:[A]],Code16)</f>
        <v>0</v>
      </c>
      <c r="AY34" s="6">
        <f ca="1">COUNTIF(PArticipationNovembre1[[#This Row],[2]:[A]],Code17)</f>
        <v>0</v>
      </c>
      <c r="AZ34" s="6">
        <f ca="1">COUNTIF(PArticipationNovembre1[[#This Row],[2]:[A]],Code25)</f>
        <v>0</v>
      </c>
      <c r="BA34" s="6">
        <f ca="1">COUNTIF(PArticipationNovembre1[[#This Row],[2]:[A]],Code26)</f>
        <v>0</v>
      </c>
      <c r="BB34" s="6">
        <f ca="1">COUNTIF(PArticipationNovembre1[[#This Row],[2]:[A]],Code27)</f>
        <v>0</v>
      </c>
      <c r="BC34" s="6">
        <f ca="1">COUNTIF(PArticipationNovembre1[[#This Row],[2]:[A]],Code28)</f>
        <v>0</v>
      </c>
      <c r="BD34" s="6">
        <f ca="1">COUNTIF(PArticipationNovembre1[[#This Row],[2]:[A]],code21)</f>
        <v>0</v>
      </c>
      <c r="BE34" s="6">
        <f ca="1">COUNTIF(PArticipationNovembre1[[#This Row],[2]:[A]],Code24)</f>
        <v>0</v>
      </c>
      <c r="BF34" s="6">
        <f ca="1">COUNTIF(PArticipationNovembre1[[#This Row],[2]:[A]],code18)</f>
        <v>0</v>
      </c>
      <c r="BG34" s="6">
        <f ca="1">COUNTIF(PArticipationNovembre1[[#This Row],[2]:[A]],code19)</f>
        <v>0</v>
      </c>
      <c r="BH34" s="182">
        <f ca="1">COUNTIF(PArticipationNovembre1[[#This Row],[2]:[A]],code20)</f>
        <v>0</v>
      </c>
      <c r="BI34" s="319"/>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64"/>
      <c r="CQ34" s="156">
        <f t="shared" ca="1" si="0"/>
        <v>0</v>
      </c>
      <c r="CR34" s="156">
        <f t="shared" ca="1" si="1"/>
        <v>0</v>
      </c>
      <c r="CS34" s="253">
        <f t="shared" ca="1" si="2"/>
        <v>0</v>
      </c>
      <c r="CT34" s="185"/>
    </row>
    <row r="35" spans="1:99" ht="15" thickTop="1" thickBot="1">
      <c r="A35" s="413" t="str">
        <f>IFERROR(VLOOKUP(ParticipationDecembre1[[#This Row],[Référence]],ListeÉtudiants1[],18,FALSE),"")</f>
        <v/>
      </c>
      <c r="B35" s="152" t="str">
        <f>IFERROR(VLOOKUP(ParticipationDecembre1[[#This Row],[Référence]],ListeÉtudiants1[],18,FALSE),"")</f>
        <v/>
      </c>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8"/>
      <c r="AG35" s="188">
        <f ca="1">COUNTIF(PArticipationNovembre1[[#This Row],[2]:[A]],Code2)</f>
        <v>0</v>
      </c>
      <c r="AH35" s="149">
        <f ca="1">COUNTIF(PArticipationNovembre1[[#This Row],[2]:[A]],code22)</f>
        <v>0</v>
      </c>
      <c r="AI35" s="149">
        <f ca="1">COUNTIF(PArticipationNovembre1[[#This Row],[2]:[A]],Code2)</f>
        <v>0</v>
      </c>
      <c r="AJ35" s="149">
        <f ca="1">COUNTIF(PArticipationNovembre1[[#This Row],[2]:[A]],Code3)</f>
        <v>0</v>
      </c>
      <c r="AK35" s="149">
        <f ca="1">COUNTIF(PArticipationNovembre1[[#This Row],[2]:[A]],Code4)</f>
        <v>0</v>
      </c>
      <c r="AL35" s="149">
        <f ca="1">COUNTIF(PArticipationNovembre1[[#This Row],[2]:[A]],Code5)</f>
        <v>0</v>
      </c>
      <c r="AM35" s="149">
        <f ca="1">COUNTIF(PArticipationNovembre1[[#This Row],[2]:[A]],Code23)</f>
        <v>0</v>
      </c>
      <c r="AN35" s="149">
        <f ca="1">COUNTIF(PArticipationNovembre1[[#This Row],[2]:[A]],Code6)</f>
        <v>0</v>
      </c>
      <c r="AO35" s="149">
        <f ca="1">COUNTIF(PArticipationNovembre1[[#This Row],[2]:[A]],Code7)</f>
        <v>0</v>
      </c>
      <c r="AP35" s="149">
        <f ca="1">COUNTIF(PArticipationNovembre1[[#This Row],[2]:[A]],Code8)</f>
        <v>0</v>
      </c>
      <c r="AQ35" s="149">
        <f ca="1">COUNTIF(PArticipationNovembre1[[#This Row],[2]:[A]],Code9)</f>
        <v>0</v>
      </c>
      <c r="AR35" s="149">
        <f ca="1">COUNTIF(PArticipationNovembre1[[#This Row],[2]:[A]],Code10)</f>
        <v>0</v>
      </c>
      <c r="AS35" s="149">
        <f ca="1">COUNTIF(PArticipationNovembre1[[#This Row],[2]:[A]],Code11)</f>
        <v>0</v>
      </c>
      <c r="AT35" s="149">
        <f ca="1">COUNTIF(PArticipationNovembre1[[#This Row],[2]:[A]],Code12)</f>
        <v>0</v>
      </c>
      <c r="AU35" s="149">
        <f ca="1">COUNTIF(PArticipationNovembre1[[#This Row],[2]:[A]],Code13)</f>
        <v>0</v>
      </c>
      <c r="AV35" s="149">
        <f ca="1">COUNTIF(PArticipationNovembre1[[#This Row],[2]:[A]],Code14)</f>
        <v>0</v>
      </c>
      <c r="AW35" s="149">
        <f ca="1">COUNTIF(PArticipationNovembre1[[#This Row],[2]:[A]],Code15)</f>
        <v>0</v>
      </c>
      <c r="AX35" s="149">
        <f ca="1">COUNTIF(PArticipationNovembre1[[#This Row],[2]:[A]],Code16)</f>
        <v>0</v>
      </c>
      <c r="AY35" s="149">
        <f ca="1">COUNTIF(PArticipationNovembre1[[#This Row],[2]:[A]],Code17)</f>
        <v>0</v>
      </c>
      <c r="AZ35" s="6">
        <f ca="1">COUNTIF(PArticipationNovembre1[[#This Row],[2]:[A]],Code25)</f>
        <v>0</v>
      </c>
      <c r="BA35" s="6">
        <f ca="1">COUNTIF(PArticipationNovembre1[[#This Row],[2]:[A]],Code26)</f>
        <v>0</v>
      </c>
      <c r="BB35" s="6">
        <f ca="1">COUNTIF(PArticipationNovembre1[[#This Row],[2]:[A]],Code27)</f>
        <v>0</v>
      </c>
      <c r="BC35" s="6">
        <f ca="1">COUNTIF(PArticipationNovembre1[[#This Row],[2]:[A]],Code28)</f>
        <v>0</v>
      </c>
      <c r="BD35" s="6">
        <f ca="1">COUNTIF(PArticipationNovembre1[[#This Row],[2]:[A]],code21)</f>
        <v>0</v>
      </c>
      <c r="BE35" s="6">
        <f ca="1">COUNTIF(PArticipationNovembre1[[#This Row],[2]:[A]],Code24)</f>
        <v>0</v>
      </c>
      <c r="BF35" s="149">
        <f ca="1">COUNTIF(PArticipationNovembre1[[#This Row],[2]:[A]],code18)</f>
        <v>0</v>
      </c>
      <c r="BG35" s="149">
        <f ca="1">COUNTIF(PArticipationNovembre1[[#This Row],[2]:[A]],code19)</f>
        <v>0</v>
      </c>
      <c r="BH35" s="183">
        <f ca="1">COUNTIF(PArticipationNovembre1[[#This Row],[2]:[A]],code20)</f>
        <v>0</v>
      </c>
      <c r="BI35" s="293"/>
      <c r="BJ35" s="293"/>
      <c r="BK35" s="293"/>
      <c r="BL35" s="293"/>
      <c r="BM35" s="293"/>
      <c r="BN35" s="293"/>
      <c r="BO35" s="293"/>
      <c r="BP35" s="293"/>
      <c r="BQ35" s="293"/>
      <c r="BR35" s="293"/>
      <c r="BS35" s="293"/>
      <c r="BT35" s="293"/>
      <c r="BU35" s="293"/>
      <c r="BV35" s="293"/>
      <c r="BW35" s="293"/>
      <c r="BX35" s="293"/>
      <c r="BY35" s="293"/>
      <c r="BZ35" s="293"/>
      <c r="CA35" s="293"/>
      <c r="CB35" s="293"/>
      <c r="CC35" s="293"/>
      <c r="CD35" s="293"/>
      <c r="CE35" s="293"/>
      <c r="CF35" s="293"/>
      <c r="CG35" s="293"/>
      <c r="CH35" s="293"/>
      <c r="CI35" s="293"/>
      <c r="CJ35" s="293"/>
      <c r="CK35" s="293"/>
      <c r="CL35" s="293"/>
      <c r="CM35" s="293"/>
      <c r="CN35" s="293"/>
      <c r="CO35" s="293"/>
      <c r="CP35" s="430"/>
      <c r="CQ35" s="181">
        <f t="shared" ca="1" si="0"/>
        <v>0</v>
      </c>
      <c r="CR35" s="181">
        <f t="shared" ca="1" si="1"/>
        <v>0</v>
      </c>
      <c r="CS35" s="246">
        <f t="shared" ca="1" si="2"/>
        <v>0</v>
      </c>
      <c r="CT35" s="158"/>
    </row>
    <row r="36" spans="1:99" ht="14.25" thickTop="1">
      <c r="A36" s="10"/>
      <c r="B36" s="200"/>
      <c r="C36" s="201"/>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387"/>
      <c r="BF36" s="387"/>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row>
    <row r="37" spans="1:99">
      <c r="A37" s="10"/>
      <c r="B37" s="3"/>
      <c r="C37" s="4"/>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row>
  </sheetData>
  <mergeCells count="6">
    <mergeCell ref="P7:Q7"/>
    <mergeCell ref="A1:E1"/>
    <mergeCell ref="F1:J1"/>
    <mergeCell ref="K1:O1"/>
    <mergeCell ref="I7:J7"/>
    <mergeCell ref="M7:N7"/>
  </mergeCells>
  <conditionalFormatting sqref="C11:AF35">
    <cfRule type="expression" dxfId="550" priority="1">
      <formula>C11=Code23</formula>
    </cfRule>
    <cfRule type="expression" dxfId="549" priority="2">
      <formula>C11=Code24</formula>
    </cfRule>
    <cfRule type="expression" dxfId="548" priority="3">
      <formula>C11=code22</formula>
    </cfRule>
    <cfRule type="expression" dxfId="547" priority="4">
      <formula>C11=code21</formula>
    </cfRule>
    <cfRule type="expression" dxfId="546" priority="21" stopIfTrue="1">
      <formula>C11=code20</formula>
    </cfRule>
    <cfRule type="expression" dxfId="545" priority="22" stopIfTrue="1">
      <formula>C11=code18</formula>
    </cfRule>
    <cfRule type="expression" dxfId="544" priority="23" stopIfTrue="1">
      <formula>C11=Code17</formula>
    </cfRule>
    <cfRule type="expression" dxfId="543" priority="24" stopIfTrue="1">
      <formula>C11=Code16</formula>
    </cfRule>
    <cfRule type="expression" dxfId="542" priority="25" stopIfTrue="1">
      <formula>C11=Code15</formula>
    </cfRule>
    <cfRule type="expression" dxfId="541" priority="26" stopIfTrue="1">
      <formula>C11=Code13</formula>
    </cfRule>
    <cfRule type="expression" dxfId="540" priority="27" stopIfTrue="1">
      <formula>C11=Code14</formula>
    </cfRule>
    <cfRule type="expression" dxfId="539" priority="28" stopIfTrue="1">
      <formula>C11=Code12</formula>
    </cfRule>
    <cfRule type="expression" dxfId="538" priority="29" stopIfTrue="1">
      <formula>C11=Code11</formula>
    </cfRule>
    <cfRule type="expression" dxfId="537" priority="30" stopIfTrue="1">
      <formula>C11=Code10</formula>
    </cfRule>
    <cfRule type="expression" dxfId="536" priority="31" stopIfTrue="1">
      <formula>C11=Code9</formula>
    </cfRule>
    <cfRule type="expression" dxfId="535" priority="32" stopIfTrue="1">
      <formula>C11=Code8</formula>
    </cfRule>
    <cfRule type="expression" dxfId="534" priority="38" stopIfTrue="1">
      <formula>C11=Code2</formula>
    </cfRule>
    <cfRule type="expression" dxfId="533" priority="42" stopIfTrue="1">
      <formula>C11=Code2</formula>
    </cfRule>
  </conditionalFormatting>
  <conditionalFormatting sqref="C11:AF35">
    <cfRule type="expression" dxfId="532" priority="40" stopIfTrue="1">
      <formula>C11=Code7</formula>
    </cfRule>
    <cfRule type="expression" dxfId="531" priority="44" stopIfTrue="1">
      <formula>C11=Code6</formula>
    </cfRule>
    <cfRule type="expression" dxfId="530" priority="46" stopIfTrue="1">
      <formula>C11=Code5</formula>
    </cfRule>
    <cfRule type="expression" dxfId="529" priority="47" stopIfTrue="1">
      <formula>C11=Code4</formula>
    </cfRule>
    <cfRule type="expression" dxfId="528" priority="48" stopIfTrue="1">
      <formula>C11=Code3</formula>
    </cfRule>
    <cfRule type="expression" dxfId="527" priority="49" stopIfTrue="1">
      <formula>C11=Code1</formula>
    </cfRule>
  </conditionalFormatting>
  <conditionalFormatting sqref="CR36:CT36">
    <cfRule type="dataBar" priority="34">
      <dataBar>
        <cfvo type="min"/>
        <cfvo type="num" val="31"/>
        <color theme="4"/>
      </dataBar>
      <extLst>
        <ext xmlns:x14="http://schemas.microsoft.com/office/spreadsheetml/2009/9/main" uri="{B025F937-C7B1-47D3-B67F-A62EFF666E3E}">
          <x14:id>{FE651820-7CAF-41DD-9C7E-B7E64594A7DB}</x14:id>
        </ext>
      </extLst>
    </cfRule>
  </conditionalFormatting>
  <conditionalFormatting sqref="CU36">
    <cfRule type="dataBar" priority="19">
      <dataBar>
        <cfvo type="min"/>
        <cfvo type="num" val="31"/>
        <color theme="4"/>
      </dataBar>
      <extLst>
        <ext xmlns:x14="http://schemas.microsoft.com/office/spreadsheetml/2009/9/main" uri="{B025F937-C7B1-47D3-B67F-A62EFF666E3E}">
          <x14:id>{13E3D0B7-981B-458A-9BC7-2639E52576F0}</x14:id>
        </ext>
      </extLst>
    </cfRule>
  </conditionalFormatting>
  <conditionalFormatting sqref="CT32:CT33">
    <cfRule type="dataBar" priority="15">
      <dataBar>
        <cfvo type="min"/>
        <cfvo type="num" val="31"/>
        <color theme="4"/>
      </dataBar>
      <extLst>
        <ext xmlns:x14="http://schemas.microsoft.com/office/spreadsheetml/2009/9/main" uri="{B025F937-C7B1-47D3-B67F-A62EFF666E3E}">
          <x14:id>{DACF1DC8-8C11-40CE-9C4A-AD5E1DC0D830}</x14:id>
        </ext>
      </extLst>
    </cfRule>
  </conditionalFormatting>
  <conditionalFormatting sqref="CT34">
    <cfRule type="dataBar" priority="14">
      <dataBar>
        <cfvo type="min"/>
        <cfvo type="num" val="31"/>
        <color theme="4"/>
      </dataBar>
      <extLst>
        <ext xmlns:x14="http://schemas.microsoft.com/office/spreadsheetml/2009/9/main" uri="{B025F937-C7B1-47D3-B67F-A62EFF666E3E}">
          <x14:id>{BCE14C89-80CF-4CB9-80F8-38542946B82F}</x14:id>
        </ext>
      </extLst>
    </cfRule>
  </conditionalFormatting>
  <conditionalFormatting sqref="CQ11:CQ35">
    <cfRule type="dataBar" priority="12">
      <dataBar>
        <cfvo type="min"/>
        <cfvo type="num" val="31"/>
        <color theme="4"/>
      </dataBar>
      <extLst>
        <ext xmlns:x14="http://schemas.microsoft.com/office/spreadsheetml/2009/9/main" uri="{B025F937-C7B1-47D3-B67F-A62EFF666E3E}">
          <x14:id>{84D68B07-F90F-4928-88CE-F1EB06CDD3BC}</x14:id>
        </ext>
      </extLst>
    </cfRule>
  </conditionalFormatting>
  <conditionalFormatting sqref="CR11:CS35">
    <cfRule type="dataBar" priority="13">
      <dataBar>
        <cfvo type="min"/>
        <cfvo type="num" val="31"/>
        <color theme="4"/>
      </dataBar>
      <extLst>
        <ext xmlns:x14="http://schemas.microsoft.com/office/spreadsheetml/2009/9/main" uri="{B025F937-C7B1-47D3-B67F-A62EFF666E3E}">
          <x14:id>{131E02A5-2D44-46F0-ABB8-88EB5F54610F}</x14:id>
        </ext>
      </extLst>
    </cfRule>
  </conditionalFormatting>
  <conditionalFormatting sqref="CT31">
    <cfRule type="dataBar" priority="10">
      <dataBar>
        <cfvo type="min"/>
        <cfvo type="num" val="31"/>
        <color theme="4"/>
      </dataBar>
      <extLst>
        <ext xmlns:x14="http://schemas.microsoft.com/office/spreadsheetml/2009/9/main" uri="{B025F937-C7B1-47D3-B67F-A62EFF666E3E}">
          <x14:id>{9C47DDB1-73E6-4524-A2A0-9F851CC56D5A}</x14:id>
        </ext>
      </extLst>
    </cfRule>
  </conditionalFormatting>
  <conditionalFormatting sqref="CT11:CT30">
    <cfRule type="dataBar" priority="11">
      <dataBar>
        <cfvo type="min"/>
        <cfvo type="num" val="31"/>
        <color theme="4"/>
      </dataBar>
      <extLst>
        <ext xmlns:x14="http://schemas.microsoft.com/office/spreadsheetml/2009/9/main" uri="{B025F937-C7B1-47D3-B67F-A62EFF666E3E}">
          <x14:id>{9749E5BD-55BF-4A51-97C5-39B7E0C205A8}</x14:id>
        </ext>
      </extLst>
    </cfRule>
  </conditionalFormatting>
  <conditionalFormatting sqref="AE3">
    <cfRule type="cellIs" priority="8" operator="equal">
      <formula>"V"</formula>
    </cfRule>
  </conditionalFormatting>
  <conditionalFormatting sqref="X5:X7">
    <cfRule type="cellIs" dxfId="526" priority="7" operator="equal">
      <formula>"St1"</formula>
    </cfRule>
  </conditionalFormatting>
  <conditionalFormatting sqref="Z5:Z7">
    <cfRule type="cellIs" dxfId="525" priority="6" operator="equal">
      <formula>"St2"</formula>
    </cfRule>
  </conditionalFormatting>
  <conditionalFormatting sqref="AC5:AC7">
    <cfRule type="cellIs" dxfId="524" priority="5" operator="equal">
      <formula>"St3"</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E651820-7CAF-41DD-9C7E-B7E64594A7DB}">
            <x14:dataBar minLength="0" maxLength="100" border="1" negativeBarBorderColorSameAsPositive="0">
              <x14:cfvo type="autoMin"/>
              <x14:cfvo type="num">
                <xm:f>31</xm:f>
              </x14:cfvo>
              <x14:borderColor theme="4"/>
              <x14:negativeFillColor rgb="FFFF0000"/>
              <x14:negativeBorderColor rgb="FFFF0000"/>
              <x14:axisColor rgb="FF000000"/>
            </x14:dataBar>
          </x14:cfRule>
          <xm:sqref>CR36:CT36</xm:sqref>
        </x14:conditionalFormatting>
        <x14:conditionalFormatting xmlns:xm="http://schemas.microsoft.com/office/excel/2006/main">
          <x14:cfRule type="dataBar" id="{13E3D0B7-981B-458A-9BC7-2639E52576F0}">
            <x14:dataBar minLength="0" maxLength="100" border="1" negativeBarBorderColorSameAsPositive="0">
              <x14:cfvo type="autoMin"/>
              <x14:cfvo type="num">
                <xm:f>31</xm:f>
              </x14:cfvo>
              <x14:borderColor theme="4"/>
              <x14:negativeFillColor rgb="FFFF0000"/>
              <x14:negativeBorderColor rgb="FFFF0000"/>
              <x14:axisColor rgb="FF000000"/>
            </x14:dataBar>
          </x14:cfRule>
          <xm:sqref>CU36</xm:sqref>
        </x14:conditionalFormatting>
        <x14:conditionalFormatting xmlns:xm="http://schemas.microsoft.com/office/excel/2006/main">
          <x14:cfRule type="dataBar" id="{DACF1DC8-8C11-40CE-9C4A-AD5E1DC0D830}">
            <x14:dataBar minLength="0" maxLength="100" border="1" negativeBarBorderColorSameAsPositive="0">
              <x14:cfvo type="autoMin"/>
              <x14:cfvo type="num">
                <xm:f>31</xm:f>
              </x14:cfvo>
              <x14:borderColor theme="4"/>
              <x14:negativeFillColor rgb="FFFF0000"/>
              <x14:negativeBorderColor rgb="FFFF0000"/>
              <x14:axisColor rgb="FF000000"/>
            </x14:dataBar>
          </x14:cfRule>
          <xm:sqref>CT32:CT33</xm:sqref>
        </x14:conditionalFormatting>
        <x14:conditionalFormatting xmlns:xm="http://schemas.microsoft.com/office/excel/2006/main">
          <x14:cfRule type="dataBar" id="{BCE14C89-80CF-4CB9-80F8-38542946B82F}">
            <x14:dataBar minLength="0" maxLength="100" border="1" negativeBarBorderColorSameAsPositive="0">
              <x14:cfvo type="autoMin"/>
              <x14:cfvo type="num">
                <xm:f>31</xm:f>
              </x14:cfvo>
              <x14:borderColor theme="4"/>
              <x14:negativeFillColor rgb="FFFF0000"/>
              <x14:negativeBorderColor rgb="FFFF0000"/>
              <x14:axisColor rgb="FF000000"/>
            </x14:dataBar>
          </x14:cfRule>
          <xm:sqref>CT34</xm:sqref>
        </x14:conditionalFormatting>
        <x14:conditionalFormatting xmlns:xm="http://schemas.microsoft.com/office/excel/2006/main">
          <x14:cfRule type="dataBar" id="{84D68B07-F90F-4928-88CE-F1EB06CDD3BC}">
            <x14:dataBar minLength="0" maxLength="100" border="1" negativeBarBorderColorSameAsPositive="0">
              <x14:cfvo type="autoMin"/>
              <x14:cfvo type="num">
                <xm:f>31</xm:f>
              </x14:cfvo>
              <x14:borderColor theme="4"/>
              <x14:negativeFillColor rgb="FFFF0000"/>
              <x14:negativeBorderColor rgb="FFFF0000"/>
              <x14:axisColor rgb="FF000000"/>
            </x14:dataBar>
          </x14:cfRule>
          <xm:sqref>CQ11:CQ35</xm:sqref>
        </x14:conditionalFormatting>
        <x14:conditionalFormatting xmlns:xm="http://schemas.microsoft.com/office/excel/2006/main">
          <x14:cfRule type="dataBar" id="{131E02A5-2D44-46F0-ABB8-88EB5F54610F}">
            <x14:dataBar minLength="0" maxLength="100" border="1" negativeBarBorderColorSameAsPositive="0">
              <x14:cfvo type="autoMin"/>
              <x14:cfvo type="num">
                <xm:f>31</xm:f>
              </x14:cfvo>
              <x14:borderColor theme="4"/>
              <x14:negativeFillColor rgb="FFFF0000"/>
              <x14:negativeBorderColor rgb="FFFF0000"/>
              <x14:axisColor rgb="FF000000"/>
            </x14:dataBar>
          </x14:cfRule>
          <xm:sqref>CR11:CS35</xm:sqref>
        </x14:conditionalFormatting>
        <x14:conditionalFormatting xmlns:xm="http://schemas.microsoft.com/office/excel/2006/main">
          <x14:cfRule type="dataBar" id="{9C47DDB1-73E6-4524-A2A0-9F851CC56D5A}">
            <x14:dataBar minLength="0" maxLength="100" border="1" negativeBarBorderColorSameAsPositive="0">
              <x14:cfvo type="autoMin"/>
              <x14:cfvo type="num">
                <xm:f>31</xm:f>
              </x14:cfvo>
              <x14:borderColor theme="4"/>
              <x14:negativeFillColor rgb="FFFF0000"/>
              <x14:negativeBorderColor rgb="FFFF0000"/>
              <x14:axisColor rgb="FF000000"/>
            </x14:dataBar>
          </x14:cfRule>
          <xm:sqref>CT31</xm:sqref>
        </x14:conditionalFormatting>
        <x14:conditionalFormatting xmlns:xm="http://schemas.microsoft.com/office/excel/2006/main">
          <x14:cfRule type="dataBar" id="{9749E5BD-55BF-4A51-97C5-39B7E0C205A8}">
            <x14:dataBar minLength="0" maxLength="100" border="1" negativeBarBorderColorSameAsPositive="0">
              <x14:cfvo type="autoMin"/>
              <x14:cfvo type="num">
                <xm:f>31</xm:f>
              </x14:cfvo>
              <x14:borderColor theme="4"/>
              <x14:negativeFillColor rgb="FFFF0000"/>
              <x14:negativeBorderColor rgb="FFFF0000"/>
              <x14:axisColor rgb="FF000000"/>
            </x14:dataBar>
          </x14:cfRule>
          <xm:sqref>CT11:CT30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T35"/>
  <sheetViews>
    <sheetView topLeftCell="A4" workbookViewId="0">
      <selection activeCell="S7" sqref="S7"/>
    </sheetView>
  </sheetViews>
  <sheetFormatPr baseColWidth="10" defaultRowHeight="13.5"/>
  <cols>
    <col min="2" max="2" width="34.5703125" customWidth="1"/>
    <col min="3" max="3" width="6" customWidth="1"/>
    <col min="4" max="4" width="8.140625" customWidth="1"/>
    <col min="5" max="5" width="5.42578125" customWidth="1"/>
    <col min="6" max="6" width="7.7109375" customWidth="1"/>
    <col min="7" max="7" width="6" customWidth="1"/>
    <col min="8" max="8" width="6.5703125" customWidth="1"/>
    <col min="9" max="9" width="5.28515625" customWidth="1"/>
    <col min="10" max="10" width="6.5703125" customWidth="1"/>
    <col min="11" max="11" width="5" customWidth="1"/>
    <col min="12" max="12" width="7.7109375" customWidth="1"/>
    <col min="13" max="13" width="6.7109375" customWidth="1"/>
    <col min="14" max="14" width="6.42578125" customWidth="1"/>
    <col min="15" max="15" width="5.28515625" customWidth="1"/>
    <col min="16" max="16" width="6.5703125" customWidth="1"/>
    <col min="17" max="17" width="5.85546875" customWidth="1"/>
    <col min="18" max="18" width="10.28515625" customWidth="1"/>
    <col min="19" max="19" width="5.7109375" customWidth="1"/>
    <col min="20" max="20" width="4.5703125" customWidth="1"/>
    <col min="21" max="21" width="4.42578125" customWidth="1"/>
    <col min="22" max="22" width="5" customWidth="1"/>
    <col min="23" max="23" width="7.7109375" customWidth="1"/>
    <col min="24" max="24" width="10.140625" customWidth="1"/>
    <col min="25" max="25" width="5.42578125" customWidth="1"/>
    <col min="26" max="26" width="10.5703125" customWidth="1"/>
    <col min="27" max="27" width="7.85546875" customWidth="1"/>
    <col min="28" max="28" width="10.140625" customWidth="1"/>
    <col min="29" max="30" width="6.42578125" customWidth="1"/>
    <col min="31" max="31" width="5.7109375" customWidth="1"/>
    <col min="32" max="32" width="4.85546875" customWidth="1"/>
    <col min="33" max="33" width="5.5703125" customWidth="1"/>
    <col min="34" max="34" width="4.85546875" customWidth="1"/>
    <col min="35" max="35" width="4.42578125" customWidth="1"/>
    <col min="36" max="36" width="3.7109375" customWidth="1"/>
    <col min="37" max="37" width="4.7109375" customWidth="1"/>
    <col min="38" max="38" width="4.42578125" customWidth="1"/>
    <col min="39" max="39" width="4.85546875" customWidth="1"/>
    <col min="40" max="40" width="4.7109375" customWidth="1"/>
    <col min="41" max="41" width="4.85546875" customWidth="1"/>
    <col min="42" max="42" width="3.85546875" customWidth="1"/>
    <col min="43" max="43" width="5.28515625" customWidth="1"/>
    <col min="44" max="44" width="4.7109375" customWidth="1"/>
    <col min="45" max="45" width="4.42578125" customWidth="1"/>
    <col min="46" max="46" width="4.28515625" customWidth="1"/>
    <col min="47" max="47" width="4.42578125" customWidth="1"/>
    <col min="48" max="48" width="4" customWidth="1"/>
    <col min="49" max="49" width="4.42578125" customWidth="1"/>
    <col min="50" max="51" width="4.28515625" customWidth="1"/>
    <col min="52" max="56" width="3.140625" customWidth="1"/>
    <col min="57" max="57" width="4.28515625" customWidth="1"/>
    <col min="58" max="58" width="4.85546875" customWidth="1"/>
    <col min="59" max="59" width="4.7109375" customWidth="1"/>
    <col min="60" max="60" width="4.42578125" customWidth="1"/>
    <col min="61" max="61" width="3.28515625" customWidth="1"/>
    <col min="62" max="62" width="3.7109375" customWidth="1"/>
    <col min="63" max="63" width="3.5703125" customWidth="1"/>
    <col min="64" max="64" width="3.28515625" customWidth="1"/>
    <col min="65" max="65" width="3.7109375" customWidth="1"/>
    <col min="66" max="67" width="3.28515625" customWidth="1"/>
    <col min="68" max="68" width="3.42578125" customWidth="1"/>
    <col min="69" max="69" width="3.5703125" customWidth="1"/>
    <col min="70" max="70" width="3.85546875" customWidth="1"/>
    <col min="71" max="72" width="3.5703125" customWidth="1"/>
    <col min="73" max="73" width="4.42578125" customWidth="1"/>
    <col min="74" max="74" width="4.5703125" customWidth="1"/>
    <col min="75" max="76" width="3.140625" customWidth="1"/>
    <col min="77" max="78" width="3.7109375" customWidth="1"/>
    <col min="79" max="79" width="3.42578125" customWidth="1"/>
    <col min="80" max="80" width="3.140625" customWidth="1"/>
    <col min="81" max="81" width="3" customWidth="1"/>
    <col min="82" max="83" width="3.140625" customWidth="1"/>
    <col min="84" max="84" width="3.42578125" customWidth="1"/>
    <col min="85" max="85" width="3" customWidth="1"/>
    <col min="86" max="86" width="3.42578125" customWidth="1"/>
    <col min="87" max="88" width="3.28515625" customWidth="1"/>
    <col min="89" max="89" width="3.42578125" customWidth="1"/>
    <col min="90" max="90" width="3.85546875" customWidth="1"/>
    <col min="91" max="91" width="3.28515625" customWidth="1"/>
    <col min="92" max="92" width="3.140625" customWidth="1"/>
    <col min="93" max="93" width="3.5703125" customWidth="1"/>
    <col min="94" max="94" width="6.7109375" customWidth="1"/>
    <col min="95" max="95" width="16.42578125" customWidth="1"/>
    <col min="96" max="97" width="19.85546875" customWidth="1"/>
    <col min="98" max="98" width="21.85546875" customWidth="1"/>
  </cols>
  <sheetData>
    <row r="1" spans="1:98" ht="28.5">
      <c r="A1" s="654" t="s">
        <v>504</v>
      </c>
      <c r="B1" s="655"/>
      <c r="C1" s="22"/>
      <c r="D1" s="22"/>
      <c r="E1" s="22"/>
      <c r="F1" s="22"/>
      <c r="G1" s="22"/>
      <c r="H1" s="22"/>
      <c r="I1" s="22"/>
      <c r="J1" s="22"/>
      <c r="K1" s="22"/>
      <c r="L1" s="22"/>
      <c r="M1" s="22"/>
      <c r="N1" s="22"/>
      <c r="O1" s="22"/>
      <c r="P1" s="22"/>
      <c r="Q1" s="22"/>
      <c r="R1" s="22"/>
      <c r="S1" s="22"/>
      <c r="T1" s="22"/>
      <c r="U1" s="22"/>
      <c r="V1" s="22"/>
      <c r="W1" s="22"/>
      <c r="X1" s="22"/>
      <c r="Y1" s="22"/>
      <c r="Z1" s="22"/>
      <c r="AA1" s="22"/>
      <c r="AB1" s="21"/>
      <c r="AC1" s="21"/>
      <c r="AD1" s="21"/>
      <c r="AE1" s="21"/>
      <c r="AF1" s="23"/>
      <c r="AG1" s="21"/>
      <c r="AH1" s="21"/>
      <c r="AI1" s="24"/>
      <c r="AJ1" s="21"/>
      <c r="AK1" s="32" t="s">
        <v>111</v>
      </c>
      <c r="AL1" s="32"/>
      <c r="AM1" s="32"/>
      <c r="AN1" s="32"/>
      <c r="AO1" s="32"/>
      <c r="AP1" s="32"/>
      <c r="AQ1" s="32"/>
      <c r="AR1" s="32"/>
      <c r="AS1" s="32"/>
      <c r="AT1" s="32"/>
      <c r="AU1" s="32"/>
      <c r="AV1" s="32"/>
      <c r="AW1" s="32"/>
      <c r="AX1" s="32"/>
      <c r="AY1" s="32"/>
      <c r="AZ1" s="32"/>
      <c r="BA1" s="32"/>
      <c r="BB1" s="32"/>
      <c r="BC1" s="32"/>
      <c r="BD1" s="32"/>
      <c r="BE1" s="32"/>
      <c r="BF1" s="32"/>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row>
    <row r="2" spans="1:9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row>
    <row r="3" spans="1:98" ht="14.25">
      <c r="C3" s="31" t="s">
        <v>104</v>
      </c>
      <c r="D3" s="208" t="s">
        <v>514</v>
      </c>
      <c r="E3" s="236" t="s">
        <v>527</v>
      </c>
      <c r="F3" s="207" t="s">
        <v>528</v>
      </c>
      <c r="G3" s="209" t="s">
        <v>105</v>
      </c>
      <c r="H3" s="210" t="s">
        <v>515</v>
      </c>
      <c r="I3" s="211" t="s">
        <v>106</v>
      </c>
      <c r="J3" s="210" t="s">
        <v>516</v>
      </c>
      <c r="K3" s="212" t="s">
        <v>107</v>
      </c>
      <c r="L3" s="210" t="s">
        <v>517</v>
      </c>
      <c r="M3" s="213" t="s">
        <v>483</v>
      </c>
      <c r="N3" s="210" t="s">
        <v>518</v>
      </c>
      <c r="O3" s="214" t="s">
        <v>484</v>
      </c>
      <c r="P3" s="207" t="s">
        <v>526</v>
      </c>
      <c r="Q3" s="216" t="s">
        <v>485</v>
      </c>
      <c r="R3" s="207" t="s">
        <v>525</v>
      </c>
      <c r="S3" s="217" t="s">
        <v>489</v>
      </c>
      <c r="T3" s="207" t="s">
        <v>510</v>
      </c>
      <c r="V3" s="207"/>
      <c r="W3" s="218" t="s">
        <v>490</v>
      </c>
      <c r="X3" s="207" t="s">
        <v>511</v>
      </c>
      <c r="Y3" s="219" t="s">
        <v>491</v>
      </c>
      <c r="Z3" s="207" t="s">
        <v>512</v>
      </c>
      <c r="AA3" s="220" t="s">
        <v>492</v>
      </c>
      <c r="AB3" s="207" t="s">
        <v>513</v>
      </c>
      <c r="AF3" s="207"/>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row>
    <row r="4" spans="1:98" ht="15" thickBot="1">
      <c r="B4" t="s">
        <v>535</v>
      </c>
      <c r="D4" s="43"/>
      <c r="E4" s="43"/>
      <c r="F4" s="43"/>
      <c r="G4" s="43"/>
      <c r="H4" s="43"/>
      <c r="I4" s="43"/>
      <c r="J4" s="43"/>
      <c r="K4" s="43"/>
      <c r="L4" s="43"/>
      <c r="M4" s="43"/>
      <c r="N4" s="43"/>
      <c r="P4" s="43"/>
      <c r="Q4" s="43"/>
      <c r="R4" s="43"/>
      <c r="S4" s="43"/>
      <c r="T4" s="43"/>
      <c r="V4" s="43"/>
      <c r="W4" s="43"/>
      <c r="X4" s="43"/>
      <c r="Y4" s="43"/>
      <c r="Z4" s="43"/>
      <c r="AA4" s="43"/>
      <c r="AB4" s="43"/>
      <c r="AF4" s="43"/>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row>
    <row r="5" spans="1:98" ht="14.25">
      <c r="C5" s="234" t="s">
        <v>529</v>
      </c>
      <c r="D5" s="221" t="s">
        <v>530</v>
      </c>
      <c r="E5" s="222" t="s">
        <v>35</v>
      </c>
      <c r="F5" s="210" t="s">
        <v>519</v>
      </c>
      <c r="G5" s="223" t="s">
        <v>108</v>
      </c>
      <c r="H5" s="43" t="s">
        <v>520</v>
      </c>
      <c r="I5" s="224" t="s">
        <v>109</v>
      </c>
      <c r="J5" s="207" t="s">
        <v>521</v>
      </c>
      <c r="K5" s="225" t="s">
        <v>486</v>
      </c>
      <c r="L5" s="207" t="s">
        <v>522</v>
      </c>
      <c r="M5" s="226" t="s">
        <v>487</v>
      </c>
      <c r="N5" s="207" t="s">
        <v>523</v>
      </c>
      <c r="O5" s="227" t="s">
        <v>488</v>
      </c>
      <c r="P5" s="228" t="s">
        <v>524</v>
      </c>
      <c r="Q5" s="233" t="s">
        <v>507</v>
      </c>
      <c r="R5" s="207" t="s">
        <v>508</v>
      </c>
      <c r="S5" s="229" t="s">
        <v>496</v>
      </c>
      <c r="T5" s="207" t="s">
        <v>499</v>
      </c>
      <c r="V5" s="9"/>
      <c r="W5" s="230" t="s">
        <v>497</v>
      </c>
      <c r="X5" s="207" t="s">
        <v>500</v>
      </c>
      <c r="Y5" s="231" t="s">
        <v>498</v>
      </c>
      <c r="Z5" s="207" t="s">
        <v>501</v>
      </c>
      <c r="AA5" s="235" t="s">
        <v>531</v>
      </c>
      <c r="AB5" s="43" t="s">
        <v>532</v>
      </c>
      <c r="AF5" s="43"/>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row>
    <row r="6" spans="1:98" ht="14.25">
      <c r="C6" s="349"/>
      <c r="D6" s="385"/>
      <c r="E6" s="351"/>
      <c r="F6" s="352"/>
      <c r="G6" s="353"/>
      <c r="H6" s="354"/>
      <c r="I6" s="355"/>
      <c r="J6" s="207"/>
      <c r="K6" s="355"/>
      <c r="L6" s="207"/>
      <c r="M6" s="355"/>
      <c r="N6" s="207"/>
      <c r="O6" s="355"/>
      <c r="P6" s="228"/>
      <c r="Q6" s="356"/>
      <c r="R6" s="207"/>
      <c r="S6" s="357"/>
      <c r="T6" s="207"/>
      <c r="U6" s="57"/>
      <c r="V6" s="358"/>
      <c r="W6" s="357"/>
      <c r="X6" s="207"/>
      <c r="Y6" s="357"/>
      <c r="Z6" s="207"/>
      <c r="AA6" s="358"/>
      <c r="AB6" s="43"/>
      <c r="AF6" s="43"/>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row>
    <row r="7" spans="1:98" ht="14.25">
      <c r="C7" s="334" t="s">
        <v>604</v>
      </c>
      <c r="D7" s="335" t="s">
        <v>610</v>
      </c>
      <c r="E7" s="375"/>
      <c r="F7" s="375"/>
      <c r="G7" s="344" t="s">
        <v>620</v>
      </c>
      <c r="H7" s="656" t="s">
        <v>621</v>
      </c>
      <c r="I7" s="658"/>
      <c r="J7" s="374"/>
      <c r="K7" s="394" t="s">
        <v>627</v>
      </c>
      <c r="L7" s="656" t="s">
        <v>628</v>
      </c>
      <c r="M7" s="658"/>
      <c r="N7" s="207"/>
      <c r="O7" s="418" t="s">
        <v>631</v>
      </c>
      <c r="P7" s="656" t="s">
        <v>632</v>
      </c>
      <c r="Q7" s="658"/>
      <c r="R7" s="207"/>
      <c r="S7" s="445" t="s">
        <v>634</v>
      </c>
      <c r="T7" s="43" t="s">
        <v>633</v>
      </c>
      <c r="U7" s="57"/>
      <c r="V7" s="358"/>
      <c r="W7" s="357"/>
      <c r="X7" s="207"/>
      <c r="Y7" s="357"/>
      <c r="Z7" s="207"/>
      <c r="AF7" s="43"/>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row>
    <row r="8" spans="1:98">
      <c r="C8" s="9"/>
      <c r="D8" s="9"/>
      <c r="E8" s="20"/>
      <c r="F8" s="9"/>
      <c r="G8" s="9"/>
      <c r="H8" s="9"/>
      <c r="I8" s="9"/>
      <c r="J8" s="9"/>
      <c r="K8" s="9"/>
      <c r="L8" s="9"/>
      <c r="M8" s="9"/>
      <c r="N8" s="9"/>
      <c r="O8" s="9"/>
      <c r="P8" s="9"/>
      <c r="Q8" s="9"/>
      <c r="R8" s="9"/>
      <c r="T8" s="9"/>
      <c r="U8" s="9"/>
      <c r="V8" s="9"/>
      <c r="W8" s="9"/>
      <c r="X8" s="9"/>
      <c r="Y8" s="9"/>
      <c r="AA8" s="9"/>
      <c r="AB8" s="9"/>
      <c r="AC8" s="9"/>
      <c r="AD8" s="9"/>
      <c r="AE8" s="9"/>
      <c r="AF8" s="9"/>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row>
    <row r="9" spans="1:98" ht="15" thickBot="1">
      <c r="A9" s="72">
        <f>DATE(2018,12,1)</f>
        <v>43435</v>
      </c>
      <c r="B9" s="153"/>
      <c r="C9" s="151" t="str">
        <f>TEXT(WEEKDAY(DATE(2018,12,1),1),"[$-40c]aaa")</f>
        <v>1900</v>
      </c>
      <c r="D9" s="25" t="str">
        <f>TEXT(WEEKDAY(DATE(2018,12,2),1),"[$-40c]aaa")</f>
        <v>1900</v>
      </c>
      <c r="E9" s="25" t="str">
        <f>TEXT(WEEKDAY(DATE(2018,12,3),1),"[$-40c]aaa")</f>
        <v>1900</v>
      </c>
      <c r="F9" s="25" t="str">
        <f>TEXT(WEEKDAY(DATE(2018,12,4),1),"[$-40c]aaa")</f>
        <v>1900</v>
      </c>
      <c r="G9" s="25" t="str">
        <f>TEXT(WEEKDAY(DATE(2018,12,5),1),"[$-40c]aaa")</f>
        <v>1900</v>
      </c>
      <c r="H9" s="25" t="str">
        <f>TEXT(WEEKDAY(DATE(2018,12,6),1),"[$-40c]aaa")</f>
        <v>1900</v>
      </c>
      <c r="I9" s="25" t="str">
        <f>TEXT(WEEKDAY(DATE(2018,12,7),1),"[$-40c]aaa")</f>
        <v>1900</v>
      </c>
      <c r="J9" s="25" t="str">
        <f>TEXT(WEEKDAY(DATE(2018,12,8),1),"[$-40c]aaa")</f>
        <v>1900</v>
      </c>
      <c r="K9" s="25" t="str">
        <f>TEXT(WEEKDAY(DATE(2018,12,9),1),"[$-40c]aaa")</f>
        <v>1900</v>
      </c>
      <c r="L9" s="25" t="str">
        <f>TEXT(WEEKDAY(DATE(2018,12,10),1),"[$-40c]aaa")</f>
        <v>1900</v>
      </c>
      <c r="M9" s="25" t="str">
        <f>TEXT(WEEKDAY(DATE(2018,12,11),1),"[$-40c]aaa")</f>
        <v>1900</v>
      </c>
      <c r="N9" s="25" t="str">
        <f>TEXT(WEEKDAY(DATE(2018,12,12),1),"[$-40c]aaa")</f>
        <v>1900</v>
      </c>
      <c r="O9" s="25" t="str">
        <f>TEXT(WEEKDAY(DATE(2018,12,13),1),"[$-40c]aaa")</f>
        <v>1900</v>
      </c>
      <c r="P9" s="25" t="str">
        <f>TEXT(WEEKDAY(DATE(2018,12,14),1),"[$-40c]aaa")</f>
        <v>1900</v>
      </c>
      <c r="Q9" s="25" t="str">
        <f>TEXT(WEEKDAY(DATE(2018,12,15),1),"[$-40c]aaa")</f>
        <v>1900</v>
      </c>
      <c r="R9" s="25" t="str">
        <f>TEXT(WEEKDAY(DATE(2018,12,16),1),"[$-40c]aaa")</f>
        <v>1900</v>
      </c>
      <c r="S9" s="25" t="str">
        <f>TEXT(WEEKDAY(DATE(2018,12,17),1),"[$-40c]aaa")</f>
        <v>1900</v>
      </c>
      <c r="T9" s="25" t="str">
        <f>TEXT(WEEKDAY(DATE(2018,12,18),1),"[$-40c]aaa")</f>
        <v>1900</v>
      </c>
      <c r="U9" s="25" t="str">
        <f>TEXT(WEEKDAY(DATE(2018,12,19),1),"[$-40c]aaa")</f>
        <v>1900</v>
      </c>
      <c r="V9" s="25" t="str">
        <f>TEXT(WEEKDAY(DATE(2018,12,20),1),"[$-40c]aaa")</f>
        <v>1900</v>
      </c>
      <c r="W9" s="25" t="str">
        <f>TEXT(WEEKDAY(DATE(2018,12,21),1),"[$-40c]aaa")</f>
        <v>1900</v>
      </c>
      <c r="X9" s="25" t="str">
        <f>TEXT(WEEKDAY(DATE(2018,12,22),1),"[$-40c]aaa")</f>
        <v>1900</v>
      </c>
      <c r="Y9" s="25" t="str">
        <f>TEXT(WEEKDAY(DATE(2018,12,23),1),"[$-40c]aaa")</f>
        <v>1900</v>
      </c>
      <c r="Z9" s="25" t="str">
        <f>TEXT(WEEKDAY(DATE(2018,12,24),1),"[$-40c]aaa")</f>
        <v>1900</v>
      </c>
      <c r="AA9" s="25" t="str">
        <f>TEXT(WEEKDAY(DATE(2018,12,25),1),"[$-40c]aaa")</f>
        <v>1900</v>
      </c>
      <c r="AB9" s="25" t="str">
        <f>TEXT(WEEKDAY(DATE(2018,12,26),1),"[$-40c]aaa")</f>
        <v>1900</v>
      </c>
      <c r="AC9" s="25" t="str">
        <f>TEXT(WEEKDAY(DATE(2018,12,27),1),"[$-40c]aaa")</f>
        <v>1900</v>
      </c>
      <c r="AD9" s="25" t="str">
        <f>TEXT(WEEKDAY(DATE(2018,12,28),1),"[$-40c]aaa")</f>
        <v>1900</v>
      </c>
      <c r="AE9" s="25" t="str">
        <f>TEXT(WEEKDAY(DATE(2018,12,29),1),"[$-40c]aaa")</f>
        <v>1900</v>
      </c>
      <c r="AF9" s="25" t="str">
        <f>TEXT(WEEKDAY(DATE(2018,12,30),1),"[$-40c]aaa")</f>
        <v>1900</v>
      </c>
      <c r="AG9" s="142" t="str">
        <f>TEXT(WEEKDAY(DATE(2018,12,31),1),"[$-40c]aaa")</f>
        <v>1900</v>
      </c>
      <c r="AH9" s="652" t="s">
        <v>36</v>
      </c>
      <c r="AI9" s="652"/>
      <c r="AJ9" s="652"/>
      <c r="AK9" s="652"/>
      <c r="AL9" s="652"/>
      <c r="AM9" s="652"/>
      <c r="AN9" s="652"/>
      <c r="AO9" s="652"/>
      <c r="AP9" s="652"/>
      <c r="AQ9" s="652"/>
      <c r="AR9" s="652"/>
      <c r="AS9" s="652"/>
      <c r="AT9" s="652"/>
      <c r="AU9" s="652"/>
      <c r="AV9" s="652"/>
      <c r="AW9" s="652"/>
      <c r="AX9" s="652"/>
      <c r="AY9" s="140"/>
      <c r="AZ9" s="140"/>
      <c r="BA9" s="140"/>
      <c r="BB9" s="140"/>
      <c r="BC9" s="140"/>
      <c r="BD9" s="140"/>
      <c r="BE9" s="140"/>
      <c r="BF9" s="140"/>
      <c r="BG9" s="85"/>
      <c r="BH9" s="247"/>
      <c r="BI9" s="299"/>
      <c r="BJ9" s="251"/>
      <c r="BK9" s="251"/>
      <c r="BL9" s="312"/>
      <c r="BM9" s="251"/>
      <c r="BN9" s="251"/>
      <c r="BO9" s="251"/>
      <c r="BP9" s="251"/>
      <c r="BQ9" s="251"/>
      <c r="BR9" s="251"/>
      <c r="BS9" s="251"/>
      <c r="BT9" s="251"/>
      <c r="BU9" s="251"/>
      <c r="BV9" s="251"/>
      <c r="BW9" s="251" t="s">
        <v>575</v>
      </c>
      <c r="BX9" s="251"/>
      <c r="BY9" s="251"/>
      <c r="BZ9" s="251"/>
      <c r="CA9" s="251"/>
      <c r="CB9" s="251"/>
      <c r="CC9" s="251"/>
      <c r="CD9" s="251"/>
      <c r="CE9" s="251"/>
      <c r="CF9" s="251"/>
      <c r="CG9" s="251"/>
      <c r="CH9" s="251"/>
      <c r="CI9" s="251"/>
      <c r="CJ9" s="251"/>
      <c r="CK9" s="251"/>
      <c r="CL9" s="251"/>
      <c r="CM9" s="251"/>
      <c r="CN9" s="251"/>
      <c r="CO9" s="251"/>
      <c r="CP9" s="251"/>
      <c r="CQ9" s="251"/>
      <c r="CR9" s="247"/>
      <c r="CS9" s="251"/>
      <c r="CT9" s="248"/>
    </row>
    <row r="10" spans="1:98" ht="15" thickTop="1" thickBot="1">
      <c r="A10" s="28" t="s">
        <v>33</v>
      </c>
      <c r="B10" s="154" t="s">
        <v>32</v>
      </c>
      <c r="C10" s="3" t="s">
        <v>0</v>
      </c>
      <c r="D10" s="3" t="s">
        <v>1</v>
      </c>
      <c r="E10" s="3" t="s">
        <v>2</v>
      </c>
      <c r="F10" s="3" t="s">
        <v>3</v>
      </c>
      <c r="G10" s="3" t="s">
        <v>4</v>
      </c>
      <c r="H10" s="3" t="s">
        <v>5</v>
      </c>
      <c r="I10" s="3" t="s">
        <v>6</v>
      </c>
      <c r="J10" s="3" t="s">
        <v>7</v>
      </c>
      <c r="K10" s="3" t="s">
        <v>8</v>
      </c>
      <c r="L10" s="3" t="s">
        <v>9</v>
      </c>
      <c r="M10" s="3" t="s">
        <v>10</v>
      </c>
      <c r="N10" s="3" t="s">
        <v>11</v>
      </c>
      <c r="O10" s="3" t="s">
        <v>12</v>
      </c>
      <c r="P10" s="3" t="s">
        <v>13</v>
      </c>
      <c r="Q10" s="3" t="s">
        <v>14</v>
      </c>
      <c r="R10" s="3" t="s">
        <v>15</v>
      </c>
      <c r="S10" s="3" t="s">
        <v>16</v>
      </c>
      <c r="T10" s="3" t="s">
        <v>17</v>
      </c>
      <c r="U10" s="3" t="s">
        <v>18</v>
      </c>
      <c r="V10" s="3" t="s">
        <v>19</v>
      </c>
      <c r="W10" s="3" t="s">
        <v>20</v>
      </c>
      <c r="X10" s="3" t="s">
        <v>21</v>
      </c>
      <c r="Y10" s="3" t="s">
        <v>22</v>
      </c>
      <c r="Z10" s="3" t="s">
        <v>23</v>
      </c>
      <c r="AA10" s="3" t="s">
        <v>24</v>
      </c>
      <c r="AB10" s="3" t="s">
        <v>25</v>
      </c>
      <c r="AC10" s="3" t="s">
        <v>26</v>
      </c>
      <c r="AD10" s="3" t="s">
        <v>27</v>
      </c>
      <c r="AE10" s="3" t="s">
        <v>28</v>
      </c>
      <c r="AF10" s="3" t="s">
        <v>29</v>
      </c>
      <c r="AG10" s="143" t="s">
        <v>30</v>
      </c>
      <c r="AH10" s="55" t="s">
        <v>104</v>
      </c>
      <c r="AI10" s="19" t="s">
        <v>527</v>
      </c>
      <c r="AJ10" s="40" t="s">
        <v>105</v>
      </c>
      <c r="AK10" s="41" t="s">
        <v>106</v>
      </c>
      <c r="AL10" s="42" t="s">
        <v>107</v>
      </c>
      <c r="AM10" s="75" t="s">
        <v>35</v>
      </c>
      <c r="AN10" s="19" t="s">
        <v>529</v>
      </c>
      <c r="AO10" s="76" t="s">
        <v>108</v>
      </c>
      <c r="AP10" s="77" t="s">
        <v>109</v>
      </c>
      <c r="AQ10" s="97" t="s">
        <v>483</v>
      </c>
      <c r="AR10" s="109" t="s">
        <v>484</v>
      </c>
      <c r="AS10" s="95" t="s">
        <v>485</v>
      </c>
      <c r="AT10" s="96" t="s">
        <v>486</v>
      </c>
      <c r="AU10" s="91" t="s">
        <v>487</v>
      </c>
      <c r="AV10" s="129" t="s">
        <v>489</v>
      </c>
      <c r="AW10" s="92" t="s">
        <v>488</v>
      </c>
      <c r="AX10" s="93" t="s">
        <v>490</v>
      </c>
      <c r="AY10" s="94" t="s">
        <v>491</v>
      </c>
      <c r="AZ10" s="111" t="s">
        <v>492</v>
      </c>
      <c r="BA10" s="408" t="s">
        <v>604</v>
      </c>
      <c r="BB10" s="423" t="s">
        <v>620</v>
      </c>
      <c r="BC10" s="76" t="s">
        <v>627</v>
      </c>
      <c r="BD10" s="424" t="s">
        <v>631</v>
      </c>
      <c r="BE10" s="198" t="s">
        <v>507</v>
      </c>
      <c r="BF10" s="19" t="s">
        <v>537</v>
      </c>
      <c r="BG10" s="133" t="s">
        <v>496</v>
      </c>
      <c r="BH10" s="135" t="s">
        <v>497</v>
      </c>
      <c r="BI10" s="313" t="s">
        <v>544</v>
      </c>
      <c r="BJ10" s="146" t="s">
        <v>545</v>
      </c>
      <c r="BK10" s="146" t="s">
        <v>546</v>
      </c>
      <c r="BL10" s="146" t="s">
        <v>542</v>
      </c>
      <c r="BM10" s="146" t="s">
        <v>543</v>
      </c>
      <c r="BN10" s="146" t="s">
        <v>547</v>
      </c>
      <c r="BO10" s="146" t="s">
        <v>548</v>
      </c>
      <c r="BP10" s="146" t="s">
        <v>549</v>
      </c>
      <c r="BQ10" s="146" t="s">
        <v>550</v>
      </c>
      <c r="BR10" s="146" t="s">
        <v>551</v>
      </c>
      <c r="BS10" s="146" t="s">
        <v>552</v>
      </c>
      <c r="BT10" s="146" t="s">
        <v>553</v>
      </c>
      <c r="BU10" s="146" t="s">
        <v>574</v>
      </c>
      <c r="BV10" s="146" t="s">
        <v>554</v>
      </c>
      <c r="BW10" s="146" t="s">
        <v>555</v>
      </c>
      <c r="BX10" s="146" t="s">
        <v>556</v>
      </c>
      <c r="BY10" s="146" t="s">
        <v>558</v>
      </c>
      <c r="BZ10" s="146" t="s">
        <v>557</v>
      </c>
      <c r="CA10" s="146" t="s">
        <v>559</v>
      </c>
      <c r="CB10" s="146" t="s">
        <v>560</v>
      </c>
      <c r="CC10" s="146" t="s">
        <v>561</v>
      </c>
      <c r="CD10" s="146" t="s">
        <v>562</v>
      </c>
      <c r="CE10" s="146" t="s">
        <v>563</v>
      </c>
      <c r="CF10" s="146" t="s">
        <v>564</v>
      </c>
      <c r="CG10" s="146" t="s">
        <v>565</v>
      </c>
      <c r="CH10" s="146" t="s">
        <v>566</v>
      </c>
      <c r="CI10" s="146" t="s">
        <v>567</v>
      </c>
      <c r="CJ10" s="146" t="s">
        <v>568</v>
      </c>
      <c r="CK10" s="146" t="s">
        <v>569</v>
      </c>
      <c r="CL10" s="146" t="s">
        <v>570</v>
      </c>
      <c r="CM10" s="146" t="s">
        <v>571</v>
      </c>
      <c r="CN10" s="146" t="s">
        <v>572</v>
      </c>
      <c r="CO10" s="309" t="s">
        <v>573</v>
      </c>
      <c r="CP10" s="310" t="s">
        <v>611</v>
      </c>
      <c r="CQ10" s="258" t="s">
        <v>494</v>
      </c>
      <c r="CR10" s="260" t="s">
        <v>495</v>
      </c>
      <c r="CS10" s="19" t="s">
        <v>539</v>
      </c>
      <c r="CT10" s="167" t="s">
        <v>502</v>
      </c>
    </row>
    <row r="11" spans="1:98" ht="15" thickTop="1" thickBot="1">
      <c r="A11" s="29"/>
      <c r="B11" s="162" t="str">
        <f>IFERROR(VLOOKUP(ParticipationDecembre1[[#This Row],[Référence]],ListeÉtudiants1[],18,FALSE),"")</f>
        <v/>
      </c>
      <c r="C11" s="19"/>
      <c r="D11" s="19"/>
      <c r="E11" s="19"/>
      <c r="F11" s="19"/>
      <c r="G11" s="19"/>
      <c r="H11" s="19"/>
      <c r="I11" s="19"/>
      <c r="J11" s="19"/>
      <c r="K11" s="19"/>
      <c r="L11" s="19"/>
      <c r="M11" s="19"/>
      <c r="N11" s="19"/>
      <c r="O11" s="19"/>
      <c r="P11" s="19"/>
      <c r="Q11" s="19"/>
      <c r="R11" s="19"/>
      <c r="S11" s="19"/>
      <c r="T11" s="19"/>
      <c r="U11" s="19"/>
      <c r="V11" s="19"/>
      <c r="W11" s="19"/>
      <c r="X11" s="19"/>
      <c r="Y11" s="19"/>
      <c r="Z11" s="81"/>
      <c r="AA11" s="19"/>
      <c r="AB11" s="19"/>
      <c r="AC11" s="19"/>
      <c r="AD11" s="19"/>
      <c r="AE11" s="19"/>
      <c r="AF11" s="19"/>
      <c r="AG11" s="144"/>
      <c r="AH11" s="6">
        <f>COUNTIF(ParticipationDecembre1[[#This Row],[1]:[31]],Code1)</f>
        <v>0</v>
      </c>
      <c r="AI11" s="6">
        <f>COUNTIF(ParticipationDecembre1[[#This Row],[1]:[31]],code22)</f>
        <v>0</v>
      </c>
      <c r="AJ11" s="30">
        <f>COUNTIF(ParticipationDecembre1[[#This Row],[1]:[31]],Code2)</f>
        <v>0</v>
      </c>
      <c r="AK11" s="30">
        <f>COUNTIF(ParticipationDecembre1[[#This Row],[1]:[31]],Code3)</f>
        <v>0</v>
      </c>
      <c r="AL11" s="30"/>
      <c r="AM11" s="30">
        <f>COUNTIF(ParticipationDecembre1[[#This Row],[1]:[31]],Code5)</f>
        <v>0</v>
      </c>
      <c r="AN11" s="30">
        <f>COUNTIF(ParticipationDecembre1[[#This Row],[1]:[31]],Code23)</f>
        <v>0</v>
      </c>
      <c r="AO11" s="30">
        <f>COUNTIF(ParticipationDecembre1[[#This Row],[1]:[31]],Code6)</f>
        <v>0</v>
      </c>
      <c r="AP11" s="30">
        <f>COUNTIF(ParticipationDecembre1[[#This Row],[1]:[31]],Code7)</f>
        <v>0</v>
      </c>
      <c r="AQ11" s="30">
        <f>COUNTIF(ParticipationDecembre1[[#This Row],[1]:[31]],Code8)</f>
        <v>0</v>
      </c>
      <c r="AR11" s="30">
        <f>COUNTIF(ParticipationDecembre1[[#This Row],[1]:[31]],Code9)</f>
        <v>0</v>
      </c>
      <c r="AS11" s="30">
        <f>COUNTIF(ParticipationDecembre1[[#This Row],[1]:[31]],Code10)</f>
        <v>0</v>
      </c>
      <c r="AT11" s="30">
        <f>COUNTIF(ParticipationDecembre1[[#This Row],[1]:[31]],Code11)</f>
        <v>0</v>
      </c>
      <c r="AU11" s="30">
        <f>COUNTIF(ParticipationDecembre1[[#This Row],[1]:[31]],Code12)</f>
        <v>0</v>
      </c>
      <c r="AV11" s="30">
        <f>COUNTIF(ParticipationDecembre1[[#This Row],[1]:[31]],Code13)</f>
        <v>0</v>
      </c>
      <c r="AW11" s="30">
        <f>COUNTIF(ParticipationDecembre1[[#This Row],[1]:[31]],Code14)</f>
        <v>0</v>
      </c>
      <c r="AX11" s="30">
        <f>COUNTIF(ParticipationDecembre1[[#This Row],[1]:[31]],Code15)</f>
        <v>0</v>
      </c>
      <c r="AY11" s="30">
        <f>COUNTIF(ParticipationDecembre1[[#This Row],[1]:[31]],Code16)</f>
        <v>0</v>
      </c>
      <c r="AZ11" s="30">
        <f>COUNTIF(ParticipationDecembre1[[#This Row],[1]:[31]],Code17)</f>
        <v>0</v>
      </c>
      <c r="BA11" s="30">
        <f>COUNTIF(ParticipationDecembre1[[#This Row],[1]:[31]],Code25)</f>
        <v>0</v>
      </c>
      <c r="BB11" s="30">
        <f>COUNTIF(ParticipationDecembre1[[#This Row],[1]:[31]],Code26)</f>
        <v>0</v>
      </c>
      <c r="BC11" s="30">
        <f>COUNTIF(ParticipationDecembre1[[#This Row],[1]:[31]],Code27)</f>
        <v>0</v>
      </c>
      <c r="BD11" s="30">
        <f>COUNTIF(ParticipationDecembre1[[#This Row],[1]:[31]],Code28)</f>
        <v>0</v>
      </c>
      <c r="BE11" s="30">
        <f>COUNTIF(ParticipationDecembre1[[#This Row],[1]:[31]],code21)</f>
        <v>0</v>
      </c>
      <c r="BF11" s="30">
        <f>COUNTIF(ParticipationDecembre1[[#This Row],[1]:[31]],Code24)</f>
        <v>0</v>
      </c>
      <c r="BG11" s="30">
        <f>COUNTIF(ParticipationDecembre1[[#This Row],[1]:[31]],code18)</f>
        <v>0</v>
      </c>
      <c r="BH11" s="164">
        <f>COUNTIF(ParticipationDecembre1[[#This Row],[1]:[31]],code19)</f>
        <v>0</v>
      </c>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204"/>
      <c r="CP11" s="204"/>
      <c r="CQ11" s="259">
        <f t="shared" ref="CQ11:CQ34" si="0">SUM((AH11*1)+(AI11*1.5)+(AJ11*2)+(AK11*3)+(AP11*5)+(AQ11*6)+(AR11*7)+(AU11*2)+(AX11*3)+(AY11*4)+(BA11*5)+(BB11*3)+(BC11*2)+(BE11*2)+(AZ11*2)+(BD11*2))</f>
        <v>0</v>
      </c>
      <c r="CR11" s="261">
        <f t="shared" ref="CR11:CR34" si="1">SUM((AN11*1)+(AM11*2)+(AO11*3)+(AP11*4)+(AT11*5)+(AU11*7)+(AV11*7)+(AW11*7)+(AX11*4)+(AY11*3)+(BA11*2)+(BC11*4)+(BB11*1)+(BE11*2)+(AZ11*5)+(BD11*1))</f>
        <v>0</v>
      </c>
      <c r="CS11" s="186">
        <f t="shared" ref="CS11:CS34" si="2">BF11*2</f>
        <v>0</v>
      </c>
      <c r="CT11" s="186">
        <f>SUM((BG11*7)+(BH11*10)+(BI11*12))</f>
        <v>0</v>
      </c>
    </row>
    <row r="12" spans="1:98" ht="15" thickTop="1" thickBot="1">
      <c r="A12" s="29"/>
      <c r="B12" s="162" t="str">
        <f>IFERROR(VLOOKUP(ParticipationDecembre1[[#This Row],[Référence]],ListeÉtudiants1[],18,FALSE),"")</f>
        <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44"/>
      <c r="AH12" s="6">
        <f>COUNTIF(ParticipationDecembre1[[#This Row],[1]:[31]],Code1)</f>
        <v>0</v>
      </c>
      <c r="AI12" s="6">
        <f>COUNTIF(ParticipationDecembre1[[#This Row],[1]:[31]],code22)</f>
        <v>0</v>
      </c>
      <c r="AJ12" s="30">
        <f>COUNTIF(ParticipationDecembre1[[#This Row],[1]:[31]],Code2)</f>
        <v>0</v>
      </c>
      <c r="AK12" s="30">
        <f>COUNTIF(ParticipationDecembre1[[#This Row],[1]:[31]],Code3)</f>
        <v>0</v>
      </c>
      <c r="AL12" s="30">
        <f>COUNTIF(ParticipationDecembre1[[#This Row],[1]:[31]],Code4)</f>
        <v>0</v>
      </c>
      <c r="AM12" s="30">
        <f>COUNTIF(ParticipationDecembre1[[#This Row],[1]:[31]],Code5)</f>
        <v>0</v>
      </c>
      <c r="AN12" s="30">
        <f>COUNTIF(ParticipationDecembre1[[#This Row],[1]:[31]],Code23)</f>
        <v>0</v>
      </c>
      <c r="AO12" s="30">
        <f>COUNTIF(ParticipationDecembre1[[#This Row],[1]:[31]],Code6)</f>
        <v>0</v>
      </c>
      <c r="AP12" s="30">
        <f>COUNTIF(ParticipationDecembre1[[#This Row],[1]:[31]],Code7)</f>
        <v>0</v>
      </c>
      <c r="AQ12" s="30">
        <f>COUNTIF(ParticipationDecembre1[[#This Row],[1]:[31]],Code8)</f>
        <v>0</v>
      </c>
      <c r="AR12" s="30">
        <f>COUNTIF(ParticipationDecembre1[[#This Row],[1]:[31]],Code9)</f>
        <v>0</v>
      </c>
      <c r="AS12" s="30">
        <f>COUNTIF(ParticipationDecembre1[[#This Row],[1]:[31]],Code10)</f>
        <v>0</v>
      </c>
      <c r="AT12" s="30">
        <f>COUNTIF(ParticipationDecembre1[[#This Row],[1]:[31]],Code11)</f>
        <v>0</v>
      </c>
      <c r="AU12" s="30">
        <f>COUNTIF(ParticipationDecembre1[[#This Row],[1]:[31]],Code12)</f>
        <v>0</v>
      </c>
      <c r="AV12" s="30">
        <f>COUNTIF(ParticipationDecembre1[[#This Row],[1]:[31]],Code13)</f>
        <v>0</v>
      </c>
      <c r="AW12" s="30">
        <f>COUNTIF(ParticipationDecembre1[[#This Row],[1]:[31]],Code14)</f>
        <v>0</v>
      </c>
      <c r="AX12" s="30">
        <f>COUNTIF(ParticipationDecembre1[[#This Row],[1]:[31]],Code15)</f>
        <v>0</v>
      </c>
      <c r="AY12" s="30">
        <f>COUNTIF(ParticipationDecembre1[[#This Row],[1]:[31]],Code16)</f>
        <v>0</v>
      </c>
      <c r="AZ12" s="30">
        <f>COUNTIF(ParticipationDecembre1[[#This Row],[1]:[31]],Code17)</f>
        <v>0</v>
      </c>
      <c r="BA12" s="30">
        <f>COUNTIF(ParticipationDecembre1[[#This Row],[1]:[31]],Code25)</f>
        <v>0</v>
      </c>
      <c r="BB12" s="30">
        <f>COUNTIF(ParticipationDecembre1[[#This Row],[1]:[31]],Code26)</f>
        <v>0</v>
      </c>
      <c r="BC12" s="30">
        <f>COUNTIF(ParticipationDecembre1[[#This Row],[1]:[31]],Code27)</f>
        <v>0</v>
      </c>
      <c r="BD12" s="30">
        <f>COUNTIF(ParticipationDecembre1[[#This Row],[1]:[31]],Code28)</f>
        <v>0</v>
      </c>
      <c r="BE12" s="30">
        <f>COUNTIF(ParticipationDecembre1[[#This Row],[1]:[31]],code21)</f>
        <v>0</v>
      </c>
      <c r="BF12" s="30">
        <f>COUNTIF(ParticipationDecembre1[[#This Row],[1]:[31]],Code24)</f>
        <v>0</v>
      </c>
      <c r="BG12" s="30">
        <f>COUNTIF(ParticipationDecembre1[[#This Row],[1]:[31]],code18)</f>
        <v>0</v>
      </c>
      <c r="BH12" s="164">
        <f>COUNTIF(ParticipationDecembre1[[#This Row],[1]:[31]],code19)</f>
        <v>0</v>
      </c>
      <c r="BI12" s="314"/>
      <c r="BJ12" s="314"/>
      <c r="BK12" s="314"/>
      <c r="BL12" s="314"/>
      <c r="BM12" s="314"/>
      <c r="BN12" s="314"/>
      <c r="BO12" s="314"/>
      <c r="BP12" s="314"/>
      <c r="BQ12" s="314"/>
      <c r="BR12" s="314"/>
      <c r="BS12" s="314"/>
      <c r="BT12" s="314"/>
      <c r="BU12" s="314"/>
      <c r="BV12" s="314"/>
      <c r="BW12" s="314"/>
      <c r="BX12" s="314"/>
      <c r="BY12" s="314"/>
      <c r="BZ12" s="314"/>
      <c r="CA12" s="314"/>
      <c r="CB12" s="314"/>
      <c r="CC12" s="314"/>
      <c r="CD12" s="314"/>
      <c r="CE12" s="314"/>
      <c r="CF12" s="314"/>
      <c r="CG12" s="314"/>
      <c r="CH12" s="314"/>
      <c r="CI12" s="314"/>
      <c r="CJ12" s="314"/>
      <c r="CK12" s="314"/>
      <c r="CL12" s="314"/>
      <c r="CM12" s="314"/>
      <c r="CN12" s="314"/>
      <c r="CO12" s="314"/>
      <c r="CP12" s="314"/>
      <c r="CQ12" s="259">
        <f t="shared" si="0"/>
        <v>0</v>
      </c>
      <c r="CR12" s="261">
        <f t="shared" si="1"/>
        <v>0</v>
      </c>
      <c r="CS12" s="256">
        <f t="shared" si="2"/>
        <v>0</v>
      </c>
      <c r="CT12" s="187">
        <f t="shared" ref="CT12:CT30" si="3">SUM((BG12*7)+(BH12*10)+(BI12*12))</f>
        <v>0</v>
      </c>
    </row>
    <row r="13" spans="1:98" ht="15" thickTop="1" thickBot="1">
      <c r="A13" s="29"/>
      <c r="B13" s="162" t="str">
        <f>IFERROR(VLOOKUP(ParticipationDecembre1[[#This Row],[Référence]],ListeÉtudiants1[],18,FALSE),"")</f>
        <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44"/>
      <c r="AH13" s="6">
        <f>COUNTIF(ParticipationDecembre1[[#This Row],[1]:[31]],Code1)</f>
        <v>0</v>
      </c>
      <c r="AI13" s="6">
        <f>COUNTIF(ParticipationDecembre1[[#This Row],[1]:[31]],code22)</f>
        <v>0</v>
      </c>
      <c r="AJ13" s="30">
        <f>COUNTIF(ParticipationDecembre1[[#This Row],[1]:[31]],Code2)</f>
        <v>0</v>
      </c>
      <c r="AK13" s="30">
        <f>COUNTIF(ParticipationDecembre1[[#This Row],[1]:[31]],Code3)</f>
        <v>0</v>
      </c>
      <c r="AL13" s="30">
        <f>COUNTIF(ParticipationDecembre1[[#This Row],[1]:[31]],Code4)</f>
        <v>0</v>
      </c>
      <c r="AM13" s="30">
        <f>COUNTIF(ParticipationDecembre1[[#This Row],[1]:[31]],Code5)</f>
        <v>0</v>
      </c>
      <c r="AN13" s="30">
        <f>COUNTIF(ParticipationDecembre1[[#This Row],[1]:[31]],Code23)</f>
        <v>0</v>
      </c>
      <c r="AO13" s="30">
        <f>COUNTIF(ParticipationDecembre1[[#This Row],[1]:[31]],Code6)</f>
        <v>0</v>
      </c>
      <c r="AP13" s="30">
        <f>COUNTIF(ParticipationDecembre1[[#This Row],[1]:[31]],Code7)</f>
        <v>0</v>
      </c>
      <c r="AQ13" s="30">
        <f>COUNTIF(ParticipationDecembre1[[#This Row],[1]:[31]],Code8)</f>
        <v>0</v>
      </c>
      <c r="AR13" s="30">
        <f>COUNTIF(ParticipationDecembre1[[#This Row],[1]:[31]],Code9)</f>
        <v>0</v>
      </c>
      <c r="AS13" s="30">
        <f>COUNTIF(ParticipationDecembre1[[#This Row],[1]:[31]],Code10)</f>
        <v>0</v>
      </c>
      <c r="AT13" s="30">
        <f>COUNTIF(ParticipationDecembre1[[#This Row],[1]:[31]],Code11)</f>
        <v>0</v>
      </c>
      <c r="AU13" s="30">
        <f>COUNTIF(ParticipationDecembre1[[#This Row],[1]:[31]],Code12)</f>
        <v>0</v>
      </c>
      <c r="AV13" s="30">
        <f>COUNTIF(ParticipationDecembre1[[#This Row],[1]:[31]],Code13)</f>
        <v>0</v>
      </c>
      <c r="AW13" s="30">
        <f>COUNTIF(ParticipationDecembre1[[#This Row],[1]:[31]],Code14)</f>
        <v>0</v>
      </c>
      <c r="AX13" s="30">
        <f>COUNTIF(ParticipationDecembre1[[#This Row],[1]:[31]],Code15)</f>
        <v>0</v>
      </c>
      <c r="AY13" s="30">
        <f>COUNTIF(ParticipationDecembre1[[#This Row],[1]:[31]],Code16)</f>
        <v>0</v>
      </c>
      <c r="AZ13" s="30">
        <f>COUNTIF(ParticipationDecembre1[[#This Row],[1]:[31]],Code17)</f>
        <v>0</v>
      </c>
      <c r="BA13" s="30">
        <f>COUNTIF(ParticipationDecembre1[[#This Row],[1]:[31]],Code25)</f>
        <v>0</v>
      </c>
      <c r="BB13" s="30">
        <f>COUNTIF(ParticipationDecembre1[[#This Row],[1]:[31]],Code26)</f>
        <v>0</v>
      </c>
      <c r="BC13" s="30">
        <f>COUNTIF(ParticipationDecembre1[[#This Row],[1]:[31]],Code27)</f>
        <v>0</v>
      </c>
      <c r="BD13" s="30">
        <f>COUNTIF(ParticipationDecembre1[[#This Row],[1]:[31]],Code28)</f>
        <v>0</v>
      </c>
      <c r="BE13" s="30">
        <f>COUNTIF(ParticipationDecembre1[[#This Row],[1]:[31]],code21)</f>
        <v>0</v>
      </c>
      <c r="BF13" s="30">
        <f>COUNTIF(ParticipationDecembre1[[#This Row],[1]:[31]],Code24)</f>
        <v>0</v>
      </c>
      <c r="BG13" s="30">
        <f>COUNTIF(ParticipationDecembre1[[#This Row],[1]:[31]],code18)</f>
        <v>0</v>
      </c>
      <c r="BH13" s="164">
        <f>COUNTIF(ParticipationDecembre1[[#This Row],[1]:[31]],code19)</f>
        <v>0</v>
      </c>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259">
        <f t="shared" si="0"/>
        <v>0</v>
      </c>
      <c r="CR13" s="261">
        <f t="shared" si="1"/>
        <v>0</v>
      </c>
      <c r="CS13" s="256">
        <f t="shared" si="2"/>
        <v>0</v>
      </c>
      <c r="CT13" s="187">
        <f t="shared" si="3"/>
        <v>0</v>
      </c>
    </row>
    <row r="14" spans="1:98" ht="15" thickTop="1" thickBot="1">
      <c r="A14" s="29"/>
      <c r="B14" s="162" t="str">
        <f>IFERROR(VLOOKUP(ParticipationDecembre1[[#This Row],[Référence]],ListeÉtudiants1[],18,FALSE),"")</f>
        <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44"/>
      <c r="AH14" s="6">
        <f>COUNTIF(ParticipationDecembre1[[#This Row],[1]:[31]],Code1)</f>
        <v>0</v>
      </c>
      <c r="AI14" s="6">
        <f>COUNTIF(ParticipationDecembre1[[#This Row],[1]:[31]],code22)</f>
        <v>0</v>
      </c>
      <c r="AJ14" s="30">
        <f>COUNTIF(ParticipationDecembre1[[#This Row],[1]:[31]],Code2)</f>
        <v>0</v>
      </c>
      <c r="AK14" s="30">
        <f>COUNTIF(ParticipationDecembre1[[#This Row],[1]:[31]],Code3)</f>
        <v>0</v>
      </c>
      <c r="AL14" s="30">
        <f>COUNTIF(ParticipationDecembre1[[#This Row],[1]:[31]],Code4)</f>
        <v>0</v>
      </c>
      <c r="AM14" s="30">
        <f>COUNTIF(ParticipationDecembre1[[#This Row],[1]:[31]],Code5)</f>
        <v>0</v>
      </c>
      <c r="AN14" s="30">
        <f>COUNTIF(ParticipationDecembre1[[#This Row],[1]:[31]],Code23)</f>
        <v>0</v>
      </c>
      <c r="AO14" s="30">
        <f>COUNTIF(ParticipationDecembre1[[#This Row],[1]:[31]],Code6)</f>
        <v>0</v>
      </c>
      <c r="AP14" s="30">
        <f>COUNTIF(ParticipationDecembre1[[#This Row],[1]:[31]],Code7)</f>
        <v>0</v>
      </c>
      <c r="AQ14" s="30">
        <f>COUNTIF(ParticipationDecembre1[[#This Row],[1]:[31]],Code8)</f>
        <v>0</v>
      </c>
      <c r="AR14" s="30">
        <f>COUNTIF(ParticipationDecembre1[[#This Row],[1]:[31]],Code9)</f>
        <v>0</v>
      </c>
      <c r="AS14" s="30">
        <f>COUNTIF(ParticipationDecembre1[[#This Row],[1]:[31]],Code10)</f>
        <v>0</v>
      </c>
      <c r="AT14" s="30">
        <f>COUNTIF(ParticipationDecembre1[[#This Row],[1]:[31]],Code11)</f>
        <v>0</v>
      </c>
      <c r="AU14" s="30">
        <f>COUNTIF(ParticipationDecembre1[[#This Row],[1]:[31]],Code12)</f>
        <v>0</v>
      </c>
      <c r="AV14" s="30">
        <f>COUNTIF(ParticipationDecembre1[[#This Row],[1]:[31]],Code13)</f>
        <v>0</v>
      </c>
      <c r="AW14" s="30">
        <f>COUNTIF(ParticipationDecembre1[[#This Row],[1]:[31]],Code14)</f>
        <v>0</v>
      </c>
      <c r="AX14" s="30">
        <f>COUNTIF(ParticipationDecembre1[[#This Row],[1]:[31]],Code15)</f>
        <v>0</v>
      </c>
      <c r="AY14" s="30">
        <f>COUNTIF(ParticipationDecembre1[[#This Row],[1]:[31]],Code16)</f>
        <v>0</v>
      </c>
      <c r="AZ14" s="30">
        <f>COUNTIF(ParticipationDecembre1[[#This Row],[1]:[31]],Code17)</f>
        <v>0</v>
      </c>
      <c r="BA14" s="30">
        <f>COUNTIF(ParticipationDecembre1[[#This Row],[1]:[31]],Code25)</f>
        <v>0</v>
      </c>
      <c r="BB14" s="30">
        <f>COUNTIF(ParticipationDecembre1[[#This Row],[1]:[31]],Code26)</f>
        <v>0</v>
      </c>
      <c r="BC14" s="30">
        <f>COUNTIF(ParticipationDecembre1[[#This Row],[1]:[31]],Code27)</f>
        <v>0</v>
      </c>
      <c r="BD14" s="30">
        <f>COUNTIF(ParticipationDecembre1[[#This Row],[1]:[31]],Code28)</f>
        <v>0</v>
      </c>
      <c r="BE14" s="30">
        <f>COUNTIF(ParticipationDecembre1[[#This Row],[1]:[31]],code21)</f>
        <v>0</v>
      </c>
      <c r="BF14" s="30">
        <f>COUNTIF(ParticipationDecembre1[[#This Row],[1]:[31]],Code24)</f>
        <v>0</v>
      </c>
      <c r="BG14" s="30">
        <f>COUNTIF(ParticipationDecembre1[[#This Row],[1]:[31]],code18)</f>
        <v>0</v>
      </c>
      <c r="BH14" s="164">
        <f>COUNTIF(ParticipationDecembre1[[#This Row],[1]:[31]],code19)</f>
        <v>0</v>
      </c>
      <c r="BI14" s="314"/>
      <c r="BJ14" s="314"/>
      <c r="BK14" s="314"/>
      <c r="BL14" s="314"/>
      <c r="BM14" s="314"/>
      <c r="BN14" s="314"/>
      <c r="BO14" s="314"/>
      <c r="BP14" s="314"/>
      <c r="BQ14" s="314"/>
      <c r="BR14" s="314"/>
      <c r="BS14" s="314"/>
      <c r="BT14" s="314"/>
      <c r="BU14" s="314"/>
      <c r="BV14" s="314"/>
      <c r="BW14" s="314"/>
      <c r="BX14" s="314"/>
      <c r="BY14" s="314"/>
      <c r="BZ14" s="314"/>
      <c r="CA14" s="314"/>
      <c r="CB14" s="314"/>
      <c r="CC14" s="314"/>
      <c r="CD14" s="314"/>
      <c r="CE14" s="314"/>
      <c r="CF14" s="314"/>
      <c r="CG14" s="314"/>
      <c r="CH14" s="314"/>
      <c r="CI14" s="314"/>
      <c r="CJ14" s="314"/>
      <c r="CK14" s="314"/>
      <c r="CL14" s="314"/>
      <c r="CM14" s="314"/>
      <c r="CN14" s="314"/>
      <c r="CO14" s="314"/>
      <c r="CP14" s="314"/>
      <c r="CQ14" s="259">
        <f t="shared" si="0"/>
        <v>0</v>
      </c>
      <c r="CR14" s="261">
        <f t="shared" si="1"/>
        <v>0</v>
      </c>
      <c r="CS14" s="256">
        <f t="shared" si="2"/>
        <v>0</v>
      </c>
      <c r="CT14" s="187">
        <f t="shared" si="3"/>
        <v>0</v>
      </c>
    </row>
    <row r="15" spans="1:98" ht="15" thickTop="1" thickBot="1">
      <c r="A15" s="29"/>
      <c r="B15" s="162" t="str">
        <f>IFERROR(VLOOKUP(ParticipationDecembre1[[#This Row],[Référence]],ListeÉtudiants1[],18,FALSE),"")</f>
        <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44"/>
      <c r="AH15" s="6">
        <f>COUNTIF(ParticipationDecembre1[[#This Row],[1]:[31]],Code1)</f>
        <v>0</v>
      </c>
      <c r="AI15" s="6">
        <f>COUNTIF(ParticipationDecembre1[[#This Row],[1]:[31]],code22)</f>
        <v>0</v>
      </c>
      <c r="AJ15" s="30">
        <f>COUNTIF(ParticipationDecembre1[[#This Row],[1]:[31]],Code2)</f>
        <v>0</v>
      </c>
      <c r="AK15" s="30">
        <f>COUNTIF(ParticipationDecembre1[[#This Row],[1]:[31]],Code3)</f>
        <v>0</v>
      </c>
      <c r="AL15" s="30">
        <f>COUNTIF(ParticipationDecembre1[[#This Row],[1]:[31]],Code4)</f>
        <v>0</v>
      </c>
      <c r="AM15" s="30">
        <f>COUNTIF(ParticipationDecembre1[[#This Row],[1]:[31]],Code5)</f>
        <v>0</v>
      </c>
      <c r="AN15" s="30">
        <f>COUNTIF(ParticipationDecembre1[[#This Row],[1]:[31]],Code23)</f>
        <v>0</v>
      </c>
      <c r="AO15" s="30">
        <f>COUNTIF(ParticipationDecembre1[[#This Row],[1]:[31]],Code6)</f>
        <v>0</v>
      </c>
      <c r="AP15" s="30">
        <f>COUNTIF(ParticipationDecembre1[[#This Row],[1]:[31]],Code7)</f>
        <v>0</v>
      </c>
      <c r="AQ15" s="30">
        <f>COUNTIF(ParticipationDecembre1[[#This Row],[1]:[31]],Code8)</f>
        <v>0</v>
      </c>
      <c r="AR15" s="30">
        <f>COUNTIF(ParticipationDecembre1[[#This Row],[1]:[31]],Code9)</f>
        <v>0</v>
      </c>
      <c r="AS15" s="30">
        <f>COUNTIF(ParticipationDecembre1[[#This Row],[1]:[31]],Code10)</f>
        <v>0</v>
      </c>
      <c r="AT15" s="30">
        <f>COUNTIF(ParticipationDecembre1[[#This Row],[1]:[31]],Code11)</f>
        <v>0</v>
      </c>
      <c r="AU15" s="30">
        <f>COUNTIF(ParticipationDecembre1[[#This Row],[1]:[31]],Code12)</f>
        <v>0</v>
      </c>
      <c r="AV15" s="30">
        <f>COUNTIF(ParticipationDecembre1[[#This Row],[1]:[31]],Code13)</f>
        <v>0</v>
      </c>
      <c r="AW15" s="30">
        <f>COUNTIF(ParticipationDecembre1[[#This Row],[1]:[31]],Code14)</f>
        <v>0</v>
      </c>
      <c r="AX15" s="30">
        <f>COUNTIF(ParticipationDecembre1[[#This Row],[1]:[31]],Code15)</f>
        <v>0</v>
      </c>
      <c r="AY15" s="30">
        <f>COUNTIF(ParticipationDecembre1[[#This Row],[1]:[31]],Code16)</f>
        <v>0</v>
      </c>
      <c r="AZ15" s="30">
        <f>COUNTIF(ParticipationDecembre1[[#This Row],[1]:[31]],Code17)</f>
        <v>0</v>
      </c>
      <c r="BA15" s="30">
        <f>COUNTIF(ParticipationDecembre1[[#This Row],[1]:[31]],Code25)</f>
        <v>0</v>
      </c>
      <c r="BB15" s="30">
        <f>COUNTIF(ParticipationDecembre1[[#This Row],[1]:[31]],Code26)</f>
        <v>0</v>
      </c>
      <c r="BC15" s="30">
        <f>COUNTIF(ParticipationDecembre1[[#This Row],[1]:[31]],Code27)</f>
        <v>0</v>
      </c>
      <c r="BD15" s="30">
        <f>COUNTIF(ParticipationDecembre1[[#This Row],[1]:[31]],Code28)</f>
        <v>0</v>
      </c>
      <c r="BE15" s="30">
        <f>COUNTIF(ParticipationDecembre1[[#This Row],[1]:[31]],code21)</f>
        <v>0</v>
      </c>
      <c r="BF15" s="30">
        <f>COUNTIF(ParticipationDecembre1[[#This Row],[1]:[31]],Code24)</f>
        <v>0</v>
      </c>
      <c r="BG15" s="30">
        <f>COUNTIF(ParticipationDecembre1[[#This Row],[1]:[31]],code18)</f>
        <v>0</v>
      </c>
      <c r="BH15" s="164">
        <f>COUNTIF(ParticipationDecembre1[[#This Row],[1]:[31]],code19)</f>
        <v>0</v>
      </c>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259">
        <f t="shared" si="0"/>
        <v>0</v>
      </c>
      <c r="CR15" s="261">
        <f t="shared" si="1"/>
        <v>0</v>
      </c>
      <c r="CS15" s="256">
        <f t="shared" si="2"/>
        <v>0</v>
      </c>
      <c r="CT15" s="187">
        <f t="shared" si="3"/>
        <v>0</v>
      </c>
    </row>
    <row r="16" spans="1:98" ht="15" thickTop="1" thickBot="1">
      <c r="A16" s="29"/>
      <c r="B16" s="162" t="str">
        <f>IFERROR(VLOOKUP(ParticipationDecembre1[[#This Row],[Référence]],ListeÉtudiants1[],18,FALSE),"")</f>
        <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44"/>
      <c r="AH16" s="6">
        <f>COUNTIF(ParticipationDecembre1[[#This Row],[1]:[31]],Code1)</f>
        <v>0</v>
      </c>
      <c r="AI16" s="6">
        <f>COUNTIF(ParticipationDecembre1[[#This Row],[1]:[31]],code22)</f>
        <v>0</v>
      </c>
      <c r="AJ16" s="30">
        <f>COUNTIF(ParticipationDecembre1[[#This Row],[1]:[31]],Code2)</f>
        <v>0</v>
      </c>
      <c r="AK16" s="30">
        <f>COUNTIF(ParticipationDecembre1[[#This Row],[1]:[31]],Code3)</f>
        <v>0</v>
      </c>
      <c r="AL16" s="30">
        <f>COUNTIF(ParticipationDecembre1[[#This Row],[1]:[31]],Code4)</f>
        <v>0</v>
      </c>
      <c r="AM16" s="30">
        <f>COUNTIF(ParticipationDecembre1[[#This Row],[1]:[31]],Code5)</f>
        <v>0</v>
      </c>
      <c r="AN16" s="30">
        <f>COUNTIF(ParticipationDecembre1[[#This Row],[1]:[31]],Code23)</f>
        <v>0</v>
      </c>
      <c r="AO16" s="30">
        <f>COUNTIF(ParticipationDecembre1[[#This Row],[1]:[31]],Code6)</f>
        <v>0</v>
      </c>
      <c r="AP16" s="30">
        <f>COUNTIF(ParticipationDecembre1[[#This Row],[1]:[31]],Code7)</f>
        <v>0</v>
      </c>
      <c r="AQ16" s="30">
        <f>COUNTIF(ParticipationDecembre1[[#This Row],[1]:[31]],Code8)</f>
        <v>0</v>
      </c>
      <c r="AR16" s="30">
        <f>COUNTIF(ParticipationDecembre1[[#This Row],[1]:[31]],Code9)</f>
        <v>0</v>
      </c>
      <c r="AS16" s="30">
        <f>COUNTIF(ParticipationDecembre1[[#This Row],[1]:[31]],Code10)</f>
        <v>0</v>
      </c>
      <c r="AT16" s="30">
        <f>COUNTIF(ParticipationDecembre1[[#This Row],[1]:[31]],Code11)</f>
        <v>0</v>
      </c>
      <c r="AU16" s="30">
        <f>COUNTIF(ParticipationDecembre1[[#This Row],[1]:[31]],Code12)</f>
        <v>0</v>
      </c>
      <c r="AV16" s="30">
        <f>COUNTIF(ParticipationDecembre1[[#This Row],[1]:[31]],Code13)</f>
        <v>0</v>
      </c>
      <c r="AW16" s="30">
        <f>COUNTIF(ParticipationDecembre1[[#This Row],[1]:[31]],Code14)</f>
        <v>0</v>
      </c>
      <c r="AX16" s="30">
        <f>COUNTIF(ParticipationDecembre1[[#This Row],[1]:[31]],Code15)</f>
        <v>0</v>
      </c>
      <c r="AY16" s="30">
        <f>COUNTIF(ParticipationDecembre1[[#This Row],[1]:[31]],Code16)</f>
        <v>0</v>
      </c>
      <c r="AZ16" s="30">
        <f>COUNTIF(ParticipationDecembre1[[#This Row],[1]:[31]],Code17)</f>
        <v>0</v>
      </c>
      <c r="BA16" s="30">
        <f>COUNTIF(ParticipationDecembre1[[#This Row],[1]:[31]],Code25)</f>
        <v>0</v>
      </c>
      <c r="BB16" s="30">
        <f>COUNTIF(ParticipationDecembre1[[#This Row],[1]:[31]],Code26)</f>
        <v>0</v>
      </c>
      <c r="BC16" s="30">
        <f>COUNTIF(ParticipationDecembre1[[#This Row],[1]:[31]],Code27)</f>
        <v>0</v>
      </c>
      <c r="BD16" s="30">
        <f>COUNTIF(ParticipationDecembre1[[#This Row],[1]:[31]],Code28)</f>
        <v>0</v>
      </c>
      <c r="BE16" s="30">
        <f>COUNTIF(ParticipationDecembre1[[#This Row],[1]:[31]],code21)</f>
        <v>0</v>
      </c>
      <c r="BF16" s="30">
        <f>COUNTIF(ParticipationDecembre1[[#This Row],[1]:[31]],Code24)</f>
        <v>0</v>
      </c>
      <c r="BG16" s="30">
        <f>COUNTIF(ParticipationDecembre1[[#This Row],[1]:[31]],code18)</f>
        <v>0</v>
      </c>
      <c r="BH16" s="164">
        <f>COUNTIF(ParticipationDecembre1[[#This Row],[1]:[31]],code19)</f>
        <v>0</v>
      </c>
      <c r="BI16" s="314"/>
      <c r="BJ16" s="314"/>
      <c r="BK16" s="314"/>
      <c r="BL16" s="314"/>
      <c r="BM16" s="314"/>
      <c r="BN16" s="314"/>
      <c r="BO16" s="314"/>
      <c r="BP16" s="314"/>
      <c r="BQ16" s="314"/>
      <c r="BR16" s="314"/>
      <c r="BS16" s="314"/>
      <c r="BT16" s="314"/>
      <c r="BU16" s="314"/>
      <c r="BV16" s="314"/>
      <c r="BW16" s="314"/>
      <c r="BX16" s="314"/>
      <c r="BY16" s="314"/>
      <c r="BZ16" s="314"/>
      <c r="CA16" s="314"/>
      <c r="CB16" s="314"/>
      <c r="CC16" s="314"/>
      <c r="CD16" s="314"/>
      <c r="CE16" s="314"/>
      <c r="CF16" s="314"/>
      <c r="CG16" s="314"/>
      <c r="CH16" s="314"/>
      <c r="CI16" s="314"/>
      <c r="CJ16" s="314"/>
      <c r="CK16" s="314"/>
      <c r="CL16" s="314"/>
      <c r="CM16" s="314"/>
      <c r="CN16" s="314"/>
      <c r="CO16" s="314"/>
      <c r="CP16" s="314"/>
      <c r="CQ16" s="259">
        <f t="shared" si="0"/>
        <v>0</v>
      </c>
      <c r="CR16" s="261">
        <f t="shared" si="1"/>
        <v>0</v>
      </c>
      <c r="CS16" s="256">
        <f t="shared" si="2"/>
        <v>0</v>
      </c>
      <c r="CT16" s="187">
        <f t="shared" si="3"/>
        <v>0</v>
      </c>
    </row>
    <row r="17" spans="1:98" ht="15" thickTop="1" thickBot="1">
      <c r="A17" s="29"/>
      <c r="B17" s="162" t="str">
        <f>IFERROR(VLOOKUP(ParticipationDecembre1[[#This Row],[Référence]],ListeÉtudiants1[],18,FALSE),"")</f>
        <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44"/>
      <c r="AH17" s="6">
        <f>COUNTIF(ParticipationDecembre1[[#This Row],[1]:[31]],Code1)</f>
        <v>0</v>
      </c>
      <c r="AI17" s="6">
        <f>COUNTIF(ParticipationDecembre1[[#This Row],[1]:[31]],code22)</f>
        <v>0</v>
      </c>
      <c r="AJ17" s="30">
        <f>COUNTIF(ParticipationDecembre1[[#This Row],[1]:[31]],Code2)</f>
        <v>0</v>
      </c>
      <c r="AK17" s="30">
        <f>COUNTIF(ParticipationDecembre1[[#This Row],[1]:[31]],Code3)</f>
        <v>0</v>
      </c>
      <c r="AL17" s="30">
        <f>COUNTIF(ParticipationDecembre1[[#This Row],[1]:[31]],Code4)</f>
        <v>0</v>
      </c>
      <c r="AM17" s="30">
        <f>COUNTIF(ParticipationDecembre1[[#This Row],[1]:[31]],Code5)</f>
        <v>0</v>
      </c>
      <c r="AN17" s="30">
        <f>COUNTIF(ParticipationDecembre1[[#This Row],[1]:[31]],Code23)</f>
        <v>0</v>
      </c>
      <c r="AO17" s="30">
        <f>COUNTIF(ParticipationDecembre1[[#This Row],[1]:[31]],Code6)</f>
        <v>0</v>
      </c>
      <c r="AP17" s="30">
        <f>COUNTIF(ParticipationDecembre1[[#This Row],[1]:[31]],Code7)</f>
        <v>0</v>
      </c>
      <c r="AQ17" s="30">
        <f>COUNTIF(ParticipationDecembre1[[#This Row],[1]:[31]],Code8)</f>
        <v>0</v>
      </c>
      <c r="AR17" s="30">
        <f>COUNTIF(ParticipationDecembre1[[#This Row],[1]:[31]],Code9)</f>
        <v>0</v>
      </c>
      <c r="AS17" s="30">
        <f>COUNTIF(ParticipationDecembre1[[#This Row],[1]:[31]],Code10)</f>
        <v>0</v>
      </c>
      <c r="AT17" s="30">
        <f>COUNTIF(ParticipationDecembre1[[#This Row],[1]:[31]],Code11)</f>
        <v>0</v>
      </c>
      <c r="AU17" s="30">
        <f>COUNTIF(ParticipationDecembre1[[#This Row],[1]:[31]],Code12)</f>
        <v>0</v>
      </c>
      <c r="AV17" s="30">
        <f>COUNTIF(ParticipationDecembre1[[#This Row],[1]:[31]],Code13)</f>
        <v>0</v>
      </c>
      <c r="AW17" s="30">
        <f>COUNTIF(ParticipationDecembre1[[#This Row],[1]:[31]],Code14)</f>
        <v>0</v>
      </c>
      <c r="AX17" s="30">
        <f>COUNTIF(ParticipationDecembre1[[#This Row],[1]:[31]],Code15)</f>
        <v>0</v>
      </c>
      <c r="AY17" s="30">
        <f>COUNTIF(ParticipationDecembre1[[#This Row],[1]:[31]],Code16)</f>
        <v>0</v>
      </c>
      <c r="AZ17" s="30">
        <f>COUNTIF(ParticipationDecembre1[[#This Row],[1]:[31]],Code17)</f>
        <v>0</v>
      </c>
      <c r="BA17" s="30">
        <f>COUNTIF(ParticipationDecembre1[[#This Row],[1]:[31]],Code25)</f>
        <v>0</v>
      </c>
      <c r="BB17" s="30">
        <f>COUNTIF(ParticipationDecembre1[[#This Row],[1]:[31]],Code26)</f>
        <v>0</v>
      </c>
      <c r="BC17" s="30">
        <f>COUNTIF(ParticipationDecembre1[[#This Row],[1]:[31]],Code27)</f>
        <v>0</v>
      </c>
      <c r="BD17" s="30">
        <f>COUNTIF(ParticipationDecembre1[[#This Row],[1]:[31]],Code28)</f>
        <v>0</v>
      </c>
      <c r="BE17" s="30">
        <f>COUNTIF(ParticipationDecembre1[[#This Row],[1]:[31]],code21)</f>
        <v>0</v>
      </c>
      <c r="BF17" s="30">
        <f>COUNTIF(ParticipationDecembre1[[#This Row],[1]:[31]],Code24)</f>
        <v>0</v>
      </c>
      <c r="BG17" s="30">
        <f>COUNTIF(ParticipationDecembre1[[#This Row],[1]:[31]],code18)</f>
        <v>0</v>
      </c>
      <c r="BH17" s="164">
        <f>COUNTIF(ParticipationDecembre1[[#This Row],[1]:[31]],code19)</f>
        <v>0</v>
      </c>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259">
        <f t="shared" si="0"/>
        <v>0</v>
      </c>
      <c r="CR17" s="261">
        <f t="shared" si="1"/>
        <v>0</v>
      </c>
      <c r="CS17" s="256">
        <f t="shared" si="2"/>
        <v>0</v>
      </c>
      <c r="CT17" s="187">
        <f t="shared" si="3"/>
        <v>0</v>
      </c>
    </row>
    <row r="18" spans="1:98" ht="15" thickTop="1" thickBot="1">
      <c r="A18" s="29"/>
      <c r="B18" s="162" t="str">
        <f>IFERROR(VLOOKUP(ParticipationDecembre1[[#This Row],[Référence]],ListeÉtudiants1[],18,FALSE),"")</f>
        <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44"/>
      <c r="AH18" s="6">
        <f>COUNTIF(ParticipationDecembre1[[#This Row],[1]:[31]],Code1)</f>
        <v>0</v>
      </c>
      <c r="AI18" s="6">
        <f>COUNTIF(ParticipationDecembre1[[#This Row],[1]:[31]],code22)</f>
        <v>0</v>
      </c>
      <c r="AJ18" s="30">
        <f>COUNTIF(ParticipationDecembre1[[#This Row],[1]:[31]],Code2)</f>
        <v>0</v>
      </c>
      <c r="AK18" s="30">
        <f>COUNTIF(ParticipationDecembre1[[#This Row],[1]:[31]],Code3)</f>
        <v>0</v>
      </c>
      <c r="AL18" s="30">
        <f>COUNTIF(ParticipationDecembre1[[#This Row],[1]:[31]],Code4)</f>
        <v>0</v>
      </c>
      <c r="AM18" s="30">
        <f>COUNTIF(ParticipationDecembre1[[#This Row],[1]:[31]],Code5)</f>
        <v>0</v>
      </c>
      <c r="AN18" s="30">
        <f>COUNTIF(ParticipationDecembre1[[#This Row],[1]:[31]],Code23)</f>
        <v>0</v>
      </c>
      <c r="AO18" s="30">
        <f>COUNTIF(ParticipationDecembre1[[#This Row],[1]:[31]],Code6)</f>
        <v>0</v>
      </c>
      <c r="AP18" s="30">
        <f>COUNTIF(ParticipationDecembre1[[#This Row],[1]:[31]],Code7)</f>
        <v>0</v>
      </c>
      <c r="AQ18" s="30">
        <f>COUNTIF(ParticipationDecembre1[[#This Row],[1]:[31]],Code8)</f>
        <v>0</v>
      </c>
      <c r="AR18" s="30">
        <f>COUNTIF(ParticipationDecembre1[[#This Row],[1]:[31]],Code9)</f>
        <v>0</v>
      </c>
      <c r="AS18" s="30">
        <f>COUNTIF(ParticipationDecembre1[[#This Row],[1]:[31]],Code10)</f>
        <v>0</v>
      </c>
      <c r="AT18" s="30">
        <f>COUNTIF(ParticipationDecembre1[[#This Row],[1]:[31]],Code11)</f>
        <v>0</v>
      </c>
      <c r="AU18" s="30">
        <f>COUNTIF(ParticipationDecembre1[[#This Row],[1]:[31]],Code12)</f>
        <v>0</v>
      </c>
      <c r="AV18" s="30">
        <f>COUNTIF(ParticipationDecembre1[[#This Row],[1]:[31]],Code13)</f>
        <v>0</v>
      </c>
      <c r="AW18" s="30">
        <f>COUNTIF(ParticipationDecembre1[[#This Row],[1]:[31]],Code14)</f>
        <v>0</v>
      </c>
      <c r="AX18" s="30">
        <f>COUNTIF(ParticipationDecembre1[[#This Row],[1]:[31]],Code15)</f>
        <v>0</v>
      </c>
      <c r="AY18" s="30">
        <f>COUNTIF(ParticipationDecembre1[[#This Row],[1]:[31]],Code16)</f>
        <v>0</v>
      </c>
      <c r="AZ18" s="30">
        <f>COUNTIF(ParticipationDecembre1[[#This Row],[1]:[31]],Code17)</f>
        <v>0</v>
      </c>
      <c r="BA18" s="30">
        <f>COUNTIF(ParticipationDecembre1[[#This Row],[1]:[31]],Code25)</f>
        <v>0</v>
      </c>
      <c r="BB18" s="30">
        <f>COUNTIF(ParticipationDecembre1[[#This Row],[1]:[31]],Code26)</f>
        <v>0</v>
      </c>
      <c r="BC18" s="30">
        <f>COUNTIF(ParticipationDecembre1[[#This Row],[1]:[31]],Code27)</f>
        <v>0</v>
      </c>
      <c r="BD18" s="30">
        <f>COUNTIF(ParticipationDecembre1[[#This Row],[1]:[31]],Code28)</f>
        <v>0</v>
      </c>
      <c r="BE18" s="30">
        <f>COUNTIF(ParticipationDecembre1[[#This Row],[1]:[31]],code21)</f>
        <v>0</v>
      </c>
      <c r="BF18" s="30">
        <f>COUNTIF(ParticipationDecembre1[[#This Row],[1]:[31]],Code24)</f>
        <v>0</v>
      </c>
      <c r="BG18" s="30">
        <f>COUNTIF(ParticipationDecembre1[[#This Row],[1]:[31]],code18)</f>
        <v>0</v>
      </c>
      <c r="BH18" s="164">
        <f>COUNTIF(ParticipationDecembre1[[#This Row],[1]:[31]],code19)</f>
        <v>0</v>
      </c>
      <c r="BI18" s="314"/>
      <c r="BJ18" s="314"/>
      <c r="BK18" s="314"/>
      <c r="BL18" s="314"/>
      <c r="BM18" s="314"/>
      <c r="BN18" s="314"/>
      <c r="BO18" s="314"/>
      <c r="BP18" s="314"/>
      <c r="BQ18" s="314"/>
      <c r="BR18" s="314"/>
      <c r="BS18" s="314"/>
      <c r="BT18" s="314"/>
      <c r="BU18" s="314"/>
      <c r="BV18" s="314"/>
      <c r="BW18" s="314"/>
      <c r="BX18" s="314"/>
      <c r="BY18" s="314"/>
      <c r="BZ18" s="314"/>
      <c r="CA18" s="314"/>
      <c r="CB18" s="314"/>
      <c r="CC18" s="314"/>
      <c r="CD18" s="314"/>
      <c r="CE18" s="314"/>
      <c r="CF18" s="314"/>
      <c r="CG18" s="314"/>
      <c r="CH18" s="314"/>
      <c r="CI18" s="314"/>
      <c r="CJ18" s="314"/>
      <c r="CK18" s="314"/>
      <c r="CL18" s="314"/>
      <c r="CM18" s="314"/>
      <c r="CN18" s="314"/>
      <c r="CO18" s="314"/>
      <c r="CP18" s="314"/>
      <c r="CQ18" s="259">
        <f t="shared" si="0"/>
        <v>0</v>
      </c>
      <c r="CR18" s="261">
        <f t="shared" si="1"/>
        <v>0</v>
      </c>
      <c r="CS18" s="256">
        <f t="shared" si="2"/>
        <v>0</v>
      </c>
      <c r="CT18" s="187">
        <f t="shared" si="3"/>
        <v>0</v>
      </c>
    </row>
    <row r="19" spans="1:98" ht="15" thickTop="1" thickBot="1">
      <c r="A19" s="29"/>
      <c r="B19" s="162" t="str">
        <f>IFERROR(VLOOKUP(ParticipationDecembre1[[#This Row],[Référence]],ListeÉtudiants1[],18,FALSE),"")</f>
        <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44"/>
      <c r="AH19" s="6">
        <f>COUNTIF(ParticipationDecembre1[[#This Row],[1]:[31]],Code1)</f>
        <v>0</v>
      </c>
      <c r="AI19" s="6">
        <f>COUNTIF(ParticipationDecembre1[[#This Row],[1]:[31]],code22)</f>
        <v>0</v>
      </c>
      <c r="AJ19" s="30">
        <f>COUNTIF(ParticipationDecembre1[[#This Row],[1]:[31]],Code2)</f>
        <v>0</v>
      </c>
      <c r="AK19" s="30">
        <f>COUNTIF(ParticipationDecembre1[[#This Row],[1]:[31]],Code3)</f>
        <v>0</v>
      </c>
      <c r="AL19" s="30">
        <f>COUNTIF(ParticipationDecembre1[[#This Row],[1]:[31]],Code4)</f>
        <v>0</v>
      </c>
      <c r="AM19" s="30">
        <f>COUNTIF(ParticipationDecembre1[[#This Row],[1]:[31]],Code5)</f>
        <v>0</v>
      </c>
      <c r="AN19" s="30">
        <f>COUNTIF(ParticipationDecembre1[[#This Row],[1]:[31]],Code23)</f>
        <v>0</v>
      </c>
      <c r="AO19" s="30">
        <f>COUNTIF(ParticipationDecembre1[[#This Row],[1]:[31]],Code6)</f>
        <v>0</v>
      </c>
      <c r="AP19" s="30">
        <f>COUNTIF(ParticipationDecembre1[[#This Row],[1]:[31]],Code7)</f>
        <v>0</v>
      </c>
      <c r="AQ19" s="30">
        <f>COUNTIF(ParticipationDecembre1[[#This Row],[1]:[31]],Code8)</f>
        <v>0</v>
      </c>
      <c r="AR19" s="30">
        <f>COUNTIF(ParticipationDecembre1[[#This Row],[1]:[31]],Code9)</f>
        <v>0</v>
      </c>
      <c r="AS19" s="30">
        <f>COUNTIF(ParticipationDecembre1[[#This Row],[1]:[31]],Code10)</f>
        <v>0</v>
      </c>
      <c r="AT19" s="30">
        <f>COUNTIF(ParticipationDecembre1[[#This Row],[1]:[31]],Code11)</f>
        <v>0</v>
      </c>
      <c r="AU19" s="30">
        <f>COUNTIF(ParticipationDecembre1[[#This Row],[1]:[31]],Code12)</f>
        <v>0</v>
      </c>
      <c r="AV19" s="30">
        <f>COUNTIF(ParticipationDecembre1[[#This Row],[1]:[31]],Code13)</f>
        <v>0</v>
      </c>
      <c r="AW19" s="30">
        <f>COUNTIF(ParticipationDecembre1[[#This Row],[1]:[31]],Code14)</f>
        <v>0</v>
      </c>
      <c r="AX19" s="30">
        <f>COUNTIF(ParticipationDecembre1[[#This Row],[1]:[31]],Code15)</f>
        <v>0</v>
      </c>
      <c r="AY19" s="30">
        <f>COUNTIF(ParticipationDecembre1[[#This Row],[1]:[31]],Code16)</f>
        <v>0</v>
      </c>
      <c r="AZ19" s="30">
        <f>COUNTIF(ParticipationDecembre1[[#This Row],[1]:[31]],Code17)</f>
        <v>0</v>
      </c>
      <c r="BA19" s="30">
        <f>COUNTIF(ParticipationDecembre1[[#This Row],[1]:[31]],Code25)</f>
        <v>0</v>
      </c>
      <c r="BB19" s="30">
        <f>COUNTIF(ParticipationDecembre1[[#This Row],[1]:[31]],Code26)</f>
        <v>0</v>
      </c>
      <c r="BC19" s="30">
        <f>COUNTIF(ParticipationDecembre1[[#This Row],[1]:[31]],Code27)</f>
        <v>0</v>
      </c>
      <c r="BD19" s="30">
        <f>COUNTIF(ParticipationDecembre1[[#This Row],[1]:[31]],Code28)</f>
        <v>0</v>
      </c>
      <c r="BE19" s="30">
        <f>COUNTIF(ParticipationDecembre1[[#This Row],[1]:[31]],code21)</f>
        <v>0</v>
      </c>
      <c r="BF19" s="30">
        <f>COUNTIF(ParticipationDecembre1[[#This Row],[1]:[31]],Code24)</f>
        <v>0</v>
      </c>
      <c r="BG19" s="30">
        <f>COUNTIF(ParticipationDecembre1[[#This Row],[1]:[31]],code18)</f>
        <v>0</v>
      </c>
      <c r="BH19" s="164">
        <f>COUNTIF(ParticipationDecembre1[[#This Row],[1]:[31]],code19)</f>
        <v>0</v>
      </c>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259">
        <f t="shared" si="0"/>
        <v>0</v>
      </c>
      <c r="CR19" s="261">
        <f t="shared" si="1"/>
        <v>0</v>
      </c>
      <c r="CS19" s="256">
        <f t="shared" si="2"/>
        <v>0</v>
      </c>
      <c r="CT19" s="187">
        <f t="shared" si="3"/>
        <v>0</v>
      </c>
    </row>
    <row r="20" spans="1:98" ht="15" thickTop="1" thickBot="1">
      <c r="A20" s="29"/>
      <c r="B20" s="162" t="str">
        <f>IFERROR(VLOOKUP(ParticipationDecembre1[[#This Row],[Référence]],ListeÉtudiants1[],18,FALSE),"")</f>
        <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44"/>
      <c r="AH20" s="6">
        <f>COUNTIF(ParticipationDecembre1[[#This Row],[1]:[31]],Code1)</f>
        <v>0</v>
      </c>
      <c r="AI20" s="6">
        <f>COUNTIF(ParticipationDecembre1[[#This Row],[1]:[31]],code22)</f>
        <v>0</v>
      </c>
      <c r="AJ20" s="30">
        <f>COUNTIF(ParticipationDecembre1[[#This Row],[1]:[31]],Code2)</f>
        <v>0</v>
      </c>
      <c r="AK20" s="30">
        <f>COUNTIF(ParticipationDecembre1[[#This Row],[1]:[31]],Code3)</f>
        <v>0</v>
      </c>
      <c r="AL20" s="30">
        <f>COUNTIF(ParticipationDecembre1[[#This Row],[1]:[31]],Code4)</f>
        <v>0</v>
      </c>
      <c r="AM20" s="30">
        <f>COUNTIF(ParticipationDecembre1[[#This Row],[1]:[31]],Code5)</f>
        <v>0</v>
      </c>
      <c r="AN20" s="30">
        <f>COUNTIF(ParticipationDecembre1[[#This Row],[1]:[31]],Code23)</f>
        <v>0</v>
      </c>
      <c r="AO20" s="30">
        <f>COUNTIF(ParticipationDecembre1[[#This Row],[1]:[31]],Code6)</f>
        <v>0</v>
      </c>
      <c r="AP20" s="30">
        <f>COUNTIF(ParticipationDecembre1[[#This Row],[1]:[31]],Code7)</f>
        <v>0</v>
      </c>
      <c r="AQ20" s="30">
        <f>COUNTIF(ParticipationDecembre1[[#This Row],[1]:[31]],Code8)</f>
        <v>0</v>
      </c>
      <c r="AR20" s="30">
        <f>COUNTIF(ParticipationDecembre1[[#This Row],[1]:[31]],Code9)</f>
        <v>0</v>
      </c>
      <c r="AS20" s="30">
        <f>COUNTIF(ParticipationDecembre1[[#This Row],[1]:[31]],Code10)</f>
        <v>0</v>
      </c>
      <c r="AT20" s="30">
        <f>COUNTIF(ParticipationDecembre1[[#This Row],[1]:[31]],Code11)</f>
        <v>0</v>
      </c>
      <c r="AU20" s="30">
        <f>COUNTIF(ParticipationDecembre1[[#This Row],[1]:[31]],Code12)</f>
        <v>0</v>
      </c>
      <c r="AV20" s="30">
        <f>COUNTIF(ParticipationDecembre1[[#This Row],[1]:[31]],Code13)</f>
        <v>0</v>
      </c>
      <c r="AW20" s="30">
        <f>COUNTIF(ParticipationDecembre1[[#This Row],[1]:[31]],Code14)</f>
        <v>0</v>
      </c>
      <c r="AX20" s="30">
        <f>COUNTIF(ParticipationDecembre1[[#This Row],[1]:[31]],Code15)</f>
        <v>0</v>
      </c>
      <c r="AY20" s="30">
        <f>COUNTIF(ParticipationDecembre1[[#This Row],[1]:[31]],Code16)</f>
        <v>0</v>
      </c>
      <c r="AZ20" s="30">
        <f>COUNTIF(ParticipationDecembre1[[#This Row],[1]:[31]],Code17)</f>
        <v>0</v>
      </c>
      <c r="BA20" s="30">
        <f>COUNTIF(ParticipationDecembre1[[#This Row],[1]:[31]],Code25)</f>
        <v>0</v>
      </c>
      <c r="BB20" s="30">
        <f>COUNTIF(ParticipationDecembre1[[#This Row],[1]:[31]],Code26)</f>
        <v>0</v>
      </c>
      <c r="BC20" s="30">
        <f>COUNTIF(ParticipationDecembre1[[#This Row],[1]:[31]],Code27)</f>
        <v>0</v>
      </c>
      <c r="BD20" s="30">
        <f>COUNTIF(ParticipationDecembre1[[#This Row],[1]:[31]],Code28)</f>
        <v>0</v>
      </c>
      <c r="BE20" s="30">
        <f>COUNTIF(ParticipationDecembre1[[#This Row],[1]:[31]],code21)</f>
        <v>0</v>
      </c>
      <c r="BF20" s="30">
        <f>COUNTIF(ParticipationDecembre1[[#This Row],[1]:[31]],Code24)</f>
        <v>0</v>
      </c>
      <c r="BG20" s="30">
        <f>COUNTIF(ParticipationDecembre1[[#This Row],[1]:[31]],code18)</f>
        <v>0</v>
      </c>
      <c r="BH20" s="164">
        <f>COUNTIF(ParticipationDecembre1[[#This Row],[1]:[31]],code19)</f>
        <v>0</v>
      </c>
      <c r="BI20" s="314"/>
      <c r="BJ20" s="314"/>
      <c r="BK20" s="314"/>
      <c r="BL20" s="314"/>
      <c r="BM20" s="314"/>
      <c r="BN20" s="314"/>
      <c r="BO20" s="314"/>
      <c r="BP20" s="314"/>
      <c r="BQ20" s="314"/>
      <c r="BR20" s="314"/>
      <c r="BS20" s="314"/>
      <c r="BT20" s="314"/>
      <c r="BU20" s="314"/>
      <c r="BV20" s="314"/>
      <c r="BW20" s="314"/>
      <c r="BX20" s="314"/>
      <c r="BY20" s="314"/>
      <c r="BZ20" s="314"/>
      <c r="CA20" s="314"/>
      <c r="CB20" s="314"/>
      <c r="CC20" s="314"/>
      <c r="CD20" s="314"/>
      <c r="CE20" s="314"/>
      <c r="CF20" s="314"/>
      <c r="CG20" s="314"/>
      <c r="CH20" s="314"/>
      <c r="CI20" s="314"/>
      <c r="CJ20" s="314"/>
      <c r="CK20" s="314"/>
      <c r="CL20" s="314"/>
      <c r="CM20" s="314"/>
      <c r="CN20" s="314"/>
      <c r="CO20" s="314"/>
      <c r="CP20" s="314"/>
      <c r="CQ20" s="259">
        <f t="shared" si="0"/>
        <v>0</v>
      </c>
      <c r="CR20" s="261">
        <f t="shared" si="1"/>
        <v>0</v>
      </c>
      <c r="CS20" s="256">
        <f t="shared" si="2"/>
        <v>0</v>
      </c>
      <c r="CT20" s="187">
        <f t="shared" si="3"/>
        <v>0</v>
      </c>
    </row>
    <row r="21" spans="1:98" ht="15" thickTop="1" thickBot="1">
      <c r="A21" s="29"/>
      <c r="B21" s="162" t="str">
        <f>IFERROR(VLOOKUP(ParticipationDecembre1[[#This Row],[Référence]],ListeÉtudiants1[],18,FALSE),"")</f>
        <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44"/>
      <c r="AH21" s="6">
        <f>COUNTIF(ParticipationDecembre1[[#This Row],[1]:[31]],Code1)</f>
        <v>0</v>
      </c>
      <c r="AI21" s="6">
        <f>COUNTIF(ParticipationDecembre1[[#This Row],[1]:[31]],code22)</f>
        <v>0</v>
      </c>
      <c r="AJ21" s="30">
        <f>COUNTIF(ParticipationDecembre1[[#This Row],[1]:[31]],Code2)</f>
        <v>0</v>
      </c>
      <c r="AK21" s="30">
        <f>COUNTIF(ParticipationDecembre1[[#This Row],[1]:[31]],Code3)</f>
        <v>0</v>
      </c>
      <c r="AL21" s="30">
        <f>COUNTIF(ParticipationDecembre1[[#This Row],[1]:[31]],Code4)</f>
        <v>0</v>
      </c>
      <c r="AM21" s="30">
        <f>COUNTIF(ParticipationDecembre1[[#This Row],[1]:[31]],Code5)</f>
        <v>0</v>
      </c>
      <c r="AN21" s="30">
        <f>COUNTIF(ParticipationDecembre1[[#This Row],[1]:[31]],Code23)</f>
        <v>0</v>
      </c>
      <c r="AO21" s="30">
        <f>COUNTIF(ParticipationDecembre1[[#This Row],[1]:[31]],Code6)</f>
        <v>0</v>
      </c>
      <c r="AP21" s="30">
        <f>COUNTIF(ParticipationDecembre1[[#This Row],[1]:[31]],Code7)</f>
        <v>0</v>
      </c>
      <c r="AQ21" s="30">
        <f>COUNTIF(ParticipationDecembre1[[#This Row],[1]:[31]],Code8)</f>
        <v>0</v>
      </c>
      <c r="AR21" s="30">
        <f>COUNTIF(ParticipationDecembre1[[#This Row],[1]:[31]],Code9)</f>
        <v>0</v>
      </c>
      <c r="AS21" s="30">
        <f>COUNTIF(ParticipationDecembre1[[#This Row],[1]:[31]],Code10)</f>
        <v>0</v>
      </c>
      <c r="AT21" s="30">
        <f>COUNTIF(ParticipationDecembre1[[#This Row],[1]:[31]],Code11)</f>
        <v>0</v>
      </c>
      <c r="AU21" s="30">
        <f>COUNTIF(ParticipationDecembre1[[#This Row],[1]:[31]],Code12)</f>
        <v>0</v>
      </c>
      <c r="AV21" s="30">
        <f>COUNTIF(ParticipationDecembre1[[#This Row],[1]:[31]],Code13)</f>
        <v>0</v>
      </c>
      <c r="AW21" s="30">
        <f>COUNTIF(ParticipationDecembre1[[#This Row],[1]:[31]],Code14)</f>
        <v>0</v>
      </c>
      <c r="AX21" s="30">
        <f>COUNTIF(ParticipationDecembre1[[#This Row],[1]:[31]],Code15)</f>
        <v>0</v>
      </c>
      <c r="AY21" s="30">
        <f>COUNTIF(ParticipationDecembre1[[#This Row],[1]:[31]],Code16)</f>
        <v>0</v>
      </c>
      <c r="AZ21" s="30">
        <f>COUNTIF(ParticipationDecembre1[[#This Row],[1]:[31]],Code17)</f>
        <v>0</v>
      </c>
      <c r="BA21" s="30">
        <f>COUNTIF(ParticipationDecembre1[[#This Row],[1]:[31]],Code25)</f>
        <v>0</v>
      </c>
      <c r="BB21" s="30">
        <f>COUNTIF(ParticipationDecembre1[[#This Row],[1]:[31]],Code26)</f>
        <v>0</v>
      </c>
      <c r="BC21" s="30">
        <f>COUNTIF(ParticipationDecembre1[[#This Row],[1]:[31]],Code27)</f>
        <v>0</v>
      </c>
      <c r="BD21" s="30">
        <f>COUNTIF(ParticipationDecembre1[[#This Row],[1]:[31]],Code28)</f>
        <v>0</v>
      </c>
      <c r="BE21" s="30">
        <f>COUNTIF(ParticipationDecembre1[[#This Row],[1]:[31]],code21)</f>
        <v>0</v>
      </c>
      <c r="BF21" s="30">
        <f>COUNTIF(ParticipationDecembre1[[#This Row],[1]:[31]],Code24)</f>
        <v>0</v>
      </c>
      <c r="BG21" s="30">
        <f>COUNTIF(ParticipationDecembre1[[#This Row],[1]:[31]],code18)</f>
        <v>0</v>
      </c>
      <c r="BH21" s="164">
        <f>COUNTIF(ParticipationDecembre1[[#This Row],[1]:[31]],code19)</f>
        <v>0</v>
      </c>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259">
        <f t="shared" si="0"/>
        <v>0</v>
      </c>
      <c r="CR21" s="261">
        <f t="shared" si="1"/>
        <v>0</v>
      </c>
      <c r="CS21" s="256">
        <f t="shared" si="2"/>
        <v>0</v>
      </c>
      <c r="CT21" s="187">
        <f t="shared" si="3"/>
        <v>0</v>
      </c>
    </row>
    <row r="22" spans="1:98" ht="15" thickTop="1" thickBot="1">
      <c r="A22" s="29"/>
      <c r="B22" s="162" t="str">
        <f>IFERROR(VLOOKUP(ParticipationDecembre1[[#This Row],[Référence]],ListeÉtudiants1[],18,FALSE),"")</f>
        <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44"/>
      <c r="AH22" s="6">
        <f>COUNTIF(ParticipationDecembre1[[#This Row],[1]:[31]],Code1)</f>
        <v>0</v>
      </c>
      <c r="AI22" s="6">
        <f>COUNTIF(ParticipationDecembre1[[#This Row],[1]:[31]],code22)</f>
        <v>0</v>
      </c>
      <c r="AJ22" s="30">
        <f>COUNTIF(ParticipationDecembre1[[#This Row],[1]:[31]],Code2)</f>
        <v>0</v>
      </c>
      <c r="AK22" s="30">
        <f>COUNTIF(ParticipationDecembre1[[#This Row],[1]:[31]],Code3)</f>
        <v>0</v>
      </c>
      <c r="AL22" s="30">
        <f>COUNTIF(ParticipationDecembre1[[#This Row],[1]:[31]],Code4)</f>
        <v>0</v>
      </c>
      <c r="AM22" s="30">
        <f>COUNTIF(ParticipationDecembre1[[#This Row],[1]:[31]],Code5)</f>
        <v>0</v>
      </c>
      <c r="AN22" s="30">
        <f>COUNTIF(ParticipationDecembre1[[#This Row],[1]:[31]],Code23)</f>
        <v>0</v>
      </c>
      <c r="AO22" s="30">
        <f>COUNTIF(ParticipationDecembre1[[#This Row],[1]:[31]],Code6)</f>
        <v>0</v>
      </c>
      <c r="AP22" s="30">
        <f>COUNTIF(ParticipationDecembre1[[#This Row],[1]:[31]],Code7)</f>
        <v>0</v>
      </c>
      <c r="AQ22" s="30">
        <f>COUNTIF(ParticipationDecembre1[[#This Row],[1]:[31]],Code8)</f>
        <v>0</v>
      </c>
      <c r="AR22" s="30">
        <f>COUNTIF(ParticipationDecembre1[[#This Row],[1]:[31]],Code9)</f>
        <v>0</v>
      </c>
      <c r="AS22" s="30">
        <f>COUNTIF(ParticipationDecembre1[[#This Row],[1]:[31]],Code10)</f>
        <v>0</v>
      </c>
      <c r="AT22" s="30">
        <f>COUNTIF(ParticipationDecembre1[[#This Row],[1]:[31]],Code11)</f>
        <v>0</v>
      </c>
      <c r="AU22" s="30">
        <f>COUNTIF(ParticipationDecembre1[[#This Row],[1]:[31]],Code12)</f>
        <v>0</v>
      </c>
      <c r="AV22" s="30">
        <f>COUNTIF(ParticipationDecembre1[[#This Row],[1]:[31]],Code13)</f>
        <v>0</v>
      </c>
      <c r="AW22" s="30">
        <f>COUNTIF(ParticipationDecembre1[[#This Row],[1]:[31]],Code14)</f>
        <v>0</v>
      </c>
      <c r="AX22" s="30">
        <f>COUNTIF(ParticipationDecembre1[[#This Row],[1]:[31]],Code15)</f>
        <v>0</v>
      </c>
      <c r="AY22" s="30">
        <f>COUNTIF(ParticipationDecembre1[[#This Row],[1]:[31]],Code16)</f>
        <v>0</v>
      </c>
      <c r="AZ22" s="30">
        <f>COUNTIF(ParticipationDecembre1[[#This Row],[1]:[31]],Code17)</f>
        <v>0</v>
      </c>
      <c r="BA22" s="30">
        <f>COUNTIF(ParticipationDecembre1[[#This Row],[1]:[31]],Code25)</f>
        <v>0</v>
      </c>
      <c r="BB22" s="30">
        <f>COUNTIF(ParticipationDecembre1[[#This Row],[1]:[31]],Code26)</f>
        <v>0</v>
      </c>
      <c r="BC22" s="30">
        <f>COUNTIF(ParticipationDecembre1[[#This Row],[1]:[31]],Code27)</f>
        <v>0</v>
      </c>
      <c r="BD22" s="30">
        <f>COUNTIF(ParticipationDecembre1[[#This Row],[1]:[31]],Code28)</f>
        <v>0</v>
      </c>
      <c r="BE22" s="30">
        <f>COUNTIF(ParticipationDecembre1[[#This Row],[1]:[31]],code21)</f>
        <v>0</v>
      </c>
      <c r="BF22" s="30">
        <f>COUNTIF(ParticipationDecembre1[[#This Row],[1]:[31]],Code24)</f>
        <v>0</v>
      </c>
      <c r="BG22" s="30">
        <f>COUNTIF(ParticipationDecembre1[[#This Row],[1]:[31]],code18)</f>
        <v>0</v>
      </c>
      <c r="BH22" s="164">
        <f>COUNTIF(ParticipationDecembre1[[#This Row],[1]:[31]],code19)</f>
        <v>0</v>
      </c>
      <c r="BI22" s="314"/>
      <c r="BJ22" s="314"/>
      <c r="BK22" s="314"/>
      <c r="BL22" s="314"/>
      <c r="BM22" s="314"/>
      <c r="BN22" s="314"/>
      <c r="BO22" s="314"/>
      <c r="BP22" s="314"/>
      <c r="BQ22" s="314"/>
      <c r="BR22" s="314"/>
      <c r="BS22" s="314"/>
      <c r="BT22" s="314"/>
      <c r="BU22" s="314"/>
      <c r="BV22" s="314"/>
      <c r="BW22" s="314"/>
      <c r="BX22" s="314"/>
      <c r="BY22" s="314"/>
      <c r="BZ22" s="314"/>
      <c r="CA22" s="314"/>
      <c r="CB22" s="314"/>
      <c r="CC22" s="314"/>
      <c r="CD22" s="314"/>
      <c r="CE22" s="314"/>
      <c r="CF22" s="314"/>
      <c r="CG22" s="314"/>
      <c r="CH22" s="314"/>
      <c r="CI22" s="314"/>
      <c r="CJ22" s="314"/>
      <c r="CK22" s="314"/>
      <c r="CL22" s="314"/>
      <c r="CM22" s="314"/>
      <c r="CN22" s="314"/>
      <c r="CO22" s="314"/>
      <c r="CP22" s="314"/>
      <c r="CQ22" s="259">
        <f t="shared" si="0"/>
        <v>0</v>
      </c>
      <c r="CR22" s="261">
        <f t="shared" si="1"/>
        <v>0</v>
      </c>
      <c r="CS22" s="256">
        <f t="shared" si="2"/>
        <v>0</v>
      </c>
      <c r="CT22" s="187">
        <f t="shared" si="3"/>
        <v>0</v>
      </c>
    </row>
    <row r="23" spans="1:98" ht="15" thickTop="1" thickBot="1">
      <c r="A23" s="29"/>
      <c r="B23" s="162" t="str">
        <f>IFERROR(VLOOKUP(ParticipationDecembre1[[#This Row],[Référence]],ListeÉtudiants1[],18,FALSE),"")</f>
        <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44"/>
      <c r="AH23" s="6">
        <f>COUNTIF(ParticipationDecembre1[[#This Row],[1]:[31]],Code1)</f>
        <v>0</v>
      </c>
      <c r="AI23" s="6">
        <f>COUNTIF(ParticipationDecembre1[[#This Row],[1]:[31]],code22)</f>
        <v>0</v>
      </c>
      <c r="AJ23" s="30">
        <f>COUNTIF(ParticipationDecembre1[[#This Row],[1]:[31]],Code2)</f>
        <v>0</v>
      </c>
      <c r="AK23" s="30">
        <f>COUNTIF(ParticipationDecembre1[[#This Row],[1]:[31]],Code3)</f>
        <v>0</v>
      </c>
      <c r="AL23" s="30">
        <f>COUNTIF(ParticipationDecembre1[[#This Row],[1]:[31]],Code4)</f>
        <v>0</v>
      </c>
      <c r="AM23" s="30">
        <f>COUNTIF(ParticipationDecembre1[[#This Row],[1]:[31]],Code5)</f>
        <v>0</v>
      </c>
      <c r="AN23" s="30">
        <f>COUNTIF(ParticipationDecembre1[[#This Row],[1]:[31]],Code23)</f>
        <v>0</v>
      </c>
      <c r="AO23" s="30">
        <f>COUNTIF(ParticipationDecembre1[[#This Row],[1]:[31]],Code6)</f>
        <v>0</v>
      </c>
      <c r="AP23" s="30">
        <f>COUNTIF(ParticipationDecembre1[[#This Row],[1]:[31]],Code7)</f>
        <v>0</v>
      </c>
      <c r="AQ23" s="30">
        <f>COUNTIF(ParticipationDecembre1[[#This Row],[1]:[31]],Code8)</f>
        <v>0</v>
      </c>
      <c r="AR23" s="30">
        <f>COUNTIF(ParticipationDecembre1[[#This Row],[1]:[31]],Code9)</f>
        <v>0</v>
      </c>
      <c r="AS23" s="30">
        <f>COUNTIF(ParticipationDecembre1[[#This Row],[1]:[31]],Code10)</f>
        <v>0</v>
      </c>
      <c r="AT23" s="30">
        <f>COUNTIF(ParticipationDecembre1[[#This Row],[1]:[31]],Code11)</f>
        <v>0</v>
      </c>
      <c r="AU23" s="30">
        <f>COUNTIF(ParticipationDecembre1[[#This Row],[1]:[31]],Code12)</f>
        <v>0</v>
      </c>
      <c r="AV23" s="30">
        <f>COUNTIF(ParticipationDecembre1[[#This Row],[1]:[31]],Code13)</f>
        <v>0</v>
      </c>
      <c r="AW23" s="30">
        <f>COUNTIF(ParticipationDecembre1[[#This Row],[1]:[31]],Code14)</f>
        <v>0</v>
      </c>
      <c r="AX23" s="30">
        <f>COUNTIF(ParticipationDecembre1[[#This Row],[1]:[31]],Code15)</f>
        <v>0</v>
      </c>
      <c r="AY23" s="30">
        <f>COUNTIF(ParticipationDecembre1[[#This Row],[1]:[31]],Code16)</f>
        <v>0</v>
      </c>
      <c r="AZ23" s="30">
        <f>COUNTIF(ParticipationDecembre1[[#This Row],[1]:[31]],Code17)</f>
        <v>0</v>
      </c>
      <c r="BA23" s="30">
        <f>COUNTIF(ParticipationDecembre1[[#This Row],[1]:[31]],Code25)</f>
        <v>0</v>
      </c>
      <c r="BB23" s="30">
        <f>COUNTIF(ParticipationDecembre1[[#This Row],[1]:[31]],Code26)</f>
        <v>0</v>
      </c>
      <c r="BC23" s="30">
        <f>COUNTIF(ParticipationDecembre1[[#This Row],[1]:[31]],Code27)</f>
        <v>0</v>
      </c>
      <c r="BD23" s="30">
        <f>COUNTIF(ParticipationDecembre1[[#This Row],[1]:[31]],Code28)</f>
        <v>0</v>
      </c>
      <c r="BE23" s="30">
        <f>COUNTIF(ParticipationDecembre1[[#This Row],[1]:[31]],code21)</f>
        <v>0</v>
      </c>
      <c r="BF23" s="30">
        <f>COUNTIF(ParticipationDecembre1[[#This Row],[1]:[31]],Code24)</f>
        <v>0</v>
      </c>
      <c r="BG23" s="30">
        <f>COUNTIF(ParticipationDecembre1[[#This Row],[1]:[31]],code18)</f>
        <v>0</v>
      </c>
      <c r="BH23" s="164">
        <f>COUNTIF(ParticipationDecembre1[[#This Row],[1]:[31]],code19)</f>
        <v>0</v>
      </c>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259">
        <f t="shared" si="0"/>
        <v>0</v>
      </c>
      <c r="CR23" s="261">
        <f t="shared" si="1"/>
        <v>0</v>
      </c>
      <c r="CS23" s="256">
        <f t="shared" si="2"/>
        <v>0</v>
      </c>
      <c r="CT23" s="187">
        <f t="shared" si="3"/>
        <v>0</v>
      </c>
    </row>
    <row r="24" spans="1:98" ht="15" thickTop="1" thickBot="1">
      <c r="A24" s="29"/>
      <c r="B24" s="162" t="str">
        <f>IFERROR(VLOOKUP(ParticipationDecembre1[[#This Row],[Référence]],ListeÉtudiants1[],18,FALSE),"")</f>
        <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44"/>
      <c r="AH24" s="6">
        <f>COUNTIF(ParticipationDecembre1[[#This Row],[1]:[31]],Code1)</f>
        <v>0</v>
      </c>
      <c r="AI24" s="6">
        <f>COUNTIF(ParticipationDecembre1[[#This Row],[1]:[31]],code22)</f>
        <v>0</v>
      </c>
      <c r="AJ24" s="30">
        <f>COUNTIF(ParticipationDecembre1[[#This Row],[1]:[31]],Code2)</f>
        <v>0</v>
      </c>
      <c r="AK24" s="30">
        <f>COUNTIF(ParticipationDecembre1[[#This Row],[1]:[31]],Code3)</f>
        <v>0</v>
      </c>
      <c r="AL24" s="30">
        <f>COUNTIF(ParticipationDecembre1[[#This Row],[1]:[31]],Code4)</f>
        <v>0</v>
      </c>
      <c r="AM24" s="30">
        <f>COUNTIF(ParticipationDecembre1[[#This Row],[1]:[31]],Code5)</f>
        <v>0</v>
      </c>
      <c r="AN24" s="30">
        <f>COUNTIF(ParticipationDecembre1[[#This Row],[1]:[31]],Code23)</f>
        <v>0</v>
      </c>
      <c r="AO24" s="30">
        <f>COUNTIF(ParticipationDecembre1[[#This Row],[1]:[31]],Code6)</f>
        <v>0</v>
      </c>
      <c r="AP24" s="30">
        <f>COUNTIF(ParticipationDecembre1[[#This Row],[1]:[31]],Code7)</f>
        <v>0</v>
      </c>
      <c r="AQ24" s="30">
        <f>COUNTIF(ParticipationDecembre1[[#This Row],[1]:[31]],Code8)</f>
        <v>0</v>
      </c>
      <c r="AR24" s="30">
        <f>COUNTIF(ParticipationDecembre1[[#This Row],[1]:[31]],Code9)</f>
        <v>0</v>
      </c>
      <c r="AS24" s="30">
        <f>COUNTIF(ParticipationDecembre1[[#This Row],[1]:[31]],Code10)</f>
        <v>0</v>
      </c>
      <c r="AT24" s="30">
        <f>COUNTIF(ParticipationDecembre1[[#This Row],[1]:[31]],Code11)</f>
        <v>0</v>
      </c>
      <c r="AU24" s="30">
        <f>COUNTIF(ParticipationDecembre1[[#This Row],[1]:[31]],Code12)</f>
        <v>0</v>
      </c>
      <c r="AV24" s="30">
        <f>COUNTIF(ParticipationDecembre1[[#This Row],[1]:[31]],Code13)</f>
        <v>0</v>
      </c>
      <c r="AW24" s="30">
        <f>COUNTIF(ParticipationDecembre1[[#This Row],[1]:[31]],Code14)</f>
        <v>0</v>
      </c>
      <c r="AX24" s="30">
        <f>COUNTIF(ParticipationDecembre1[[#This Row],[1]:[31]],Code15)</f>
        <v>0</v>
      </c>
      <c r="AY24" s="30">
        <f>COUNTIF(ParticipationDecembre1[[#This Row],[1]:[31]],Code16)</f>
        <v>0</v>
      </c>
      <c r="AZ24" s="30">
        <f>COUNTIF(ParticipationDecembre1[[#This Row],[1]:[31]],Code17)</f>
        <v>0</v>
      </c>
      <c r="BA24" s="30">
        <f>COUNTIF(ParticipationDecembre1[[#This Row],[1]:[31]],Code25)</f>
        <v>0</v>
      </c>
      <c r="BB24" s="30">
        <f>COUNTIF(ParticipationDecembre1[[#This Row],[1]:[31]],Code26)</f>
        <v>0</v>
      </c>
      <c r="BC24" s="30">
        <f>COUNTIF(ParticipationDecembre1[[#This Row],[1]:[31]],Code27)</f>
        <v>0</v>
      </c>
      <c r="BD24" s="30">
        <f>COUNTIF(ParticipationDecembre1[[#This Row],[1]:[31]],Code28)</f>
        <v>0</v>
      </c>
      <c r="BE24" s="30">
        <f>COUNTIF(ParticipationDecembre1[[#This Row],[1]:[31]],code21)</f>
        <v>0</v>
      </c>
      <c r="BF24" s="30">
        <f>COUNTIF(ParticipationDecembre1[[#This Row],[1]:[31]],Code24)</f>
        <v>0</v>
      </c>
      <c r="BG24" s="30">
        <f>COUNTIF(ParticipationDecembre1[[#This Row],[1]:[31]],code18)</f>
        <v>0</v>
      </c>
      <c r="BH24" s="164">
        <f>COUNTIF(ParticipationDecembre1[[#This Row],[1]:[31]],code19)</f>
        <v>0</v>
      </c>
      <c r="BI24" s="314"/>
      <c r="BJ24" s="314"/>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14"/>
      <c r="CG24" s="314"/>
      <c r="CH24" s="314"/>
      <c r="CI24" s="314"/>
      <c r="CJ24" s="314"/>
      <c r="CK24" s="314"/>
      <c r="CL24" s="314"/>
      <c r="CM24" s="314"/>
      <c r="CN24" s="314"/>
      <c r="CO24" s="314"/>
      <c r="CP24" s="314"/>
      <c r="CQ24" s="259">
        <f t="shared" si="0"/>
        <v>0</v>
      </c>
      <c r="CR24" s="261">
        <f t="shared" si="1"/>
        <v>0</v>
      </c>
      <c r="CS24" s="256">
        <f t="shared" si="2"/>
        <v>0</v>
      </c>
      <c r="CT24" s="187">
        <f t="shared" si="3"/>
        <v>0</v>
      </c>
    </row>
    <row r="25" spans="1:98" ht="15" thickTop="1" thickBot="1">
      <c r="A25" s="29"/>
      <c r="B25" s="162" t="str">
        <f>IFERROR(VLOOKUP(ParticipationDecembre1[[#This Row],[Référence]],ListeÉtudiants1[],18,FALSE),"")</f>
        <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44"/>
      <c r="AH25" s="6">
        <f>COUNTIF(ParticipationDecembre1[[#This Row],[1]:[31]],Code1)</f>
        <v>0</v>
      </c>
      <c r="AI25" s="6">
        <f>COUNTIF(ParticipationDecembre1[[#This Row],[1]:[31]],code22)</f>
        <v>0</v>
      </c>
      <c r="AJ25" s="30">
        <f>COUNTIF(ParticipationDecembre1[[#This Row],[1]:[31]],Code2)</f>
        <v>0</v>
      </c>
      <c r="AK25" s="30">
        <f>COUNTIF(ParticipationDecembre1[[#This Row],[1]:[31]],Code3)</f>
        <v>0</v>
      </c>
      <c r="AL25" s="30">
        <f>COUNTIF(ParticipationDecembre1[[#This Row],[1]:[31]],Code4)</f>
        <v>0</v>
      </c>
      <c r="AM25" s="30">
        <f>COUNTIF(ParticipationDecembre1[[#This Row],[1]:[31]],Code5)</f>
        <v>0</v>
      </c>
      <c r="AN25" s="30">
        <f>COUNTIF(ParticipationDecembre1[[#This Row],[1]:[31]],Code23)</f>
        <v>0</v>
      </c>
      <c r="AO25" s="30">
        <f>COUNTIF(ParticipationDecembre1[[#This Row],[1]:[31]],Code6)</f>
        <v>0</v>
      </c>
      <c r="AP25" s="30">
        <f>COUNTIF(ParticipationDecembre1[[#This Row],[1]:[31]],Code7)</f>
        <v>0</v>
      </c>
      <c r="AQ25" s="30">
        <f>COUNTIF(ParticipationDecembre1[[#This Row],[1]:[31]],Code8)</f>
        <v>0</v>
      </c>
      <c r="AR25" s="30">
        <f>COUNTIF(ParticipationDecembre1[[#This Row],[1]:[31]],Code9)</f>
        <v>0</v>
      </c>
      <c r="AS25" s="30">
        <f>COUNTIF(ParticipationDecembre1[[#This Row],[1]:[31]],Code10)</f>
        <v>0</v>
      </c>
      <c r="AT25" s="30">
        <f>COUNTIF(ParticipationDecembre1[[#This Row],[1]:[31]],Code11)</f>
        <v>0</v>
      </c>
      <c r="AU25" s="30">
        <f>COUNTIF(ParticipationDecembre1[[#This Row],[1]:[31]],Code12)</f>
        <v>0</v>
      </c>
      <c r="AV25" s="30">
        <f>COUNTIF(ParticipationDecembre1[[#This Row],[1]:[31]],Code13)</f>
        <v>0</v>
      </c>
      <c r="AW25" s="30">
        <f>COUNTIF(ParticipationDecembre1[[#This Row],[1]:[31]],Code14)</f>
        <v>0</v>
      </c>
      <c r="AX25" s="30">
        <f>COUNTIF(ParticipationDecembre1[[#This Row],[1]:[31]],Code15)</f>
        <v>0</v>
      </c>
      <c r="AY25" s="30">
        <f>COUNTIF(ParticipationDecembre1[[#This Row],[1]:[31]],Code16)</f>
        <v>0</v>
      </c>
      <c r="AZ25" s="30">
        <f>COUNTIF(ParticipationDecembre1[[#This Row],[1]:[31]],Code17)</f>
        <v>0</v>
      </c>
      <c r="BA25" s="30">
        <f>COUNTIF(ParticipationDecembre1[[#This Row],[1]:[31]],Code25)</f>
        <v>0</v>
      </c>
      <c r="BB25" s="30">
        <f>COUNTIF(ParticipationDecembre1[[#This Row],[1]:[31]],Code26)</f>
        <v>0</v>
      </c>
      <c r="BC25" s="30">
        <f>COUNTIF(ParticipationDecembre1[[#This Row],[1]:[31]],Code27)</f>
        <v>0</v>
      </c>
      <c r="BD25" s="30">
        <f>COUNTIF(ParticipationDecembre1[[#This Row],[1]:[31]],Code28)</f>
        <v>0</v>
      </c>
      <c r="BE25" s="30">
        <f>COUNTIF(ParticipationDecembre1[[#This Row],[1]:[31]],code21)</f>
        <v>0</v>
      </c>
      <c r="BF25" s="30">
        <f>COUNTIF(ParticipationDecembre1[[#This Row],[1]:[31]],Code24)</f>
        <v>0</v>
      </c>
      <c r="BG25" s="30">
        <f>COUNTIF(ParticipationDecembre1[[#This Row],[1]:[31]],code18)</f>
        <v>0</v>
      </c>
      <c r="BH25" s="164">
        <f>COUNTIF(ParticipationDecembre1[[#This Row],[1]:[31]],code19)</f>
        <v>0</v>
      </c>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259">
        <f t="shared" si="0"/>
        <v>0</v>
      </c>
      <c r="CR25" s="261">
        <f t="shared" si="1"/>
        <v>0</v>
      </c>
      <c r="CS25" s="256">
        <f t="shared" si="2"/>
        <v>0</v>
      </c>
      <c r="CT25" s="187">
        <f t="shared" si="3"/>
        <v>0</v>
      </c>
    </row>
    <row r="26" spans="1:98" ht="15" thickTop="1" thickBot="1">
      <c r="A26" s="29"/>
      <c r="B26" s="162" t="str">
        <f>IFERROR(VLOOKUP(ParticipationDecembre1[[#This Row],[Référence]],ListeÉtudiants1[],18,FALSE),"")</f>
        <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44"/>
      <c r="AH26" s="6">
        <f>COUNTIF(ParticipationDecembre1[[#This Row],[1]:[31]],Code1)</f>
        <v>0</v>
      </c>
      <c r="AI26" s="6">
        <f>COUNTIF(ParticipationDecembre1[[#This Row],[1]:[31]],code22)</f>
        <v>0</v>
      </c>
      <c r="AJ26" s="30">
        <f>COUNTIF(ParticipationDecembre1[[#This Row],[1]:[31]],Code2)</f>
        <v>0</v>
      </c>
      <c r="AK26" s="30">
        <f>COUNTIF(ParticipationDecembre1[[#This Row],[1]:[31]],Code3)</f>
        <v>0</v>
      </c>
      <c r="AL26" s="30">
        <f>COUNTIF(ParticipationDecembre1[[#This Row],[1]:[31]],Code4)</f>
        <v>0</v>
      </c>
      <c r="AM26" s="30">
        <f>COUNTIF(ParticipationDecembre1[[#This Row],[1]:[31]],Code5)</f>
        <v>0</v>
      </c>
      <c r="AN26" s="30">
        <f>COUNTIF(ParticipationDecembre1[[#This Row],[1]:[31]],Code23)</f>
        <v>0</v>
      </c>
      <c r="AO26" s="30">
        <f>COUNTIF(ParticipationDecembre1[[#This Row],[1]:[31]],Code6)</f>
        <v>0</v>
      </c>
      <c r="AP26" s="30">
        <f>COUNTIF(ParticipationDecembre1[[#This Row],[1]:[31]],Code7)</f>
        <v>0</v>
      </c>
      <c r="AQ26" s="30">
        <f>COUNTIF(ParticipationDecembre1[[#This Row],[1]:[31]],Code8)</f>
        <v>0</v>
      </c>
      <c r="AR26" s="30">
        <f>COUNTIF(ParticipationDecembre1[[#This Row],[1]:[31]],Code9)</f>
        <v>0</v>
      </c>
      <c r="AS26" s="30">
        <f>COUNTIF(ParticipationDecembre1[[#This Row],[1]:[31]],Code10)</f>
        <v>0</v>
      </c>
      <c r="AT26" s="30">
        <f>COUNTIF(ParticipationDecembre1[[#This Row],[1]:[31]],Code11)</f>
        <v>0</v>
      </c>
      <c r="AU26" s="30">
        <f>COUNTIF(ParticipationDecembre1[[#This Row],[1]:[31]],Code12)</f>
        <v>0</v>
      </c>
      <c r="AV26" s="30">
        <f>COUNTIF(ParticipationDecembre1[[#This Row],[1]:[31]],Code13)</f>
        <v>0</v>
      </c>
      <c r="AW26" s="30">
        <f>COUNTIF(ParticipationDecembre1[[#This Row],[1]:[31]],Code14)</f>
        <v>0</v>
      </c>
      <c r="AX26" s="30">
        <f>COUNTIF(ParticipationDecembre1[[#This Row],[1]:[31]],Code15)</f>
        <v>0</v>
      </c>
      <c r="AY26" s="30">
        <f>COUNTIF(ParticipationDecembre1[[#This Row],[1]:[31]],Code16)</f>
        <v>0</v>
      </c>
      <c r="AZ26" s="30">
        <f>COUNTIF(ParticipationDecembre1[[#This Row],[1]:[31]],Code17)</f>
        <v>0</v>
      </c>
      <c r="BA26" s="30">
        <f>COUNTIF(ParticipationDecembre1[[#This Row],[1]:[31]],Code25)</f>
        <v>0</v>
      </c>
      <c r="BB26" s="30">
        <f>COUNTIF(ParticipationDecembre1[[#This Row],[1]:[31]],Code26)</f>
        <v>0</v>
      </c>
      <c r="BC26" s="30">
        <f>COUNTIF(ParticipationDecembre1[[#This Row],[1]:[31]],Code27)</f>
        <v>0</v>
      </c>
      <c r="BD26" s="30">
        <f>COUNTIF(ParticipationDecembre1[[#This Row],[1]:[31]],Code28)</f>
        <v>0</v>
      </c>
      <c r="BE26" s="30">
        <f>COUNTIF(ParticipationDecembre1[[#This Row],[1]:[31]],code21)</f>
        <v>0</v>
      </c>
      <c r="BF26" s="30">
        <f>COUNTIF(ParticipationDecembre1[[#This Row],[1]:[31]],Code24)</f>
        <v>0</v>
      </c>
      <c r="BG26" s="30">
        <f>COUNTIF(ParticipationDecembre1[[#This Row],[1]:[31]],code18)</f>
        <v>0</v>
      </c>
      <c r="BH26" s="164">
        <f>COUNTIF(ParticipationDecembre1[[#This Row],[1]:[31]],code19)</f>
        <v>0</v>
      </c>
      <c r="BI26" s="314"/>
      <c r="BJ26" s="314"/>
      <c r="BK26" s="314"/>
      <c r="BL26" s="314"/>
      <c r="BM26" s="314"/>
      <c r="BN26" s="314"/>
      <c r="BO26" s="314"/>
      <c r="BP26" s="314"/>
      <c r="BQ26" s="314"/>
      <c r="BR26" s="314"/>
      <c r="BS26" s="314"/>
      <c r="BT26" s="314"/>
      <c r="BU26" s="314"/>
      <c r="BV26" s="314"/>
      <c r="BW26" s="314"/>
      <c r="BX26" s="314"/>
      <c r="BY26" s="314"/>
      <c r="BZ26" s="314"/>
      <c r="CA26" s="314"/>
      <c r="CB26" s="314"/>
      <c r="CC26" s="314"/>
      <c r="CD26" s="314"/>
      <c r="CE26" s="314"/>
      <c r="CF26" s="314"/>
      <c r="CG26" s="314"/>
      <c r="CH26" s="314"/>
      <c r="CI26" s="314"/>
      <c r="CJ26" s="314"/>
      <c r="CK26" s="314"/>
      <c r="CL26" s="314"/>
      <c r="CM26" s="314"/>
      <c r="CN26" s="314"/>
      <c r="CO26" s="314"/>
      <c r="CP26" s="314"/>
      <c r="CQ26" s="259">
        <f t="shared" si="0"/>
        <v>0</v>
      </c>
      <c r="CR26" s="261">
        <f t="shared" si="1"/>
        <v>0</v>
      </c>
      <c r="CS26" s="256">
        <f t="shared" si="2"/>
        <v>0</v>
      </c>
      <c r="CT26" s="187">
        <f t="shared" si="3"/>
        <v>0</v>
      </c>
    </row>
    <row r="27" spans="1:98" ht="15" thickTop="1" thickBot="1">
      <c r="A27" s="29"/>
      <c r="B27" s="162" t="str">
        <f>IFERROR(VLOOKUP(ParticipationDecembre1[[#This Row],[Référence]],ListeÉtudiants1[],18,FALSE),"")</f>
        <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44"/>
      <c r="AH27" s="6">
        <f>COUNTIF(ParticipationDecembre1[[#This Row],[1]:[31]],Code1)</f>
        <v>0</v>
      </c>
      <c r="AI27" s="6">
        <f>COUNTIF(ParticipationDecembre1[[#This Row],[1]:[31]],code22)</f>
        <v>0</v>
      </c>
      <c r="AJ27" s="30">
        <f>COUNTIF(ParticipationDecembre1[[#This Row],[1]:[31]],Code2)</f>
        <v>0</v>
      </c>
      <c r="AK27" s="30">
        <f>COUNTIF(ParticipationDecembre1[[#This Row],[1]:[31]],Code3)</f>
        <v>0</v>
      </c>
      <c r="AL27" s="30">
        <f>COUNTIF(ParticipationDecembre1[[#This Row],[1]:[31]],Code4)</f>
        <v>0</v>
      </c>
      <c r="AM27" s="30">
        <f>COUNTIF(ParticipationDecembre1[[#This Row],[1]:[31]],Code5)</f>
        <v>0</v>
      </c>
      <c r="AN27" s="30">
        <f>COUNTIF(ParticipationDecembre1[[#This Row],[1]:[31]],Code23)</f>
        <v>0</v>
      </c>
      <c r="AO27" s="30">
        <f>COUNTIF(ParticipationDecembre1[[#This Row],[1]:[31]],Code6)</f>
        <v>0</v>
      </c>
      <c r="AP27" s="30">
        <f>COUNTIF(ParticipationDecembre1[[#This Row],[1]:[31]],Code7)</f>
        <v>0</v>
      </c>
      <c r="AQ27" s="30">
        <f>COUNTIF(ParticipationDecembre1[[#This Row],[1]:[31]],Code8)</f>
        <v>0</v>
      </c>
      <c r="AR27" s="30">
        <f>COUNTIF(ParticipationDecembre1[[#This Row],[1]:[31]],Code9)</f>
        <v>0</v>
      </c>
      <c r="AS27" s="30">
        <f>COUNTIF(ParticipationDecembre1[[#This Row],[1]:[31]],Code10)</f>
        <v>0</v>
      </c>
      <c r="AT27" s="30">
        <f>COUNTIF(ParticipationDecembre1[[#This Row],[1]:[31]],Code11)</f>
        <v>0</v>
      </c>
      <c r="AU27" s="30">
        <f>COUNTIF(ParticipationDecembre1[[#This Row],[1]:[31]],Code12)</f>
        <v>0</v>
      </c>
      <c r="AV27" s="30">
        <f>COUNTIF(ParticipationDecembre1[[#This Row],[1]:[31]],Code13)</f>
        <v>0</v>
      </c>
      <c r="AW27" s="30">
        <f>COUNTIF(ParticipationDecembre1[[#This Row],[1]:[31]],Code14)</f>
        <v>0</v>
      </c>
      <c r="AX27" s="30">
        <f>COUNTIF(ParticipationDecembre1[[#This Row],[1]:[31]],Code15)</f>
        <v>0</v>
      </c>
      <c r="AY27" s="30">
        <f>COUNTIF(ParticipationDecembre1[[#This Row],[1]:[31]],Code16)</f>
        <v>0</v>
      </c>
      <c r="AZ27" s="30">
        <f>COUNTIF(ParticipationDecembre1[[#This Row],[1]:[31]],Code17)</f>
        <v>0</v>
      </c>
      <c r="BA27" s="30">
        <f>COUNTIF(ParticipationDecembre1[[#This Row],[1]:[31]],Code25)</f>
        <v>0</v>
      </c>
      <c r="BB27" s="30">
        <f>COUNTIF(ParticipationDecembre1[[#This Row],[1]:[31]],Code26)</f>
        <v>0</v>
      </c>
      <c r="BC27" s="30">
        <f>COUNTIF(ParticipationDecembre1[[#This Row],[1]:[31]],Code27)</f>
        <v>0</v>
      </c>
      <c r="BD27" s="30">
        <f>COUNTIF(ParticipationDecembre1[[#This Row],[1]:[31]],Code28)</f>
        <v>0</v>
      </c>
      <c r="BE27" s="30">
        <f>COUNTIF(ParticipationDecembre1[[#This Row],[1]:[31]],code21)</f>
        <v>0</v>
      </c>
      <c r="BF27" s="30">
        <f>COUNTIF(ParticipationDecembre1[[#This Row],[1]:[31]],Code24)</f>
        <v>0</v>
      </c>
      <c r="BG27" s="30">
        <f>COUNTIF(ParticipationDecembre1[[#This Row],[1]:[31]],code18)</f>
        <v>0</v>
      </c>
      <c r="BH27" s="164">
        <f>COUNTIF(ParticipationDecembre1[[#This Row],[1]:[31]],code19)</f>
        <v>0</v>
      </c>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259">
        <f t="shared" si="0"/>
        <v>0</v>
      </c>
      <c r="CR27" s="261">
        <f t="shared" si="1"/>
        <v>0</v>
      </c>
      <c r="CS27" s="256">
        <f t="shared" si="2"/>
        <v>0</v>
      </c>
      <c r="CT27" s="187">
        <f t="shared" si="3"/>
        <v>0</v>
      </c>
    </row>
    <row r="28" spans="1:98" ht="15" thickTop="1" thickBot="1">
      <c r="A28" s="29"/>
      <c r="B28" s="162" t="str">
        <f>IFERROR(VLOOKUP(ParticipationDecembre1[[#This Row],[Référence]],ListeÉtudiants1[],18,FALSE),"")</f>
        <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44"/>
      <c r="AH28" s="6">
        <f>COUNTIF(ParticipationDecembre1[[#This Row],[1]:[31]],Code1)</f>
        <v>0</v>
      </c>
      <c r="AI28" s="6">
        <f>COUNTIF(ParticipationDecembre1[[#This Row],[1]:[31]],code22)</f>
        <v>0</v>
      </c>
      <c r="AJ28" s="30">
        <f>COUNTIF(ParticipationDecembre1[[#This Row],[1]:[31]],Code2)</f>
        <v>0</v>
      </c>
      <c r="AK28" s="30">
        <f>COUNTIF(ParticipationDecembre1[[#This Row],[1]:[31]],Code3)</f>
        <v>0</v>
      </c>
      <c r="AL28" s="30">
        <f>COUNTIF(ParticipationDecembre1[[#This Row],[1]:[31]],Code4)</f>
        <v>0</v>
      </c>
      <c r="AM28" s="30">
        <f>COUNTIF(ParticipationDecembre1[[#This Row],[1]:[31]],Code5)</f>
        <v>0</v>
      </c>
      <c r="AN28" s="30">
        <f>COUNTIF(ParticipationDecembre1[[#This Row],[1]:[31]],Code23)</f>
        <v>0</v>
      </c>
      <c r="AO28" s="30">
        <f>COUNTIF(ParticipationDecembre1[[#This Row],[1]:[31]],Code6)</f>
        <v>0</v>
      </c>
      <c r="AP28" s="30">
        <f>COUNTIF(ParticipationDecembre1[[#This Row],[1]:[31]],Code7)</f>
        <v>0</v>
      </c>
      <c r="AQ28" s="30">
        <f>COUNTIF(ParticipationDecembre1[[#This Row],[1]:[31]],Code8)</f>
        <v>0</v>
      </c>
      <c r="AR28" s="30">
        <f>COUNTIF(ParticipationDecembre1[[#This Row],[1]:[31]],Code9)</f>
        <v>0</v>
      </c>
      <c r="AS28" s="30">
        <f>COUNTIF(ParticipationDecembre1[[#This Row],[1]:[31]],Code10)</f>
        <v>0</v>
      </c>
      <c r="AT28" s="30">
        <f>COUNTIF(ParticipationDecembre1[[#This Row],[1]:[31]],Code11)</f>
        <v>0</v>
      </c>
      <c r="AU28" s="30">
        <f>COUNTIF(ParticipationDecembre1[[#This Row],[1]:[31]],Code12)</f>
        <v>0</v>
      </c>
      <c r="AV28" s="30">
        <f>COUNTIF(ParticipationDecembre1[[#This Row],[1]:[31]],Code13)</f>
        <v>0</v>
      </c>
      <c r="AW28" s="30">
        <f>COUNTIF(ParticipationDecembre1[[#This Row],[1]:[31]],Code14)</f>
        <v>0</v>
      </c>
      <c r="AX28" s="30">
        <f>COUNTIF(ParticipationDecembre1[[#This Row],[1]:[31]],Code15)</f>
        <v>0</v>
      </c>
      <c r="AY28" s="30">
        <f>COUNTIF(ParticipationDecembre1[[#This Row],[1]:[31]],Code16)</f>
        <v>0</v>
      </c>
      <c r="AZ28" s="30">
        <f>COUNTIF(ParticipationDecembre1[[#This Row],[1]:[31]],Code17)</f>
        <v>0</v>
      </c>
      <c r="BA28" s="30">
        <f>COUNTIF(ParticipationDecembre1[[#This Row],[1]:[31]],Code25)</f>
        <v>0</v>
      </c>
      <c r="BB28" s="30">
        <f>COUNTIF(ParticipationDecembre1[[#This Row],[1]:[31]],Code26)</f>
        <v>0</v>
      </c>
      <c r="BC28" s="30">
        <f>COUNTIF(ParticipationDecembre1[[#This Row],[1]:[31]],Code27)</f>
        <v>0</v>
      </c>
      <c r="BD28" s="30">
        <f>COUNTIF(ParticipationDecembre1[[#This Row],[1]:[31]],Code28)</f>
        <v>0</v>
      </c>
      <c r="BE28" s="30">
        <f>COUNTIF(ParticipationDecembre1[[#This Row],[1]:[31]],code21)</f>
        <v>0</v>
      </c>
      <c r="BF28" s="30">
        <f>COUNTIF(ParticipationDecembre1[[#This Row],[1]:[31]],Code24)</f>
        <v>0</v>
      </c>
      <c r="BG28" s="30">
        <f>COUNTIF(ParticipationDecembre1[[#This Row],[1]:[31]],code18)</f>
        <v>0</v>
      </c>
      <c r="BH28" s="164">
        <f>COUNTIF(ParticipationDecembre1[[#This Row],[1]:[31]],code19)</f>
        <v>0</v>
      </c>
      <c r="BI28" s="314"/>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4"/>
      <c r="CQ28" s="259">
        <f t="shared" si="0"/>
        <v>0</v>
      </c>
      <c r="CR28" s="261">
        <f t="shared" si="1"/>
        <v>0</v>
      </c>
      <c r="CS28" s="256">
        <f t="shared" si="2"/>
        <v>0</v>
      </c>
      <c r="CT28" s="187">
        <f t="shared" si="3"/>
        <v>0</v>
      </c>
    </row>
    <row r="29" spans="1:98" ht="15" thickTop="1" thickBot="1">
      <c r="A29" s="29"/>
      <c r="B29" s="162" t="str">
        <f>IFERROR(VLOOKUP(ParticipationDecembre1[[#This Row],[Référence]],ListeÉtudiants1[],18,FALSE),"")</f>
        <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44"/>
      <c r="AH29" s="6">
        <f>COUNTIF(ParticipationDecembre1[[#This Row],[1]:[31]],Code1)</f>
        <v>0</v>
      </c>
      <c r="AI29" s="6">
        <f>COUNTIF(ParticipationDecembre1[[#This Row],[1]:[31]],code22)</f>
        <v>0</v>
      </c>
      <c r="AJ29" s="30">
        <f>COUNTIF(ParticipationDecembre1[[#This Row],[1]:[31]],Code2)</f>
        <v>0</v>
      </c>
      <c r="AK29" s="30">
        <f>COUNTIF(ParticipationDecembre1[[#This Row],[1]:[31]],Code3)</f>
        <v>0</v>
      </c>
      <c r="AL29" s="30">
        <f>COUNTIF(ParticipationDecembre1[[#This Row],[1]:[31]],Code4)</f>
        <v>0</v>
      </c>
      <c r="AM29" s="30">
        <f>COUNTIF(ParticipationDecembre1[[#This Row],[1]:[31]],Code5)</f>
        <v>0</v>
      </c>
      <c r="AN29" s="30">
        <f>COUNTIF(ParticipationDecembre1[[#This Row],[1]:[31]],Code23)</f>
        <v>0</v>
      </c>
      <c r="AO29" s="30">
        <f>COUNTIF(ParticipationDecembre1[[#This Row],[1]:[31]],Code6)</f>
        <v>0</v>
      </c>
      <c r="AP29" s="30">
        <f>COUNTIF(ParticipationDecembre1[[#This Row],[1]:[31]],Code7)</f>
        <v>0</v>
      </c>
      <c r="AQ29" s="30">
        <f>COUNTIF(ParticipationDecembre1[[#This Row],[1]:[31]],Code8)</f>
        <v>0</v>
      </c>
      <c r="AR29" s="30">
        <f>COUNTIF(ParticipationDecembre1[[#This Row],[1]:[31]],Code9)</f>
        <v>0</v>
      </c>
      <c r="AS29" s="30">
        <f>COUNTIF(ParticipationDecembre1[[#This Row],[1]:[31]],Code10)</f>
        <v>0</v>
      </c>
      <c r="AT29" s="30">
        <f>COUNTIF(ParticipationDecembre1[[#This Row],[1]:[31]],Code11)</f>
        <v>0</v>
      </c>
      <c r="AU29" s="30">
        <f>COUNTIF(ParticipationDecembre1[[#This Row],[1]:[31]],Code12)</f>
        <v>0</v>
      </c>
      <c r="AV29" s="30">
        <f>COUNTIF(ParticipationDecembre1[[#This Row],[1]:[31]],Code13)</f>
        <v>0</v>
      </c>
      <c r="AW29" s="30">
        <f>COUNTIF(ParticipationDecembre1[[#This Row],[1]:[31]],Code14)</f>
        <v>0</v>
      </c>
      <c r="AX29" s="30">
        <f>COUNTIF(ParticipationDecembre1[[#This Row],[1]:[31]],Code15)</f>
        <v>0</v>
      </c>
      <c r="AY29" s="30">
        <f>COUNTIF(ParticipationDecembre1[[#This Row],[1]:[31]],Code16)</f>
        <v>0</v>
      </c>
      <c r="AZ29" s="30">
        <f>COUNTIF(ParticipationDecembre1[[#This Row],[1]:[31]],Code17)</f>
        <v>0</v>
      </c>
      <c r="BA29" s="30">
        <f>COUNTIF(ParticipationDecembre1[[#This Row],[1]:[31]],Code25)</f>
        <v>0</v>
      </c>
      <c r="BB29" s="30">
        <f>COUNTIF(ParticipationDecembre1[[#This Row],[1]:[31]],Code26)</f>
        <v>0</v>
      </c>
      <c r="BC29" s="30">
        <f>COUNTIF(ParticipationDecembre1[[#This Row],[1]:[31]],Code27)</f>
        <v>0</v>
      </c>
      <c r="BD29" s="30">
        <f>COUNTIF(ParticipationDecembre1[[#This Row],[1]:[31]],Code28)</f>
        <v>0</v>
      </c>
      <c r="BE29" s="30">
        <f>COUNTIF(ParticipationDecembre1[[#This Row],[1]:[31]],code21)</f>
        <v>0</v>
      </c>
      <c r="BF29" s="30">
        <f>COUNTIF(ParticipationDecembre1[[#This Row],[1]:[31]],Code24)</f>
        <v>0</v>
      </c>
      <c r="BG29" s="30">
        <f>COUNTIF(ParticipationDecembre1[[#This Row],[1]:[31]],code18)</f>
        <v>0</v>
      </c>
      <c r="BH29" s="164">
        <f>COUNTIF(ParticipationDecembre1[[#This Row],[1]:[31]],code19)</f>
        <v>0</v>
      </c>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259">
        <f t="shared" si="0"/>
        <v>0</v>
      </c>
      <c r="CR29" s="261">
        <f t="shared" si="1"/>
        <v>0</v>
      </c>
      <c r="CS29" s="256">
        <f t="shared" si="2"/>
        <v>0</v>
      </c>
      <c r="CT29" s="187">
        <f t="shared" si="3"/>
        <v>0</v>
      </c>
    </row>
    <row r="30" spans="1:98" ht="15" thickTop="1" thickBot="1">
      <c r="A30" s="29"/>
      <c r="B30" s="162" t="str">
        <f>IFERROR(VLOOKUP(ParticipationDecembre1[[#This Row],[Référence]],ListeÉtudiants1[],18,FALSE),"")</f>
        <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44"/>
      <c r="AH30" s="6">
        <f>COUNTIF(ParticipationDecembre1[[#This Row],[1]:[31]],Code1)</f>
        <v>0</v>
      </c>
      <c r="AI30" s="6">
        <f>COUNTIF(ParticipationDecembre1[[#This Row],[1]:[31]],code22)</f>
        <v>0</v>
      </c>
      <c r="AJ30" s="30">
        <f>COUNTIF(ParticipationDecembre1[[#This Row],[1]:[31]],Code2)</f>
        <v>0</v>
      </c>
      <c r="AK30" s="30">
        <f>COUNTIF(ParticipationDecembre1[[#This Row],[1]:[31]],Code3)</f>
        <v>0</v>
      </c>
      <c r="AL30" s="30">
        <f>COUNTIF(ParticipationDecembre1[[#This Row],[1]:[31]],Code4)</f>
        <v>0</v>
      </c>
      <c r="AM30" s="30">
        <f>COUNTIF(ParticipationDecembre1[[#This Row],[1]:[31]],Code5)</f>
        <v>0</v>
      </c>
      <c r="AN30" s="30">
        <f>COUNTIF(ParticipationDecembre1[[#This Row],[1]:[31]],Code23)</f>
        <v>0</v>
      </c>
      <c r="AO30" s="30">
        <f>COUNTIF(ParticipationDecembre1[[#This Row],[1]:[31]],Code6)</f>
        <v>0</v>
      </c>
      <c r="AP30" s="30">
        <f>COUNTIF(ParticipationDecembre1[[#This Row],[1]:[31]],Code7)</f>
        <v>0</v>
      </c>
      <c r="AQ30" s="30">
        <f>COUNTIF(ParticipationDecembre1[[#This Row],[1]:[31]],Code8)</f>
        <v>0</v>
      </c>
      <c r="AR30" s="30">
        <f>COUNTIF(ParticipationDecembre1[[#This Row],[1]:[31]],Code9)</f>
        <v>0</v>
      </c>
      <c r="AS30" s="30">
        <f>COUNTIF(ParticipationDecembre1[[#This Row],[1]:[31]],Code10)</f>
        <v>0</v>
      </c>
      <c r="AT30" s="30">
        <f>COUNTIF(ParticipationDecembre1[[#This Row],[1]:[31]],Code11)</f>
        <v>0</v>
      </c>
      <c r="AU30" s="30">
        <f>COUNTIF(ParticipationDecembre1[[#This Row],[1]:[31]],Code12)</f>
        <v>0</v>
      </c>
      <c r="AV30" s="30">
        <f>COUNTIF(ParticipationDecembre1[[#This Row],[1]:[31]],Code13)</f>
        <v>0</v>
      </c>
      <c r="AW30" s="30">
        <f>COUNTIF(ParticipationDecembre1[[#This Row],[1]:[31]],Code14)</f>
        <v>0</v>
      </c>
      <c r="AX30" s="30">
        <f>COUNTIF(ParticipationDecembre1[[#This Row],[1]:[31]],Code15)</f>
        <v>0</v>
      </c>
      <c r="AY30" s="30">
        <f>COUNTIF(ParticipationDecembre1[[#This Row],[1]:[31]],Code16)</f>
        <v>0</v>
      </c>
      <c r="AZ30" s="30">
        <f>COUNTIF(ParticipationDecembre1[[#This Row],[1]:[31]],Code17)</f>
        <v>0</v>
      </c>
      <c r="BA30" s="30">
        <f>COUNTIF(ParticipationDecembre1[[#This Row],[1]:[31]],Code25)</f>
        <v>0</v>
      </c>
      <c r="BB30" s="30">
        <f>COUNTIF(ParticipationDecembre1[[#This Row],[1]:[31]],Code26)</f>
        <v>0</v>
      </c>
      <c r="BC30" s="30">
        <f>COUNTIF(ParticipationDecembre1[[#This Row],[1]:[31]],Code27)</f>
        <v>0</v>
      </c>
      <c r="BD30" s="30">
        <f>COUNTIF(ParticipationDecembre1[[#This Row],[1]:[31]],Code28)</f>
        <v>0</v>
      </c>
      <c r="BE30" s="30">
        <f>COUNTIF(ParticipationDecembre1[[#This Row],[1]:[31]],code21)</f>
        <v>0</v>
      </c>
      <c r="BF30" s="30">
        <f>COUNTIF(ParticipationDecembre1[[#This Row],[1]:[31]],Code24)</f>
        <v>0</v>
      </c>
      <c r="BG30" s="30">
        <f>COUNTIF(ParticipationDecembre1[[#This Row],[1]:[31]],code18)</f>
        <v>0</v>
      </c>
      <c r="BH30" s="164">
        <f>COUNTIF(ParticipationDecembre1[[#This Row],[1]:[31]],code19)</f>
        <v>0</v>
      </c>
      <c r="BI30" s="314"/>
      <c r="BJ30" s="314"/>
      <c r="BK30" s="314"/>
      <c r="BL30" s="314"/>
      <c r="BM30" s="314"/>
      <c r="BN30" s="314"/>
      <c r="BO30" s="314"/>
      <c r="BP30" s="314"/>
      <c r="BQ30" s="314"/>
      <c r="BR30" s="314"/>
      <c r="BS30" s="314"/>
      <c r="BT30" s="314"/>
      <c r="BU30" s="314"/>
      <c r="BV30" s="314"/>
      <c r="BW30" s="314"/>
      <c r="BX30" s="314"/>
      <c r="BY30" s="314"/>
      <c r="BZ30" s="314"/>
      <c r="CA30" s="314"/>
      <c r="CB30" s="314"/>
      <c r="CC30" s="314"/>
      <c r="CD30" s="314"/>
      <c r="CE30" s="314"/>
      <c r="CF30" s="314"/>
      <c r="CG30" s="314"/>
      <c r="CH30" s="314"/>
      <c r="CI30" s="314"/>
      <c r="CJ30" s="314"/>
      <c r="CK30" s="314"/>
      <c r="CL30" s="314"/>
      <c r="CM30" s="314"/>
      <c r="CN30" s="314"/>
      <c r="CO30" s="314"/>
      <c r="CP30" s="314"/>
      <c r="CQ30" s="259">
        <f t="shared" si="0"/>
        <v>0</v>
      </c>
      <c r="CR30" s="261">
        <f t="shared" si="1"/>
        <v>0</v>
      </c>
      <c r="CS30" s="256">
        <f t="shared" si="2"/>
        <v>0</v>
      </c>
      <c r="CT30" s="187">
        <f t="shared" si="3"/>
        <v>0</v>
      </c>
    </row>
    <row r="31" spans="1:98" ht="15" thickTop="1" thickBot="1">
      <c r="A31" s="29"/>
      <c r="B31" s="162" t="str">
        <f>IFERROR(VLOOKUP(ParticipationDecembre1[[#This Row],[Référence]],ListeÉtudiants1[],18,FALSE),"")</f>
        <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44"/>
      <c r="AH31" s="6">
        <f>COUNTIF(ParticipationDecembre1[[#This Row],[1]:[31]],Code1)</f>
        <v>0</v>
      </c>
      <c r="AI31" s="6">
        <f>COUNTIF(ParticipationDecembre1[[#This Row],[1]:[31]],code22)</f>
        <v>0</v>
      </c>
      <c r="AJ31" s="30">
        <f>COUNTIF(ParticipationDecembre1[[#This Row],[1]:[31]],Code2)</f>
        <v>0</v>
      </c>
      <c r="AK31" s="30">
        <f>COUNTIF(ParticipationDecembre1[[#This Row],[1]:[31]],Code3)</f>
        <v>0</v>
      </c>
      <c r="AL31" s="30">
        <f>COUNTIF(ParticipationDecembre1[[#This Row],[1]:[31]],Code4)</f>
        <v>0</v>
      </c>
      <c r="AM31" s="30">
        <f>COUNTIF(ParticipationDecembre1[[#This Row],[1]:[31]],Code5)</f>
        <v>0</v>
      </c>
      <c r="AN31" s="30">
        <f>COUNTIF(ParticipationDecembre1[[#This Row],[1]:[31]],Code23)</f>
        <v>0</v>
      </c>
      <c r="AO31" s="30">
        <f>COUNTIF(ParticipationDecembre1[[#This Row],[1]:[31]],Code6)</f>
        <v>0</v>
      </c>
      <c r="AP31" s="30">
        <f>COUNTIF(ParticipationDecembre1[[#This Row],[1]:[31]],Code7)</f>
        <v>0</v>
      </c>
      <c r="AQ31" s="30">
        <f>COUNTIF(ParticipationDecembre1[[#This Row],[1]:[31]],Code8)</f>
        <v>0</v>
      </c>
      <c r="AR31" s="30">
        <f>COUNTIF(ParticipationDecembre1[[#This Row],[1]:[31]],Code9)</f>
        <v>0</v>
      </c>
      <c r="AS31" s="30">
        <f>COUNTIF(ParticipationDecembre1[[#This Row],[1]:[31]],Code10)</f>
        <v>0</v>
      </c>
      <c r="AT31" s="30">
        <f>COUNTIF(ParticipationDecembre1[[#This Row],[1]:[31]],Code11)</f>
        <v>0</v>
      </c>
      <c r="AU31" s="30">
        <f>COUNTIF(ParticipationDecembre1[[#This Row],[1]:[31]],Code12)</f>
        <v>0</v>
      </c>
      <c r="AV31" s="30">
        <f>COUNTIF(ParticipationDecembre1[[#This Row],[1]:[31]],Code13)</f>
        <v>0</v>
      </c>
      <c r="AW31" s="30">
        <f>COUNTIF(ParticipationDecembre1[[#This Row],[1]:[31]],Code14)</f>
        <v>0</v>
      </c>
      <c r="AX31" s="30">
        <f>COUNTIF(ParticipationDecembre1[[#This Row],[1]:[31]],Code15)</f>
        <v>0</v>
      </c>
      <c r="AY31" s="30">
        <f>COUNTIF(ParticipationDecembre1[[#This Row],[1]:[31]],Code16)</f>
        <v>0</v>
      </c>
      <c r="AZ31" s="30">
        <f>COUNTIF(ParticipationDecembre1[[#This Row],[1]:[31]],Code17)</f>
        <v>0</v>
      </c>
      <c r="BA31" s="30">
        <f>COUNTIF(ParticipationDecembre1[[#This Row],[1]:[31]],Code25)</f>
        <v>0</v>
      </c>
      <c r="BB31" s="30">
        <f>COUNTIF(ParticipationDecembre1[[#This Row],[1]:[31]],Code26)</f>
        <v>0</v>
      </c>
      <c r="BC31" s="30">
        <f>COUNTIF(ParticipationDecembre1[[#This Row],[1]:[31]],Code27)</f>
        <v>0</v>
      </c>
      <c r="BD31" s="30">
        <f>COUNTIF(ParticipationDecembre1[[#This Row],[1]:[31]],Code28)</f>
        <v>0</v>
      </c>
      <c r="BE31" s="30">
        <f>COUNTIF(ParticipationDecembre1[[#This Row],[1]:[31]],code21)</f>
        <v>0</v>
      </c>
      <c r="BF31" s="30">
        <f>COUNTIF(ParticipationDecembre1[[#This Row],[1]:[31]],Code24)</f>
        <v>0</v>
      </c>
      <c r="BG31" s="30">
        <f>COUNTIF(ParticipationDecembre1[[#This Row],[1]:[31]],code18)</f>
        <v>0</v>
      </c>
      <c r="BH31" s="164">
        <f>COUNTIF(ParticipationDecembre1[[#This Row],[1]:[31]],code19)</f>
        <v>0</v>
      </c>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259">
        <f t="shared" si="0"/>
        <v>0</v>
      </c>
      <c r="CR31" s="261">
        <f t="shared" si="1"/>
        <v>0</v>
      </c>
      <c r="CS31" s="256">
        <f t="shared" si="2"/>
        <v>0</v>
      </c>
      <c r="CT31" s="187"/>
    </row>
    <row r="32" spans="1:98" ht="15" thickTop="1" thickBot="1">
      <c r="A32" s="29"/>
      <c r="B32" s="162" t="str">
        <f>IFERROR(VLOOKUP(ParticipationDecembre1[[#This Row],[Référence]],ListeÉtudiants1[],18,FALSE),"")</f>
        <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44"/>
      <c r="AH32" s="6">
        <f>COUNTIF(ParticipationDecembre1[[#This Row],[1]:[31]],Code1)</f>
        <v>0</v>
      </c>
      <c r="AI32" s="6">
        <f>COUNTIF(ParticipationDecembre1[[#This Row],[1]:[31]],code22)</f>
        <v>0</v>
      </c>
      <c r="AJ32" s="30">
        <f>COUNTIF(ParticipationDecembre1[[#This Row],[1]:[31]],Code2)</f>
        <v>0</v>
      </c>
      <c r="AK32" s="30">
        <f>COUNTIF(ParticipationDecembre1[[#This Row],[1]:[31]],Code3)</f>
        <v>0</v>
      </c>
      <c r="AL32" s="30">
        <f>COUNTIF(ParticipationDecembre1[[#This Row],[1]:[31]],Code4)</f>
        <v>0</v>
      </c>
      <c r="AM32" s="30">
        <f>COUNTIF(ParticipationDecembre1[[#This Row],[1]:[31]],Code5)</f>
        <v>0</v>
      </c>
      <c r="AN32" s="30">
        <f>COUNTIF(ParticipationDecembre1[[#This Row],[1]:[31]],Code23)</f>
        <v>0</v>
      </c>
      <c r="AO32" s="30">
        <f>COUNTIF(ParticipationDecembre1[[#This Row],[1]:[31]],Code6)</f>
        <v>0</v>
      </c>
      <c r="AP32" s="30">
        <f>COUNTIF(ParticipationDecembre1[[#This Row],[1]:[31]],Code7)</f>
        <v>0</v>
      </c>
      <c r="AQ32" s="30">
        <f>COUNTIF(ParticipationDecembre1[[#This Row],[1]:[31]],Code8)</f>
        <v>0</v>
      </c>
      <c r="AR32" s="30">
        <f>COUNTIF(ParticipationDecembre1[[#This Row],[1]:[31]],Code9)</f>
        <v>0</v>
      </c>
      <c r="AS32" s="30">
        <f>COUNTIF(ParticipationDecembre1[[#This Row],[1]:[31]],Code10)</f>
        <v>0</v>
      </c>
      <c r="AT32" s="30">
        <f>COUNTIF(ParticipationDecembre1[[#This Row],[1]:[31]],Code11)</f>
        <v>0</v>
      </c>
      <c r="AU32" s="30">
        <f>COUNTIF(ParticipationDecembre1[[#This Row],[1]:[31]],Code12)</f>
        <v>0</v>
      </c>
      <c r="AV32" s="30">
        <f>COUNTIF(ParticipationDecembre1[[#This Row],[1]:[31]],Code13)</f>
        <v>0</v>
      </c>
      <c r="AW32" s="30">
        <f>COUNTIF(ParticipationDecembre1[[#This Row],[1]:[31]],Code14)</f>
        <v>0</v>
      </c>
      <c r="AX32" s="30">
        <f>COUNTIF(ParticipationDecembre1[[#This Row],[1]:[31]],Code15)</f>
        <v>0</v>
      </c>
      <c r="AY32" s="30">
        <f>COUNTIF(ParticipationDecembre1[[#This Row],[1]:[31]],Code16)</f>
        <v>0</v>
      </c>
      <c r="AZ32" s="30">
        <f>COUNTIF(ParticipationDecembre1[[#This Row],[1]:[31]],Code17)</f>
        <v>0</v>
      </c>
      <c r="BA32" s="30">
        <f>COUNTIF(ParticipationDecembre1[[#This Row],[1]:[31]],Code25)</f>
        <v>0</v>
      </c>
      <c r="BB32" s="30">
        <f>COUNTIF(ParticipationDecembre1[[#This Row],[1]:[31]],Code26)</f>
        <v>0</v>
      </c>
      <c r="BC32" s="30">
        <f>COUNTIF(ParticipationDecembre1[[#This Row],[1]:[31]],Code27)</f>
        <v>0</v>
      </c>
      <c r="BD32" s="30">
        <f>COUNTIF(ParticipationDecembre1[[#This Row],[1]:[31]],Code28)</f>
        <v>0</v>
      </c>
      <c r="BE32" s="30">
        <f>COUNTIF(ParticipationDecembre1[[#This Row],[1]:[31]],code21)</f>
        <v>0</v>
      </c>
      <c r="BF32" s="30">
        <f>COUNTIF(ParticipationDecembre1[[#This Row],[1]:[31]],Code24)</f>
        <v>0</v>
      </c>
      <c r="BG32" s="30">
        <f>COUNTIF(ParticipationDecembre1[[#This Row],[1]:[31]],code18)</f>
        <v>0</v>
      </c>
      <c r="BH32" s="164">
        <f>COUNTIF(ParticipationDecembre1[[#This Row],[1]:[31]],code19)</f>
        <v>0</v>
      </c>
      <c r="BI32" s="314"/>
      <c r="BJ32" s="314"/>
      <c r="BK32" s="314"/>
      <c r="BL32" s="314"/>
      <c r="BM32" s="314"/>
      <c r="BN32" s="314"/>
      <c r="BO32" s="314"/>
      <c r="BP32" s="314"/>
      <c r="BQ32" s="314"/>
      <c r="BR32" s="314"/>
      <c r="BS32" s="314"/>
      <c r="BT32" s="314"/>
      <c r="BU32" s="314"/>
      <c r="BV32" s="314"/>
      <c r="BW32" s="314"/>
      <c r="BX32" s="314"/>
      <c r="BY32" s="314"/>
      <c r="BZ32" s="314"/>
      <c r="CA32" s="314"/>
      <c r="CB32" s="314"/>
      <c r="CC32" s="314"/>
      <c r="CD32" s="314"/>
      <c r="CE32" s="314"/>
      <c r="CF32" s="314"/>
      <c r="CG32" s="314"/>
      <c r="CH32" s="314"/>
      <c r="CI32" s="314"/>
      <c r="CJ32" s="314"/>
      <c r="CK32" s="314"/>
      <c r="CL32" s="314"/>
      <c r="CM32" s="314"/>
      <c r="CN32" s="314"/>
      <c r="CO32" s="314"/>
      <c r="CP32" s="314"/>
      <c r="CQ32" s="259">
        <f t="shared" si="0"/>
        <v>0</v>
      </c>
      <c r="CR32" s="261">
        <f t="shared" si="1"/>
        <v>0</v>
      </c>
      <c r="CS32" s="256">
        <f t="shared" si="2"/>
        <v>0</v>
      </c>
      <c r="CT32" s="254">
        <f>SUM(AQ32:CQ32)</f>
        <v>0</v>
      </c>
    </row>
    <row r="33" spans="1:98" ht="15" thickTop="1" thickBot="1">
      <c r="A33" s="29"/>
      <c r="B33" s="152" t="str">
        <f>IFERROR(VLOOKUP(ParticipationDecembre1[[#This Row],[Référence]],ListeÉtudiants1[],18,FALSE),"")</f>
        <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44"/>
      <c r="AH33" s="6">
        <f>COUNTIF(ParticipationDecembre1[[#This Row],[1]:[31]],Code1)</f>
        <v>0</v>
      </c>
      <c r="AI33" s="6">
        <f>COUNTIF(ParticipationDecembre1[[#This Row],[1]:[31]],code22)</f>
        <v>0</v>
      </c>
      <c r="AJ33" s="30">
        <f>COUNTIF(ParticipationDecembre1[[#This Row],[1]:[31]],Code2)</f>
        <v>0</v>
      </c>
      <c r="AK33" s="30">
        <f>COUNTIF(ParticipationDecembre1[[#This Row],[1]:[31]],Code3)</f>
        <v>0</v>
      </c>
      <c r="AL33" s="30">
        <f>COUNTIF(ParticipationDecembre1[[#This Row],[1]:[31]],Code4)</f>
        <v>0</v>
      </c>
      <c r="AM33" s="30">
        <f>COUNTIF(ParticipationDecembre1[[#This Row],[1]:[31]],Code5)</f>
        <v>0</v>
      </c>
      <c r="AN33" s="30">
        <f>COUNTIF(ParticipationDecembre1[[#This Row],[1]:[31]],Code23)</f>
        <v>0</v>
      </c>
      <c r="AO33" s="30">
        <f>COUNTIF(ParticipationDecembre1[[#This Row],[1]:[31]],Code6)</f>
        <v>0</v>
      </c>
      <c r="AP33" s="30">
        <f>COUNTIF(ParticipationDecembre1[[#This Row],[1]:[31]],Code7)</f>
        <v>0</v>
      </c>
      <c r="AQ33" s="30">
        <f>COUNTIF(ParticipationDecembre1[[#This Row],[1]:[31]],Code8)</f>
        <v>0</v>
      </c>
      <c r="AR33" s="30">
        <f>COUNTIF(ParticipationDecembre1[[#This Row],[1]:[31]],Code9)</f>
        <v>0</v>
      </c>
      <c r="AS33" s="30">
        <f>COUNTIF(ParticipationDecembre1[[#This Row],[1]:[31]],Code10)</f>
        <v>0</v>
      </c>
      <c r="AT33" s="30">
        <f>COUNTIF(ParticipationDecembre1[[#This Row],[1]:[31]],Code11)</f>
        <v>0</v>
      </c>
      <c r="AU33" s="30">
        <f>COUNTIF(ParticipationDecembre1[[#This Row],[1]:[31]],Code12)</f>
        <v>0</v>
      </c>
      <c r="AV33" s="30">
        <f>COUNTIF(ParticipationDecembre1[[#This Row],[1]:[31]],Code13)</f>
        <v>0</v>
      </c>
      <c r="AW33" s="30">
        <f>COUNTIF(ParticipationDecembre1[[#This Row],[1]:[31]],Code14)</f>
        <v>0</v>
      </c>
      <c r="AX33" s="30">
        <f>COUNTIF(ParticipationDecembre1[[#This Row],[1]:[31]],Code15)</f>
        <v>0</v>
      </c>
      <c r="AY33" s="30">
        <f>COUNTIF(ParticipationDecembre1[[#This Row],[1]:[31]],Code16)</f>
        <v>0</v>
      </c>
      <c r="AZ33" s="30">
        <f>COUNTIF(ParticipationDecembre1[[#This Row],[1]:[31]],Code17)</f>
        <v>0</v>
      </c>
      <c r="BA33" s="30">
        <f>COUNTIF(ParticipationDecembre1[[#This Row],[1]:[31]],Code25)</f>
        <v>0</v>
      </c>
      <c r="BB33" s="30">
        <f>COUNTIF(ParticipationDecembre1[[#This Row],[1]:[31]],Code26)</f>
        <v>0</v>
      </c>
      <c r="BC33" s="30">
        <f>COUNTIF(ParticipationDecembre1[[#This Row],[1]:[31]],Code27)</f>
        <v>0</v>
      </c>
      <c r="BD33" s="30">
        <f>COUNTIF(ParticipationDecembre1[[#This Row],[1]:[31]],Code28)</f>
        <v>0</v>
      </c>
      <c r="BE33" s="30">
        <f>COUNTIF(ParticipationDecembre1[[#This Row],[1]:[31]],code21)</f>
        <v>0</v>
      </c>
      <c r="BF33" s="30">
        <f>COUNTIF(ParticipationDecembre1[[#This Row],[1]:[31]],Code24)</f>
        <v>0</v>
      </c>
      <c r="BG33" s="30">
        <f>COUNTIF(ParticipationDecembre1[[#This Row],[1]:[31]],code18)</f>
        <v>0</v>
      </c>
      <c r="BH33" s="164">
        <f>COUNTIF(ParticipationDecembre1[[#This Row],[1]:[31]],code19)</f>
        <v>0</v>
      </c>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259">
        <f t="shared" si="0"/>
        <v>0</v>
      </c>
      <c r="CR33" s="262">
        <f t="shared" si="1"/>
        <v>0</v>
      </c>
      <c r="CS33" s="256">
        <f t="shared" si="2"/>
        <v>0</v>
      </c>
      <c r="CT33" s="254">
        <f>SUM(AQ33:CQ33)</f>
        <v>0</v>
      </c>
    </row>
    <row r="34" spans="1:98" ht="15" thickTop="1" thickBot="1">
      <c r="A34" s="145"/>
      <c r="B34" s="155" t="str">
        <f>IFERROR(VLOOKUP(ParticipationDecembre1[[#This Row],[Référence]],ListeÉtudiants1[],18,FALSE),"")</f>
        <v/>
      </c>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8"/>
      <c r="AH34" s="149">
        <f>COUNTIF(ParticipationDecembre1[[#This Row],[1]:[31]],Code1)</f>
        <v>0</v>
      </c>
      <c r="AI34" s="149">
        <f>COUNTIF(ParticipationDecembre1[[#This Row],[1]:[31]],code22)</f>
        <v>0</v>
      </c>
      <c r="AJ34" s="172">
        <f>COUNTIF(ParticipationDecembre1[[#This Row],[1]:[31]],Code2)</f>
        <v>0</v>
      </c>
      <c r="AK34" s="172">
        <f>COUNTIF(ParticipationDecembre1[[#This Row],[1]:[31]],Code3)</f>
        <v>0</v>
      </c>
      <c r="AL34" s="172">
        <f>COUNTIF(ParticipationDecembre1[[#This Row],[1]:[31]],Code4)</f>
        <v>0</v>
      </c>
      <c r="AM34" s="172">
        <f>COUNTIF(ParticipationDecembre1[[#This Row],[1]:[31]],Code5)</f>
        <v>0</v>
      </c>
      <c r="AN34" s="172">
        <f>COUNTIF(ParticipationDecembre1[[#This Row],[1]:[31]],Code23)</f>
        <v>0</v>
      </c>
      <c r="AO34" s="172">
        <f>COUNTIF(ParticipationDecembre1[[#This Row],[1]:[31]],Code6)</f>
        <v>0</v>
      </c>
      <c r="AP34" s="172">
        <f>COUNTIF(ParticipationDecembre1[[#This Row],[1]:[31]],Code7)</f>
        <v>0</v>
      </c>
      <c r="AQ34" s="172">
        <f>COUNTIF(ParticipationDecembre1[[#This Row],[1]:[31]],Code8)</f>
        <v>0</v>
      </c>
      <c r="AR34" s="172">
        <f>COUNTIF(ParticipationDecembre1[[#This Row],[1]:[31]],Code9)</f>
        <v>0</v>
      </c>
      <c r="AS34" s="172">
        <f>COUNTIF(ParticipationDecembre1[[#This Row],[1]:[31]],Code10)</f>
        <v>0</v>
      </c>
      <c r="AT34" s="172">
        <f>COUNTIF(ParticipationDecembre1[[#This Row],[1]:[31]],Code11)</f>
        <v>0</v>
      </c>
      <c r="AU34" s="172">
        <f>COUNTIF(ParticipationDecembre1[[#This Row],[1]:[31]],Code12)</f>
        <v>0</v>
      </c>
      <c r="AV34" s="172">
        <f>COUNTIF(ParticipationDecembre1[[#This Row],[1]:[31]],Code13)</f>
        <v>0</v>
      </c>
      <c r="AW34" s="172">
        <f>COUNTIF(ParticipationDecembre1[[#This Row],[1]:[31]],Code14)</f>
        <v>0</v>
      </c>
      <c r="AX34" s="172">
        <f>COUNTIF(ParticipationDecembre1[[#This Row],[1]:[31]],Code15)</f>
        <v>0</v>
      </c>
      <c r="AY34" s="172">
        <f>COUNTIF(ParticipationDecembre1[[#This Row],[1]:[31]],Code16)</f>
        <v>0</v>
      </c>
      <c r="AZ34" s="172">
        <f>COUNTIF(ParticipationDecembre1[[#This Row],[1]:[31]],Code17)</f>
        <v>0</v>
      </c>
      <c r="BA34" s="30">
        <f>COUNTIF(ParticipationDecembre1[[#This Row],[1]:[31]],Code25)</f>
        <v>0</v>
      </c>
      <c r="BB34" s="30">
        <f>COUNTIF(ParticipationDecembre1[[#This Row],[1]:[31]],Code26)</f>
        <v>0</v>
      </c>
      <c r="BC34" s="30">
        <f>COUNTIF(ParticipationDecembre1[[#This Row],[1]:[31]],Code27)</f>
        <v>0</v>
      </c>
      <c r="BD34" s="30">
        <f>COUNTIF(ParticipationDecembre1[[#This Row],[1]:[31]],Code28)</f>
        <v>0</v>
      </c>
      <c r="BE34" s="30">
        <f>COUNTIF(ParticipationDecembre1[[#This Row],[1]:[31]],code21)</f>
        <v>0</v>
      </c>
      <c r="BF34" s="30">
        <f>COUNTIF(ParticipationDecembre1[[#This Row],[1]:[31]],Code24)</f>
        <v>0</v>
      </c>
      <c r="BG34" s="172">
        <f>COUNTIF(ParticipationDecembre1[[#This Row],[1]:[31]],code18)</f>
        <v>0</v>
      </c>
      <c r="BH34" s="172">
        <f>COUNTIF(ParticipationDecembre1[[#This Row],[1]:[31]],code19)</f>
        <v>0</v>
      </c>
      <c r="BI34" s="319"/>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206">
        <f t="shared" si="0"/>
        <v>0</v>
      </c>
      <c r="CR34" s="257">
        <f t="shared" si="1"/>
        <v>0</v>
      </c>
      <c r="CS34" s="173">
        <f t="shared" si="2"/>
        <v>0</v>
      </c>
      <c r="CT34" s="255"/>
    </row>
    <row r="35" spans="1:98" ht="14.25" thickTop="1">
      <c r="A35" s="200"/>
      <c r="B35" s="201"/>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387"/>
      <c r="BF35" s="387"/>
      <c r="BG35" s="200"/>
      <c r="BH35" s="200"/>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0"/>
      <c r="CR35" s="200"/>
      <c r="CS35" s="200"/>
      <c r="CT35" s="200"/>
    </row>
  </sheetData>
  <mergeCells count="5">
    <mergeCell ref="AH9:AX9"/>
    <mergeCell ref="A1:B1"/>
    <mergeCell ref="H7:I7"/>
    <mergeCell ref="L7:M7"/>
    <mergeCell ref="P7:Q7"/>
  </mergeCells>
  <conditionalFormatting sqref="C11:AG34">
    <cfRule type="expression" dxfId="523" priority="97">
      <formula>C11=Code24</formula>
    </cfRule>
    <cfRule type="expression" dxfId="522" priority="98">
      <formula>C11=Code23</formula>
    </cfRule>
    <cfRule type="expression" dxfId="521" priority="99">
      <formula>C11=code22</formula>
    </cfRule>
    <cfRule type="expression" dxfId="520" priority="100">
      <formula>C11=code21</formula>
    </cfRule>
    <cfRule type="expression" dxfId="519" priority="105" stopIfTrue="1">
      <formula>C11=code20</formula>
    </cfRule>
    <cfRule type="expression" dxfId="518" priority="106" stopIfTrue="1">
      <formula>C11=code18</formula>
    </cfRule>
    <cfRule type="expression" dxfId="517" priority="118" stopIfTrue="1">
      <formula>C11=code19</formula>
    </cfRule>
    <cfRule type="expression" dxfId="516" priority="119" stopIfTrue="1">
      <formula>C11=Code15</formula>
    </cfRule>
    <cfRule type="expression" dxfId="515" priority="120" stopIfTrue="1">
      <formula>C11=Code17</formula>
    </cfRule>
    <cfRule type="expression" dxfId="514" priority="121" stopIfTrue="1">
      <formula>C11=Code16</formula>
    </cfRule>
    <cfRule type="expression" dxfId="513" priority="122" stopIfTrue="1">
      <formula>C11=Code13</formula>
    </cfRule>
    <cfRule type="expression" dxfId="512" priority="123" stopIfTrue="1">
      <formula>C11=Code14</formula>
    </cfRule>
    <cfRule type="expression" dxfId="511" priority="124" stopIfTrue="1">
      <formula>C11=Code12</formula>
    </cfRule>
    <cfRule type="expression" dxfId="510" priority="125" stopIfTrue="1">
      <formula>C11=Code11</formula>
    </cfRule>
    <cfRule type="expression" dxfId="509" priority="126" stopIfTrue="1">
      <formula>C11=Code10</formula>
    </cfRule>
    <cfRule type="expression" dxfId="508" priority="127" stopIfTrue="1">
      <formula>C11=Code9</formula>
    </cfRule>
    <cfRule type="expression" dxfId="507" priority="128" stopIfTrue="1">
      <formula>C11=Code8</formula>
    </cfRule>
    <cfRule type="expression" dxfId="506" priority="135" stopIfTrue="1">
      <formula>C11=Code7</formula>
    </cfRule>
    <cfRule type="expression" dxfId="505" priority="138" stopIfTrue="1">
      <formula>C11=Code6</formula>
    </cfRule>
    <cfRule type="expression" dxfId="504" priority="141" stopIfTrue="1">
      <formula>C11=Code5</formula>
    </cfRule>
    <cfRule type="expression" dxfId="503" priority="142" stopIfTrue="1">
      <formula>C11=Code4</formula>
    </cfRule>
    <cfRule type="expression" dxfId="502" priority="143" stopIfTrue="1">
      <formula>C11=Code3</formula>
    </cfRule>
    <cfRule type="expression" dxfId="501" priority="144" stopIfTrue="1">
      <formula>C11=Code1</formula>
    </cfRule>
  </conditionalFormatting>
  <conditionalFormatting sqref="C11:AI34">
    <cfRule type="expression" dxfId="500" priority="140" stopIfTrue="1">
      <formula>C11=Code2</formula>
    </cfRule>
  </conditionalFormatting>
  <conditionalFormatting sqref="CQ35">
    <cfRule type="dataBar" priority="131">
      <dataBar>
        <cfvo type="min"/>
        <cfvo type="num" val="31"/>
        <color theme="4"/>
      </dataBar>
      <extLst>
        <ext xmlns:x14="http://schemas.microsoft.com/office/spreadsheetml/2009/9/main" uri="{B025F937-C7B1-47D3-B67F-A62EFF666E3E}">
          <x14:id>{8D15DFBF-EF4E-48B5-9508-22F338AF8149}</x14:id>
        </ext>
      </extLst>
    </cfRule>
  </conditionalFormatting>
  <conditionalFormatting sqref="CR35:CS35">
    <cfRule type="dataBar" priority="132">
      <dataBar>
        <cfvo type="min"/>
        <cfvo type="num" val="31"/>
        <color theme="4"/>
      </dataBar>
      <extLst>
        <ext xmlns:x14="http://schemas.microsoft.com/office/spreadsheetml/2009/9/main" uri="{B025F937-C7B1-47D3-B67F-A62EFF666E3E}">
          <x14:id>{30FD92A0-A24E-4293-90A0-6D1F37B150F9}</x14:id>
        </ext>
      </extLst>
    </cfRule>
  </conditionalFormatting>
  <conditionalFormatting sqref="CT35">
    <cfRule type="dataBar" priority="116">
      <dataBar>
        <cfvo type="min"/>
        <cfvo type="num" val="31"/>
        <color theme="4"/>
      </dataBar>
      <extLst>
        <ext xmlns:x14="http://schemas.microsoft.com/office/spreadsheetml/2009/9/main" uri="{B025F937-C7B1-47D3-B67F-A62EFF666E3E}">
          <x14:id>{56A6D1D7-3287-4769-AC96-2C007269C1D2}</x14:id>
        </ext>
      </extLst>
    </cfRule>
  </conditionalFormatting>
  <conditionalFormatting sqref="CT32:CT33">
    <cfRule type="dataBar" priority="112">
      <dataBar>
        <cfvo type="min"/>
        <cfvo type="num" val="31"/>
        <color theme="4"/>
      </dataBar>
      <extLst>
        <ext xmlns:x14="http://schemas.microsoft.com/office/spreadsheetml/2009/9/main" uri="{B025F937-C7B1-47D3-B67F-A62EFF666E3E}">
          <x14:id>{B8C67F46-03CF-46CD-AF76-D65CB72D8352}</x14:id>
        </ext>
      </extLst>
    </cfRule>
  </conditionalFormatting>
  <conditionalFormatting sqref="CT34">
    <cfRule type="dataBar" priority="111">
      <dataBar>
        <cfvo type="min"/>
        <cfvo type="num" val="31"/>
        <color theme="4"/>
      </dataBar>
      <extLst>
        <ext xmlns:x14="http://schemas.microsoft.com/office/spreadsheetml/2009/9/main" uri="{B025F937-C7B1-47D3-B67F-A62EFF666E3E}">
          <x14:id>{010562C1-472C-407E-B200-FB8D3AC86C82}</x14:id>
        </ext>
      </extLst>
    </cfRule>
  </conditionalFormatting>
  <conditionalFormatting sqref="CQ11:CQ34">
    <cfRule type="dataBar" priority="109">
      <dataBar>
        <cfvo type="min"/>
        <cfvo type="num" val="31"/>
        <color theme="4"/>
      </dataBar>
      <extLst>
        <ext xmlns:x14="http://schemas.microsoft.com/office/spreadsheetml/2009/9/main" uri="{B025F937-C7B1-47D3-B67F-A62EFF666E3E}">
          <x14:id>{72E61AD1-08CD-4ACF-9E4C-1828BC8337D0}</x14:id>
        </ext>
      </extLst>
    </cfRule>
  </conditionalFormatting>
  <conditionalFormatting sqref="CR11:CS34">
    <cfRule type="dataBar" priority="110">
      <dataBar>
        <cfvo type="min"/>
        <cfvo type="num" val="31"/>
        <color theme="4"/>
      </dataBar>
      <extLst>
        <ext xmlns:x14="http://schemas.microsoft.com/office/spreadsheetml/2009/9/main" uri="{B025F937-C7B1-47D3-B67F-A62EFF666E3E}">
          <x14:id>{5542B73A-2F45-4CB6-91A3-C24759BFF9CC}</x14:id>
        </ext>
      </extLst>
    </cfRule>
  </conditionalFormatting>
  <conditionalFormatting sqref="CT31">
    <cfRule type="dataBar" priority="107">
      <dataBar>
        <cfvo type="min"/>
        <cfvo type="num" val="31"/>
        <color theme="4"/>
      </dataBar>
      <extLst>
        <ext xmlns:x14="http://schemas.microsoft.com/office/spreadsheetml/2009/9/main" uri="{B025F937-C7B1-47D3-B67F-A62EFF666E3E}">
          <x14:id>{048ACFDF-6748-4FB6-99BB-228A5F9F6FE8}</x14:id>
        </ext>
      </extLst>
    </cfRule>
  </conditionalFormatting>
  <conditionalFormatting sqref="CT11:CT30">
    <cfRule type="dataBar" priority="108">
      <dataBar>
        <cfvo type="min"/>
        <cfvo type="num" val="31"/>
        <color theme="4"/>
      </dataBar>
      <extLst>
        <ext xmlns:x14="http://schemas.microsoft.com/office/spreadsheetml/2009/9/main" uri="{B025F937-C7B1-47D3-B67F-A62EFF666E3E}">
          <x14:id>{F4F161C5-7A19-4CEB-BCAF-07D01D91FCDE}</x14:id>
        </ext>
      </extLst>
    </cfRule>
  </conditionalFormatting>
  <conditionalFormatting sqref="AA3">
    <cfRule type="cellIs" priority="104" operator="equal">
      <formula>"V"</formula>
    </cfRule>
  </conditionalFormatting>
  <conditionalFormatting sqref="S5:S6">
    <cfRule type="cellIs" dxfId="499" priority="103" operator="equal">
      <formula>"St1"</formula>
    </cfRule>
  </conditionalFormatting>
  <conditionalFormatting sqref="W5:W7">
    <cfRule type="cellIs" dxfId="498" priority="102" operator="equal">
      <formula>"St2"</formula>
    </cfRule>
  </conditionalFormatting>
  <conditionalFormatting sqref="Y5:Y7">
    <cfRule type="cellIs" dxfId="497" priority="101" operator="equal">
      <formula>"St3"</formula>
    </cfRule>
  </conditionalFormatting>
  <conditionalFormatting sqref="AI10">
    <cfRule type="expression" dxfId="496" priority="73">
      <formula>AI10=Code24</formula>
    </cfRule>
    <cfRule type="expression" dxfId="495" priority="74">
      <formula>AI10=Code23</formula>
    </cfRule>
    <cfRule type="expression" dxfId="494" priority="75">
      <formula>AI10=code22</formula>
    </cfRule>
    <cfRule type="expression" dxfId="493" priority="76">
      <formula>AI10=code21</formula>
    </cfRule>
    <cfRule type="expression" dxfId="492" priority="77" stopIfTrue="1">
      <formula>AI10=code20</formula>
    </cfRule>
    <cfRule type="expression" dxfId="491" priority="78" stopIfTrue="1">
      <formula>AI10=code18</formula>
    </cfRule>
    <cfRule type="expression" dxfId="490" priority="79" stopIfTrue="1">
      <formula>AI10=code19</formula>
    </cfRule>
    <cfRule type="expression" dxfId="489" priority="80" stopIfTrue="1">
      <formula>AI10=Code15</formula>
    </cfRule>
    <cfRule type="expression" dxfId="488" priority="81" stopIfTrue="1">
      <formula>AI10=Code17</formula>
    </cfRule>
    <cfRule type="expression" dxfId="487" priority="82" stopIfTrue="1">
      <formula>AI10=Code16</formula>
    </cfRule>
    <cfRule type="expression" dxfId="486" priority="83" stopIfTrue="1">
      <formula>AI10=Code13</formula>
    </cfRule>
    <cfRule type="expression" dxfId="485" priority="84" stopIfTrue="1">
      <formula>AI10=Code14</formula>
    </cfRule>
    <cfRule type="expression" dxfId="484" priority="85" stopIfTrue="1">
      <formula>AI10=Code12</formula>
    </cfRule>
    <cfRule type="expression" dxfId="483" priority="86" stopIfTrue="1">
      <formula>AI10=Code11</formula>
    </cfRule>
    <cfRule type="expression" dxfId="482" priority="87" stopIfTrue="1">
      <formula>AI10=Code10</formula>
    </cfRule>
    <cfRule type="expression" dxfId="481" priority="88" stopIfTrue="1">
      <formula>AI10=Code9</formula>
    </cfRule>
    <cfRule type="expression" dxfId="480" priority="89" stopIfTrue="1">
      <formula>AI10=Code8</formula>
    </cfRule>
    <cfRule type="expression" dxfId="479" priority="90" stopIfTrue="1">
      <formula>AI10=Code7</formula>
    </cfRule>
    <cfRule type="expression" dxfId="478" priority="91" stopIfTrue="1">
      <formula>AI10=Code6</formula>
    </cfRule>
    <cfRule type="expression" dxfId="477" priority="93" stopIfTrue="1">
      <formula>AI10=Code5</formula>
    </cfRule>
    <cfRule type="expression" dxfId="476" priority="94" stopIfTrue="1">
      <formula>AI10=Code4</formula>
    </cfRule>
    <cfRule type="expression" dxfId="475" priority="95" stopIfTrue="1">
      <formula>AI10=Code3</formula>
    </cfRule>
    <cfRule type="expression" dxfId="474" priority="96" stopIfTrue="1">
      <formula>AI10=Code1</formula>
    </cfRule>
  </conditionalFormatting>
  <conditionalFormatting sqref="AI10">
    <cfRule type="expression" dxfId="473" priority="92" stopIfTrue="1">
      <formula>AI10=Code2</formula>
    </cfRule>
  </conditionalFormatting>
  <conditionalFormatting sqref="AN10">
    <cfRule type="expression" dxfId="472" priority="49">
      <formula>AN10=Code24</formula>
    </cfRule>
    <cfRule type="expression" dxfId="471" priority="50">
      <formula>AN10=Code23</formula>
    </cfRule>
    <cfRule type="expression" dxfId="470" priority="51">
      <formula>AN10=code22</formula>
    </cfRule>
    <cfRule type="expression" dxfId="469" priority="52">
      <formula>AN10=code21</formula>
    </cfRule>
    <cfRule type="expression" dxfId="468" priority="53" stopIfTrue="1">
      <formula>AN10=code20</formula>
    </cfRule>
    <cfRule type="expression" dxfId="467" priority="54" stopIfTrue="1">
      <formula>AN10=code18</formula>
    </cfRule>
    <cfRule type="expression" dxfId="466" priority="55" stopIfTrue="1">
      <formula>AN10=code19</formula>
    </cfRule>
    <cfRule type="expression" dxfId="465" priority="56" stopIfTrue="1">
      <formula>AN10=Code15</formula>
    </cfRule>
    <cfRule type="expression" dxfId="464" priority="57" stopIfTrue="1">
      <formula>AN10=Code17</formula>
    </cfRule>
    <cfRule type="expression" dxfId="463" priority="58" stopIfTrue="1">
      <formula>AN10=Code16</formula>
    </cfRule>
    <cfRule type="expression" dxfId="462" priority="59" stopIfTrue="1">
      <formula>AN10=Code13</formula>
    </cfRule>
    <cfRule type="expression" dxfId="461" priority="60" stopIfTrue="1">
      <formula>AN10=Code14</formula>
    </cfRule>
    <cfRule type="expression" dxfId="460" priority="61" stopIfTrue="1">
      <formula>AN10=Code12</formula>
    </cfRule>
    <cfRule type="expression" dxfId="459" priority="62" stopIfTrue="1">
      <formula>AN10=Code11</formula>
    </cfRule>
    <cfRule type="expression" dxfId="458" priority="63" stopIfTrue="1">
      <formula>AN10=Code10</formula>
    </cfRule>
    <cfRule type="expression" dxfId="457" priority="64" stopIfTrue="1">
      <formula>AN10=Code9</formula>
    </cfRule>
    <cfRule type="expression" dxfId="456" priority="65" stopIfTrue="1">
      <formula>AN10=Code8</formula>
    </cfRule>
    <cfRule type="expression" dxfId="455" priority="66" stopIfTrue="1">
      <formula>AN10=Code7</formula>
    </cfRule>
    <cfRule type="expression" dxfId="454" priority="67" stopIfTrue="1">
      <formula>AN10=Code6</formula>
    </cfRule>
    <cfRule type="expression" dxfId="453" priority="69" stopIfTrue="1">
      <formula>AN10=Code5</formula>
    </cfRule>
    <cfRule type="expression" dxfId="452" priority="70" stopIfTrue="1">
      <formula>AN10=Code4</formula>
    </cfRule>
    <cfRule type="expression" dxfId="451" priority="71" stopIfTrue="1">
      <formula>AN10=Code3</formula>
    </cfRule>
    <cfRule type="expression" dxfId="450" priority="72" stopIfTrue="1">
      <formula>AN10=Code1</formula>
    </cfRule>
  </conditionalFormatting>
  <conditionalFormatting sqref="AN10">
    <cfRule type="expression" dxfId="449" priority="68" stopIfTrue="1">
      <formula>AN10=Code2</formula>
    </cfRule>
  </conditionalFormatting>
  <conditionalFormatting sqref="BF10">
    <cfRule type="expression" dxfId="448" priority="25">
      <formula>BF10=Code24</formula>
    </cfRule>
    <cfRule type="expression" dxfId="447" priority="26">
      <formula>BF10=Code23</formula>
    </cfRule>
    <cfRule type="expression" dxfId="446" priority="27">
      <formula>BF10=code22</formula>
    </cfRule>
    <cfRule type="expression" dxfId="445" priority="28">
      <formula>BF10=code21</formula>
    </cfRule>
    <cfRule type="expression" dxfId="444" priority="29" stopIfTrue="1">
      <formula>BF10=code20</formula>
    </cfRule>
    <cfRule type="expression" dxfId="443" priority="30" stopIfTrue="1">
      <formula>BF10=code18</formula>
    </cfRule>
    <cfRule type="expression" dxfId="442" priority="31" stopIfTrue="1">
      <formula>BF10=code19</formula>
    </cfRule>
    <cfRule type="expression" dxfId="441" priority="32" stopIfTrue="1">
      <formula>BF10=Code15</formula>
    </cfRule>
    <cfRule type="expression" dxfId="440" priority="33" stopIfTrue="1">
      <formula>BF10=Code17</formula>
    </cfRule>
    <cfRule type="expression" dxfId="439" priority="34" stopIfTrue="1">
      <formula>BF10=Code16</formula>
    </cfRule>
    <cfRule type="expression" dxfId="438" priority="35" stopIfTrue="1">
      <formula>BF10=Code13</formula>
    </cfRule>
    <cfRule type="expression" dxfId="437" priority="36" stopIfTrue="1">
      <formula>BF10=Code14</formula>
    </cfRule>
    <cfRule type="expression" dxfId="436" priority="37" stopIfTrue="1">
      <formula>BF10=Code12</formula>
    </cfRule>
    <cfRule type="expression" dxfId="435" priority="38" stopIfTrue="1">
      <formula>BF10=Code11</formula>
    </cfRule>
    <cfRule type="expression" dxfId="434" priority="39" stopIfTrue="1">
      <formula>BF10=Code10</formula>
    </cfRule>
    <cfRule type="expression" dxfId="433" priority="40" stopIfTrue="1">
      <formula>BF10=Code9</formula>
    </cfRule>
    <cfRule type="expression" dxfId="432" priority="41" stopIfTrue="1">
      <formula>BF10=Code8</formula>
    </cfRule>
    <cfRule type="expression" dxfId="431" priority="42" stopIfTrue="1">
      <formula>BF10=Code7</formula>
    </cfRule>
    <cfRule type="expression" dxfId="430" priority="43" stopIfTrue="1">
      <formula>BF10=Code6</formula>
    </cfRule>
    <cfRule type="expression" dxfId="429" priority="45" stopIfTrue="1">
      <formula>BF10=Code5</formula>
    </cfRule>
    <cfRule type="expression" dxfId="428" priority="46" stopIfTrue="1">
      <formula>BF10=Code4</formula>
    </cfRule>
    <cfRule type="expression" dxfId="427" priority="47" stopIfTrue="1">
      <formula>BF10=Code3</formula>
    </cfRule>
    <cfRule type="expression" dxfId="426" priority="48" stopIfTrue="1">
      <formula>BF10=Code1</formula>
    </cfRule>
  </conditionalFormatting>
  <conditionalFormatting sqref="BF10">
    <cfRule type="expression" dxfId="425" priority="44" stopIfTrue="1">
      <formula>BF10=Code2</formula>
    </cfRule>
  </conditionalFormatting>
  <conditionalFormatting sqref="CS10">
    <cfRule type="expression" dxfId="424" priority="1">
      <formula>CS10=Code24</formula>
    </cfRule>
    <cfRule type="expression" dxfId="423" priority="2">
      <formula>CS10=Code23</formula>
    </cfRule>
    <cfRule type="expression" dxfId="422" priority="3">
      <formula>CS10=code22</formula>
    </cfRule>
    <cfRule type="expression" dxfId="421" priority="4">
      <formula>CS10=code21</formula>
    </cfRule>
    <cfRule type="expression" dxfId="420" priority="5" stopIfTrue="1">
      <formula>CS10=code20</formula>
    </cfRule>
    <cfRule type="expression" dxfId="419" priority="6" stopIfTrue="1">
      <formula>CS10=code18</formula>
    </cfRule>
    <cfRule type="expression" dxfId="418" priority="7" stopIfTrue="1">
      <formula>CS10=code19</formula>
    </cfRule>
    <cfRule type="expression" dxfId="417" priority="8" stopIfTrue="1">
      <formula>CS10=Code15</formula>
    </cfRule>
    <cfRule type="expression" dxfId="416" priority="9" stopIfTrue="1">
      <formula>CS10=Code17</formula>
    </cfRule>
    <cfRule type="expression" dxfId="415" priority="10" stopIfTrue="1">
      <formula>CS10=Code16</formula>
    </cfRule>
    <cfRule type="expression" dxfId="414" priority="11" stopIfTrue="1">
      <formula>CS10=Code13</formula>
    </cfRule>
    <cfRule type="expression" dxfId="413" priority="12" stopIfTrue="1">
      <formula>CS10=Code14</formula>
    </cfRule>
    <cfRule type="expression" dxfId="412" priority="13" stopIfTrue="1">
      <formula>CS10=Code12</formula>
    </cfRule>
    <cfRule type="expression" dxfId="411" priority="14" stopIfTrue="1">
      <formula>CS10=Code11</formula>
    </cfRule>
    <cfRule type="expression" dxfId="410" priority="15" stopIfTrue="1">
      <formula>CS10=Code10</formula>
    </cfRule>
    <cfRule type="expression" dxfId="409" priority="16" stopIfTrue="1">
      <formula>CS10=Code9</formula>
    </cfRule>
    <cfRule type="expression" dxfId="408" priority="17" stopIfTrue="1">
      <formula>CS10=Code8</formula>
    </cfRule>
    <cfRule type="expression" dxfId="407" priority="18" stopIfTrue="1">
      <formula>CS10=Code7</formula>
    </cfRule>
    <cfRule type="expression" dxfId="406" priority="19" stopIfTrue="1">
      <formula>CS10=Code6</formula>
    </cfRule>
    <cfRule type="expression" dxfId="405" priority="21" stopIfTrue="1">
      <formula>CS10=Code5</formula>
    </cfRule>
    <cfRule type="expression" dxfId="404" priority="22" stopIfTrue="1">
      <formula>CS10=Code4</formula>
    </cfRule>
    <cfRule type="expression" dxfId="403" priority="23" stopIfTrue="1">
      <formula>CS10=Code3</formula>
    </cfRule>
    <cfRule type="expression" dxfId="402" priority="24" stopIfTrue="1">
      <formula>CS10=Code1</formula>
    </cfRule>
  </conditionalFormatting>
  <conditionalFormatting sqref="CS10">
    <cfRule type="expression" dxfId="401" priority="20" stopIfTrue="1">
      <formula>CS10=Code2</formula>
    </cfRule>
  </conditionalFormatting>
  <dataValidations count="1">
    <dataValidation type="list" errorStyle="warning" allowBlank="1" showInputMessage="1" showErrorMessage="1" errorTitle="Whoops!" error="The Student ID you entered isn't on the Student List sheet. You can click Yes to use what you entered but that Student ID won't be available on the Student Attendance Report sheet." sqref="A11:A34">
      <formula1>IDÉtudiant1</formula1>
    </dataValidation>
  </dataValidation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D15DFBF-EF4E-48B5-9508-22F338AF8149}">
            <x14:dataBar minLength="0" maxLength="100" border="1" negativeBarBorderColorSameAsPositive="0">
              <x14:cfvo type="autoMin"/>
              <x14:cfvo type="num">
                <xm:f>31</xm:f>
              </x14:cfvo>
              <x14:borderColor theme="4"/>
              <x14:negativeFillColor rgb="FFFF0000"/>
              <x14:negativeBorderColor rgb="FFFF0000"/>
              <x14:axisColor rgb="FF000000"/>
            </x14:dataBar>
          </x14:cfRule>
          <xm:sqref>CQ35</xm:sqref>
        </x14:conditionalFormatting>
        <x14:conditionalFormatting xmlns:xm="http://schemas.microsoft.com/office/excel/2006/main">
          <x14:cfRule type="dataBar" id="{30FD92A0-A24E-4293-90A0-6D1F37B150F9}">
            <x14:dataBar minLength="0" maxLength="100" border="1" negativeBarBorderColorSameAsPositive="0">
              <x14:cfvo type="autoMin"/>
              <x14:cfvo type="num">
                <xm:f>31</xm:f>
              </x14:cfvo>
              <x14:borderColor theme="4"/>
              <x14:negativeFillColor rgb="FFFF0000"/>
              <x14:negativeBorderColor rgb="FFFF0000"/>
              <x14:axisColor rgb="FF000000"/>
            </x14:dataBar>
          </x14:cfRule>
          <xm:sqref>CR35:CS35</xm:sqref>
        </x14:conditionalFormatting>
        <x14:conditionalFormatting xmlns:xm="http://schemas.microsoft.com/office/excel/2006/main">
          <x14:cfRule type="dataBar" id="{56A6D1D7-3287-4769-AC96-2C007269C1D2}">
            <x14:dataBar minLength="0" maxLength="100" border="1" negativeBarBorderColorSameAsPositive="0">
              <x14:cfvo type="autoMin"/>
              <x14:cfvo type="num">
                <xm:f>31</xm:f>
              </x14:cfvo>
              <x14:borderColor theme="4"/>
              <x14:negativeFillColor rgb="FFFF0000"/>
              <x14:negativeBorderColor rgb="FFFF0000"/>
              <x14:axisColor rgb="FF000000"/>
            </x14:dataBar>
          </x14:cfRule>
          <xm:sqref>CT35</xm:sqref>
        </x14:conditionalFormatting>
        <x14:conditionalFormatting xmlns:xm="http://schemas.microsoft.com/office/excel/2006/main">
          <x14:cfRule type="dataBar" id="{B8C67F46-03CF-46CD-AF76-D65CB72D8352}">
            <x14:dataBar minLength="0" maxLength="100" border="1" negativeBarBorderColorSameAsPositive="0">
              <x14:cfvo type="autoMin"/>
              <x14:cfvo type="num">
                <xm:f>31</xm:f>
              </x14:cfvo>
              <x14:borderColor theme="4"/>
              <x14:negativeFillColor rgb="FFFF0000"/>
              <x14:negativeBorderColor rgb="FFFF0000"/>
              <x14:axisColor rgb="FF000000"/>
            </x14:dataBar>
          </x14:cfRule>
          <xm:sqref>CT32:CT33</xm:sqref>
        </x14:conditionalFormatting>
        <x14:conditionalFormatting xmlns:xm="http://schemas.microsoft.com/office/excel/2006/main">
          <x14:cfRule type="dataBar" id="{010562C1-472C-407E-B200-FB8D3AC86C82}">
            <x14:dataBar minLength="0" maxLength="100" border="1" negativeBarBorderColorSameAsPositive="0">
              <x14:cfvo type="autoMin"/>
              <x14:cfvo type="num">
                <xm:f>31</xm:f>
              </x14:cfvo>
              <x14:borderColor theme="4"/>
              <x14:negativeFillColor rgb="FFFF0000"/>
              <x14:negativeBorderColor rgb="FFFF0000"/>
              <x14:axisColor rgb="FF000000"/>
            </x14:dataBar>
          </x14:cfRule>
          <xm:sqref>CT34</xm:sqref>
        </x14:conditionalFormatting>
        <x14:conditionalFormatting xmlns:xm="http://schemas.microsoft.com/office/excel/2006/main">
          <x14:cfRule type="dataBar" id="{72E61AD1-08CD-4ACF-9E4C-1828BC8337D0}">
            <x14:dataBar minLength="0" maxLength="100" border="1" negativeBarBorderColorSameAsPositive="0">
              <x14:cfvo type="autoMin"/>
              <x14:cfvo type="num">
                <xm:f>31</xm:f>
              </x14:cfvo>
              <x14:borderColor theme="4"/>
              <x14:negativeFillColor rgb="FFFF0000"/>
              <x14:negativeBorderColor rgb="FFFF0000"/>
              <x14:axisColor rgb="FF000000"/>
            </x14:dataBar>
          </x14:cfRule>
          <xm:sqref>CQ11:CQ34</xm:sqref>
        </x14:conditionalFormatting>
        <x14:conditionalFormatting xmlns:xm="http://schemas.microsoft.com/office/excel/2006/main">
          <x14:cfRule type="dataBar" id="{5542B73A-2F45-4CB6-91A3-C24759BFF9CC}">
            <x14:dataBar minLength="0" maxLength="100" border="1" negativeBarBorderColorSameAsPositive="0">
              <x14:cfvo type="autoMin"/>
              <x14:cfvo type="num">
                <xm:f>31</xm:f>
              </x14:cfvo>
              <x14:borderColor theme="4"/>
              <x14:negativeFillColor rgb="FFFF0000"/>
              <x14:negativeBorderColor rgb="FFFF0000"/>
              <x14:axisColor rgb="FF000000"/>
            </x14:dataBar>
          </x14:cfRule>
          <xm:sqref>CR11:CS34</xm:sqref>
        </x14:conditionalFormatting>
        <x14:conditionalFormatting xmlns:xm="http://schemas.microsoft.com/office/excel/2006/main">
          <x14:cfRule type="dataBar" id="{048ACFDF-6748-4FB6-99BB-228A5F9F6FE8}">
            <x14:dataBar minLength="0" maxLength="100" border="1" negativeBarBorderColorSameAsPositive="0">
              <x14:cfvo type="autoMin"/>
              <x14:cfvo type="num">
                <xm:f>31</xm:f>
              </x14:cfvo>
              <x14:borderColor theme="4"/>
              <x14:negativeFillColor rgb="FFFF0000"/>
              <x14:negativeBorderColor rgb="FFFF0000"/>
              <x14:axisColor rgb="FF000000"/>
            </x14:dataBar>
          </x14:cfRule>
          <xm:sqref>CT31</xm:sqref>
        </x14:conditionalFormatting>
        <x14:conditionalFormatting xmlns:xm="http://schemas.microsoft.com/office/excel/2006/main">
          <x14:cfRule type="dataBar" id="{F4F161C5-7A19-4CEB-BCAF-07D01D91FCDE}">
            <x14:dataBar minLength="0" maxLength="100" border="1" negativeBarBorderColorSameAsPositive="0">
              <x14:cfvo type="autoMin"/>
              <x14:cfvo type="num">
                <xm:f>31</xm:f>
              </x14:cfvo>
              <x14:borderColor theme="4"/>
              <x14:negativeFillColor rgb="FFFF0000"/>
              <x14:negativeBorderColor rgb="FFFF0000"/>
              <x14:axisColor rgb="FF000000"/>
            </x14:dataBar>
          </x14:cfRule>
          <xm:sqref>CT11:CT30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U198"/>
  <sheetViews>
    <sheetView topLeftCell="A129" workbookViewId="0">
      <selection activeCell="B100" sqref="B100"/>
    </sheetView>
  </sheetViews>
  <sheetFormatPr baseColWidth="10" defaultRowHeight="13.5"/>
  <cols>
    <col min="2" max="2" width="32" customWidth="1"/>
    <col min="3" max="3" width="4.5703125" customWidth="1"/>
    <col min="4" max="4" width="6.140625" customWidth="1"/>
    <col min="5" max="5" width="4.140625" customWidth="1"/>
    <col min="6" max="6" width="4.42578125" customWidth="1"/>
    <col min="7" max="7" width="6.140625" customWidth="1"/>
    <col min="8" max="8" width="4.140625" customWidth="1"/>
    <col min="9" max="9" width="7" customWidth="1"/>
    <col min="10" max="10" width="4.140625" customWidth="1"/>
    <col min="11" max="12" width="4.28515625" customWidth="1"/>
    <col min="13" max="13" width="6.42578125" customWidth="1"/>
    <col min="14" max="14" width="4.28515625" customWidth="1"/>
    <col min="15" max="16" width="4.42578125" customWidth="1"/>
    <col min="17" max="17" width="6.5703125" customWidth="1"/>
    <col min="18" max="18" width="4.28515625" customWidth="1"/>
    <col min="19" max="20" width="4.42578125" customWidth="1"/>
    <col min="21" max="21" width="5.28515625" customWidth="1"/>
    <col min="22" max="22" width="8.7109375" customWidth="1"/>
    <col min="23" max="23" width="4.5703125" customWidth="1"/>
    <col min="24" max="24" width="7.5703125" customWidth="1"/>
    <col min="25" max="26" width="6.7109375" customWidth="1"/>
    <col min="27" max="28" width="4.28515625" customWidth="1"/>
    <col min="29" max="29" width="5.7109375" customWidth="1"/>
    <col min="30" max="30" width="6.28515625" customWidth="1"/>
    <col min="31" max="32" width="5" customWidth="1"/>
    <col min="33" max="34" width="4.5703125" customWidth="1"/>
    <col min="35" max="36" width="5" customWidth="1"/>
    <col min="37" max="38" width="4.7109375" customWidth="1"/>
    <col min="39" max="40" width="4.85546875" customWidth="1"/>
    <col min="41" max="41" width="5.42578125" customWidth="1"/>
    <col min="42" max="42" width="6.140625" customWidth="1"/>
    <col min="43" max="43" width="4.42578125" customWidth="1"/>
    <col min="44" max="44" width="3.7109375" customWidth="1"/>
    <col min="45" max="45" width="4.5703125" customWidth="1"/>
    <col min="46" max="46" width="3.28515625" customWidth="1"/>
    <col min="47" max="47" width="3.5703125" customWidth="1"/>
    <col min="48" max="48" width="4.140625" customWidth="1"/>
    <col min="49" max="49" width="3.85546875" customWidth="1"/>
    <col min="50" max="50" width="3.5703125" customWidth="1"/>
    <col min="51" max="51" width="3.85546875" customWidth="1"/>
    <col min="52" max="58" width="4.140625" customWidth="1"/>
    <col min="59" max="59" width="4" customWidth="1"/>
    <col min="60" max="60" width="4.85546875" customWidth="1"/>
    <col min="61" max="61" width="4.140625" customWidth="1"/>
    <col min="62" max="62" width="3.7109375" customWidth="1"/>
    <col min="63" max="64" width="4.140625" customWidth="1"/>
    <col min="65" max="65" width="3" customWidth="1"/>
    <col min="66" max="66" width="3.140625" customWidth="1"/>
    <col min="67" max="67" width="3.42578125" customWidth="1"/>
    <col min="68" max="68" width="3" customWidth="1"/>
    <col min="69" max="69" width="3.28515625" customWidth="1"/>
    <col min="70" max="70" width="3.5703125" customWidth="1"/>
    <col min="71" max="71" width="3.42578125" customWidth="1"/>
    <col min="72" max="72" width="3.5703125" customWidth="1"/>
    <col min="73" max="73" width="3.7109375" customWidth="1"/>
    <col min="74" max="74" width="3.28515625" customWidth="1"/>
    <col min="75" max="75" width="3.140625" customWidth="1"/>
    <col min="76" max="76" width="3.7109375" customWidth="1"/>
    <col min="77" max="78" width="4.140625" customWidth="1"/>
    <col min="79" max="79" width="3.5703125" customWidth="1"/>
    <col min="80" max="80" width="3.28515625" customWidth="1"/>
    <col min="81" max="81" width="3" customWidth="1"/>
    <col min="82" max="82" width="3.7109375" customWidth="1"/>
    <col min="83" max="85" width="3.28515625" customWidth="1"/>
    <col min="86" max="90" width="3.42578125" customWidth="1"/>
    <col min="91" max="91" width="3.28515625" customWidth="1"/>
    <col min="92" max="92" width="3.140625" customWidth="1"/>
    <col min="93" max="94" width="3.28515625" customWidth="1"/>
    <col min="95" max="95" width="3.85546875" customWidth="1"/>
    <col min="96" max="96" width="3.28515625" customWidth="1"/>
    <col min="97" max="98" width="3.5703125" customWidth="1"/>
    <col min="99" max="99" width="4.85546875" customWidth="1"/>
    <col min="100" max="101" width="20" customWidth="1"/>
    <col min="102" max="102" width="15.85546875" customWidth="1"/>
    <col min="103" max="103" width="21.28515625" customWidth="1"/>
    <col min="104" max="104" width="4" customWidth="1"/>
  </cols>
  <sheetData>
    <row r="1" spans="1:104" ht="28.5">
      <c r="A1" s="654" t="s">
        <v>480</v>
      </c>
      <c r="B1" s="655"/>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3"/>
      <c r="AO1" s="21"/>
      <c r="AP1" s="21"/>
      <c r="AQ1" s="21"/>
      <c r="AR1" s="24"/>
      <c r="AS1" s="21"/>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row>
    <row r="2" spans="1:104">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row>
    <row r="3" spans="1:104" ht="14.25">
      <c r="C3" s="31" t="s">
        <v>104</v>
      </c>
      <c r="D3" s="208" t="s">
        <v>514</v>
      </c>
      <c r="F3" s="208"/>
      <c r="G3" s="236" t="s">
        <v>527</v>
      </c>
      <c r="H3" s="207" t="s">
        <v>528</v>
      </c>
      <c r="J3" s="209" t="s">
        <v>105</v>
      </c>
      <c r="K3" s="210" t="s">
        <v>515</v>
      </c>
      <c r="M3" s="211" t="s">
        <v>106</v>
      </c>
      <c r="N3" s="210" t="s">
        <v>516</v>
      </c>
      <c r="P3" s="212" t="s">
        <v>107</v>
      </c>
      <c r="Q3" s="210" t="s">
        <v>517</v>
      </c>
      <c r="R3" s="213" t="s">
        <v>483</v>
      </c>
      <c r="S3" s="210" t="s">
        <v>518</v>
      </c>
      <c r="U3" s="214" t="s">
        <v>484</v>
      </c>
      <c r="V3" s="207" t="s">
        <v>526</v>
      </c>
      <c r="W3" s="216" t="s">
        <v>485</v>
      </c>
      <c r="X3" s="207" t="s">
        <v>525</v>
      </c>
      <c r="Y3" s="207"/>
      <c r="Z3" s="217" t="s">
        <v>489</v>
      </c>
      <c r="AA3" s="207" t="s">
        <v>510</v>
      </c>
      <c r="AB3" s="207"/>
      <c r="AC3" s="218" t="s">
        <v>490</v>
      </c>
      <c r="AD3" s="207" t="s">
        <v>511</v>
      </c>
      <c r="AE3" s="207"/>
      <c r="AF3" s="219" t="s">
        <v>491</v>
      </c>
      <c r="AG3" s="207" t="s">
        <v>512</v>
      </c>
      <c r="AI3" s="220" t="s">
        <v>492</v>
      </c>
      <c r="AJ3" s="207" t="s">
        <v>513</v>
      </c>
      <c r="AK3" s="207"/>
      <c r="AN3" s="207"/>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row>
    <row r="4" spans="1:104" ht="15" thickBot="1">
      <c r="B4" t="s">
        <v>535</v>
      </c>
      <c r="D4" s="43"/>
      <c r="F4" s="43"/>
      <c r="G4" s="43"/>
      <c r="H4" s="43"/>
      <c r="J4" s="43"/>
      <c r="K4" s="43"/>
      <c r="M4" s="43"/>
      <c r="N4" s="43"/>
      <c r="P4" s="43"/>
      <c r="Q4" s="43"/>
      <c r="R4" s="43"/>
      <c r="S4" s="43"/>
      <c r="U4" s="43"/>
      <c r="V4" s="43"/>
      <c r="W4" s="43"/>
      <c r="X4" s="43"/>
      <c r="Y4" s="43"/>
      <c r="Z4" s="43"/>
      <c r="AA4" s="43"/>
      <c r="AB4" s="43"/>
      <c r="AC4" s="43"/>
      <c r="AD4" s="43"/>
      <c r="AE4" s="43"/>
      <c r="AF4" s="43"/>
      <c r="AG4" s="43"/>
      <c r="AI4" s="43"/>
      <c r="AJ4" s="43"/>
      <c r="AK4" s="43"/>
      <c r="AN4" s="43"/>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row>
    <row r="5" spans="1:104" ht="14.25">
      <c r="C5" s="234" t="s">
        <v>529</v>
      </c>
      <c r="D5" s="221" t="s">
        <v>530</v>
      </c>
      <c r="F5" s="221"/>
      <c r="G5" s="222" t="s">
        <v>35</v>
      </c>
      <c r="H5" s="210" t="s">
        <v>519</v>
      </c>
      <c r="J5" s="223" t="s">
        <v>108</v>
      </c>
      <c r="K5" s="43" t="s">
        <v>520</v>
      </c>
      <c r="M5" s="224" t="s">
        <v>109</v>
      </c>
      <c r="N5" s="207" t="s">
        <v>521</v>
      </c>
      <c r="P5" s="225" t="s">
        <v>486</v>
      </c>
      <c r="Q5" s="207" t="s">
        <v>522</v>
      </c>
      <c r="R5" s="226" t="s">
        <v>487</v>
      </c>
      <c r="S5" s="207" t="s">
        <v>523</v>
      </c>
      <c r="U5" s="227" t="s">
        <v>488</v>
      </c>
      <c r="V5" s="228" t="s">
        <v>524</v>
      </c>
      <c r="W5" s="233" t="s">
        <v>507</v>
      </c>
      <c r="X5" s="207" t="s">
        <v>508</v>
      </c>
      <c r="Y5" s="207"/>
      <c r="Z5" s="229" t="s">
        <v>496</v>
      </c>
      <c r="AA5" s="207" t="s">
        <v>499</v>
      </c>
      <c r="AB5" s="207"/>
      <c r="AC5" s="230" t="s">
        <v>497</v>
      </c>
      <c r="AD5" s="207" t="s">
        <v>500</v>
      </c>
      <c r="AE5" s="207"/>
      <c r="AF5" s="231" t="s">
        <v>498</v>
      </c>
      <c r="AG5" s="207" t="s">
        <v>501</v>
      </c>
      <c r="AI5" s="235" t="s">
        <v>531</v>
      </c>
      <c r="AJ5" s="43" t="s">
        <v>630</v>
      </c>
      <c r="AN5" s="43"/>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row>
    <row r="6" spans="1:104" ht="14.25">
      <c r="C6" s="349"/>
      <c r="D6" s="385"/>
      <c r="E6" s="57"/>
      <c r="F6" s="385"/>
      <c r="G6" s="351"/>
      <c r="H6" s="352"/>
      <c r="I6" s="57"/>
      <c r="J6" s="353"/>
      <c r="K6" s="354"/>
      <c r="L6" s="57"/>
      <c r="M6" s="355"/>
      <c r="N6" s="207"/>
      <c r="O6" s="57"/>
      <c r="P6" s="355"/>
      <c r="Q6" s="207"/>
      <c r="R6" s="355"/>
      <c r="S6" s="207"/>
      <c r="T6" s="57"/>
      <c r="U6" s="355"/>
      <c r="V6" s="228"/>
      <c r="W6" s="356"/>
      <c r="X6" s="207"/>
      <c r="Y6" s="207"/>
      <c r="Z6" s="357"/>
      <c r="AA6" s="207"/>
      <c r="AB6" s="207"/>
      <c r="AC6" s="357"/>
      <c r="AD6" s="207"/>
      <c r="AE6" s="207"/>
      <c r="AF6" s="357"/>
      <c r="AG6" s="207"/>
      <c r="AH6" s="57"/>
      <c r="AI6" s="358"/>
      <c r="AJ6" s="43"/>
      <c r="AK6" s="43"/>
      <c r="AN6" s="43"/>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row>
    <row r="7" spans="1:104" ht="14.25">
      <c r="C7" s="334" t="s">
        <v>604</v>
      </c>
      <c r="D7" s="335" t="s">
        <v>610</v>
      </c>
      <c r="E7" s="375"/>
      <c r="F7" s="375"/>
      <c r="G7" s="344" t="s">
        <v>620</v>
      </c>
      <c r="H7" s="656" t="s">
        <v>621</v>
      </c>
      <c r="I7" s="658"/>
      <c r="J7" s="374"/>
      <c r="K7" s="394" t="s">
        <v>627</v>
      </c>
      <c r="L7" s="656" t="s">
        <v>628</v>
      </c>
      <c r="M7" s="658"/>
      <c r="N7" s="207"/>
      <c r="O7" s="418" t="s">
        <v>631</v>
      </c>
      <c r="P7" s="656" t="s">
        <v>632</v>
      </c>
      <c r="Q7" s="658"/>
      <c r="R7" s="355"/>
      <c r="S7" s="445" t="s">
        <v>634</v>
      </c>
      <c r="T7" s="43" t="s">
        <v>633</v>
      </c>
      <c r="U7" s="458" t="s">
        <v>637</v>
      </c>
      <c r="V7" s="357" t="s">
        <v>638</v>
      </c>
      <c r="W7" s="465" t="s">
        <v>639</v>
      </c>
      <c r="X7" s="357" t="s">
        <v>640</v>
      </c>
      <c r="Y7" s="207"/>
      <c r="Z7" s="357"/>
      <c r="AA7" s="207"/>
      <c r="AB7" s="207"/>
      <c r="AC7" s="357"/>
      <c r="AD7" s="207"/>
      <c r="AE7" s="207"/>
      <c r="AF7" s="357"/>
      <c r="AG7" s="207"/>
      <c r="AH7" s="57"/>
      <c r="AI7" s="358"/>
      <c r="AJ7" s="43"/>
      <c r="AK7" s="43"/>
      <c r="AN7" s="43"/>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row>
    <row r="8" spans="1:104" ht="14.25">
      <c r="C8" s="349"/>
      <c r="D8" s="385"/>
      <c r="E8" s="57"/>
      <c r="F8" s="385"/>
      <c r="G8" s="351"/>
      <c r="H8" s="352"/>
      <c r="I8" s="57"/>
      <c r="J8" s="353"/>
      <c r="K8" s="354"/>
      <c r="L8" s="57"/>
      <c r="M8" s="355"/>
      <c r="N8" s="207"/>
      <c r="O8" s="57"/>
      <c r="P8" s="355"/>
      <c r="Q8" s="207"/>
      <c r="R8" s="355"/>
      <c r="S8" s="207"/>
      <c r="T8" s="57"/>
      <c r="U8" s="355"/>
      <c r="V8" s="228"/>
      <c r="W8" s="356"/>
      <c r="X8" s="207"/>
      <c r="Y8" s="207"/>
      <c r="Z8" s="357"/>
      <c r="AA8" s="207"/>
      <c r="AB8" s="207"/>
      <c r="AC8" s="357"/>
      <c r="AD8" s="207"/>
      <c r="AE8" s="207"/>
      <c r="AF8" s="357"/>
      <c r="AG8" s="207"/>
      <c r="AH8" s="57"/>
      <c r="AI8" s="358"/>
      <c r="AJ8" s="43"/>
      <c r="AK8" s="43"/>
      <c r="AN8" s="43"/>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row>
    <row r="9" spans="1:104" ht="17.25" thickBot="1">
      <c r="A9" s="72">
        <f>DATE(2018,1,1)</f>
        <v>43101</v>
      </c>
      <c r="B9" s="153"/>
      <c r="C9" s="151" t="str">
        <f>TEXT(WEEKDAY(DATE(2018,1,1),1),"[$-40c]aaa")</f>
        <v>1900</v>
      </c>
      <c r="D9" s="151" t="str">
        <f>TEXT(WEEKDAY(DATE(2018,2,1),1),"[$-40c]aaa")</f>
        <v>1900</v>
      </c>
      <c r="E9" s="25" t="str">
        <f>TEXT(WEEKDAY(DATE(2018,1,3),1),"[$-40c]aaa")</f>
        <v>1900</v>
      </c>
      <c r="F9" s="25" t="str">
        <f>TEXT(WEEKDAY(DATE(2018,1,4),1),"[$-40c]aaa")</f>
        <v>1900</v>
      </c>
      <c r="G9" s="25" t="str">
        <f>TEXT(WEEKDAY(DATE(2018,1,5),1),"[$-40c]aaa")</f>
        <v>1900</v>
      </c>
      <c r="H9" s="25" t="str">
        <f>TEXT(WEEKDAY(DATE(2018,1,6),1),"[$-40c]aaa")</f>
        <v>1900</v>
      </c>
      <c r="I9" s="25" t="str">
        <f>TEXT(WEEKDAY(DATE(2018,1,7),1),"[$-40c]aaa")</f>
        <v>1900</v>
      </c>
      <c r="J9" s="25" t="str">
        <f>TEXT(WEEKDAY(DATE(2018,1,8),1),"[$-40c]aaa")</f>
        <v>1900</v>
      </c>
      <c r="K9" s="25" t="str">
        <f>TEXT(WEEKDAY(DATE(2018,1,9),1),"[$-40c]aaa")</f>
        <v>1900</v>
      </c>
      <c r="L9" s="25" t="str">
        <f>TEXT(WEEKDAY(DATE(2018,1,10),1),"[$-40c]aaa")</f>
        <v>1900</v>
      </c>
      <c r="M9" s="25" t="str">
        <f>TEXT(WEEKDAY(DATE(2018,1,11),1),"[$-40c]aaa")</f>
        <v>1900</v>
      </c>
      <c r="N9" s="25" t="str">
        <f>TEXT(WEEKDAY(DATE(2018,1,12),1),"[$-40c]aaa")</f>
        <v>1900</v>
      </c>
      <c r="O9" s="25" t="str">
        <f>TEXT(WEEKDAY(DATE(2018,1,13),1),"[$-40c]aaa")</f>
        <v>1900</v>
      </c>
      <c r="P9" s="25" t="str">
        <f>TEXT(WEEKDAY(DATE(2018,1,14),1),"[$-40c]aaa")</f>
        <v>1900</v>
      </c>
      <c r="Q9" s="25" t="str">
        <f>TEXT(WEEKDAY(DATE(2018,1,15),1),"[$-40c]aaa")</f>
        <v>1900</v>
      </c>
      <c r="R9" s="25" t="str">
        <f>TEXT(WEEKDAY(DATE(2018,1,16),1),"[$-40c]aaa")</f>
        <v>1900</v>
      </c>
      <c r="S9" s="25" t="str">
        <f>TEXT(WEEKDAY(DATE(2018,1,17),1),"[$-40c]aaa")</f>
        <v>1900</v>
      </c>
      <c r="T9" s="25" t="str">
        <f>TEXT(WEEKDAY(DATE(2018,1,18),1),"[$-40c]aaa")</f>
        <v>1900</v>
      </c>
      <c r="U9" s="25" t="str">
        <f>TEXT(WEEKDAY(DATE(2018,1,19),1),"[$-40c]aaa")</f>
        <v>1900</v>
      </c>
      <c r="V9" s="25" t="str">
        <f>TEXT(WEEKDAY(DATE(2018,1,20),1),"[$-40c]aaa")</f>
        <v>1900</v>
      </c>
      <c r="W9" s="25" t="str">
        <f>TEXT(WEEKDAY(DATE(2018,1,21),1),"[$-40c]aaa")</f>
        <v>1900</v>
      </c>
      <c r="X9" s="25" t="str">
        <f>TEXT(WEEKDAY(DATE(2018,1,22),1),"[$-40c]aaa")</f>
        <v>1900</v>
      </c>
      <c r="Y9" s="25" t="str">
        <f>TEXT(WEEKDAY(DATE(2018,1,23),1),"[$-40c]aaa")</f>
        <v>1900</v>
      </c>
      <c r="Z9" s="25" t="str">
        <f>TEXT(WEEKDAY(DATE(2018,1,24),1),"[$-40c]aaa")</f>
        <v>1900</v>
      </c>
      <c r="AA9" s="25" t="str">
        <f>TEXT(WEEKDAY(DATE(2018,1,25),1),"[$-40c]aaa")</f>
        <v>1900</v>
      </c>
      <c r="AB9" s="25" t="str">
        <f>TEXT(WEEKDAY(DATE(2018,1,26),1),"[$-40c]aaa")</f>
        <v>1900</v>
      </c>
      <c r="AC9" s="25" t="str">
        <f>TEXT(WEEKDAY(DATE(2018,1,27),1),"[$-40c]aaa")</f>
        <v>1900</v>
      </c>
      <c r="AD9" s="25" t="str">
        <f>TEXT(WEEKDAY(DATE(2018,1,28),1),"[$-40c]aaa")</f>
        <v>1900</v>
      </c>
      <c r="AE9" s="25" t="str">
        <f>TEXT(WEEKDAY(DATE(2018,1,29),1),"[$-40c]aaa")</f>
        <v>1900</v>
      </c>
      <c r="AF9" s="25" t="str">
        <f>TEXT(WEEKDAY(DATE(2018,1,30),1),"[$-40c]aaa")</f>
        <v>1900</v>
      </c>
      <c r="AG9" s="142" t="str">
        <f>TEXT(WEEKDAY(DATE(2018,1,31),1),"[$-40c]aaa")</f>
        <v>1900</v>
      </c>
      <c r="AH9" s="659" t="s">
        <v>36</v>
      </c>
      <c r="AI9" s="658"/>
      <c r="AJ9" s="658"/>
      <c r="AK9" s="658"/>
      <c r="AL9" s="658"/>
      <c r="AM9" s="658"/>
      <c r="AN9" s="658"/>
      <c r="AO9" s="658"/>
      <c r="AP9" s="658"/>
      <c r="AQ9" s="658"/>
      <c r="AR9" s="658"/>
      <c r="AS9" s="658"/>
      <c r="AT9" s="658"/>
      <c r="AU9" s="658"/>
      <c r="AV9" s="658"/>
      <c r="AW9" s="658"/>
      <c r="AX9" s="658"/>
      <c r="AY9" s="658"/>
      <c r="AZ9" s="658"/>
      <c r="BA9" s="658"/>
      <c r="BB9" s="658"/>
      <c r="BC9" s="658"/>
      <c r="BD9" s="658"/>
      <c r="BE9" s="658"/>
      <c r="BF9" s="658"/>
      <c r="BG9" s="658"/>
      <c r="BH9" s="658"/>
      <c r="BI9" s="658"/>
      <c r="BJ9" s="658"/>
      <c r="BK9" s="658"/>
      <c r="BL9" s="489"/>
      <c r="BM9" s="290"/>
      <c r="BN9" s="247"/>
      <c r="BO9" s="247"/>
      <c r="BP9" s="247"/>
      <c r="BQ9" s="247"/>
      <c r="BR9" s="247"/>
      <c r="BS9" s="247"/>
      <c r="BT9" s="247"/>
      <c r="BU9" s="247"/>
      <c r="BV9" s="247"/>
      <c r="BW9" s="247"/>
      <c r="BX9" s="247"/>
      <c r="BY9" s="247"/>
      <c r="BZ9" s="247"/>
      <c r="CA9" s="247" t="s">
        <v>575</v>
      </c>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51"/>
      <c r="CZ9" s="289"/>
    </row>
    <row r="10" spans="1:104" ht="15" thickTop="1" thickBot="1">
      <c r="A10" s="28" t="s">
        <v>33</v>
      </c>
      <c r="B10" s="154" t="s">
        <v>32</v>
      </c>
      <c r="C10" s="3" t="s">
        <v>0</v>
      </c>
      <c r="D10" s="3" t="s">
        <v>1</v>
      </c>
      <c r="E10" s="3" t="s">
        <v>2</v>
      </c>
      <c r="F10" s="3" t="s">
        <v>3</v>
      </c>
      <c r="G10" s="3" t="s">
        <v>4</v>
      </c>
      <c r="H10" s="399" t="s">
        <v>5</v>
      </c>
      <c r="I10" s="399" t="s">
        <v>6</v>
      </c>
      <c r="J10" s="3" t="s">
        <v>7</v>
      </c>
      <c r="K10" s="3" t="s">
        <v>8</v>
      </c>
      <c r="L10" s="3" t="s">
        <v>9</v>
      </c>
      <c r="M10" s="3" t="s">
        <v>10</v>
      </c>
      <c r="N10" s="3" t="s">
        <v>11</v>
      </c>
      <c r="O10" s="399" t="s">
        <v>12</v>
      </c>
      <c r="P10" s="399" t="s">
        <v>13</v>
      </c>
      <c r="Q10" s="3" t="s">
        <v>14</v>
      </c>
      <c r="R10" s="3" t="s">
        <v>15</v>
      </c>
      <c r="S10" s="3" t="s">
        <v>16</v>
      </c>
      <c r="T10" s="3" t="s">
        <v>17</v>
      </c>
      <c r="U10" s="3" t="s">
        <v>18</v>
      </c>
      <c r="V10" s="399" t="s">
        <v>19</v>
      </c>
      <c r="W10" s="399" t="s">
        <v>20</v>
      </c>
      <c r="X10" s="3" t="s">
        <v>21</v>
      </c>
      <c r="Y10" s="3" t="s">
        <v>22</v>
      </c>
      <c r="Z10" s="3" t="s">
        <v>23</v>
      </c>
      <c r="AA10" s="3" t="s">
        <v>24</v>
      </c>
      <c r="AB10" s="3" t="s">
        <v>25</v>
      </c>
      <c r="AC10" s="399" t="s">
        <v>26</v>
      </c>
      <c r="AD10" s="399" t="s">
        <v>27</v>
      </c>
      <c r="AE10" s="3" t="s">
        <v>28</v>
      </c>
      <c r="AF10" s="3" t="s">
        <v>29</v>
      </c>
      <c r="AG10" s="143" t="s">
        <v>30</v>
      </c>
      <c r="AH10" s="55" t="s">
        <v>104</v>
      </c>
      <c r="AI10" s="236" t="s">
        <v>527</v>
      </c>
      <c r="AJ10" s="40" t="s">
        <v>105</v>
      </c>
      <c r="AK10" s="41" t="s">
        <v>106</v>
      </c>
      <c r="AL10" s="42" t="s">
        <v>107</v>
      </c>
      <c r="AM10" s="75" t="s">
        <v>35</v>
      </c>
      <c r="AN10" s="234" t="s">
        <v>529</v>
      </c>
      <c r="AO10" s="76" t="s">
        <v>108</v>
      </c>
      <c r="AP10" s="77" t="s">
        <v>109</v>
      </c>
      <c r="AQ10" s="97" t="s">
        <v>483</v>
      </c>
      <c r="AR10" s="105" t="s">
        <v>484</v>
      </c>
      <c r="AS10" s="95" t="s">
        <v>485</v>
      </c>
      <c r="AT10" s="96" t="s">
        <v>486</v>
      </c>
      <c r="AU10" s="91" t="s">
        <v>487</v>
      </c>
      <c r="AV10" s="129" t="s">
        <v>489</v>
      </c>
      <c r="AW10" s="92" t="s">
        <v>488</v>
      </c>
      <c r="AX10" s="93" t="s">
        <v>490</v>
      </c>
      <c r="AY10" s="94" t="s">
        <v>491</v>
      </c>
      <c r="AZ10" s="98" t="s">
        <v>492</v>
      </c>
      <c r="BA10" s="96" t="s">
        <v>604</v>
      </c>
      <c r="BB10" s="386" t="s">
        <v>620</v>
      </c>
      <c r="BC10" s="76" t="s">
        <v>627</v>
      </c>
      <c r="BD10" s="424" t="s">
        <v>631</v>
      </c>
      <c r="BE10" s="459" t="s">
        <v>637</v>
      </c>
      <c r="BF10" s="77" t="s">
        <v>639</v>
      </c>
      <c r="BG10" s="198" t="s">
        <v>509</v>
      </c>
      <c r="BH10" s="235" t="s">
        <v>531</v>
      </c>
      <c r="BI10" s="133" t="s">
        <v>496</v>
      </c>
      <c r="BJ10" s="135" t="s">
        <v>497</v>
      </c>
      <c r="BK10" s="137" t="s">
        <v>498</v>
      </c>
      <c r="BL10" s="449" t="s">
        <v>634</v>
      </c>
      <c r="BM10" t="s">
        <v>544</v>
      </c>
      <c r="BN10" t="s">
        <v>545</v>
      </c>
      <c r="BO10" t="s">
        <v>546</v>
      </c>
      <c r="BP10" t="s">
        <v>542</v>
      </c>
      <c r="BQ10" t="s">
        <v>543</v>
      </c>
      <c r="BR10" t="s">
        <v>547</v>
      </c>
      <c r="BS10" t="s">
        <v>548</v>
      </c>
      <c r="BT10" t="s">
        <v>549</v>
      </c>
      <c r="BU10" t="s">
        <v>550</v>
      </c>
      <c r="BV10" t="s">
        <v>551</v>
      </c>
      <c r="BW10" t="s">
        <v>552</v>
      </c>
      <c r="BX10" t="s">
        <v>553</v>
      </c>
      <c r="BY10" t="s">
        <v>574</v>
      </c>
      <c r="BZ10" t="s">
        <v>554</v>
      </c>
      <c r="CA10" t="s">
        <v>555</v>
      </c>
      <c r="CB10" t="s">
        <v>556</v>
      </c>
      <c r="CC10" t="s">
        <v>558</v>
      </c>
      <c r="CD10" t="s">
        <v>557</v>
      </c>
      <c r="CE10" t="s">
        <v>559</v>
      </c>
      <c r="CF10" t="s">
        <v>560</v>
      </c>
      <c r="CG10" t="s">
        <v>561</v>
      </c>
      <c r="CH10" t="s">
        <v>562</v>
      </c>
      <c r="CI10" t="s">
        <v>563</v>
      </c>
      <c r="CJ10" t="s">
        <v>564</v>
      </c>
      <c r="CK10" t="s">
        <v>565</v>
      </c>
      <c r="CL10" t="s">
        <v>566</v>
      </c>
      <c r="CM10" t="s">
        <v>567</v>
      </c>
      <c r="CN10" t="s">
        <v>568</v>
      </c>
      <c r="CO10" t="s">
        <v>569</v>
      </c>
      <c r="CP10" t="s">
        <v>570</v>
      </c>
      <c r="CQ10" t="s">
        <v>571</v>
      </c>
      <c r="CR10" t="s">
        <v>572</v>
      </c>
      <c r="CS10" s="88" t="s">
        <v>573</v>
      </c>
      <c r="CT10" s="88" t="s">
        <v>642</v>
      </c>
      <c r="CU10" s="152" t="s">
        <v>611</v>
      </c>
      <c r="CV10" s="166" t="s">
        <v>576</v>
      </c>
      <c r="CW10" s="166" t="s">
        <v>495</v>
      </c>
      <c r="CX10" s="235" t="s">
        <v>536</v>
      </c>
      <c r="CY10" s="161" t="s">
        <v>502</v>
      </c>
    </row>
    <row r="11" spans="1:104" ht="14.25" thickTop="1">
      <c r="A11" s="510" t="s">
        <v>71</v>
      </c>
      <c r="B11" s="372" t="str">
        <f>IFERROR(VLOOKUP(ParticipationJanvier1[[#This Row],[Référence]],ListeÉtudiants1[],18,FALSE),"")</f>
        <v>ABDESSEMED MOUNIA</v>
      </c>
      <c r="C11" s="19"/>
      <c r="D11" s="19"/>
      <c r="E11" s="19"/>
      <c r="F11" s="19"/>
      <c r="G11" s="287"/>
      <c r="H11" s="19"/>
      <c r="I11" s="287"/>
      <c r="J11" s="19"/>
      <c r="K11" s="287"/>
      <c r="L11" s="19"/>
      <c r="M11" s="287"/>
      <c r="N11" s="19" t="s">
        <v>507</v>
      </c>
      <c r="O11" s="19"/>
      <c r="P11" s="19"/>
      <c r="Q11" s="19" t="s">
        <v>490</v>
      </c>
      <c r="R11" s="19" t="s">
        <v>106</v>
      </c>
      <c r="S11" s="19" t="s">
        <v>107</v>
      </c>
      <c r="T11" s="19"/>
      <c r="U11" s="287"/>
      <c r="W11" s="287"/>
      <c r="X11" s="19"/>
      <c r="Y11" s="287"/>
      <c r="Z11" s="19"/>
      <c r="AA11" s="287"/>
      <c r="AB11" s="19"/>
      <c r="AC11" s="287"/>
      <c r="AD11" s="19"/>
      <c r="AE11" s="287"/>
      <c r="AF11" s="19"/>
      <c r="AG11" s="296"/>
      <c r="AH11" s="6">
        <f>COUNTIF(ParticipationJanvier1[[#This Row],[1]:[31]],Code1)</f>
        <v>0</v>
      </c>
      <c r="AI11" s="6">
        <f>COUNTIF(ParticipationJanvier1[[#This Row],[1]:[31]],code22)</f>
        <v>0</v>
      </c>
      <c r="AJ11" s="6">
        <f>COUNTIF(ParticipationJanvier1[[#This Row],[1]:[31]],Code2)</f>
        <v>0</v>
      </c>
      <c r="AK11" s="6">
        <f>COUNTIF(ParticipationJanvier1[[#This Row],[1]:[31]],Code3)</f>
        <v>1</v>
      </c>
      <c r="AL11" s="6">
        <f>COUNTIF(ParticipationJanvier1[[#This Row],[1]:[31]],Code4)</f>
        <v>1</v>
      </c>
      <c r="AM11" s="6">
        <f>COUNTIF(ParticipationJanvier1[[#This Row],[1]:[31]],Code5)</f>
        <v>0</v>
      </c>
      <c r="AN11" s="6">
        <f>COUNTIF(ParticipationJanvier1[[#This Row],[1]:[31]],Code23)</f>
        <v>0</v>
      </c>
      <c r="AO11" s="6">
        <f>COUNTIF(ParticipationJanvier1[[#This Row],[1]:[31]],Code6)</f>
        <v>0</v>
      </c>
      <c r="AP11" s="6">
        <f>COUNTIF(ParticipationJanvier1[[#This Row],[1]:[31]],Code7)</f>
        <v>0</v>
      </c>
      <c r="AQ11" s="6">
        <f>COUNTIF(ParticipationJanvier1[[#This Row],[1]:[31]],Code8)</f>
        <v>0</v>
      </c>
      <c r="AR11" s="6">
        <f>COUNTIF(ParticipationJanvier1[[#This Row],[1]:[31]],Code9)</f>
        <v>0</v>
      </c>
      <c r="AS11" s="6">
        <f>COUNTIF(ParticipationJanvier1[[#This Row],[1]:[31]],Code10)</f>
        <v>0</v>
      </c>
      <c r="AT11" s="6">
        <f>COUNTIF(ParticipationJanvier1[[#This Row],[1]:[31]],Code11)</f>
        <v>0</v>
      </c>
      <c r="AU11" s="6">
        <f>COUNTIF(ParticipationJanvier1[[#This Row],[1]:[31]],Code12)</f>
        <v>0</v>
      </c>
      <c r="AV11" s="6">
        <f>COUNTIF(ParticipationJanvier1[[#This Row],[1]:[31]],Code13)</f>
        <v>0</v>
      </c>
      <c r="AW11" s="6">
        <f>COUNTIF(ParticipationJanvier1[[#This Row],[1]:[31]],Code14)</f>
        <v>0</v>
      </c>
      <c r="AX11" s="6">
        <f>COUNTIF(ParticipationJanvier1[[#This Row],[1]:[31]],Code15)</f>
        <v>1</v>
      </c>
      <c r="AY11" s="6">
        <f>COUNTIF(ParticipationJanvier1[[#This Row],[1]:[31]],Code16)</f>
        <v>0</v>
      </c>
      <c r="AZ11" s="6">
        <f>COUNTIF(ParticipationJanvier1[[#This Row],[1]:[31]],Code17)</f>
        <v>0</v>
      </c>
      <c r="BA11" s="6">
        <f>COUNTIF(ParticipationJanvier1[[#This Row],[1]:[31]],Code25)</f>
        <v>0</v>
      </c>
      <c r="BB11" s="6">
        <f>COUNTIF(ParticipationJanvier1[[#This Row],[1]:[31]],Code26)</f>
        <v>0</v>
      </c>
      <c r="BC11" s="6">
        <f>COUNTIF(ParticipationJanvier1[[#This Row],[1]:[31]],Code27)</f>
        <v>0</v>
      </c>
      <c r="BD11" s="6">
        <f>COUNTIF(ParticipationJanvier1[[#This Row],[1]:[31]],Code28)</f>
        <v>0</v>
      </c>
      <c r="BE11" s="6">
        <f>COUNTIF(ParticipationJanvier1[[#This Row],[1]:[31]],code30)</f>
        <v>0</v>
      </c>
      <c r="BF11" s="6">
        <f>COUNTIF(ParticipationJanvier1[[#This Row],[1]:[31]],Code31)</f>
        <v>0</v>
      </c>
      <c r="BG11" s="6">
        <f>COUNTIF(ParticipationJanvier1[[#This Row],[1]:[31]],code21)</f>
        <v>1</v>
      </c>
      <c r="BH11" s="6">
        <f>COUNTIF(ParticipationJanvier1[[#This Row],[1]:[31]],Code24)</f>
        <v>0</v>
      </c>
      <c r="BI11" s="6">
        <f>COUNTIF(ParticipationJanvier1[[#This Row],[1]:[31]],code18)</f>
        <v>0</v>
      </c>
      <c r="BJ11" s="6">
        <f>COUNTIF(ParticipationJanvier1[[#This Row],[1]:[31]],code19)</f>
        <v>0</v>
      </c>
      <c r="BK11" s="6">
        <f>COUNTIF(ParticipationJanvier1[[#This Row],[1]:[31]],code20)</f>
        <v>0</v>
      </c>
      <c r="BL11" s="182">
        <f>COUNTIF(ParticipationJanvier1[[#This Row],[1]:[31]],code29)</f>
        <v>0</v>
      </c>
      <c r="BM11" s="297">
        <v>3</v>
      </c>
      <c r="BN11" s="297"/>
      <c r="BO11" s="297"/>
      <c r="BP11" s="297"/>
      <c r="BQ11" s="297"/>
      <c r="BR11" s="297"/>
      <c r="BS11" s="297"/>
      <c r="BT11" s="297"/>
      <c r="BU11" s="297"/>
      <c r="BV11" s="297"/>
      <c r="BW11" s="297"/>
      <c r="BX11" s="297"/>
      <c r="BY11" s="297"/>
      <c r="BZ11" s="297"/>
      <c r="CA11" s="297"/>
      <c r="CB11" s="297"/>
      <c r="CC11" s="297"/>
      <c r="CD11" s="297"/>
      <c r="CE11" s="297"/>
      <c r="CF11" s="297"/>
      <c r="CG11" s="297">
        <v>1</v>
      </c>
      <c r="CH11" s="297"/>
      <c r="CI11" s="297"/>
      <c r="CJ11" s="297"/>
      <c r="CK11" s="297"/>
      <c r="CL11" s="297"/>
      <c r="CM11" s="297"/>
      <c r="CN11" s="297"/>
      <c r="CO11" s="297"/>
      <c r="CP11" s="297"/>
      <c r="CQ11" s="297"/>
      <c r="CR11" s="297"/>
      <c r="CS11" s="297"/>
      <c r="CT11" s="297"/>
      <c r="CU11" s="300"/>
      <c r="CV11" s="165">
        <f t="shared" ref="CV11:CV121" si="0">SUM((AH11*1)+(AI11*1.5)+(AJ11*2)+(AK11*3)+(AP11*5)+(AQ11*6)+(AR11*7)+(AU11*2)+(AX11*3)+(AY11*4)+(BA11*5)+(BB11*3)+(BC11*2)+(BG11*2)+(AZ11*2)+(BD11*2))</f>
        <v>8</v>
      </c>
      <c r="CW11" s="165">
        <f t="shared" ref="CW11:CW66" si="1">SUM((AN11*1)+(AM11*2)+(AO11*3)+(AP11*4)+(AT11*5)+(AU11*7)+(AV11*7)+(AW11*7)+(AX11*4)+(AY11*3)+(BA11*2)+(BC11*4)+(BB11*1)+(BG11*2)+(AZ11*5)+(BD11*1))</f>
        <v>6</v>
      </c>
      <c r="CX11" s="250">
        <f t="shared" ref="CX11:CX121" si="2">BH11*1</f>
        <v>0</v>
      </c>
      <c r="CY11" s="184">
        <f>SUM((BI11*7)+(BJ11*10)+(BK11*12))</f>
        <v>0</v>
      </c>
    </row>
    <row r="12" spans="1:104">
      <c r="A12" s="534" t="s">
        <v>72</v>
      </c>
      <c r="B12" s="517" t="str">
        <f>IFERROR(VLOOKUP(ParticipationJanvier1[[#This Row],[Référence]],ListeÉtudiants1[],18,FALSE),"")</f>
        <v>ABOSI MAIWENN</v>
      </c>
      <c r="C12" s="19"/>
      <c r="D12" s="19"/>
      <c r="E12" s="19"/>
      <c r="F12" s="19"/>
      <c r="G12" s="518"/>
      <c r="H12" s="19"/>
      <c r="I12" s="518"/>
      <c r="J12" s="19"/>
      <c r="K12" s="518"/>
      <c r="L12" s="19"/>
      <c r="M12" s="518"/>
      <c r="N12" s="19"/>
      <c r="O12" s="518"/>
      <c r="P12" s="19"/>
      <c r="Q12" s="518"/>
      <c r="R12" s="19"/>
      <c r="S12" s="518"/>
      <c r="T12" s="19"/>
      <c r="U12" s="518"/>
      <c r="W12" s="518"/>
      <c r="X12" s="19"/>
      <c r="Y12" s="518"/>
      <c r="Z12" s="19"/>
      <c r="AA12" s="518"/>
      <c r="AB12" s="19"/>
      <c r="AC12" s="518"/>
      <c r="AD12" s="19"/>
      <c r="AE12" s="518"/>
      <c r="AF12" s="19"/>
      <c r="AG12" s="519"/>
      <c r="AH12" s="475">
        <f>COUNTIF(ParticipationJanvier1[[#This Row],[1]:[31]],Code1)</f>
        <v>0</v>
      </c>
      <c r="AI12" s="518">
        <f>COUNTIF(ParticipationJanvier1[[#This Row],[1]:[31]],code22)</f>
        <v>0</v>
      </c>
      <c r="AJ12" s="473">
        <f>COUNTIF(ParticipationJanvier1[[#This Row],[1]:[31]],Code2)</f>
        <v>0</v>
      </c>
      <c r="AK12" s="520">
        <f>COUNTIF(ParticipationJanvier1[[#This Row],[1]:[31]],Code3)</f>
        <v>0</v>
      </c>
      <c r="AL12" s="473">
        <f>COUNTIF(ParticipationJanvier1[[#This Row],[1]:[31]],Code4)</f>
        <v>0</v>
      </c>
      <c r="AM12" s="520">
        <f>COUNTIF(ParticipationJanvier1[[#This Row],[1]:[31]],Code5)</f>
        <v>0</v>
      </c>
      <c r="AN12" s="30">
        <f>COUNTIF(ParticipationJanvier1[[#This Row],[1]:[31]],Code23)</f>
        <v>0</v>
      </c>
      <c r="AO12" s="473">
        <f>COUNTIF(ParticipationJanvier1[[#This Row],[1]:[31]],Code6)</f>
        <v>0</v>
      </c>
      <c r="AP12" s="30">
        <f>COUNTIF(ParticipationJanvier1[[#This Row],[1]:[31]],Code7)</f>
        <v>0</v>
      </c>
      <c r="AQ12" s="30">
        <f>COUNTIF(ParticipationJanvier1[[#This Row],[1]:[31]],Code8)</f>
        <v>0</v>
      </c>
      <c r="AR12" s="30">
        <f>COUNTIF(ParticipationJanvier1[[#This Row],[1]:[31]],Code9)</f>
        <v>0</v>
      </c>
      <c r="AS12" s="473">
        <f>COUNTIF(ParticipationJanvier1[[#This Row],[1]:[31]],Code10)</f>
        <v>0</v>
      </c>
      <c r="AT12" s="473">
        <f>COUNTIF(ParticipationJanvier1[[#This Row],[1]:[31]],Code11)</f>
        <v>0</v>
      </c>
      <c r="AU12" s="473">
        <f>COUNTIF(ParticipationJanvier1[[#This Row],[1]:[31]],Code12)</f>
        <v>0</v>
      </c>
      <c r="AV12" s="473">
        <f>COUNTIF(ParticipationJanvier1[[#This Row],[1]:[31]],Code13)</f>
        <v>0</v>
      </c>
      <c r="AW12" s="473">
        <f>COUNTIF(ParticipationJanvier1[[#This Row],[1]:[31]],Code14)</f>
        <v>0</v>
      </c>
      <c r="AX12" s="473">
        <f>COUNTIF(ParticipationJanvier1[[#This Row],[1]:[31]],Code15)</f>
        <v>0</v>
      </c>
      <c r="AY12" s="473">
        <f>COUNTIF(ParticipationJanvier1[[#This Row],[1]:[31]],Code16)</f>
        <v>0</v>
      </c>
      <c r="AZ12" s="473">
        <f>COUNTIF(ParticipationJanvier1[[#This Row],[1]:[31]],Code17)</f>
        <v>0</v>
      </c>
      <c r="BA12" s="475">
        <f>COUNTIF(ParticipationJanvier1[[#This Row],[1]:[31]],Code25)</f>
        <v>0</v>
      </c>
      <c r="BB12" s="475">
        <f>COUNTIF(ParticipationJanvier1[[#This Row],[1]:[31]],Code26)</f>
        <v>0</v>
      </c>
      <c r="BC12" s="475">
        <f>COUNTIF(ParticipationJanvier1[[#This Row],[1]:[31]],Code27)</f>
        <v>0</v>
      </c>
      <c r="BD12" s="475">
        <f>COUNTIF(ParticipationJanvier1[[#This Row],[1]:[31]],Code28)</f>
        <v>0</v>
      </c>
      <c r="BE12" s="475">
        <f>COUNTIF(ParticipationJanvier1[[#This Row],[1]:[31]],code30)</f>
        <v>0</v>
      </c>
      <c r="BF12" s="475">
        <f>COUNTIF(ParticipationJanvier1[[#This Row],[1]:[31]],Code31)</f>
        <v>0</v>
      </c>
      <c r="BG12" s="473">
        <f>COUNTIF(ParticipationJanvier1[[#This Row],[1]:[31]],code21)</f>
        <v>0</v>
      </c>
      <c r="BH12" s="473">
        <f>COUNTIF(ParticipationJanvier1[[#This Row],[1]:[31]],Code24)</f>
        <v>0</v>
      </c>
      <c r="BI12" s="473">
        <f>COUNTIF(ParticipationJanvier1[[#This Row],[1]:[31]],code18)</f>
        <v>0</v>
      </c>
      <c r="BJ12" s="473">
        <f>COUNTIF(ParticipationJanvier1[[#This Row],[1]:[31]],code19)</f>
        <v>0</v>
      </c>
      <c r="BK12" s="473">
        <f>COUNTIF(ParticipationJanvier1[[#This Row],[1]:[31]],code20)</f>
        <v>0</v>
      </c>
      <c r="BL12" s="476">
        <f>COUNTIF(ParticipationJanvier1[[#This Row],[1]:[31]],code29)</f>
        <v>0</v>
      </c>
      <c r="BM12" s="472">
        <f>SUM((AH12*1)+(AI16*1.5)+(AJ12*2)+(AK12*3)+(AL12*4)+(AQ12*5)+(AR12*6)+(AS12*7)+(AW12*2)+(AX12*3)+(AY12*4)+(AZ12*5)+(BG12*2))</f>
        <v>0</v>
      </c>
      <c r="BN12" s="472"/>
      <c r="BO12" s="472"/>
      <c r="BP12" s="472"/>
      <c r="BQ12" s="472"/>
      <c r="BR12" s="473"/>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2"/>
      <c r="CU12" s="516">
        <f>SUM((AN12*1)+(AM12*2)+(AO12*3)+(AP12*4)+(AT12*5)+(AU12*7)+(AV12*7)+(AW12*7)+(AX12*4)+(AY12*3)+(BA12*2)+(BC12*4)+(BB12*1)+(BG12*2)+(AZ12*5)+(BD12*1))</f>
        <v>0</v>
      </c>
      <c r="CV12" s="521">
        <f>SUM((AH12*1)+(AI12*1.5)+(AJ12*2)+(AK12*3)+(AP12*5)+(AQ12*6)+(AR12*7)+(AU12*2)+(AX12*3)+(AY12*4)+(BA12*5)+(BB12*3)+(BC12*2)+(BG12*2)+(AZ12*2)+(BD12*2))</f>
        <v>0</v>
      </c>
      <c r="CW12" s="522">
        <f>SUM((AN12*1)+(AM12*2)+(AO12*3)+(AP12*4)+(AT12*5)+(AU12*7)+(AV12*7)+(AW12*7)+(AX12*4)+(AY12*3)+(BA12*2)+(BC12*4)+(BB12*1)+(BG12*2)+(AZ12*5)+(BD12*1))</f>
        <v>0</v>
      </c>
      <c r="CX12" s="523">
        <f>BH12*1</f>
        <v>0</v>
      </c>
      <c r="CY12" s="512"/>
    </row>
    <row r="13" spans="1:104">
      <c r="A13" s="510" t="s">
        <v>73</v>
      </c>
      <c r="B13" s="517" t="str">
        <f>IFERROR(VLOOKUP(ParticipationJanvier1[[#This Row],[Référence]],ListeÉtudiants1[],18,FALSE),"")</f>
        <v>AFKIR SOUMIA</v>
      </c>
      <c r="C13" s="19"/>
      <c r="D13" s="19"/>
      <c r="E13" s="19"/>
      <c r="F13" s="19"/>
      <c r="G13" s="518"/>
      <c r="H13" s="19"/>
      <c r="I13" s="518"/>
      <c r="J13" s="19"/>
      <c r="K13" s="518"/>
      <c r="L13" s="19"/>
      <c r="M13" s="518"/>
      <c r="N13" s="19"/>
      <c r="O13" s="518"/>
      <c r="P13" s="19"/>
      <c r="Q13" s="518"/>
      <c r="R13" s="19"/>
      <c r="S13" s="518"/>
      <c r="T13" s="19"/>
      <c r="U13" s="518"/>
      <c r="W13" s="518"/>
      <c r="X13" s="19"/>
      <c r="Y13" s="518"/>
      <c r="Z13" s="19"/>
      <c r="AA13" s="518"/>
      <c r="AB13" s="19"/>
      <c r="AC13" s="518"/>
      <c r="AD13" s="19"/>
      <c r="AE13" s="518"/>
      <c r="AF13" s="19"/>
      <c r="AG13" s="519"/>
      <c r="AH13" s="475">
        <f>COUNTIF(ParticipationJanvier1[[#This Row],[1]:[31]],Code1)</f>
        <v>0</v>
      </c>
      <c r="AI13" s="518">
        <f>COUNTIF(ParticipationJanvier1[[#This Row],[1]:[31]],code22)</f>
        <v>0</v>
      </c>
      <c r="AJ13" s="473">
        <f>COUNTIF(ParticipationJanvier1[[#This Row],[1]:[31]],Code2)</f>
        <v>0</v>
      </c>
      <c r="AK13" s="520">
        <f>COUNTIF(ParticipationJanvier1[[#This Row],[1]:[31]],Code3)</f>
        <v>0</v>
      </c>
      <c r="AL13" s="473">
        <f>COUNTIF(ParticipationJanvier1[[#This Row],[1]:[31]],Code4)</f>
        <v>0</v>
      </c>
      <c r="AM13" s="520">
        <f>COUNTIF(ParticipationJanvier1[[#This Row],[1]:[31]],Code5)</f>
        <v>0</v>
      </c>
      <c r="AN13" s="30">
        <f>COUNTIF(ParticipationJanvier1[[#This Row],[1]:[31]],Code23)</f>
        <v>0</v>
      </c>
      <c r="AO13" s="473">
        <f>COUNTIF(ParticipationJanvier1[[#This Row],[1]:[31]],Code6)</f>
        <v>0</v>
      </c>
      <c r="AP13" s="30">
        <f>COUNTIF(ParticipationJanvier1[[#This Row],[1]:[31]],Code7)</f>
        <v>0</v>
      </c>
      <c r="AQ13" s="30">
        <f>COUNTIF(ParticipationJanvier1[[#This Row],[1]:[31]],Code8)</f>
        <v>0</v>
      </c>
      <c r="AR13" s="30">
        <f>COUNTIF(ParticipationJanvier1[[#This Row],[1]:[31]],Code9)</f>
        <v>0</v>
      </c>
      <c r="AS13" s="473">
        <f>COUNTIF(ParticipationJanvier1[[#This Row],[1]:[31]],Code10)</f>
        <v>0</v>
      </c>
      <c r="AT13" s="473">
        <f>COUNTIF(ParticipationJanvier1[[#This Row],[1]:[31]],Code11)</f>
        <v>0</v>
      </c>
      <c r="AU13" s="473">
        <f>COUNTIF(ParticipationJanvier1[[#This Row],[1]:[31]],Code12)</f>
        <v>0</v>
      </c>
      <c r="AV13" s="473">
        <f>COUNTIF(ParticipationJanvier1[[#This Row],[1]:[31]],Code13)</f>
        <v>0</v>
      </c>
      <c r="AW13" s="473">
        <f>COUNTIF(ParticipationJanvier1[[#This Row],[1]:[31]],Code14)</f>
        <v>0</v>
      </c>
      <c r="AX13" s="473">
        <f>COUNTIF(ParticipationJanvier1[[#This Row],[1]:[31]],Code15)</f>
        <v>0</v>
      </c>
      <c r="AY13" s="473">
        <f>COUNTIF(ParticipationJanvier1[[#This Row],[1]:[31]],Code16)</f>
        <v>0</v>
      </c>
      <c r="AZ13" s="473">
        <f>COUNTIF(ParticipationJanvier1[[#This Row],[1]:[31]],Code17)</f>
        <v>0</v>
      </c>
      <c r="BA13" s="475">
        <f>COUNTIF(ParticipationJanvier1[[#This Row],[1]:[31]],Code25)</f>
        <v>0</v>
      </c>
      <c r="BB13" s="475">
        <f>COUNTIF(ParticipationJanvier1[[#This Row],[1]:[31]],Code26)</f>
        <v>0</v>
      </c>
      <c r="BC13" s="475">
        <f>COUNTIF(ParticipationJanvier1[[#This Row],[1]:[31]],Code27)</f>
        <v>0</v>
      </c>
      <c r="BD13" s="475">
        <f>COUNTIF(ParticipationJanvier1[[#This Row],[1]:[31]],Code28)</f>
        <v>0</v>
      </c>
      <c r="BE13" s="475">
        <f>COUNTIF(ParticipationJanvier1[[#This Row],[1]:[31]],code30)</f>
        <v>0</v>
      </c>
      <c r="BF13" s="475">
        <f>COUNTIF(ParticipationJanvier1[[#This Row],[1]:[31]],Code31)</f>
        <v>0</v>
      </c>
      <c r="BG13" s="473">
        <f>COUNTIF(ParticipationJanvier1[[#This Row],[1]:[31]],code21)</f>
        <v>0</v>
      </c>
      <c r="BH13" s="473">
        <f>COUNTIF(ParticipationJanvier1[[#This Row],[1]:[31]],Code24)</f>
        <v>0</v>
      </c>
      <c r="BI13" s="473">
        <f>COUNTIF(ParticipationJanvier1[[#This Row],[1]:[31]],code18)</f>
        <v>0</v>
      </c>
      <c r="BJ13" s="473">
        <f>COUNTIF(ParticipationJanvier1[[#This Row],[1]:[31]],code19)</f>
        <v>0</v>
      </c>
      <c r="BK13" s="473">
        <f>COUNTIF(ParticipationJanvier1[[#This Row],[1]:[31]],code20)</f>
        <v>0</v>
      </c>
      <c r="BL13" s="476">
        <f>COUNTIF(ParticipationJanvier1[[#This Row],[1]:[31]],code29)</f>
        <v>0</v>
      </c>
      <c r="BM13" s="472">
        <f>SUM((AH13*1)+(AI16*1.5)+(AJ13*2)+(AK13*3)+(AL13*4)+(AQ13*5)+(AR13*6)+(AS13*7)+(AW13*2)+(AX13*3)+(AY13*4)+(AZ13*5)+(BG13*2))</f>
        <v>0</v>
      </c>
      <c r="BN13" s="472"/>
      <c r="BO13" s="472"/>
      <c r="BP13" s="472"/>
      <c r="BQ13" s="472"/>
      <c r="BR13" s="473"/>
      <c r="BS13" s="472"/>
      <c r="BT13" s="472"/>
      <c r="BU13" s="472"/>
      <c r="BV13" s="472"/>
      <c r="BW13" s="472"/>
      <c r="BX13" s="472"/>
      <c r="BY13" s="472"/>
      <c r="BZ13" s="472"/>
      <c r="CA13" s="472"/>
      <c r="CB13" s="472"/>
      <c r="CC13" s="472"/>
      <c r="CD13" s="472"/>
      <c r="CE13" s="472"/>
      <c r="CF13" s="472"/>
      <c r="CG13" s="472"/>
      <c r="CH13" s="472"/>
      <c r="CI13" s="472"/>
      <c r="CJ13" s="472"/>
      <c r="CK13" s="472"/>
      <c r="CL13" s="472"/>
      <c r="CM13" s="472"/>
      <c r="CN13" s="472"/>
      <c r="CO13" s="472"/>
      <c r="CP13" s="472"/>
      <c r="CQ13" s="472"/>
      <c r="CR13" s="472"/>
      <c r="CS13" s="472"/>
      <c r="CT13" s="472"/>
      <c r="CU13" s="516">
        <f>SUM((AN13*1)+(AM13*2)+(AO13*3)+(AP13*4)+(AT13*5)+(AU13*7)+(AV13*7)+(AW13*7)+(AX13*4)+(AY13*3)+(BA13*2)+(BC13*4)+(BB13*1)+(BG13*2)+(AZ13*5)+(BD13*1))</f>
        <v>0</v>
      </c>
      <c r="CV13" s="521">
        <f>SUM((AH13*1)+(AI13*1.5)+(AJ13*2)+(AK13*3)+(AP13*5)+(AQ13*6)+(AR13*7)+(AU13*2)+(AX13*3)+(AY13*4)+(BA13*5)+(BB13*3)+(BC13*2)+(BG13*2)+(AZ13*2)+(BD13*2))</f>
        <v>0</v>
      </c>
      <c r="CW13" s="522">
        <f>SUM((AN13*1)+(AM13*2)+(AO13*3)+(AP13*4)+(AT13*5)+(AU13*7)+(AV13*7)+(AW13*7)+(AX13*4)+(AY13*3)+(BA13*2)+(BC13*4)+(BB13*1)+(BG13*2)+(AZ13*5)+(BD13*1))</f>
        <v>0</v>
      </c>
      <c r="CX13" s="523">
        <f>BH13*1</f>
        <v>0</v>
      </c>
      <c r="CY13" s="512"/>
    </row>
    <row r="14" spans="1:104">
      <c r="A14" s="534" t="s">
        <v>74</v>
      </c>
      <c r="B14" s="517" t="str">
        <f>IFERROR(VLOOKUP(ParticipationJanvier1[[#This Row],[Référence]],ListeÉtudiants1[],18,FALSE),"")</f>
        <v>AFRICA NADINE</v>
      </c>
      <c r="C14" s="19"/>
      <c r="D14" s="19"/>
      <c r="E14" s="19"/>
      <c r="F14" s="19"/>
      <c r="G14" s="518"/>
      <c r="H14" s="19"/>
      <c r="I14" s="518"/>
      <c r="J14" s="19"/>
      <c r="K14" s="518"/>
      <c r="L14" s="19"/>
      <c r="M14" s="518"/>
      <c r="N14" s="19"/>
      <c r="O14" s="518"/>
      <c r="P14" s="19"/>
      <c r="Q14" s="518"/>
      <c r="R14" s="19"/>
      <c r="S14" s="518"/>
      <c r="T14" s="19"/>
      <c r="U14" s="518"/>
      <c r="W14" s="518"/>
      <c r="X14" s="19"/>
      <c r="Y14" s="518"/>
      <c r="Z14" s="19"/>
      <c r="AA14" s="518"/>
      <c r="AB14" s="19"/>
      <c r="AC14" s="518"/>
      <c r="AD14" s="19"/>
      <c r="AE14" s="518"/>
      <c r="AF14" s="19"/>
      <c r="AG14" s="519"/>
      <c r="AH14" s="475">
        <f>COUNTIF(ParticipationJanvier1[[#This Row],[1]:[31]],Code1)</f>
        <v>0</v>
      </c>
      <c r="AI14" s="518">
        <f>COUNTIF(ParticipationJanvier1[[#This Row],[1]:[31]],code22)</f>
        <v>0</v>
      </c>
      <c r="AJ14" s="473">
        <f>COUNTIF(ParticipationJanvier1[[#This Row],[1]:[31]],Code2)</f>
        <v>0</v>
      </c>
      <c r="AK14" s="520">
        <f>COUNTIF(ParticipationJanvier1[[#This Row],[1]:[31]],Code3)</f>
        <v>0</v>
      </c>
      <c r="AL14" s="473">
        <f>COUNTIF(ParticipationJanvier1[[#This Row],[1]:[31]],Code4)</f>
        <v>0</v>
      </c>
      <c r="AM14" s="520">
        <f>COUNTIF(ParticipationJanvier1[[#This Row],[1]:[31]],Code5)</f>
        <v>0</v>
      </c>
      <c r="AN14" s="30">
        <f>COUNTIF(ParticipationJanvier1[[#This Row],[1]:[31]],Code23)</f>
        <v>0</v>
      </c>
      <c r="AO14" s="473">
        <f>COUNTIF(ParticipationJanvier1[[#This Row],[1]:[31]],Code6)</f>
        <v>0</v>
      </c>
      <c r="AP14" s="30">
        <f>COUNTIF(ParticipationJanvier1[[#This Row],[1]:[31]],Code7)</f>
        <v>0</v>
      </c>
      <c r="AQ14" s="30">
        <f>COUNTIF(ParticipationJanvier1[[#This Row],[1]:[31]],Code8)</f>
        <v>0</v>
      </c>
      <c r="AR14" s="30">
        <f>COUNTIF(ParticipationJanvier1[[#This Row],[1]:[31]],Code9)</f>
        <v>0</v>
      </c>
      <c r="AS14" s="473">
        <f>COUNTIF(ParticipationJanvier1[[#This Row],[1]:[31]],Code10)</f>
        <v>0</v>
      </c>
      <c r="AT14" s="473">
        <f>COUNTIF(ParticipationJanvier1[[#This Row],[1]:[31]],Code11)</f>
        <v>0</v>
      </c>
      <c r="AU14" s="473">
        <f>COUNTIF(ParticipationJanvier1[[#This Row],[1]:[31]],Code12)</f>
        <v>0</v>
      </c>
      <c r="AV14" s="473">
        <f>COUNTIF(ParticipationJanvier1[[#This Row],[1]:[31]],Code13)</f>
        <v>0</v>
      </c>
      <c r="AW14" s="473">
        <f>COUNTIF(ParticipationJanvier1[[#This Row],[1]:[31]],Code14)</f>
        <v>0</v>
      </c>
      <c r="AX14" s="473">
        <f>COUNTIF(ParticipationJanvier1[[#This Row],[1]:[31]],Code15)</f>
        <v>0</v>
      </c>
      <c r="AY14" s="473">
        <f>COUNTIF(ParticipationJanvier1[[#This Row],[1]:[31]],Code16)</f>
        <v>0</v>
      </c>
      <c r="AZ14" s="473">
        <f>COUNTIF(ParticipationJanvier1[[#This Row],[1]:[31]],Code17)</f>
        <v>0</v>
      </c>
      <c r="BA14" s="475">
        <f>COUNTIF(ParticipationJanvier1[[#This Row],[1]:[31]],Code25)</f>
        <v>0</v>
      </c>
      <c r="BB14" s="475">
        <f>COUNTIF(ParticipationJanvier1[[#This Row],[1]:[31]],Code26)</f>
        <v>0</v>
      </c>
      <c r="BC14" s="475">
        <f>COUNTIF(ParticipationJanvier1[[#This Row],[1]:[31]],Code27)</f>
        <v>0</v>
      </c>
      <c r="BD14" s="475">
        <f>COUNTIF(ParticipationJanvier1[[#This Row],[1]:[31]],Code28)</f>
        <v>0</v>
      </c>
      <c r="BE14" s="475">
        <f>COUNTIF(ParticipationJanvier1[[#This Row],[1]:[31]],code30)</f>
        <v>0</v>
      </c>
      <c r="BF14" s="475">
        <f>COUNTIF(ParticipationJanvier1[[#This Row],[1]:[31]],Code31)</f>
        <v>0</v>
      </c>
      <c r="BG14" s="473">
        <f>COUNTIF(ParticipationJanvier1[[#This Row],[1]:[31]],code21)</f>
        <v>0</v>
      </c>
      <c r="BH14" s="473">
        <f>COUNTIF(ParticipationJanvier1[[#This Row],[1]:[31]],Code24)</f>
        <v>0</v>
      </c>
      <c r="BI14" s="473">
        <f>COUNTIF(ParticipationJanvier1[[#This Row],[1]:[31]],code18)</f>
        <v>0</v>
      </c>
      <c r="BJ14" s="473">
        <f>COUNTIF(ParticipationJanvier1[[#This Row],[1]:[31]],code19)</f>
        <v>0</v>
      </c>
      <c r="BK14" s="473">
        <f>COUNTIF(ParticipationJanvier1[[#This Row],[1]:[31]],code20)</f>
        <v>0</v>
      </c>
      <c r="BL14" s="476">
        <f>COUNTIF(ParticipationJanvier1[[#This Row],[1]:[31]],code29)</f>
        <v>0</v>
      </c>
      <c r="BM14" s="472">
        <f>SUM((AH14*1)+(AI16*1.5)+(AJ14*2)+(AK14*3)+(AL14*4)+(AQ14*5)+(AR14*6)+(AS14*7)+(AW14*2)+(AX14*3)+(AY14*4)+(AZ14*5)+(BG14*2))</f>
        <v>0</v>
      </c>
      <c r="BN14" s="472"/>
      <c r="BO14" s="472"/>
      <c r="BP14" s="472"/>
      <c r="BQ14" s="472"/>
      <c r="BR14" s="473"/>
      <c r="BS14" s="472"/>
      <c r="BT14" s="472"/>
      <c r="BU14" s="472"/>
      <c r="BV14" s="472"/>
      <c r="BW14" s="472"/>
      <c r="BX14" s="472"/>
      <c r="BY14" s="472"/>
      <c r="BZ14" s="472"/>
      <c r="CA14" s="472"/>
      <c r="CB14" s="472"/>
      <c r="CC14" s="472"/>
      <c r="CD14" s="472"/>
      <c r="CE14" s="472"/>
      <c r="CF14" s="472"/>
      <c r="CG14" s="472"/>
      <c r="CH14" s="472"/>
      <c r="CI14" s="472"/>
      <c r="CJ14" s="472"/>
      <c r="CK14" s="472"/>
      <c r="CL14" s="472"/>
      <c r="CM14" s="472"/>
      <c r="CN14" s="472"/>
      <c r="CO14" s="472"/>
      <c r="CP14" s="472"/>
      <c r="CQ14" s="472"/>
      <c r="CR14" s="472"/>
      <c r="CS14" s="472"/>
      <c r="CT14" s="472"/>
      <c r="CU14" s="516">
        <f>SUM((AN14*1)+(AM14*2)+(AO14*3)+(AP14*4)+(AT14*5)+(AU14*7)+(AV14*7)+(AW14*7)+(AX14*4)+(AY14*3)+(BA14*2)+(BC14*4)+(BB14*1)+(BG14*2)+(AZ14*5)+(BD14*1))</f>
        <v>0</v>
      </c>
      <c r="CV14" s="521">
        <f>SUM((AH14*1)+(AI14*1.5)+(AJ14*2)+(AK14*3)+(AP14*5)+(AQ14*6)+(AR14*7)+(AU14*2)+(AX14*3)+(AY14*4)+(BA14*5)+(BB14*3)+(BC14*2)+(BG14*2)+(AZ14*2)+(BD14*2))</f>
        <v>0</v>
      </c>
      <c r="CW14" s="522">
        <f>SUM((AN14*1)+(AM14*2)+(AO14*3)+(AP14*4)+(AT14*5)+(AU14*7)+(AV14*7)+(AW14*7)+(AX14*4)+(AY14*3)+(BA14*2)+(BC14*4)+(BB14*1)+(BG14*2)+(AZ14*5)+(BD14*1))</f>
        <v>0</v>
      </c>
      <c r="CX14" s="523">
        <f>BH14*1</f>
        <v>0</v>
      </c>
      <c r="CY14" s="512"/>
    </row>
    <row r="15" spans="1:104">
      <c r="A15" s="510" t="s">
        <v>75</v>
      </c>
      <c r="B15" s="372" t="str">
        <f>IFERROR(VLOOKUP(ParticipationJanvier1[[#This Row],[Référence]],ListeÉtudiants1[],18,FALSE),"")</f>
        <v>AINAUD  MATHILDE</v>
      </c>
      <c r="C15" s="19"/>
      <c r="D15" s="19"/>
      <c r="E15" s="19"/>
      <c r="F15" s="19"/>
      <c r="G15" s="287"/>
      <c r="H15" s="19"/>
      <c r="I15" s="287"/>
      <c r="J15" s="19"/>
      <c r="K15" s="287"/>
      <c r="L15" s="19"/>
      <c r="M15" s="287"/>
      <c r="N15" s="19"/>
      <c r="O15" s="19"/>
      <c r="P15" s="19"/>
      <c r="Q15" s="19" t="s">
        <v>490</v>
      </c>
      <c r="R15" s="19" t="s">
        <v>106</v>
      </c>
      <c r="S15" s="19" t="s">
        <v>107</v>
      </c>
      <c r="T15" s="19"/>
      <c r="U15" s="287"/>
      <c r="W15" s="287"/>
      <c r="X15" s="19"/>
      <c r="Y15" s="287"/>
      <c r="Z15" s="19"/>
      <c r="AA15" s="287"/>
      <c r="AB15" s="19"/>
      <c r="AC15" s="287"/>
      <c r="AD15" s="19"/>
      <c r="AE15" s="287"/>
      <c r="AF15" s="19"/>
      <c r="AG15" s="296"/>
      <c r="AH15" s="6">
        <f>COUNTIF(ParticipationJanvier1[[#This Row],[1]:[31]],Code1)</f>
        <v>0</v>
      </c>
      <c r="AI15" s="6">
        <f>COUNTIF(ParticipationJanvier1[[#This Row],[1]:[31]],code22)</f>
        <v>0</v>
      </c>
      <c r="AJ15" s="6">
        <f>COUNTIF(ParticipationJanvier1[[#This Row],[1]:[31]],Code2)</f>
        <v>0</v>
      </c>
      <c r="AK15" s="6">
        <f>COUNTIF(ParticipationJanvier1[[#This Row],[1]:[31]],Code3)</f>
        <v>1</v>
      </c>
      <c r="AL15" s="6">
        <f>COUNTIF(ParticipationJanvier1[[#This Row],[1]:[31]],Code4)</f>
        <v>1</v>
      </c>
      <c r="AM15" s="6">
        <f>COUNTIF(ParticipationJanvier1[[#This Row],[1]:[31]],Code5)</f>
        <v>0</v>
      </c>
      <c r="AN15" s="6">
        <f>COUNTIF(ParticipationJanvier1[[#This Row],[1]:[31]],Code23)</f>
        <v>0</v>
      </c>
      <c r="AO15" s="6">
        <f>COUNTIF(ParticipationJanvier1[[#This Row],[1]:[31]],Code6)</f>
        <v>0</v>
      </c>
      <c r="AP15" s="6">
        <f>COUNTIF(ParticipationJanvier1[[#This Row],[1]:[31]],Code7)</f>
        <v>0</v>
      </c>
      <c r="AQ15" s="6">
        <f>COUNTIF(ParticipationJanvier1[[#This Row],[1]:[31]],Code8)</f>
        <v>0</v>
      </c>
      <c r="AR15" s="6">
        <f>COUNTIF(ParticipationJanvier1[[#This Row],[1]:[31]],Code9)</f>
        <v>0</v>
      </c>
      <c r="AS15" s="6">
        <f>COUNTIF(ParticipationJanvier1[[#This Row],[1]:[31]],Code10)</f>
        <v>0</v>
      </c>
      <c r="AT15" s="6">
        <f>COUNTIF(ParticipationJanvier1[[#This Row],[1]:[31]],Code11)</f>
        <v>0</v>
      </c>
      <c r="AU15" s="6">
        <f>COUNTIF(ParticipationJanvier1[[#This Row],[1]:[31]],Code12)</f>
        <v>0</v>
      </c>
      <c r="AV15" s="6">
        <f>COUNTIF(ParticipationJanvier1[[#This Row],[1]:[31]],Code13)</f>
        <v>0</v>
      </c>
      <c r="AW15" s="6">
        <f>COUNTIF(ParticipationJanvier1[[#This Row],[1]:[31]],Code14)</f>
        <v>0</v>
      </c>
      <c r="AX15" s="6">
        <f>COUNTIF(ParticipationJanvier1[[#This Row],[1]:[31]],Code15)</f>
        <v>1</v>
      </c>
      <c r="AY15" s="6">
        <f>COUNTIF(ParticipationJanvier1[[#This Row],[1]:[31]],Code16)</f>
        <v>0</v>
      </c>
      <c r="AZ15" s="6">
        <f>COUNTIF(ParticipationJanvier1[[#This Row],[1]:[31]],Code17)</f>
        <v>0</v>
      </c>
      <c r="BA15" s="6">
        <f>COUNTIF(ParticipationJanvier1[[#This Row],[1]:[31]],Code25)</f>
        <v>0</v>
      </c>
      <c r="BB15" s="6">
        <f>COUNTIF(ParticipationJanvier1[[#This Row],[1]:[31]],Code26)</f>
        <v>0</v>
      </c>
      <c r="BC15" s="6">
        <f>COUNTIF(ParticipationJanvier1[[#This Row],[1]:[31]],Code27)</f>
        <v>0</v>
      </c>
      <c r="BD15" s="6">
        <f>COUNTIF(ParticipationJanvier1[[#This Row],[1]:[31]],Code28)</f>
        <v>0</v>
      </c>
      <c r="BE15" s="6">
        <f>COUNTIF(ParticipationJanvier1[[#This Row],[1]:[31]],code30)</f>
        <v>0</v>
      </c>
      <c r="BF15" s="6">
        <f>COUNTIF(ParticipationJanvier1[[#This Row],[1]:[31]],Code31)</f>
        <v>0</v>
      </c>
      <c r="BG15" s="6">
        <f>COUNTIF(ParticipationJanvier1[[#This Row],[1]:[31]],code21)</f>
        <v>0</v>
      </c>
      <c r="BH15" s="6">
        <f>COUNTIF(ParticipationJanvier1[[#This Row],[1]:[31]],Code24)</f>
        <v>0</v>
      </c>
      <c r="BI15" s="6">
        <f>COUNTIF(ParticipationJanvier1[[#This Row],[1]:[31]],code18)</f>
        <v>0</v>
      </c>
      <c r="BJ15" s="6">
        <f>COUNTIF(ParticipationJanvier1[[#This Row],[1]:[31]],code19)</f>
        <v>0</v>
      </c>
      <c r="BK15" s="6">
        <f>COUNTIF(ParticipationJanvier1[[#This Row],[1]:[31]],code20)</f>
        <v>0</v>
      </c>
      <c r="BL15" s="182">
        <f>COUNTIF(ParticipationJanvier1[[#This Row],[1]:[31]],code29)</f>
        <v>0</v>
      </c>
      <c r="BM15" s="297">
        <v>3</v>
      </c>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c r="CT15" s="297"/>
      <c r="CU15" s="300"/>
      <c r="CV15" s="165">
        <f t="shared" si="0"/>
        <v>6</v>
      </c>
      <c r="CW15" s="165">
        <f t="shared" si="1"/>
        <v>4</v>
      </c>
      <c r="CX15" s="249">
        <f t="shared" si="2"/>
        <v>0</v>
      </c>
      <c r="CY15" s="170">
        <f t="shared" ref="CY15:CY44" si="3">SUM((BI15*7)+(BJ15*10)+(BK15*12))</f>
        <v>0</v>
      </c>
    </row>
    <row r="16" spans="1:104">
      <c r="A16" s="534" t="s">
        <v>357</v>
      </c>
      <c r="B16" s="372" t="str">
        <f>IFERROR(VLOOKUP(ParticipationJanvier1[[#This Row],[Référence]],ListeÉtudiants1[],18,FALSE),"")</f>
        <v>AIT CHALALET SELENA</v>
      </c>
      <c r="C16" s="19"/>
      <c r="D16" s="19"/>
      <c r="E16" s="19"/>
      <c r="F16" s="19"/>
      <c r="G16" s="287"/>
      <c r="H16" s="19"/>
      <c r="I16" s="287"/>
      <c r="J16" s="19"/>
      <c r="K16" s="287"/>
      <c r="L16" s="19"/>
      <c r="M16" s="287"/>
      <c r="N16" s="19" t="s">
        <v>35</v>
      </c>
      <c r="O16" s="19"/>
      <c r="P16" s="19"/>
      <c r="Q16" s="19" t="s">
        <v>109</v>
      </c>
      <c r="R16" s="19"/>
      <c r="S16" s="19"/>
      <c r="T16" s="19"/>
      <c r="U16" s="287"/>
      <c r="W16" s="287"/>
      <c r="X16" s="19"/>
      <c r="Y16" s="287"/>
      <c r="Z16" s="19"/>
      <c r="AA16" s="287"/>
      <c r="AB16" s="19"/>
      <c r="AC16" s="287"/>
      <c r="AD16" s="19"/>
      <c r="AE16" s="287"/>
      <c r="AF16" s="19"/>
      <c r="AG16" s="296"/>
      <c r="AH16" s="6">
        <f>COUNTIF(ParticipationJanvier1[[#This Row],[1]:[31]],Code1)</f>
        <v>0</v>
      </c>
      <c r="AI16" s="6">
        <f>COUNTIF(ParticipationJanvier1[[#This Row],[1]:[31]],code22)</f>
        <v>0</v>
      </c>
      <c r="AJ16" s="6">
        <f>COUNTIF(ParticipationJanvier1[[#This Row],[1]:[31]],Code2)</f>
        <v>0</v>
      </c>
      <c r="AK16" s="6">
        <f>COUNTIF(ParticipationJanvier1[[#This Row],[1]:[31]],Code3)</f>
        <v>0</v>
      </c>
      <c r="AL16" s="6">
        <f>COUNTIF(ParticipationJanvier1[[#This Row],[1]:[31]],Code4)</f>
        <v>0</v>
      </c>
      <c r="AM16" s="6">
        <f>COUNTIF(ParticipationJanvier1[[#This Row],[1]:[31]],Code5)</f>
        <v>1</v>
      </c>
      <c r="AN16" s="6">
        <f>COUNTIF(ParticipationJanvier1[[#This Row],[1]:[31]],Code23)</f>
        <v>0</v>
      </c>
      <c r="AO16" s="6">
        <f>COUNTIF(ParticipationJanvier1[[#This Row],[1]:[31]],Code6)</f>
        <v>0</v>
      </c>
      <c r="AP16" s="6">
        <f>COUNTIF(ParticipationJanvier1[[#This Row],[1]:[31]],Code7)</f>
        <v>1</v>
      </c>
      <c r="AQ16" s="6">
        <f>COUNTIF(ParticipationJanvier1[[#This Row],[1]:[31]],Code8)</f>
        <v>0</v>
      </c>
      <c r="AR16" s="6">
        <f>COUNTIF(ParticipationJanvier1[[#This Row],[1]:[31]],Code9)</f>
        <v>0</v>
      </c>
      <c r="AS16" s="6">
        <f>COUNTIF(ParticipationJanvier1[[#This Row],[1]:[31]],Code10)</f>
        <v>0</v>
      </c>
      <c r="AT16" s="6">
        <f>COUNTIF(ParticipationJanvier1[[#This Row],[1]:[31]],Code11)</f>
        <v>0</v>
      </c>
      <c r="AU16" s="6">
        <f>COUNTIF(ParticipationJanvier1[[#This Row],[1]:[31]],Code12)</f>
        <v>0</v>
      </c>
      <c r="AV16" s="6">
        <f>COUNTIF(ParticipationJanvier1[[#This Row],[1]:[31]],Code13)</f>
        <v>0</v>
      </c>
      <c r="AW16" s="6">
        <f>COUNTIF(ParticipationJanvier1[[#This Row],[1]:[31]],Code14)</f>
        <v>0</v>
      </c>
      <c r="AX16" s="6">
        <f>COUNTIF(ParticipationJanvier1[[#This Row],[1]:[31]],Code15)</f>
        <v>0</v>
      </c>
      <c r="AY16" s="6">
        <f>COUNTIF(ParticipationJanvier1[[#This Row],[1]:[31]],Code16)</f>
        <v>0</v>
      </c>
      <c r="AZ16" s="6">
        <f>COUNTIF(ParticipationJanvier1[[#This Row],[1]:[31]],Code17)</f>
        <v>0</v>
      </c>
      <c r="BA16" s="6">
        <f>COUNTIF(ParticipationJanvier1[[#This Row],[1]:[31]],Code25)</f>
        <v>0</v>
      </c>
      <c r="BB16" s="6">
        <f>COUNTIF(ParticipationJanvier1[[#This Row],[1]:[31]],Code26)</f>
        <v>0</v>
      </c>
      <c r="BC16" s="6">
        <f>COUNTIF(ParticipationJanvier1[[#This Row],[1]:[31]],Code27)</f>
        <v>0</v>
      </c>
      <c r="BD16" s="6">
        <f>COUNTIF(ParticipationJanvier1[[#This Row],[1]:[31]],Code28)</f>
        <v>0</v>
      </c>
      <c r="BE16" s="6">
        <f>COUNTIF(ParticipationJanvier1[[#This Row],[1]:[31]],code30)</f>
        <v>0</v>
      </c>
      <c r="BF16" s="6">
        <f>COUNTIF(ParticipationJanvier1[[#This Row],[1]:[31]],Code31)</f>
        <v>0</v>
      </c>
      <c r="BG16" s="6">
        <f>COUNTIF(ParticipationJanvier1[[#This Row],[1]:[31]],code21)</f>
        <v>0</v>
      </c>
      <c r="BH16" s="6">
        <f>COUNTIF(ParticipationJanvier1[[#This Row],[1]:[31]],Code24)</f>
        <v>0</v>
      </c>
      <c r="BI16" s="6">
        <f>COUNTIF(ParticipationJanvier1[[#This Row],[1]:[31]],code18)</f>
        <v>0</v>
      </c>
      <c r="BJ16" s="6">
        <f>COUNTIF(ParticipationJanvier1[[#This Row],[1]:[31]],code19)</f>
        <v>0</v>
      </c>
      <c r="BK16" s="6">
        <f>COUNTIF(ParticipationJanvier1[[#This Row],[1]:[31]],code20)</f>
        <v>0</v>
      </c>
      <c r="BL16" s="182">
        <f>COUNTIF(ParticipationJanvier1[[#This Row],[1]:[31]],code29)</f>
        <v>0</v>
      </c>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c r="CT16" s="297"/>
      <c r="CU16" s="300"/>
      <c r="CV16" s="165">
        <f t="shared" si="0"/>
        <v>5</v>
      </c>
      <c r="CW16" s="165">
        <f t="shared" si="1"/>
        <v>6</v>
      </c>
      <c r="CX16" s="249">
        <f t="shared" si="2"/>
        <v>0</v>
      </c>
      <c r="CY16" s="170">
        <f t="shared" si="3"/>
        <v>0</v>
      </c>
    </row>
    <row r="17" spans="1:103">
      <c r="A17" s="534" t="s">
        <v>358</v>
      </c>
      <c r="B17" s="372" t="str">
        <f>IFERROR(VLOOKUP(ParticipationJanvier1[[#This Row],[Référence]],ListeÉtudiants1[],18,FALSE),"")</f>
        <v>AJINCA NATHAN</v>
      </c>
      <c r="C17" s="19"/>
      <c r="D17" s="19"/>
      <c r="E17" s="19"/>
      <c r="F17" s="19"/>
      <c r="G17" s="287"/>
      <c r="H17" s="19"/>
      <c r="I17" s="287"/>
      <c r="J17" s="19"/>
      <c r="K17" s="287"/>
      <c r="L17" s="19"/>
      <c r="M17" s="287"/>
      <c r="N17" s="19"/>
      <c r="O17" s="19"/>
      <c r="P17" s="19"/>
      <c r="Q17" s="19" t="s">
        <v>490</v>
      </c>
      <c r="R17" s="19" t="s">
        <v>106</v>
      </c>
      <c r="S17" s="19"/>
      <c r="T17" s="19"/>
      <c r="U17" s="287"/>
      <c r="W17" s="287"/>
      <c r="X17" s="19"/>
      <c r="Y17" s="287"/>
      <c r="Z17" s="19"/>
      <c r="AA17" s="287"/>
      <c r="AB17" s="19"/>
      <c r="AC17" s="287"/>
      <c r="AD17" s="19"/>
      <c r="AE17" s="287"/>
      <c r="AF17" s="19"/>
      <c r="AG17" s="296"/>
      <c r="AH17" s="6">
        <f>COUNTIF(ParticipationJanvier1[[#This Row],[1]:[31]],Code1)</f>
        <v>0</v>
      </c>
      <c r="AI17" s="6">
        <f>COUNTIF(ParticipationJanvier1[[#This Row],[1]:[31]],code22)</f>
        <v>0</v>
      </c>
      <c r="AJ17" s="6">
        <f>COUNTIF(ParticipationJanvier1[[#This Row],[1]:[31]],Code2)</f>
        <v>0</v>
      </c>
      <c r="AK17" s="6">
        <f>COUNTIF(ParticipationJanvier1[[#This Row],[1]:[31]],Code3)</f>
        <v>1</v>
      </c>
      <c r="AL17" s="6">
        <f>COUNTIF(ParticipationJanvier1[[#This Row],[1]:[31]],Code4)</f>
        <v>0</v>
      </c>
      <c r="AM17" s="6">
        <f>COUNTIF(ParticipationJanvier1[[#This Row],[1]:[31]],Code5)</f>
        <v>0</v>
      </c>
      <c r="AN17" s="6">
        <f>COUNTIF(ParticipationJanvier1[[#This Row],[1]:[31]],Code23)</f>
        <v>0</v>
      </c>
      <c r="AO17" s="6">
        <f>COUNTIF(ParticipationJanvier1[[#This Row],[1]:[31]],Code6)</f>
        <v>0</v>
      </c>
      <c r="AP17" s="6">
        <f>COUNTIF(ParticipationJanvier1[[#This Row],[1]:[31]],Code7)</f>
        <v>0</v>
      </c>
      <c r="AQ17" s="6">
        <f>COUNTIF(ParticipationJanvier1[[#This Row],[1]:[31]],Code8)</f>
        <v>0</v>
      </c>
      <c r="AR17" s="6">
        <f>COUNTIF(ParticipationJanvier1[[#This Row],[1]:[31]],Code9)</f>
        <v>0</v>
      </c>
      <c r="AS17" s="6">
        <f>COUNTIF(ParticipationJanvier1[[#This Row],[1]:[31]],Code10)</f>
        <v>0</v>
      </c>
      <c r="AT17" s="6">
        <f>COUNTIF(ParticipationJanvier1[[#This Row],[1]:[31]],Code11)</f>
        <v>0</v>
      </c>
      <c r="AU17" s="6">
        <f>COUNTIF(ParticipationJanvier1[[#This Row],[1]:[31]],Code12)</f>
        <v>0</v>
      </c>
      <c r="AV17" s="6">
        <f>COUNTIF(ParticipationJanvier1[[#This Row],[1]:[31]],Code13)</f>
        <v>0</v>
      </c>
      <c r="AW17" s="6">
        <f>COUNTIF(ParticipationJanvier1[[#This Row],[1]:[31]],Code14)</f>
        <v>0</v>
      </c>
      <c r="AX17" s="6">
        <f>COUNTIF(ParticipationJanvier1[[#This Row],[1]:[31]],Code15)</f>
        <v>1</v>
      </c>
      <c r="AY17" s="6">
        <f>COUNTIF(ParticipationJanvier1[[#This Row],[1]:[31]],Code16)</f>
        <v>0</v>
      </c>
      <c r="AZ17" s="6">
        <f>COUNTIF(ParticipationJanvier1[[#This Row],[1]:[31]],Code17)</f>
        <v>0</v>
      </c>
      <c r="BA17" s="6">
        <f>COUNTIF(ParticipationJanvier1[[#This Row],[1]:[31]],Code25)</f>
        <v>0</v>
      </c>
      <c r="BB17" s="6">
        <f>COUNTIF(ParticipationJanvier1[[#This Row],[1]:[31]],Code26)</f>
        <v>0</v>
      </c>
      <c r="BC17" s="6">
        <f>COUNTIF(ParticipationJanvier1[[#This Row],[1]:[31]],Code27)</f>
        <v>0</v>
      </c>
      <c r="BD17" s="6">
        <f>COUNTIF(ParticipationJanvier1[[#This Row],[1]:[31]],Code28)</f>
        <v>0</v>
      </c>
      <c r="BE17" s="6">
        <f>COUNTIF(ParticipationJanvier1[[#This Row],[1]:[31]],code30)</f>
        <v>0</v>
      </c>
      <c r="BF17" s="6">
        <f>COUNTIF(ParticipationJanvier1[[#This Row],[1]:[31]],Code31)</f>
        <v>0</v>
      </c>
      <c r="BG17" s="6">
        <f>COUNTIF(ParticipationJanvier1[[#This Row],[1]:[31]],code21)</f>
        <v>0</v>
      </c>
      <c r="BH17" s="6">
        <f>COUNTIF(ParticipationJanvier1[[#This Row],[1]:[31]],Code24)</f>
        <v>0</v>
      </c>
      <c r="BI17" s="6">
        <f>COUNTIF(ParticipationJanvier1[[#This Row],[1]:[31]],code18)</f>
        <v>0</v>
      </c>
      <c r="BJ17" s="6">
        <f>COUNTIF(ParticipationJanvier1[[#This Row],[1]:[31]],code19)</f>
        <v>0</v>
      </c>
      <c r="BK17" s="6">
        <f>COUNTIF(ParticipationJanvier1[[#This Row],[1]:[31]],code20)</f>
        <v>0</v>
      </c>
      <c r="BL17" s="182">
        <f>COUNTIF(ParticipationJanvier1[[#This Row],[1]:[31]],code29)</f>
        <v>0</v>
      </c>
      <c r="BM17" s="297">
        <v>2</v>
      </c>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300"/>
      <c r="CV17" s="165">
        <f t="shared" si="0"/>
        <v>6</v>
      </c>
      <c r="CW17" s="165">
        <f t="shared" si="1"/>
        <v>4</v>
      </c>
      <c r="CX17" s="249">
        <f t="shared" si="2"/>
        <v>0</v>
      </c>
      <c r="CY17" s="170">
        <f t="shared" si="3"/>
        <v>0</v>
      </c>
    </row>
    <row r="18" spans="1:103">
      <c r="A18" s="510" t="s">
        <v>359</v>
      </c>
      <c r="B18" s="372" t="str">
        <f>IFERROR(VLOOKUP(ParticipationJanvier1[[#This Row],[Référence]],ListeÉtudiants1[],18,FALSE),"")</f>
        <v>ALBINA IONA</v>
      </c>
      <c r="C18" s="19"/>
      <c r="D18" s="19"/>
      <c r="E18" s="19"/>
      <c r="F18" s="19"/>
      <c r="G18" s="518"/>
      <c r="H18" s="19"/>
      <c r="I18" s="518"/>
      <c r="J18" s="19"/>
      <c r="K18" s="518"/>
      <c r="L18" s="19"/>
      <c r="M18" s="518"/>
      <c r="N18" s="19"/>
      <c r="O18" s="518"/>
      <c r="P18" s="19"/>
      <c r="Q18" s="518"/>
      <c r="R18" s="19"/>
      <c r="S18" s="518"/>
      <c r="T18" s="19"/>
      <c r="U18" s="518"/>
      <c r="W18" s="518"/>
      <c r="X18" s="19"/>
      <c r="Y18" s="518"/>
      <c r="Z18" s="19"/>
      <c r="AA18" s="518"/>
      <c r="AB18" s="19"/>
      <c r="AC18" s="518"/>
      <c r="AD18" s="19"/>
      <c r="AE18" s="518"/>
      <c r="AF18" s="19"/>
      <c r="AG18" s="519"/>
      <c r="AH18" s="475">
        <f>COUNTIF(ParticipationJanvier1[[#This Row],[1]:[31]],Code1)</f>
        <v>0</v>
      </c>
      <c r="AI18" s="518">
        <f>COUNTIF(ParticipationJanvier1[[#This Row],[1]:[31]],code22)</f>
        <v>0</v>
      </c>
      <c r="AJ18" s="473">
        <f>COUNTIF(ParticipationJanvier1[[#This Row],[1]:[31]],Code2)</f>
        <v>0</v>
      </c>
      <c r="AK18" s="520">
        <f>COUNTIF(ParticipationJanvier1[[#This Row],[1]:[31]],Code3)</f>
        <v>0</v>
      </c>
      <c r="AL18" s="473">
        <f>COUNTIF(ParticipationJanvier1[[#This Row],[1]:[31]],Code4)</f>
        <v>0</v>
      </c>
      <c r="AM18" s="520">
        <f>COUNTIF(ParticipationJanvier1[[#This Row],[1]:[31]],Code5)</f>
        <v>0</v>
      </c>
      <c r="AN18" s="30">
        <f>COUNTIF(ParticipationJanvier1[[#This Row],[1]:[31]],Code23)</f>
        <v>0</v>
      </c>
      <c r="AO18" s="473">
        <f>COUNTIF(ParticipationJanvier1[[#This Row],[1]:[31]],Code6)</f>
        <v>0</v>
      </c>
      <c r="AP18" s="30">
        <f>COUNTIF(ParticipationJanvier1[[#This Row],[1]:[31]],Code7)</f>
        <v>0</v>
      </c>
      <c r="AQ18" s="30">
        <f>COUNTIF(ParticipationJanvier1[[#This Row],[1]:[31]],Code8)</f>
        <v>0</v>
      </c>
      <c r="AR18" s="30">
        <f>COUNTIF(ParticipationJanvier1[[#This Row],[1]:[31]],Code9)</f>
        <v>0</v>
      </c>
      <c r="AS18" s="473">
        <f>COUNTIF(ParticipationJanvier1[[#This Row],[1]:[31]],Code10)</f>
        <v>0</v>
      </c>
      <c r="AT18" s="473">
        <f>COUNTIF(ParticipationJanvier1[[#This Row],[1]:[31]],Code11)</f>
        <v>0</v>
      </c>
      <c r="AU18" s="473">
        <f>COUNTIF(ParticipationJanvier1[[#This Row],[1]:[31]],Code12)</f>
        <v>0</v>
      </c>
      <c r="AV18" s="473">
        <f>COUNTIF(ParticipationJanvier1[[#This Row],[1]:[31]],Code13)</f>
        <v>0</v>
      </c>
      <c r="AW18" s="473">
        <f>COUNTIF(ParticipationJanvier1[[#This Row],[1]:[31]],Code14)</f>
        <v>0</v>
      </c>
      <c r="AX18" s="473">
        <f>COUNTIF(ParticipationJanvier1[[#This Row],[1]:[31]],Code15)</f>
        <v>0</v>
      </c>
      <c r="AY18" s="473">
        <f>COUNTIF(ParticipationJanvier1[[#This Row],[1]:[31]],Code16)</f>
        <v>0</v>
      </c>
      <c r="AZ18" s="473">
        <f>COUNTIF(ParticipationJanvier1[[#This Row],[1]:[31]],Code17)</f>
        <v>0</v>
      </c>
      <c r="BA18" s="475">
        <f>COUNTIF(ParticipationJanvier1[[#This Row],[1]:[31]],Code25)</f>
        <v>0</v>
      </c>
      <c r="BB18" s="475">
        <f>COUNTIF(ParticipationJanvier1[[#This Row],[1]:[31]],Code26)</f>
        <v>0</v>
      </c>
      <c r="BC18" s="475">
        <f>COUNTIF(ParticipationJanvier1[[#This Row],[1]:[31]],Code27)</f>
        <v>0</v>
      </c>
      <c r="BD18" s="475">
        <f>COUNTIF(ParticipationJanvier1[[#This Row],[1]:[31]],Code28)</f>
        <v>0</v>
      </c>
      <c r="BE18" s="475">
        <f>COUNTIF(ParticipationJanvier1[[#This Row],[1]:[31]],code30)</f>
        <v>0</v>
      </c>
      <c r="BF18" s="475">
        <f>COUNTIF(ParticipationJanvier1[[#This Row],[1]:[31]],Code31)</f>
        <v>0</v>
      </c>
      <c r="BG18" s="473">
        <f>COUNTIF(ParticipationJanvier1[[#This Row],[1]:[31]],code21)</f>
        <v>0</v>
      </c>
      <c r="BH18" s="473">
        <f>COUNTIF(ParticipationJanvier1[[#This Row],[1]:[31]],Code24)</f>
        <v>0</v>
      </c>
      <c r="BI18" s="473">
        <f>COUNTIF(ParticipationJanvier1[[#This Row],[1]:[31]],code18)</f>
        <v>0</v>
      </c>
      <c r="BJ18" s="473">
        <f>COUNTIF(ParticipationJanvier1[[#This Row],[1]:[31]],code19)</f>
        <v>0</v>
      </c>
      <c r="BK18" s="473">
        <f>COUNTIF(ParticipationJanvier1[[#This Row],[1]:[31]],code20)</f>
        <v>0</v>
      </c>
      <c r="BL18" s="476">
        <f>COUNTIF(ParticipationJanvier1[[#This Row],[1]:[31]],code29)</f>
        <v>0</v>
      </c>
      <c r="BM18" s="472">
        <f>SUM((AH18*1)+(AI26*1.5)+(AJ18*2)+(AK18*3)+(AL18*4)+(AQ18*5)+(AR18*6)+(AS18*7)+(AW18*2)+(AX18*3)+(AY18*4)+(AZ18*5)+(BG18*2))</f>
        <v>0</v>
      </c>
      <c r="BN18" s="472"/>
      <c r="BO18" s="472"/>
      <c r="BP18" s="472"/>
      <c r="BQ18" s="472"/>
      <c r="BR18" s="473"/>
      <c r="BS18" s="473"/>
      <c r="BT18" s="472"/>
      <c r="BU18" s="472"/>
      <c r="BV18" s="472"/>
      <c r="BW18" s="472"/>
      <c r="BX18" s="472"/>
      <c r="BY18" s="472"/>
      <c r="BZ18" s="472"/>
      <c r="CA18" s="472"/>
      <c r="CB18" s="472"/>
      <c r="CC18" s="472"/>
      <c r="CD18" s="472"/>
      <c r="CE18" s="472"/>
      <c r="CF18" s="472"/>
      <c r="CG18" s="472"/>
      <c r="CH18" s="472"/>
      <c r="CI18" s="472"/>
      <c r="CJ18" s="472"/>
      <c r="CK18" s="472"/>
      <c r="CL18" s="472"/>
      <c r="CM18" s="472"/>
      <c r="CN18" s="472"/>
      <c r="CO18" s="472"/>
      <c r="CP18" s="472"/>
      <c r="CQ18" s="472"/>
      <c r="CR18" s="472"/>
      <c r="CS18" s="472"/>
      <c r="CT18" s="472"/>
      <c r="CU18" s="516">
        <f>SUM((AN18*1)+(AM18*2)+(AO18*3)+(AP18*4)+(AT18*5)+(AU18*7)+(AV18*7)+(AW18*7)+(AX18*4)+(AY18*3)+(BA18*2)+(BC18*4)+(BB18*1)+(BG18*2)+(AZ18*5)+(BD18*1))</f>
        <v>0</v>
      </c>
      <c r="CV18" s="521">
        <f>SUM((AH18*1)+(AI18*1.5)+(AJ18*2)+(AK18*3)+(AP18*5)+(AQ18*6)+(AR18*7)+(AU18*2)+(AX18*3)+(AY18*4)+(BA18*5)+(BB18*3)+(BC18*2)+(BG18*2)+(AZ18*2)+(BD18*2))</f>
        <v>0</v>
      </c>
      <c r="CW18" s="522">
        <f>SUM((AN18*1)+(AM18*2)+(AO18*3)+(AP18*4)+(AT18*5)+(AU18*7)+(AV18*7)+(AW18*7)+(AX18*4)+(AY18*3)+(BA18*2)+(BC18*4)+(BB18*1)+(BG18*2)+(AZ18*5)+(BD18*1))</f>
        <v>0</v>
      </c>
      <c r="CX18" s="523">
        <f>BH18*1</f>
        <v>0</v>
      </c>
      <c r="CY18" s="512"/>
    </row>
    <row r="19" spans="1:103">
      <c r="A19" s="534" t="s">
        <v>360</v>
      </c>
      <c r="B19" s="372" t="str">
        <f>IFERROR(VLOOKUP(ParticipationJanvier1[[#This Row],[Référence]],ListeÉtudiants1[],18,FALSE),"")</f>
        <v>ALCHEK MONA</v>
      </c>
      <c r="C19" s="19"/>
      <c r="D19" s="19"/>
      <c r="E19" s="19"/>
      <c r="F19" s="19"/>
      <c r="G19" s="287"/>
      <c r="H19" s="19"/>
      <c r="I19" s="287"/>
      <c r="J19" s="19"/>
      <c r="K19" s="287"/>
      <c r="L19" s="19"/>
      <c r="M19" s="287"/>
      <c r="N19" s="19"/>
      <c r="O19" s="19"/>
      <c r="P19" s="19"/>
      <c r="Q19" s="19" t="s">
        <v>108</v>
      </c>
      <c r="R19" s="19"/>
      <c r="S19" s="19"/>
      <c r="T19" s="19"/>
      <c r="U19" s="287"/>
      <c r="W19" s="287"/>
      <c r="X19" s="19"/>
      <c r="Y19" s="287"/>
      <c r="Z19" s="19"/>
      <c r="AA19" s="287"/>
      <c r="AB19" s="19"/>
      <c r="AC19" s="287"/>
      <c r="AD19" s="19"/>
      <c r="AE19" s="287"/>
      <c r="AF19" s="19"/>
      <c r="AG19" s="296"/>
      <c r="AH19" s="6">
        <f>COUNTIF(ParticipationJanvier1[[#This Row],[1]:[31]],Code1)</f>
        <v>0</v>
      </c>
      <c r="AI19" s="6">
        <f>COUNTIF(ParticipationJanvier1[[#This Row],[1]:[31]],code22)</f>
        <v>0</v>
      </c>
      <c r="AJ19" s="6">
        <f>COUNTIF(ParticipationJanvier1[[#This Row],[1]:[31]],Code2)</f>
        <v>0</v>
      </c>
      <c r="AK19" s="6">
        <f>COUNTIF(ParticipationJanvier1[[#This Row],[1]:[31]],Code3)</f>
        <v>0</v>
      </c>
      <c r="AL19" s="6">
        <f>COUNTIF(ParticipationJanvier1[[#This Row],[1]:[31]],Code4)</f>
        <v>0</v>
      </c>
      <c r="AM19" s="6">
        <f>COUNTIF(ParticipationJanvier1[[#This Row],[1]:[31]],Code5)</f>
        <v>0</v>
      </c>
      <c r="AN19" s="6">
        <f>COUNTIF(ParticipationJanvier1[[#This Row],[1]:[31]],Code23)</f>
        <v>0</v>
      </c>
      <c r="AO19" s="6">
        <f>COUNTIF(ParticipationJanvier1[[#This Row],[1]:[31]],Code6)</f>
        <v>1</v>
      </c>
      <c r="AP19" s="6">
        <f>COUNTIF(ParticipationJanvier1[[#This Row],[1]:[31]],Code7)</f>
        <v>0</v>
      </c>
      <c r="AQ19" s="6">
        <f>COUNTIF(ParticipationJanvier1[[#This Row],[1]:[31]],Code8)</f>
        <v>0</v>
      </c>
      <c r="AR19" s="6">
        <f>COUNTIF(ParticipationJanvier1[[#This Row],[1]:[31]],Code9)</f>
        <v>0</v>
      </c>
      <c r="AS19" s="6">
        <f>COUNTIF(ParticipationJanvier1[[#This Row],[1]:[31]],Code10)</f>
        <v>0</v>
      </c>
      <c r="AT19" s="6">
        <f>COUNTIF(ParticipationJanvier1[[#This Row],[1]:[31]],Code11)</f>
        <v>0</v>
      </c>
      <c r="AU19" s="6">
        <f>COUNTIF(ParticipationJanvier1[[#This Row],[1]:[31]],Code12)</f>
        <v>0</v>
      </c>
      <c r="AV19" s="6">
        <f>COUNTIF(ParticipationJanvier1[[#This Row],[1]:[31]],Code13)</f>
        <v>0</v>
      </c>
      <c r="AW19" s="6">
        <f>COUNTIF(ParticipationJanvier1[[#This Row],[1]:[31]],Code14)</f>
        <v>0</v>
      </c>
      <c r="AX19" s="6">
        <f>COUNTIF(ParticipationJanvier1[[#This Row],[1]:[31]],Code15)</f>
        <v>0</v>
      </c>
      <c r="AY19" s="6">
        <f>COUNTIF(ParticipationJanvier1[[#This Row],[1]:[31]],Code16)</f>
        <v>0</v>
      </c>
      <c r="AZ19" s="6">
        <f>COUNTIF(ParticipationJanvier1[[#This Row],[1]:[31]],Code17)</f>
        <v>0</v>
      </c>
      <c r="BA19" s="6">
        <f>COUNTIF(ParticipationJanvier1[[#This Row],[1]:[31]],Code25)</f>
        <v>0</v>
      </c>
      <c r="BB19" s="6">
        <f>COUNTIF(ParticipationJanvier1[[#This Row],[1]:[31]],Code26)</f>
        <v>0</v>
      </c>
      <c r="BC19" s="6">
        <f>COUNTIF(ParticipationJanvier1[[#This Row],[1]:[31]],Code27)</f>
        <v>0</v>
      </c>
      <c r="BD19" s="6">
        <f>COUNTIF(ParticipationJanvier1[[#This Row],[1]:[31]],Code28)</f>
        <v>0</v>
      </c>
      <c r="BE19" s="6">
        <f>COUNTIF(ParticipationJanvier1[[#This Row],[1]:[31]],code30)</f>
        <v>0</v>
      </c>
      <c r="BF19" s="6">
        <f>COUNTIF(ParticipationJanvier1[[#This Row],[1]:[31]],Code31)</f>
        <v>0</v>
      </c>
      <c r="BG19" s="6">
        <f>COUNTIF(ParticipationJanvier1[[#This Row],[1]:[31]],code21)</f>
        <v>0</v>
      </c>
      <c r="BH19" s="6">
        <f>COUNTIF(ParticipationJanvier1[[#This Row],[1]:[31]],Code24)</f>
        <v>0</v>
      </c>
      <c r="BI19" s="6">
        <f>COUNTIF(ParticipationJanvier1[[#This Row],[1]:[31]],code18)</f>
        <v>0</v>
      </c>
      <c r="BJ19" s="6">
        <f>COUNTIF(ParticipationJanvier1[[#This Row],[1]:[31]],code19)</f>
        <v>0</v>
      </c>
      <c r="BK19" s="6">
        <f>COUNTIF(ParticipationJanvier1[[#This Row],[1]:[31]],code20)</f>
        <v>0</v>
      </c>
      <c r="BL19" s="182">
        <f>COUNTIF(ParticipationJanvier1[[#This Row],[1]:[31]],code29)</f>
        <v>0</v>
      </c>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297"/>
      <c r="CT19" s="297"/>
      <c r="CU19" s="300"/>
      <c r="CV19" s="165">
        <f t="shared" si="0"/>
        <v>0</v>
      </c>
      <c r="CW19" s="165">
        <f t="shared" si="1"/>
        <v>3</v>
      </c>
      <c r="CX19" s="249">
        <f t="shared" si="2"/>
        <v>0</v>
      </c>
      <c r="CY19" s="170">
        <f t="shared" si="3"/>
        <v>0</v>
      </c>
    </row>
    <row r="20" spans="1:103">
      <c r="A20" s="510" t="s">
        <v>361</v>
      </c>
      <c r="B20" s="372" t="str">
        <f>IFERROR(VLOOKUP(ParticipationJanvier1[[#This Row],[Référence]],ListeÉtudiants1[],18,FALSE),"")</f>
        <v>ALLOUCH EINAT</v>
      </c>
      <c r="C20" s="19"/>
      <c r="D20" s="19"/>
      <c r="E20" s="19"/>
      <c r="F20" s="19"/>
      <c r="G20" s="518"/>
      <c r="H20" s="19"/>
      <c r="I20" s="518"/>
      <c r="J20" s="19"/>
      <c r="K20" s="518"/>
      <c r="L20" s="19"/>
      <c r="M20" s="518"/>
      <c r="N20" s="19"/>
      <c r="O20" s="518"/>
      <c r="P20" s="19"/>
      <c r="Q20" s="518"/>
      <c r="R20" s="19"/>
      <c r="S20" s="518"/>
      <c r="T20" s="19"/>
      <c r="U20" s="518"/>
      <c r="W20" s="518"/>
      <c r="X20" s="19"/>
      <c r="Y20" s="518"/>
      <c r="Z20" s="19"/>
      <c r="AA20" s="518"/>
      <c r="AB20" s="19"/>
      <c r="AC20" s="518"/>
      <c r="AD20" s="19"/>
      <c r="AE20" s="518"/>
      <c r="AF20" s="19"/>
      <c r="AG20" s="519"/>
      <c r="AH20" s="475">
        <f>COUNTIF(ParticipationJanvier1[[#This Row],[1]:[31]],Code1)</f>
        <v>0</v>
      </c>
      <c r="AI20" s="518">
        <f>COUNTIF(ParticipationJanvier1[[#This Row],[1]:[31]],code22)</f>
        <v>0</v>
      </c>
      <c r="AJ20" s="473">
        <f>COUNTIF(ParticipationJanvier1[[#This Row],[1]:[31]],Code2)</f>
        <v>0</v>
      </c>
      <c r="AK20" s="520">
        <f>COUNTIF(ParticipationJanvier1[[#This Row],[1]:[31]],Code3)</f>
        <v>0</v>
      </c>
      <c r="AL20" s="473">
        <f>COUNTIF(ParticipationJanvier1[[#This Row],[1]:[31]],Code4)</f>
        <v>0</v>
      </c>
      <c r="AM20" s="520">
        <f>COUNTIF(ParticipationJanvier1[[#This Row],[1]:[31]],Code5)</f>
        <v>0</v>
      </c>
      <c r="AN20" s="30">
        <f>COUNTIF(ParticipationJanvier1[[#This Row],[1]:[31]],Code23)</f>
        <v>0</v>
      </c>
      <c r="AO20" s="473">
        <f>COUNTIF(ParticipationJanvier1[[#This Row],[1]:[31]],Code6)</f>
        <v>0</v>
      </c>
      <c r="AP20" s="30">
        <f>COUNTIF(ParticipationJanvier1[[#This Row],[1]:[31]],Code7)</f>
        <v>0</v>
      </c>
      <c r="AQ20" s="30">
        <f>COUNTIF(ParticipationJanvier1[[#This Row],[1]:[31]],Code8)</f>
        <v>0</v>
      </c>
      <c r="AR20" s="30">
        <f>COUNTIF(ParticipationJanvier1[[#This Row],[1]:[31]],Code9)</f>
        <v>0</v>
      </c>
      <c r="AS20" s="473">
        <f>COUNTIF(ParticipationJanvier1[[#This Row],[1]:[31]],Code10)</f>
        <v>0</v>
      </c>
      <c r="AT20" s="473">
        <f>COUNTIF(ParticipationJanvier1[[#This Row],[1]:[31]],Code11)</f>
        <v>0</v>
      </c>
      <c r="AU20" s="473">
        <f>COUNTIF(ParticipationJanvier1[[#This Row],[1]:[31]],Code12)</f>
        <v>0</v>
      </c>
      <c r="AV20" s="473">
        <f>COUNTIF(ParticipationJanvier1[[#This Row],[1]:[31]],Code13)</f>
        <v>0</v>
      </c>
      <c r="AW20" s="473">
        <f>COUNTIF(ParticipationJanvier1[[#This Row],[1]:[31]],Code14)</f>
        <v>0</v>
      </c>
      <c r="AX20" s="473">
        <f>COUNTIF(ParticipationJanvier1[[#This Row],[1]:[31]],Code15)</f>
        <v>0</v>
      </c>
      <c r="AY20" s="473">
        <f>COUNTIF(ParticipationJanvier1[[#This Row],[1]:[31]],Code16)</f>
        <v>0</v>
      </c>
      <c r="AZ20" s="473">
        <f>COUNTIF(ParticipationJanvier1[[#This Row],[1]:[31]],Code17)</f>
        <v>0</v>
      </c>
      <c r="BA20" s="475">
        <f>COUNTIF(ParticipationJanvier1[[#This Row],[1]:[31]],Code25)</f>
        <v>0</v>
      </c>
      <c r="BB20" s="475">
        <f>COUNTIF(ParticipationJanvier1[[#This Row],[1]:[31]],Code26)</f>
        <v>0</v>
      </c>
      <c r="BC20" s="475">
        <f>COUNTIF(ParticipationJanvier1[[#This Row],[1]:[31]],Code27)</f>
        <v>0</v>
      </c>
      <c r="BD20" s="475">
        <f>COUNTIF(ParticipationJanvier1[[#This Row],[1]:[31]],Code28)</f>
        <v>0</v>
      </c>
      <c r="BE20" s="475">
        <f>COUNTIF(ParticipationJanvier1[[#This Row],[1]:[31]],code30)</f>
        <v>0</v>
      </c>
      <c r="BF20" s="475">
        <f>COUNTIF(ParticipationJanvier1[[#This Row],[1]:[31]],Code31)</f>
        <v>0</v>
      </c>
      <c r="BG20" s="473">
        <f>COUNTIF(ParticipationJanvier1[[#This Row],[1]:[31]],code21)</f>
        <v>0</v>
      </c>
      <c r="BH20" s="473">
        <f>COUNTIF(ParticipationJanvier1[[#This Row],[1]:[31]],Code24)</f>
        <v>0</v>
      </c>
      <c r="BI20" s="473">
        <f>COUNTIF(ParticipationJanvier1[[#This Row],[1]:[31]],code18)</f>
        <v>0</v>
      </c>
      <c r="BJ20" s="473">
        <f>COUNTIF(ParticipationJanvier1[[#This Row],[1]:[31]],code19)</f>
        <v>0</v>
      </c>
      <c r="BK20" s="473">
        <f>COUNTIF(ParticipationJanvier1[[#This Row],[1]:[31]],code20)</f>
        <v>0</v>
      </c>
      <c r="BL20" s="476">
        <f>COUNTIF(ParticipationJanvier1[[#This Row],[1]:[31]],code29)</f>
        <v>0</v>
      </c>
      <c r="BM20" s="472">
        <f>SUM((AH20*1)+(AI26*1.5)+(AJ20*2)+(AK20*3)+(AL20*4)+(AQ20*5)+(AR20*6)+(AS20*7)+(AW20*2)+(AX20*3)+(AY20*4)+(AZ20*5)+(BG20*2))</f>
        <v>0</v>
      </c>
      <c r="BN20" s="472"/>
      <c r="BO20" s="472"/>
      <c r="BP20" s="472"/>
      <c r="BQ20" s="472"/>
      <c r="BR20" s="473"/>
      <c r="BS20" s="472"/>
      <c r="BT20" s="472"/>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2"/>
      <c r="CR20" s="472"/>
      <c r="CS20" s="472"/>
      <c r="CT20" s="472"/>
      <c r="CU20" s="516">
        <f>SUM((AN20*1)+(AM20*2)+(AO20*3)+(AP20*4)+(AT20*5)+(AU20*7)+(AV20*7)+(AW20*7)+(AX20*4)+(AY20*3)+(BA20*2)+(BC20*4)+(BB20*1)+(BG20*2)+(AZ20*5)+(BD20*1))</f>
        <v>0</v>
      </c>
      <c r="CV20" s="521">
        <f>SUM((AH20*1)+(AI20*1.5)+(AJ20*2)+(AK20*3)+(AP20*5)+(AQ20*6)+(AR20*7)+(AU20*2)+(AX20*3)+(AY20*4)+(BA20*5)+(BB20*3)+(BC20*2)+(BG20*2)+(AZ20*2)+(BD20*2))</f>
        <v>0</v>
      </c>
      <c r="CW20" s="522">
        <f>SUM((AN20*1)+(AM20*2)+(AO20*3)+(AP20*4)+(AT20*5)+(AU20*7)+(AV20*7)+(AW20*7)+(AX20*4)+(AY20*3)+(BA20*2)+(BC20*4)+(BB20*1)+(BG20*2)+(AZ20*5)+(BD20*1))</f>
        <v>0</v>
      </c>
      <c r="CX20" s="523">
        <f>BH20*1</f>
        <v>0</v>
      </c>
      <c r="CY20" s="512"/>
    </row>
    <row r="21" spans="1:103">
      <c r="A21" s="534" t="s">
        <v>362</v>
      </c>
      <c r="B21" s="372" t="str">
        <f>IFERROR(VLOOKUP(ParticipationJanvier1[[#This Row],[Référence]],ListeÉtudiants1[],18,FALSE),"")</f>
        <v>ANCELE-VALCIN KATIANA</v>
      </c>
      <c r="C21" s="19"/>
      <c r="D21" s="19"/>
      <c r="E21" s="19"/>
      <c r="F21" s="19"/>
      <c r="G21" s="518"/>
      <c r="H21" s="19"/>
      <c r="I21" s="518"/>
      <c r="J21" s="19"/>
      <c r="K21" s="518"/>
      <c r="L21" s="19"/>
      <c r="M21" s="518"/>
      <c r="N21" s="19"/>
      <c r="O21" s="518"/>
      <c r="P21" s="19"/>
      <c r="Q21" s="518"/>
      <c r="R21" s="19"/>
      <c r="S21" s="518"/>
      <c r="T21" s="19"/>
      <c r="U21" s="518"/>
      <c r="W21" s="518"/>
      <c r="X21" s="19"/>
      <c r="Y21" s="518"/>
      <c r="Z21" s="19"/>
      <c r="AA21" s="518"/>
      <c r="AB21" s="19"/>
      <c r="AC21" s="518"/>
      <c r="AD21" s="19"/>
      <c r="AE21" s="518"/>
      <c r="AF21" s="19"/>
      <c r="AG21" s="519"/>
      <c r="AH21" s="475">
        <f>COUNTIF(ParticipationJanvier1[[#This Row],[1]:[31]],Code1)</f>
        <v>0</v>
      </c>
      <c r="AI21" s="518">
        <f>COUNTIF(ParticipationJanvier1[[#This Row],[1]:[31]],code22)</f>
        <v>0</v>
      </c>
      <c r="AJ21" s="473">
        <f>COUNTIF(ParticipationJanvier1[[#This Row],[1]:[31]],Code2)</f>
        <v>0</v>
      </c>
      <c r="AK21" s="520">
        <f>COUNTIF(ParticipationJanvier1[[#This Row],[1]:[31]],Code3)</f>
        <v>0</v>
      </c>
      <c r="AL21" s="473">
        <f>COUNTIF(ParticipationJanvier1[[#This Row],[1]:[31]],Code4)</f>
        <v>0</v>
      </c>
      <c r="AM21" s="520">
        <f>COUNTIF(ParticipationJanvier1[[#This Row],[1]:[31]],Code5)</f>
        <v>0</v>
      </c>
      <c r="AN21" s="30">
        <f>COUNTIF(ParticipationJanvier1[[#This Row],[1]:[31]],Code23)</f>
        <v>0</v>
      </c>
      <c r="AO21" s="473">
        <f>COUNTIF(ParticipationJanvier1[[#This Row],[1]:[31]],Code6)</f>
        <v>0</v>
      </c>
      <c r="AP21" s="30">
        <f>COUNTIF(ParticipationJanvier1[[#This Row],[1]:[31]],Code7)</f>
        <v>0</v>
      </c>
      <c r="AQ21" s="30">
        <f>COUNTIF(ParticipationJanvier1[[#This Row],[1]:[31]],Code8)</f>
        <v>0</v>
      </c>
      <c r="AR21" s="30">
        <f>COUNTIF(ParticipationJanvier1[[#This Row],[1]:[31]],Code9)</f>
        <v>0</v>
      </c>
      <c r="AS21" s="473">
        <f>COUNTIF(ParticipationJanvier1[[#This Row],[1]:[31]],Code10)</f>
        <v>0</v>
      </c>
      <c r="AT21" s="473">
        <f>COUNTIF(ParticipationJanvier1[[#This Row],[1]:[31]],Code11)</f>
        <v>0</v>
      </c>
      <c r="AU21" s="473">
        <f>COUNTIF(ParticipationJanvier1[[#This Row],[1]:[31]],Code12)</f>
        <v>0</v>
      </c>
      <c r="AV21" s="473">
        <f>COUNTIF(ParticipationJanvier1[[#This Row],[1]:[31]],Code13)</f>
        <v>0</v>
      </c>
      <c r="AW21" s="473">
        <f>COUNTIF(ParticipationJanvier1[[#This Row],[1]:[31]],Code14)</f>
        <v>0</v>
      </c>
      <c r="AX21" s="473">
        <f>COUNTIF(ParticipationJanvier1[[#This Row],[1]:[31]],Code15)</f>
        <v>0</v>
      </c>
      <c r="AY21" s="473">
        <f>COUNTIF(ParticipationJanvier1[[#This Row],[1]:[31]],Code16)</f>
        <v>0</v>
      </c>
      <c r="AZ21" s="473">
        <f>COUNTIF(ParticipationJanvier1[[#This Row],[1]:[31]],Code17)</f>
        <v>0</v>
      </c>
      <c r="BA21" s="475">
        <f>COUNTIF(ParticipationJanvier1[[#This Row],[1]:[31]],Code25)</f>
        <v>0</v>
      </c>
      <c r="BB21" s="475">
        <f>COUNTIF(ParticipationJanvier1[[#This Row],[1]:[31]],Code26)</f>
        <v>0</v>
      </c>
      <c r="BC21" s="475">
        <f>COUNTIF(ParticipationJanvier1[[#This Row],[1]:[31]],Code27)</f>
        <v>0</v>
      </c>
      <c r="BD21" s="475">
        <f>COUNTIF(ParticipationJanvier1[[#This Row],[1]:[31]],Code28)</f>
        <v>0</v>
      </c>
      <c r="BE21" s="475">
        <f>COUNTIF(ParticipationJanvier1[[#This Row],[1]:[31]],code30)</f>
        <v>0</v>
      </c>
      <c r="BF21" s="475">
        <f>COUNTIF(ParticipationJanvier1[[#This Row],[1]:[31]],Code31)</f>
        <v>0</v>
      </c>
      <c r="BG21" s="473">
        <f>COUNTIF(ParticipationJanvier1[[#This Row],[1]:[31]],code21)</f>
        <v>0</v>
      </c>
      <c r="BH21" s="473">
        <f>COUNTIF(ParticipationJanvier1[[#This Row],[1]:[31]],Code24)</f>
        <v>0</v>
      </c>
      <c r="BI21" s="473">
        <f>COUNTIF(ParticipationJanvier1[[#This Row],[1]:[31]],code18)</f>
        <v>0</v>
      </c>
      <c r="BJ21" s="473">
        <f>COUNTIF(ParticipationJanvier1[[#This Row],[1]:[31]],code19)</f>
        <v>0</v>
      </c>
      <c r="BK21" s="473">
        <f>COUNTIF(ParticipationJanvier1[[#This Row],[1]:[31]],code20)</f>
        <v>0</v>
      </c>
      <c r="BL21" s="476">
        <f>COUNTIF(ParticipationJanvier1[[#This Row],[1]:[31]],code29)</f>
        <v>0</v>
      </c>
      <c r="BM21" s="472">
        <f>SUM((AH21*1)+(AI29*1.5)+(AJ21*2)+(AK21*3)+(AL21*4)+(AQ21*5)+(AR21*6)+(AS21*7)+(AW21*2)+(AX21*3)+(AY21*4)+(AZ21*5)+(BG21*2))</f>
        <v>0</v>
      </c>
      <c r="BN21" s="472"/>
      <c r="BO21" s="472"/>
      <c r="BP21" s="472"/>
      <c r="BQ21" s="472"/>
      <c r="BR21" s="473"/>
      <c r="BS21" s="473"/>
      <c r="BT21" s="472"/>
      <c r="BU21" s="472"/>
      <c r="BV21" s="472"/>
      <c r="BW21" s="472"/>
      <c r="BX21" s="472"/>
      <c r="BY21" s="472"/>
      <c r="BZ21" s="472"/>
      <c r="CA21" s="472"/>
      <c r="CB21" s="472"/>
      <c r="CC21" s="472"/>
      <c r="CD21" s="472"/>
      <c r="CE21" s="472"/>
      <c r="CF21" s="472"/>
      <c r="CG21" s="472"/>
      <c r="CH21" s="472"/>
      <c r="CI21" s="472"/>
      <c r="CJ21" s="472"/>
      <c r="CK21" s="472"/>
      <c r="CL21" s="472"/>
      <c r="CM21" s="472"/>
      <c r="CN21" s="472"/>
      <c r="CO21" s="472"/>
      <c r="CP21" s="472"/>
      <c r="CQ21" s="472"/>
      <c r="CR21" s="472"/>
      <c r="CS21" s="472"/>
      <c r="CT21" s="472"/>
      <c r="CU21" s="516">
        <f>SUM((AN21*1)+(AM21*2)+(AO21*3)+(AP21*4)+(AT21*5)+(AU21*7)+(AV21*7)+(AW21*7)+(AX21*4)+(AY21*3)+(BA21*2)+(BC21*4)+(BB21*1)+(BG21*2)+(AZ21*5)+(BD21*1))</f>
        <v>0</v>
      </c>
      <c r="CV21" s="521">
        <f>SUM((AH21*1)+(AI21*1.5)+(AJ21*2)+(AK21*3)+(AP21*5)+(AQ21*6)+(AR21*7)+(AU21*2)+(AX21*3)+(AY21*4)+(BA21*5)+(BB21*3)+(BC21*2)+(BG21*2)+(AZ21*2)+(BD21*2))</f>
        <v>0</v>
      </c>
      <c r="CW21" s="522">
        <f>SUM((AN21*1)+(AM21*2)+(AO21*3)+(AP21*4)+(AT21*5)+(AU21*7)+(AV21*7)+(AW21*7)+(AX21*4)+(AY21*3)+(BA21*2)+(BC21*4)+(BB21*1)+(BG21*2)+(AZ21*5)+(BD21*1))</f>
        <v>0</v>
      </c>
      <c r="CX21" s="523">
        <f>BH21*1</f>
        <v>0</v>
      </c>
      <c r="CY21" s="512"/>
    </row>
    <row r="22" spans="1:103">
      <c r="A22" s="510" t="s">
        <v>363</v>
      </c>
      <c r="B22" s="372" t="str">
        <f>IFERROR(VLOOKUP(ParticipationJanvier1[[#This Row],[Référence]],ListeÉtudiants1[],18,FALSE),"")</f>
        <v>ANDRE ORNELLA</v>
      </c>
      <c r="C22" s="19"/>
      <c r="D22" s="19"/>
      <c r="E22" s="19"/>
      <c r="F22" s="19"/>
      <c r="G22" s="287"/>
      <c r="H22" s="19"/>
      <c r="I22" s="287"/>
      <c r="J22" s="19"/>
      <c r="K22" s="287"/>
      <c r="L22" s="19"/>
      <c r="M22" s="287"/>
      <c r="N22" s="19"/>
      <c r="O22" s="19"/>
      <c r="P22" s="19"/>
      <c r="Q22" s="19" t="s">
        <v>490</v>
      </c>
      <c r="R22" s="19" t="s">
        <v>106</v>
      </c>
      <c r="S22" s="19" t="s">
        <v>107</v>
      </c>
      <c r="T22" s="19"/>
      <c r="U22" s="287"/>
      <c r="W22" s="287"/>
      <c r="X22" s="19"/>
      <c r="Y22" s="287"/>
      <c r="Z22" s="19"/>
      <c r="AA22" s="287"/>
      <c r="AB22" s="19"/>
      <c r="AC22" s="287"/>
      <c r="AD22" s="19"/>
      <c r="AE22" s="287"/>
      <c r="AF22" s="19"/>
      <c r="AG22" s="296"/>
      <c r="AH22" s="6">
        <f>COUNTIF(ParticipationJanvier1[[#This Row],[1]:[31]],Code1)</f>
        <v>0</v>
      </c>
      <c r="AI22" s="6">
        <f>COUNTIF(ParticipationJanvier1[[#This Row],[1]:[31]],code22)</f>
        <v>0</v>
      </c>
      <c r="AJ22" s="6">
        <f>COUNTIF(ParticipationJanvier1[[#This Row],[1]:[31]],Code2)</f>
        <v>0</v>
      </c>
      <c r="AK22" s="6">
        <f>COUNTIF(ParticipationJanvier1[[#This Row],[1]:[31]],Code3)</f>
        <v>1</v>
      </c>
      <c r="AL22" s="6">
        <f>COUNTIF(ParticipationJanvier1[[#This Row],[1]:[31]],Code4)</f>
        <v>1</v>
      </c>
      <c r="AM22" s="6">
        <f>COUNTIF(ParticipationJanvier1[[#This Row],[1]:[31]],Code5)</f>
        <v>0</v>
      </c>
      <c r="AN22" s="6">
        <f>COUNTIF(ParticipationJanvier1[[#This Row],[1]:[31]],Code23)</f>
        <v>0</v>
      </c>
      <c r="AO22" s="6">
        <f>COUNTIF(ParticipationJanvier1[[#This Row],[1]:[31]],Code6)</f>
        <v>0</v>
      </c>
      <c r="AP22" s="6">
        <f>COUNTIF(ParticipationJanvier1[[#This Row],[1]:[31]],Code7)</f>
        <v>0</v>
      </c>
      <c r="AQ22" s="6">
        <f>COUNTIF(ParticipationJanvier1[[#This Row],[1]:[31]],Code8)</f>
        <v>0</v>
      </c>
      <c r="AR22" s="6">
        <f>COUNTIF(ParticipationJanvier1[[#This Row],[1]:[31]],Code9)</f>
        <v>0</v>
      </c>
      <c r="AS22" s="6">
        <f>COUNTIF(ParticipationJanvier1[[#This Row],[1]:[31]],Code10)</f>
        <v>0</v>
      </c>
      <c r="AT22" s="6">
        <f>COUNTIF(ParticipationJanvier1[[#This Row],[1]:[31]],Code11)</f>
        <v>0</v>
      </c>
      <c r="AU22" s="6">
        <f>COUNTIF(ParticipationJanvier1[[#This Row],[1]:[31]],Code12)</f>
        <v>0</v>
      </c>
      <c r="AV22" s="6">
        <f>COUNTIF(ParticipationJanvier1[[#This Row],[1]:[31]],Code13)</f>
        <v>0</v>
      </c>
      <c r="AW22" s="6">
        <f>COUNTIF(ParticipationJanvier1[[#This Row],[1]:[31]],Code14)</f>
        <v>0</v>
      </c>
      <c r="AX22" s="6">
        <f>COUNTIF(ParticipationJanvier1[[#This Row],[1]:[31]],Code15)</f>
        <v>1</v>
      </c>
      <c r="AY22" s="6">
        <f>COUNTIF(ParticipationJanvier1[[#This Row],[1]:[31]],Code16)</f>
        <v>0</v>
      </c>
      <c r="AZ22" s="6">
        <f>COUNTIF(ParticipationJanvier1[[#This Row],[1]:[31]],Code17)</f>
        <v>0</v>
      </c>
      <c r="BA22" s="6">
        <f>COUNTIF(ParticipationJanvier1[[#This Row],[1]:[31]],Code25)</f>
        <v>0</v>
      </c>
      <c r="BB22" s="6">
        <f>COUNTIF(ParticipationJanvier1[[#This Row],[1]:[31]],Code26)</f>
        <v>0</v>
      </c>
      <c r="BC22" s="6">
        <f>COUNTIF(ParticipationJanvier1[[#This Row],[1]:[31]],Code27)</f>
        <v>0</v>
      </c>
      <c r="BD22" s="6">
        <f>COUNTIF(ParticipationJanvier1[[#This Row],[1]:[31]],Code28)</f>
        <v>0</v>
      </c>
      <c r="BE22" s="6">
        <f>COUNTIF(ParticipationJanvier1[[#This Row],[1]:[31]],code30)</f>
        <v>0</v>
      </c>
      <c r="BF22" s="6">
        <f>COUNTIF(ParticipationJanvier1[[#This Row],[1]:[31]],Code31)</f>
        <v>0</v>
      </c>
      <c r="BG22" s="6">
        <f>COUNTIF(ParticipationJanvier1[[#This Row],[1]:[31]],code21)</f>
        <v>0</v>
      </c>
      <c r="BH22" s="6">
        <f>COUNTIF(ParticipationJanvier1[[#This Row],[1]:[31]],Code24)</f>
        <v>0</v>
      </c>
      <c r="BI22" s="6">
        <f>COUNTIF(ParticipationJanvier1[[#This Row],[1]:[31]],code18)</f>
        <v>0</v>
      </c>
      <c r="BJ22" s="6">
        <f>COUNTIF(ParticipationJanvier1[[#This Row],[1]:[31]],code19)</f>
        <v>0</v>
      </c>
      <c r="BK22" s="6">
        <f>COUNTIF(ParticipationJanvier1[[#This Row],[1]:[31]],code20)</f>
        <v>0</v>
      </c>
      <c r="BL22" s="182">
        <f>COUNTIF(ParticipationJanvier1[[#This Row],[1]:[31]],code29)</f>
        <v>0</v>
      </c>
      <c r="BM22" s="297">
        <v>3</v>
      </c>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97"/>
      <c r="CP22" s="297"/>
      <c r="CQ22" s="297"/>
      <c r="CR22" s="297"/>
      <c r="CS22" s="297"/>
      <c r="CT22" s="297"/>
      <c r="CU22" s="300"/>
      <c r="CV22" s="165">
        <f t="shared" si="0"/>
        <v>6</v>
      </c>
      <c r="CW22" s="165">
        <f t="shared" si="1"/>
        <v>4</v>
      </c>
      <c r="CX22" s="249">
        <f t="shared" si="2"/>
        <v>0</v>
      </c>
      <c r="CY22" s="170">
        <f t="shared" si="3"/>
        <v>0</v>
      </c>
    </row>
    <row r="23" spans="1:103">
      <c r="A23" s="534" t="s">
        <v>364</v>
      </c>
      <c r="B23" s="372" t="str">
        <f>IFERROR(VLOOKUP(ParticipationJanvier1[[#This Row],[Référence]],ListeÉtudiants1[],18,FALSE),"")</f>
        <v>ANGRE GRACE</v>
      </c>
      <c r="C23" s="19"/>
      <c r="D23" s="19"/>
      <c r="E23" s="19"/>
      <c r="F23" s="19"/>
      <c r="G23" s="518"/>
      <c r="H23" s="19"/>
      <c r="I23" s="518"/>
      <c r="J23" s="19"/>
      <c r="K23" s="518"/>
      <c r="L23" s="19"/>
      <c r="M23" s="518"/>
      <c r="N23" s="19"/>
      <c r="O23" s="518"/>
      <c r="P23" s="19"/>
      <c r="Q23" s="518"/>
      <c r="R23" s="19"/>
      <c r="S23" s="518"/>
      <c r="T23" s="19"/>
      <c r="U23" s="518"/>
      <c r="W23" s="518"/>
      <c r="X23" s="19"/>
      <c r="Y23" s="518"/>
      <c r="Z23" s="19"/>
      <c r="AA23" s="518"/>
      <c r="AB23" s="19"/>
      <c r="AC23" s="518"/>
      <c r="AD23" s="19"/>
      <c r="AE23" s="518"/>
      <c r="AF23" s="19"/>
      <c r="AG23" s="519"/>
      <c r="AH23" s="475">
        <f>COUNTIF(ParticipationJanvier1[[#This Row],[1]:[31]],Code1)</f>
        <v>0</v>
      </c>
      <c r="AI23" s="518">
        <f>COUNTIF(ParticipationJanvier1[[#This Row],[1]:[31]],code22)</f>
        <v>0</v>
      </c>
      <c r="AJ23" s="473">
        <f>COUNTIF(ParticipationJanvier1[[#This Row],[1]:[31]],Code2)</f>
        <v>0</v>
      </c>
      <c r="AK23" s="520">
        <f>COUNTIF(ParticipationJanvier1[[#This Row],[1]:[31]],Code3)</f>
        <v>0</v>
      </c>
      <c r="AL23" s="473">
        <f>COUNTIF(ParticipationJanvier1[[#This Row],[1]:[31]],Code4)</f>
        <v>0</v>
      </c>
      <c r="AM23" s="520">
        <f>COUNTIF(ParticipationJanvier1[[#This Row],[1]:[31]],Code5)</f>
        <v>0</v>
      </c>
      <c r="AN23" s="30">
        <f>COUNTIF(ParticipationJanvier1[[#This Row],[1]:[31]],Code23)</f>
        <v>0</v>
      </c>
      <c r="AO23" s="473">
        <f>COUNTIF(ParticipationJanvier1[[#This Row],[1]:[31]],Code6)</f>
        <v>0</v>
      </c>
      <c r="AP23" s="30">
        <f>COUNTIF(ParticipationJanvier1[[#This Row],[1]:[31]],Code7)</f>
        <v>0</v>
      </c>
      <c r="AQ23" s="30">
        <f>COUNTIF(ParticipationJanvier1[[#This Row],[1]:[31]],Code8)</f>
        <v>0</v>
      </c>
      <c r="AR23" s="30">
        <f>COUNTIF(ParticipationJanvier1[[#This Row],[1]:[31]],Code9)</f>
        <v>0</v>
      </c>
      <c r="AS23" s="473">
        <f>COUNTIF(ParticipationJanvier1[[#This Row],[1]:[31]],Code10)</f>
        <v>0</v>
      </c>
      <c r="AT23" s="473">
        <f>COUNTIF(ParticipationJanvier1[[#This Row],[1]:[31]],Code11)</f>
        <v>0</v>
      </c>
      <c r="AU23" s="473">
        <f>COUNTIF(ParticipationJanvier1[[#This Row],[1]:[31]],Code12)</f>
        <v>0</v>
      </c>
      <c r="AV23" s="473">
        <f>COUNTIF(ParticipationJanvier1[[#This Row],[1]:[31]],Code13)</f>
        <v>0</v>
      </c>
      <c r="AW23" s="473">
        <f>COUNTIF(ParticipationJanvier1[[#This Row],[1]:[31]],Code14)</f>
        <v>0</v>
      </c>
      <c r="AX23" s="473">
        <f>COUNTIF(ParticipationJanvier1[[#This Row],[1]:[31]],Code15)</f>
        <v>0</v>
      </c>
      <c r="AY23" s="473">
        <f>COUNTIF(ParticipationJanvier1[[#This Row],[1]:[31]],Code16)</f>
        <v>0</v>
      </c>
      <c r="AZ23" s="473">
        <f>COUNTIF(ParticipationJanvier1[[#This Row],[1]:[31]],Code17)</f>
        <v>0</v>
      </c>
      <c r="BA23" s="475">
        <f>COUNTIF(ParticipationJanvier1[[#This Row],[1]:[31]],Code25)</f>
        <v>0</v>
      </c>
      <c r="BB23" s="475">
        <f>COUNTIF(ParticipationJanvier1[[#This Row],[1]:[31]],Code26)</f>
        <v>0</v>
      </c>
      <c r="BC23" s="475">
        <f>COUNTIF(ParticipationJanvier1[[#This Row],[1]:[31]],Code27)</f>
        <v>0</v>
      </c>
      <c r="BD23" s="475">
        <f>COUNTIF(ParticipationJanvier1[[#This Row],[1]:[31]],Code28)</f>
        <v>0</v>
      </c>
      <c r="BE23" s="475">
        <f>COUNTIF(ParticipationJanvier1[[#This Row],[1]:[31]],code30)</f>
        <v>0</v>
      </c>
      <c r="BF23" s="475">
        <f>COUNTIF(ParticipationJanvier1[[#This Row],[1]:[31]],Code31)</f>
        <v>0</v>
      </c>
      <c r="BG23" s="473">
        <f>COUNTIF(ParticipationJanvier1[[#This Row],[1]:[31]],code21)</f>
        <v>0</v>
      </c>
      <c r="BH23" s="473">
        <f>COUNTIF(ParticipationJanvier1[[#This Row],[1]:[31]],Code24)</f>
        <v>0</v>
      </c>
      <c r="BI23" s="473">
        <f>COUNTIF(ParticipationJanvier1[[#This Row],[1]:[31]],code18)</f>
        <v>0</v>
      </c>
      <c r="BJ23" s="473">
        <f>COUNTIF(ParticipationJanvier1[[#This Row],[1]:[31]],code19)</f>
        <v>0</v>
      </c>
      <c r="BK23" s="473">
        <f>COUNTIF(ParticipationJanvier1[[#This Row],[1]:[31]],code20)</f>
        <v>0</v>
      </c>
      <c r="BL23" s="476">
        <f>COUNTIF(ParticipationJanvier1[[#This Row],[1]:[31]],code29)</f>
        <v>0</v>
      </c>
      <c r="BM23" s="472">
        <f>SUM((AH23*1)+(AI29*1.5)+(AJ23*2)+(AK23*3)+(AL23*4)+(AQ23*5)+(AR23*6)+(AS23*7)+(AW23*2)+(AX23*3)+(AY23*4)+(AZ23*5)+(BG23*2))</f>
        <v>0</v>
      </c>
      <c r="BN23" s="472"/>
      <c r="BO23" s="472"/>
      <c r="BP23" s="472"/>
      <c r="BQ23" s="472"/>
      <c r="BR23" s="473"/>
      <c r="BS23" s="472"/>
      <c r="BT23" s="472"/>
      <c r="BU23" s="472"/>
      <c r="BV23" s="472"/>
      <c r="BW23" s="472"/>
      <c r="BX23" s="472"/>
      <c r="BY23" s="472"/>
      <c r="BZ23" s="472"/>
      <c r="CA23" s="472"/>
      <c r="CB23" s="472"/>
      <c r="CC23" s="472"/>
      <c r="CD23" s="472"/>
      <c r="CE23" s="472"/>
      <c r="CF23" s="472"/>
      <c r="CG23" s="472"/>
      <c r="CH23" s="472"/>
      <c r="CI23" s="472"/>
      <c r="CJ23" s="472"/>
      <c r="CK23" s="472"/>
      <c r="CL23" s="472"/>
      <c r="CM23" s="472"/>
      <c r="CN23" s="472"/>
      <c r="CO23" s="472"/>
      <c r="CP23" s="472"/>
      <c r="CQ23" s="472"/>
      <c r="CR23" s="472"/>
      <c r="CS23" s="472"/>
      <c r="CT23" s="472"/>
      <c r="CU23" s="516">
        <f>SUM((AN23*1)+(AM23*2)+(AO23*3)+(AP23*4)+(AT23*5)+(AU23*7)+(AV23*7)+(AW23*7)+(AX23*4)+(AY23*3)+(BA23*2)+(BC23*4)+(BB23*1)+(BG23*2)+(AZ23*5)+(BD23*1))</f>
        <v>0</v>
      </c>
      <c r="CV23" s="521">
        <f>SUM((AH23*1)+(AI23*1.5)+(AJ23*2)+(AK23*3)+(AP23*5)+(AQ23*6)+(AR23*7)+(AU23*2)+(AX23*3)+(AY23*4)+(BA23*5)+(BB23*3)+(BC23*2)+(BG23*2)+(AZ23*2)+(BD23*2))</f>
        <v>0</v>
      </c>
      <c r="CW23" s="522">
        <f>SUM((AN23*1)+(AM23*2)+(AO23*3)+(AP23*4)+(AT23*5)+(AU23*7)+(AV23*7)+(AW23*7)+(AX23*4)+(AY23*3)+(BA23*2)+(BC23*4)+(BB23*1)+(BG23*2)+(AZ23*5)+(BD23*1))</f>
        <v>0</v>
      </c>
      <c r="CX23" s="523">
        <f>BH23*1</f>
        <v>0</v>
      </c>
      <c r="CY23" s="512"/>
    </row>
    <row r="24" spans="1:103">
      <c r="A24" s="534" t="s">
        <v>365</v>
      </c>
      <c r="B24" s="372" t="str">
        <f>IFERROR(VLOOKUP(ParticipationJanvier1[[#This Row],[Référence]],ListeÉtudiants1[],18,FALSE),"")</f>
        <v>BAESSA ELISA</v>
      </c>
      <c r="C24" s="19"/>
      <c r="D24" s="19"/>
      <c r="E24" s="19"/>
      <c r="F24" s="19"/>
      <c r="G24" s="518"/>
      <c r="H24" s="19"/>
      <c r="I24" s="518"/>
      <c r="J24" s="19"/>
      <c r="K24" s="518"/>
      <c r="L24" s="19"/>
      <c r="M24" s="518"/>
      <c r="N24" s="19"/>
      <c r="O24" s="518"/>
      <c r="P24" s="19"/>
      <c r="Q24" s="518"/>
      <c r="R24" s="19"/>
      <c r="S24" s="518"/>
      <c r="T24" s="19"/>
      <c r="U24" s="518"/>
      <c r="W24" s="518"/>
      <c r="X24" s="19"/>
      <c r="Y24" s="518"/>
      <c r="Z24" s="19"/>
      <c r="AA24" s="518"/>
      <c r="AB24" s="19"/>
      <c r="AC24" s="518"/>
      <c r="AD24" s="19"/>
      <c r="AE24" s="518"/>
      <c r="AF24" s="19"/>
      <c r="AG24" s="519"/>
      <c r="AH24" s="475">
        <f>COUNTIF(ParticipationJanvier1[[#This Row],[1]:[31]],Code1)</f>
        <v>0</v>
      </c>
      <c r="AI24" s="518">
        <f>COUNTIF(ParticipationJanvier1[[#This Row],[1]:[31]],code22)</f>
        <v>0</v>
      </c>
      <c r="AJ24" s="473">
        <f>COUNTIF(ParticipationJanvier1[[#This Row],[1]:[31]],Code2)</f>
        <v>0</v>
      </c>
      <c r="AK24" s="520">
        <f>COUNTIF(ParticipationJanvier1[[#This Row],[1]:[31]],Code3)</f>
        <v>0</v>
      </c>
      <c r="AL24" s="473">
        <f>COUNTIF(ParticipationJanvier1[[#This Row],[1]:[31]],Code4)</f>
        <v>0</v>
      </c>
      <c r="AM24" s="520">
        <f>COUNTIF(ParticipationJanvier1[[#This Row],[1]:[31]],Code5)</f>
        <v>0</v>
      </c>
      <c r="AN24" s="30">
        <f>COUNTIF(ParticipationJanvier1[[#This Row],[1]:[31]],Code23)</f>
        <v>0</v>
      </c>
      <c r="AO24" s="473">
        <f>COUNTIF(ParticipationJanvier1[[#This Row],[1]:[31]],Code6)</f>
        <v>0</v>
      </c>
      <c r="AP24" s="30">
        <f>COUNTIF(ParticipationJanvier1[[#This Row],[1]:[31]],Code7)</f>
        <v>0</v>
      </c>
      <c r="AQ24" s="30">
        <f>COUNTIF(ParticipationJanvier1[[#This Row],[1]:[31]],Code8)</f>
        <v>0</v>
      </c>
      <c r="AR24" s="30">
        <f>COUNTIF(ParticipationJanvier1[[#This Row],[1]:[31]],Code9)</f>
        <v>0</v>
      </c>
      <c r="AS24" s="473">
        <f>COUNTIF(ParticipationJanvier1[[#This Row],[1]:[31]],Code10)</f>
        <v>0</v>
      </c>
      <c r="AT24" s="473">
        <f>COUNTIF(ParticipationJanvier1[[#This Row],[1]:[31]],Code11)</f>
        <v>0</v>
      </c>
      <c r="AU24" s="473">
        <f>COUNTIF(ParticipationJanvier1[[#This Row],[1]:[31]],Code12)</f>
        <v>0</v>
      </c>
      <c r="AV24" s="473">
        <f>COUNTIF(ParticipationJanvier1[[#This Row],[1]:[31]],Code13)</f>
        <v>0</v>
      </c>
      <c r="AW24" s="473">
        <f>COUNTIF(ParticipationJanvier1[[#This Row],[1]:[31]],Code14)</f>
        <v>0</v>
      </c>
      <c r="AX24" s="473">
        <f>COUNTIF(ParticipationJanvier1[[#This Row],[1]:[31]],Code15)</f>
        <v>0</v>
      </c>
      <c r="AY24" s="473">
        <f>COUNTIF(ParticipationJanvier1[[#This Row],[1]:[31]],Code16)</f>
        <v>0</v>
      </c>
      <c r="AZ24" s="473">
        <f>COUNTIF(ParticipationJanvier1[[#This Row],[1]:[31]],Code17)</f>
        <v>0</v>
      </c>
      <c r="BA24" s="475">
        <f>COUNTIF(ParticipationJanvier1[[#This Row],[1]:[31]],Code25)</f>
        <v>0</v>
      </c>
      <c r="BB24" s="475">
        <f>COUNTIF(ParticipationJanvier1[[#This Row],[1]:[31]],Code26)</f>
        <v>0</v>
      </c>
      <c r="BC24" s="475">
        <f>COUNTIF(ParticipationJanvier1[[#This Row],[1]:[31]],Code27)</f>
        <v>0</v>
      </c>
      <c r="BD24" s="475">
        <f>COUNTIF(ParticipationJanvier1[[#This Row],[1]:[31]],Code28)</f>
        <v>0</v>
      </c>
      <c r="BE24" s="475">
        <f>COUNTIF(ParticipationJanvier1[[#This Row],[1]:[31]],code30)</f>
        <v>0</v>
      </c>
      <c r="BF24" s="475">
        <f>COUNTIF(ParticipationJanvier1[[#This Row],[1]:[31]],Code31)</f>
        <v>0</v>
      </c>
      <c r="BG24" s="473">
        <f>COUNTIF(ParticipationJanvier1[[#This Row],[1]:[31]],code21)</f>
        <v>0</v>
      </c>
      <c r="BH24" s="473">
        <f>COUNTIF(ParticipationJanvier1[[#This Row],[1]:[31]],Code24)</f>
        <v>0</v>
      </c>
      <c r="BI24" s="473">
        <f>COUNTIF(ParticipationJanvier1[[#This Row],[1]:[31]],code18)</f>
        <v>0</v>
      </c>
      <c r="BJ24" s="473">
        <f>COUNTIF(ParticipationJanvier1[[#This Row],[1]:[31]],code19)</f>
        <v>0</v>
      </c>
      <c r="BK24" s="473">
        <f>COUNTIF(ParticipationJanvier1[[#This Row],[1]:[31]],code20)</f>
        <v>0</v>
      </c>
      <c r="BL24" s="476">
        <f>COUNTIF(ParticipationJanvier1[[#This Row],[1]:[31]],code29)</f>
        <v>0</v>
      </c>
      <c r="BM24" s="472">
        <f>SUM((AH24*1)+(AI31*1.5)+(AJ24*2)+(AK24*3)+(AL24*4)+(AQ24*5)+(AR24*6)+(AS24*7)+(AW24*2)+(AX24*3)+(AY24*4)+(AZ24*5)+(BG24*2))</f>
        <v>0</v>
      </c>
      <c r="BN24" s="472"/>
      <c r="BO24" s="472"/>
      <c r="BP24" s="472"/>
      <c r="BQ24" s="472"/>
      <c r="BR24" s="473"/>
      <c r="BS24" s="472"/>
      <c r="BT24" s="472"/>
      <c r="BU24" s="472"/>
      <c r="BV24" s="472"/>
      <c r="BW24" s="472"/>
      <c r="BX24" s="472"/>
      <c r="BY24" s="472"/>
      <c r="BZ24" s="472"/>
      <c r="CA24" s="472"/>
      <c r="CB24" s="472"/>
      <c r="CC24" s="472"/>
      <c r="CD24" s="472"/>
      <c r="CE24" s="472"/>
      <c r="CF24" s="472"/>
      <c r="CG24" s="472"/>
      <c r="CH24" s="472"/>
      <c r="CI24" s="472"/>
      <c r="CJ24" s="472"/>
      <c r="CK24" s="472"/>
      <c r="CL24" s="472"/>
      <c r="CM24" s="472"/>
      <c r="CN24" s="472"/>
      <c r="CO24" s="472"/>
      <c r="CP24" s="472"/>
      <c r="CQ24" s="472"/>
      <c r="CR24" s="472"/>
      <c r="CS24" s="472"/>
      <c r="CT24" s="472"/>
      <c r="CU24" s="516">
        <f>SUM((AN24*1)+(AM24*2)+(AO24*3)+(AP24*4)+(AT24*5)+(AU24*7)+(AV24*7)+(AW24*7)+(AX24*4)+(AY24*3)+(BA24*2)+(BC24*4)+(BB24*1)+(BG24*2)+(AZ24*5)+(BD24*1))</f>
        <v>0</v>
      </c>
      <c r="CV24" s="521">
        <f>SUM((AH24*1)+(AI24*1.5)+(AJ24*2)+(AK24*3)+(AP24*5)+(AQ24*6)+(AR24*7)+(AU24*2)+(AX24*3)+(AY24*4)+(BA24*5)+(BB24*3)+(BC24*2)+(BG24*2)+(AZ24*2)+(BD24*2))</f>
        <v>0</v>
      </c>
      <c r="CW24" s="522">
        <f>SUM((AN24*1)+(AM24*2)+(AO24*3)+(AP24*4)+(AT24*5)+(AU24*7)+(AV24*7)+(AW24*7)+(AX24*4)+(AY24*3)+(BA24*2)+(BC24*4)+(BB24*1)+(BG24*2)+(AZ24*5)+(BD24*1))</f>
        <v>0</v>
      </c>
      <c r="CX24" s="523">
        <f>BH24*1</f>
        <v>0</v>
      </c>
      <c r="CY24" s="512"/>
    </row>
    <row r="25" spans="1:103">
      <c r="A25" s="510" t="s">
        <v>366</v>
      </c>
      <c r="B25" s="372" t="str">
        <f>IFERROR(VLOOKUP(ParticipationJanvier1[[#This Row],[Référence]],ListeÉtudiants1[],18,FALSE),"")</f>
        <v>BARREIROS  KATIE</v>
      </c>
      <c r="C25" s="19"/>
      <c r="D25" s="19"/>
      <c r="E25" s="19"/>
      <c r="F25" s="19"/>
      <c r="G25" s="291"/>
      <c r="H25" s="287"/>
      <c r="I25" s="287"/>
      <c r="J25" s="19"/>
      <c r="K25" s="287"/>
      <c r="L25" s="19"/>
      <c r="M25" s="287"/>
      <c r="N25" s="19" t="s">
        <v>105</v>
      </c>
      <c r="O25" s="19"/>
      <c r="P25" s="19"/>
      <c r="Q25" s="19" t="s">
        <v>490</v>
      </c>
      <c r="R25" s="19" t="s">
        <v>106</v>
      </c>
      <c r="S25" s="19" t="s">
        <v>107</v>
      </c>
      <c r="T25" s="19"/>
      <c r="U25" s="287"/>
      <c r="W25" s="287"/>
      <c r="X25" s="19"/>
      <c r="Y25" s="287"/>
      <c r="Z25" s="19"/>
      <c r="AA25" s="287"/>
      <c r="AB25" s="19"/>
      <c r="AC25" s="287"/>
      <c r="AD25" s="19"/>
      <c r="AE25" s="287"/>
      <c r="AF25" s="19"/>
      <c r="AG25" s="296"/>
      <c r="AH25" s="6">
        <f>COUNTIF(ParticipationJanvier1[[#This Row],[1]:[31]],Code1)</f>
        <v>0</v>
      </c>
      <c r="AI25" s="6">
        <f>COUNTIF(ParticipationJanvier1[[#This Row],[1]:[31]],code22)</f>
        <v>0</v>
      </c>
      <c r="AJ25" s="6">
        <f>COUNTIF(ParticipationJanvier1[[#This Row],[1]:[31]],Code2)</f>
        <v>1</v>
      </c>
      <c r="AK25" s="6">
        <f>COUNTIF(ParticipationJanvier1[[#This Row],[1]:[31]],Code3)</f>
        <v>1</v>
      </c>
      <c r="AL25" s="6">
        <f>COUNTIF(ParticipationJanvier1[[#This Row],[1]:[31]],Code4)</f>
        <v>1</v>
      </c>
      <c r="AM25" s="6">
        <f>COUNTIF(ParticipationJanvier1[[#This Row],[1]:[31]],Code5)</f>
        <v>0</v>
      </c>
      <c r="AN25" s="6">
        <f>COUNTIF(ParticipationJanvier1[[#This Row],[1]:[31]],Code23)</f>
        <v>0</v>
      </c>
      <c r="AO25" s="6">
        <f>COUNTIF(ParticipationJanvier1[[#This Row],[1]:[31]],Code6)</f>
        <v>0</v>
      </c>
      <c r="AP25" s="6">
        <f>COUNTIF(ParticipationJanvier1[[#This Row],[1]:[31]],Code7)</f>
        <v>0</v>
      </c>
      <c r="AQ25" s="6">
        <f>COUNTIF(ParticipationJanvier1[[#This Row],[1]:[31]],Code8)</f>
        <v>0</v>
      </c>
      <c r="AR25" s="6">
        <f>COUNTIF(ParticipationJanvier1[[#This Row],[1]:[31]],Code9)</f>
        <v>0</v>
      </c>
      <c r="AS25" s="6">
        <f>COUNTIF(ParticipationJanvier1[[#This Row],[1]:[31]],Code10)</f>
        <v>0</v>
      </c>
      <c r="AT25" s="6">
        <f>COUNTIF(ParticipationJanvier1[[#This Row],[1]:[31]],Code11)</f>
        <v>0</v>
      </c>
      <c r="AU25" s="6">
        <f>COUNTIF(ParticipationJanvier1[[#This Row],[1]:[31]],Code12)</f>
        <v>0</v>
      </c>
      <c r="AV25" s="6">
        <f>COUNTIF(ParticipationJanvier1[[#This Row],[1]:[31]],Code13)</f>
        <v>0</v>
      </c>
      <c r="AW25" s="6">
        <f>COUNTIF(ParticipationJanvier1[[#This Row],[1]:[31]],Code14)</f>
        <v>0</v>
      </c>
      <c r="AX25" s="6">
        <f>COUNTIF(ParticipationJanvier1[[#This Row],[1]:[31]],Code15)</f>
        <v>1</v>
      </c>
      <c r="AY25" s="6">
        <f>COUNTIF(ParticipationJanvier1[[#This Row],[1]:[31]],Code16)</f>
        <v>0</v>
      </c>
      <c r="AZ25" s="6">
        <f>COUNTIF(ParticipationJanvier1[[#This Row],[1]:[31]],Code17)</f>
        <v>0</v>
      </c>
      <c r="BA25" s="6">
        <f>COUNTIF(ParticipationJanvier1[[#This Row],[1]:[31]],Code25)</f>
        <v>0</v>
      </c>
      <c r="BB25" s="6">
        <f>COUNTIF(ParticipationJanvier1[[#This Row],[1]:[31]],Code26)</f>
        <v>0</v>
      </c>
      <c r="BC25" s="6">
        <f>COUNTIF(ParticipationJanvier1[[#This Row],[1]:[31]],Code27)</f>
        <v>0</v>
      </c>
      <c r="BD25" s="6">
        <f>COUNTIF(ParticipationJanvier1[[#This Row],[1]:[31]],Code28)</f>
        <v>0</v>
      </c>
      <c r="BE25" s="6">
        <f>COUNTIF(ParticipationJanvier1[[#This Row],[1]:[31]],code30)</f>
        <v>0</v>
      </c>
      <c r="BF25" s="6">
        <f>COUNTIF(ParticipationJanvier1[[#This Row],[1]:[31]],Code31)</f>
        <v>0</v>
      </c>
      <c r="BG25" s="6">
        <f>COUNTIF(ParticipationJanvier1[[#This Row],[1]:[31]],code21)</f>
        <v>0</v>
      </c>
      <c r="BH25" s="6">
        <f>COUNTIF(ParticipationJanvier1[[#This Row],[1]:[31]],Code24)</f>
        <v>0</v>
      </c>
      <c r="BI25" s="6">
        <f>COUNTIF(ParticipationJanvier1[[#This Row],[1]:[31]],code18)</f>
        <v>0</v>
      </c>
      <c r="BJ25" s="6">
        <f>COUNTIF(ParticipationJanvier1[[#This Row],[1]:[31]],code19)</f>
        <v>0</v>
      </c>
      <c r="BK25" s="6">
        <f>COUNTIF(ParticipationJanvier1[[#This Row],[1]:[31]],code20)</f>
        <v>0</v>
      </c>
      <c r="BL25" s="182">
        <f>COUNTIF(ParticipationJanvier1[[#This Row],[1]:[31]],code29)</f>
        <v>0</v>
      </c>
      <c r="BM25" s="297">
        <v>3</v>
      </c>
      <c r="BN25" s="297"/>
      <c r="BO25" s="297"/>
      <c r="BP25" s="297"/>
      <c r="BQ25" s="297"/>
      <c r="BR25" s="297"/>
      <c r="BS25" s="297"/>
      <c r="BT25" s="297"/>
      <c r="BU25" s="297"/>
      <c r="BV25" s="297"/>
      <c r="BW25" s="297"/>
      <c r="BX25" s="297"/>
      <c r="BY25" s="297"/>
      <c r="BZ25" s="297"/>
      <c r="CA25" s="297"/>
      <c r="CB25" s="297"/>
      <c r="CC25" s="297"/>
      <c r="CD25" s="297"/>
      <c r="CE25" s="297"/>
      <c r="CF25" s="297"/>
      <c r="CG25" s="297">
        <v>1</v>
      </c>
      <c r="CH25" s="297"/>
      <c r="CI25" s="297"/>
      <c r="CJ25" s="297"/>
      <c r="CK25" s="297"/>
      <c r="CL25" s="297"/>
      <c r="CM25" s="297"/>
      <c r="CN25" s="297"/>
      <c r="CO25" s="297"/>
      <c r="CP25" s="297"/>
      <c r="CQ25" s="297"/>
      <c r="CR25" s="297"/>
      <c r="CS25" s="297"/>
      <c r="CT25" s="297"/>
      <c r="CU25" s="300"/>
      <c r="CV25" s="165">
        <f t="shared" si="0"/>
        <v>8</v>
      </c>
      <c r="CW25" s="165">
        <f t="shared" si="1"/>
        <v>4</v>
      </c>
      <c r="CX25" s="249">
        <f t="shared" si="2"/>
        <v>0</v>
      </c>
      <c r="CY25" s="170">
        <f t="shared" si="3"/>
        <v>0</v>
      </c>
    </row>
    <row r="26" spans="1:103">
      <c r="A26" s="510" t="s">
        <v>367</v>
      </c>
      <c r="B26" s="372" t="str">
        <f>IFERROR(VLOOKUP(ParticipationJanvier1[[#This Row],[Référence]],ListeÉtudiants1[],18,FALSE),"")</f>
        <v>BASTARDIE JULIEN</v>
      </c>
      <c r="C26" s="19"/>
      <c r="D26" s="19"/>
      <c r="E26" s="19"/>
      <c r="F26" s="19"/>
      <c r="G26" s="287"/>
      <c r="H26" s="19"/>
      <c r="I26" s="287"/>
      <c r="J26" s="19"/>
      <c r="K26" s="287"/>
      <c r="L26" s="19"/>
      <c r="M26" s="287"/>
      <c r="N26" s="19"/>
      <c r="O26" s="19"/>
      <c r="P26" s="19"/>
      <c r="Q26" s="19"/>
      <c r="R26" s="19"/>
      <c r="S26" s="19"/>
      <c r="T26" s="19" t="s">
        <v>106</v>
      </c>
      <c r="U26" s="287"/>
      <c r="W26" s="287"/>
      <c r="X26" s="19"/>
      <c r="Y26" s="287"/>
      <c r="Z26" s="19"/>
      <c r="AA26" s="287"/>
      <c r="AB26" s="19"/>
      <c r="AC26" s="287"/>
      <c r="AD26" s="19"/>
      <c r="AE26" s="287"/>
      <c r="AF26" s="19"/>
      <c r="AG26" s="296"/>
      <c r="AH26" s="6">
        <f>COUNTIF(ParticipationJanvier1[[#This Row],[1]:[31]],Code1)</f>
        <v>0</v>
      </c>
      <c r="AI26" s="6">
        <f>COUNTIF(ParticipationJanvier1[[#This Row],[1]:[31]],code22)</f>
        <v>0</v>
      </c>
      <c r="AJ26" s="6">
        <f>COUNTIF(ParticipationJanvier1[[#This Row],[1]:[31]],Code2)</f>
        <v>0</v>
      </c>
      <c r="AK26" s="6">
        <f>COUNTIF(ParticipationJanvier1[[#This Row],[1]:[31]],Code3)</f>
        <v>1</v>
      </c>
      <c r="AL26" s="6">
        <f>COUNTIF(ParticipationJanvier1[[#This Row],[1]:[31]],Code4)</f>
        <v>0</v>
      </c>
      <c r="AM26" s="6">
        <f>COUNTIF(ParticipationJanvier1[[#This Row],[1]:[31]],Code5)</f>
        <v>0</v>
      </c>
      <c r="AN26" s="6">
        <f>COUNTIF(ParticipationJanvier1[[#This Row],[1]:[31]],Code23)</f>
        <v>0</v>
      </c>
      <c r="AO26" s="6">
        <f>COUNTIF(ParticipationJanvier1[[#This Row],[1]:[31]],Code6)</f>
        <v>0</v>
      </c>
      <c r="AP26" s="6">
        <f>COUNTIF(ParticipationJanvier1[[#This Row],[1]:[31]],Code7)</f>
        <v>0</v>
      </c>
      <c r="AQ26" s="6">
        <f>COUNTIF(ParticipationJanvier1[[#This Row],[1]:[31]],Code8)</f>
        <v>0</v>
      </c>
      <c r="AR26" s="6">
        <f>COUNTIF(ParticipationJanvier1[[#This Row],[1]:[31]],Code9)</f>
        <v>0</v>
      </c>
      <c r="AS26" s="6">
        <f>COUNTIF(ParticipationJanvier1[[#This Row],[1]:[31]],Code10)</f>
        <v>0</v>
      </c>
      <c r="AT26" s="6">
        <f>COUNTIF(ParticipationJanvier1[[#This Row],[1]:[31]],Code11)</f>
        <v>0</v>
      </c>
      <c r="AU26" s="6">
        <f>COUNTIF(ParticipationJanvier1[[#This Row],[1]:[31]],Code12)</f>
        <v>0</v>
      </c>
      <c r="AV26" s="6">
        <f>COUNTIF(ParticipationJanvier1[[#This Row],[1]:[31]],Code13)</f>
        <v>0</v>
      </c>
      <c r="AW26" s="6">
        <f>COUNTIF(ParticipationJanvier1[[#This Row],[1]:[31]],Code14)</f>
        <v>0</v>
      </c>
      <c r="AX26" s="6">
        <f>COUNTIF(ParticipationJanvier1[[#This Row],[1]:[31]],Code15)</f>
        <v>0</v>
      </c>
      <c r="AY26" s="6">
        <f>COUNTIF(ParticipationJanvier1[[#This Row],[1]:[31]],Code16)</f>
        <v>0</v>
      </c>
      <c r="AZ26" s="6">
        <f>COUNTIF(ParticipationJanvier1[[#This Row],[1]:[31]],Code17)</f>
        <v>0</v>
      </c>
      <c r="BA26" s="6">
        <f>COUNTIF(ParticipationJanvier1[[#This Row],[1]:[31]],Code25)</f>
        <v>0</v>
      </c>
      <c r="BB26" s="6">
        <f>COUNTIF(ParticipationJanvier1[[#This Row],[1]:[31]],Code26)</f>
        <v>0</v>
      </c>
      <c r="BC26" s="6">
        <f>COUNTIF(ParticipationJanvier1[[#This Row],[1]:[31]],Code27)</f>
        <v>0</v>
      </c>
      <c r="BD26" s="6">
        <f>COUNTIF(ParticipationJanvier1[[#This Row],[1]:[31]],Code28)</f>
        <v>0</v>
      </c>
      <c r="BE26" s="6">
        <f>COUNTIF(ParticipationJanvier1[[#This Row],[1]:[31]],code30)</f>
        <v>0</v>
      </c>
      <c r="BF26" s="6">
        <f>COUNTIF(ParticipationJanvier1[[#This Row],[1]:[31]],Code31)</f>
        <v>0</v>
      </c>
      <c r="BG26" s="6">
        <f>COUNTIF(ParticipationJanvier1[[#This Row],[1]:[31]],code21)</f>
        <v>0</v>
      </c>
      <c r="BH26" s="6">
        <f>COUNTIF(ParticipationJanvier1[[#This Row],[1]:[31]],Code24)</f>
        <v>0</v>
      </c>
      <c r="BI26" s="6">
        <f>COUNTIF(ParticipationJanvier1[[#This Row],[1]:[31]],code18)</f>
        <v>0</v>
      </c>
      <c r="BJ26" s="6">
        <f>COUNTIF(ParticipationJanvier1[[#This Row],[1]:[31]],code19)</f>
        <v>0</v>
      </c>
      <c r="BK26" s="6">
        <f>COUNTIF(ParticipationJanvier1[[#This Row],[1]:[31]],code20)</f>
        <v>0</v>
      </c>
      <c r="BL26" s="182">
        <f>COUNTIF(ParticipationJanvier1[[#This Row],[1]:[31]],code29)</f>
        <v>0</v>
      </c>
      <c r="BM26" s="297"/>
      <c r="BN26" s="297"/>
      <c r="BO26" s="297"/>
      <c r="BP26" s="297"/>
      <c r="BQ26" s="297"/>
      <c r="BR26" s="297"/>
      <c r="BS26" s="297"/>
      <c r="BT26" s="297"/>
      <c r="BU26" s="297"/>
      <c r="BV26" s="297"/>
      <c r="BW26" s="297"/>
      <c r="BX26" s="297"/>
      <c r="BY26" s="297"/>
      <c r="BZ26" s="297"/>
      <c r="CA26" s="297"/>
      <c r="CB26" s="297"/>
      <c r="CC26" s="297"/>
      <c r="CD26" s="297"/>
      <c r="CE26" s="297"/>
      <c r="CF26" s="297"/>
      <c r="CG26" s="297"/>
      <c r="CH26" s="297"/>
      <c r="CI26" s="297"/>
      <c r="CJ26" s="297">
        <v>1</v>
      </c>
      <c r="CK26" s="297"/>
      <c r="CL26" s="297"/>
      <c r="CM26" s="297"/>
      <c r="CN26" s="297"/>
      <c r="CO26" s="297"/>
      <c r="CP26" s="297"/>
      <c r="CQ26" s="297"/>
      <c r="CR26" s="297"/>
      <c r="CS26" s="297"/>
      <c r="CT26" s="297"/>
      <c r="CU26" s="300"/>
      <c r="CV26" s="165">
        <f t="shared" si="0"/>
        <v>3</v>
      </c>
      <c r="CW26" s="165">
        <f t="shared" si="1"/>
        <v>0</v>
      </c>
      <c r="CX26" s="249">
        <f t="shared" si="2"/>
        <v>0</v>
      </c>
      <c r="CY26" s="170">
        <f t="shared" si="3"/>
        <v>0</v>
      </c>
    </row>
    <row r="27" spans="1:103">
      <c r="A27" s="510" t="s">
        <v>368</v>
      </c>
      <c r="B27" s="372" t="str">
        <f>IFERROR(VLOOKUP(ParticipationJanvier1[[#This Row],[Référence]],ListeÉtudiants1[],18,FALSE),"")</f>
        <v>BAUDET M0RGANE</v>
      </c>
      <c r="C27" s="19"/>
      <c r="D27" s="19"/>
      <c r="E27" s="19"/>
      <c r="F27" s="19"/>
      <c r="G27" s="518"/>
      <c r="H27" s="19"/>
      <c r="I27" s="518"/>
      <c r="J27" s="19"/>
      <c r="K27" s="518"/>
      <c r="L27" s="19"/>
      <c r="M27" s="518"/>
      <c r="N27" s="19"/>
      <c r="O27" s="518"/>
      <c r="P27" s="19"/>
      <c r="Q27" s="518"/>
      <c r="R27" s="19"/>
      <c r="S27" s="518"/>
      <c r="T27" s="19"/>
      <c r="U27" s="518"/>
      <c r="W27" s="518"/>
      <c r="X27" s="19"/>
      <c r="Y27" s="518"/>
      <c r="Z27" s="19"/>
      <c r="AA27" s="518"/>
      <c r="AB27" s="19"/>
      <c r="AC27" s="518"/>
      <c r="AD27" s="19"/>
      <c r="AE27" s="518"/>
      <c r="AF27" s="19"/>
      <c r="AG27" s="519"/>
      <c r="AH27" s="475">
        <f>COUNTIF(ParticipationJanvier1[[#This Row],[1]:[31]],Code1)</f>
        <v>0</v>
      </c>
      <c r="AI27" s="518">
        <f>COUNTIF(ParticipationJanvier1[[#This Row],[1]:[31]],code22)</f>
        <v>0</v>
      </c>
      <c r="AJ27" s="473">
        <f>COUNTIF(ParticipationJanvier1[[#This Row],[1]:[31]],Code2)</f>
        <v>0</v>
      </c>
      <c r="AK27" s="520">
        <f>COUNTIF(ParticipationJanvier1[[#This Row],[1]:[31]],Code3)</f>
        <v>0</v>
      </c>
      <c r="AL27" s="473">
        <f>COUNTIF(ParticipationJanvier1[[#This Row],[1]:[31]],Code4)</f>
        <v>0</v>
      </c>
      <c r="AM27" s="520">
        <f>COUNTIF(ParticipationJanvier1[[#This Row],[1]:[31]],Code5)</f>
        <v>0</v>
      </c>
      <c r="AN27" s="30">
        <f>COUNTIF(ParticipationJanvier1[[#This Row],[1]:[31]],Code23)</f>
        <v>0</v>
      </c>
      <c r="AO27" s="473">
        <f>COUNTIF(ParticipationJanvier1[[#This Row],[1]:[31]],Code6)</f>
        <v>0</v>
      </c>
      <c r="AP27" s="30">
        <f>COUNTIF(ParticipationJanvier1[[#This Row],[1]:[31]],Code7)</f>
        <v>0</v>
      </c>
      <c r="AQ27" s="30">
        <f>COUNTIF(ParticipationJanvier1[[#This Row],[1]:[31]],Code8)</f>
        <v>0</v>
      </c>
      <c r="AR27" s="30">
        <f>COUNTIF(ParticipationJanvier1[[#This Row],[1]:[31]],Code9)</f>
        <v>0</v>
      </c>
      <c r="AS27" s="473">
        <f>COUNTIF(ParticipationJanvier1[[#This Row],[1]:[31]],Code10)</f>
        <v>0</v>
      </c>
      <c r="AT27" s="473">
        <f>COUNTIF(ParticipationJanvier1[[#This Row],[1]:[31]],Code11)</f>
        <v>0</v>
      </c>
      <c r="AU27" s="473">
        <f>COUNTIF(ParticipationJanvier1[[#This Row],[1]:[31]],Code12)</f>
        <v>0</v>
      </c>
      <c r="AV27" s="473">
        <f>COUNTIF(ParticipationJanvier1[[#This Row],[1]:[31]],Code13)</f>
        <v>0</v>
      </c>
      <c r="AW27" s="473">
        <f>COUNTIF(ParticipationJanvier1[[#This Row],[1]:[31]],Code14)</f>
        <v>0</v>
      </c>
      <c r="AX27" s="473">
        <f>COUNTIF(ParticipationJanvier1[[#This Row],[1]:[31]],Code15)</f>
        <v>0</v>
      </c>
      <c r="AY27" s="473">
        <f>COUNTIF(ParticipationJanvier1[[#This Row],[1]:[31]],Code16)</f>
        <v>0</v>
      </c>
      <c r="AZ27" s="473">
        <f>COUNTIF(ParticipationJanvier1[[#This Row],[1]:[31]],Code17)</f>
        <v>0</v>
      </c>
      <c r="BA27" s="475">
        <f>COUNTIF(ParticipationJanvier1[[#This Row],[1]:[31]],Code25)</f>
        <v>0</v>
      </c>
      <c r="BB27" s="475">
        <f>COUNTIF(ParticipationJanvier1[[#This Row],[1]:[31]],Code26)</f>
        <v>0</v>
      </c>
      <c r="BC27" s="475">
        <f>COUNTIF(ParticipationJanvier1[[#This Row],[1]:[31]],Code27)</f>
        <v>0</v>
      </c>
      <c r="BD27" s="475">
        <f>COUNTIF(ParticipationJanvier1[[#This Row],[1]:[31]],Code28)</f>
        <v>0</v>
      </c>
      <c r="BE27" s="475">
        <f>COUNTIF(ParticipationJanvier1[[#This Row],[1]:[31]],code30)</f>
        <v>0</v>
      </c>
      <c r="BF27" s="475">
        <f>COUNTIF(ParticipationJanvier1[[#This Row],[1]:[31]],Code31)</f>
        <v>0</v>
      </c>
      <c r="BG27" s="473">
        <f>COUNTIF(ParticipationJanvier1[[#This Row],[1]:[31]],code21)</f>
        <v>0</v>
      </c>
      <c r="BH27" s="473">
        <f>COUNTIF(ParticipationJanvier1[[#This Row],[1]:[31]],Code24)</f>
        <v>0</v>
      </c>
      <c r="BI27" s="473">
        <f>COUNTIF(ParticipationJanvier1[[#This Row],[1]:[31]],code18)</f>
        <v>0</v>
      </c>
      <c r="BJ27" s="473">
        <f>COUNTIF(ParticipationJanvier1[[#This Row],[1]:[31]],code19)</f>
        <v>0</v>
      </c>
      <c r="BK27" s="473">
        <f>COUNTIF(ParticipationJanvier1[[#This Row],[1]:[31]],code20)</f>
        <v>0</v>
      </c>
      <c r="BL27" s="476">
        <f>COUNTIF(ParticipationJanvier1[[#This Row],[1]:[31]],code29)</f>
        <v>0</v>
      </c>
      <c r="BM27" s="472">
        <f>SUM((AH27*1)+(AI31*1.5)+(AJ27*2)+(AK27*3)+(AL27*4)+(AQ27*5)+(AR27*6)+(AS27*7)+(AW27*2)+(AX27*3)+(AY27*4)+(AZ27*5)+(BG27*2))</f>
        <v>0</v>
      </c>
      <c r="BN27" s="472"/>
      <c r="BO27" s="472"/>
      <c r="BP27" s="472"/>
      <c r="BQ27" s="472"/>
      <c r="BR27" s="473"/>
      <c r="BS27" s="472"/>
      <c r="BT27" s="472"/>
      <c r="BU27" s="472"/>
      <c r="BV27" s="472"/>
      <c r="BW27" s="472"/>
      <c r="BX27" s="472"/>
      <c r="BY27" s="472"/>
      <c r="BZ27" s="472"/>
      <c r="CA27" s="472"/>
      <c r="CB27" s="472"/>
      <c r="CC27" s="472"/>
      <c r="CD27" s="472"/>
      <c r="CE27" s="472"/>
      <c r="CF27" s="472"/>
      <c r="CG27" s="472"/>
      <c r="CH27" s="472"/>
      <c r="CI27" s="472"/>
      <c r="CJ27" s="472"/>
      <c r="CK27" s="472"/>
      <c r="CL27" s="472"/>
      <c r="CM27" s="472"/>
      <c r="CN27" s="472"/>
      <c r="CO27" s="472"/>
      <c r="CP27" s="472"/>
      <c r="CQ27" s="472"/>
      <c r="CR27" s="472"/>
      <c r="CS27" s="472"/>
      <c r="CT27" s="472"/>
      <c r="CU27" s="516">
        <f>SUM((AN27*1)+(AM27*2)+(AO27*3)+(AP27*4)+(AT27*5)+(AU27*7)+(AV27*7)+(AW27*7)+(AX27*4)+(AY27*3)+(BA27*2)+(BC27*4)+(BB27*1)+(BG27*2)+(AZ27*5)+(BD27*1))</f>
        <v>0</v>
      </c>
      <c r="CV27" s="521">
        <f>SUM((AH27*1)+(AI27*1.5)+(AJ27*2)+(AK27*3)+(AP27*5)+(AQ27*6)+(AR27*7)+(AU27*2)+(AX27*3)+(AY27*4)+(BA27*5)+(BB27*3)+(BC27*2)+(BG27*2)+(AZ27*2)+(BD27*2))</f>
        <v>0</v>
      </c>
      <c r="CW27" s="522">
        <f>SUM((AN27*1)+(AM27*2)+(AO27*3)+(AP27*4)+(AT27*5)+(AU27*7)+(AV27*7)+(AW27*7)+(AX27*4)+(AY27*3)+(BA27*2)+(BC27*4)+(BB27*1)+(BG27*2)+(AZ27*5)+(BD27*1))</f>
        <v>0</v>
      </c>
      <c r="CX27" s="523">
        <f>BH27*1</f>
        <v>0</v>
      </c>
      <c r="CY27" s="512"/>
    </row>
    <row r="28" spans="1:103">
      <c r="A28" s="510" t="s">
        <v>369</v>
      </c>
      <c r="B28" s="372" t="str">
        <f>IFERROR(VLOOKUP(ParticipationJanvier1[[#This Row],[Référence]],ListeÉtudiants1[],18,FALSE),"")</f>
        <v>BENOIST SANDY</v>
      </c>
      <c r="C28" s="19"/>
      <c r="D28" s="19"/>
      <c r="E28" s="19"/>
      <c r="F28" s="19"/>
      <c r="G28" s="518"/>
      <c r="H28" s="19"/>
      <c r="I28" s="518"/>
      <c r="J28" s="19"/>
      <c r="K28" s="518"/>
      <c r="L28" s="19"/>
      <c r="M28" s="518"/>
      <c r="N28" s="19"/>
      <c r="O28" s="518"/>
      <c r="P28" s="19"/>
      <c r="Q28" s="518"/>
      <c r="R28" s="19"/>
      <c r="S28" s="518"/>
      <c r="T28" s="19"/>
      <c r="U28" s="518"/>
      <c r="W28" s="518"/>
      <c r="X28" s="19"/>
      <c r="Y28" s="518"/>
      <c r="Z28" s="19"/>
      <c r="AA28" s="518"/>
      <c r="AB28" s="19"/>
      <c r="AC28" s="518"/>
      <c r="AD28" s="19"/>
      <c r="AE28" s="518"/>
      <c r="AF28" s="19"/>
      <c r="AG28" s="519"/>
      <c r="AH28" s="475">
        <f>COUNTIF(ParticipationJanvier1[[#This Row],[1]:[31]],Code1)</f>
        <v>0</v>
      </c>
      <c r="AI28" s="518">
        <f>COUNTIF(ParticipationJanvier1[[#This Row],[1]:[31]],code22)</f>
        <v>0</v>
      </c>
      <c r="AJ28" s="473">
        <f>COUNTIF(ParticipationJanvier1[[#This Row],[1]:[31]],Code2)</f>
        <v>0</v>
      </c>
      <c r="AK28" s="520">
        <f>COUNTIF(ParticipationJanvier1[[#This Row],[1]:[31]],Code3)</f>
        <v>0</v>
      </c>
      <c r="AL28" s="473">
        <f>COUNTIF(ParticipationJanvier1[[#This Row],[1]:[31]],Code4)</f>
        <v>0</v>
      </c>
      <c r="AM28" s="520">
        <f>COUNTIF(ParticipationJanvier1[[#This Row],[1]:[31]],Code5)</f>
        <v>0</v>
      </c>
      <c r="AN28" s="30">
        <f>COUNTIF(ParticipationJanvier1[[#This Row],[1]:[31]],Code23)</f>
        <v>0</v>
      </c>
      <c r="AO28" s="473">
        <f>COUNTIF(ParticipationJanvier1[[#This Row],[1]:[31]],Code6)</f>
        <v>0</v>
      </c>
      <c r="AP28" s="30">
        <f>COUNTIF(ParticipationJanvier1[[#This Row],[1]:[31]],Code7)</f>
        <v>0</v>
      </c>
      <c r="AQ28" s="30">
        <f>COUNTIF(ParticipationJanvier1[[#This Row],[1]:[31]],Code8)</f>
        <v>0</v>
      </c>
      <c r="AR28" s="30">
        <f>COUNTIF(ParticipationJanvier1[[#This Row],[1]:[31]],Code9)</f>
        <v>0</v>
      </c>
      <c r="AS28" s="473">
        <f>COUNTIF(ParticipationJanvier1[[#This Row],[1]:[31]],Code10)</f>
        <v>0</v>
      </c>
      <c r="AT28" s="473">
        <f>COUNTIF(ParticipationJanvier1[[#This Row],[1]:[31]],Code11)</f>
        <v>0</v>
      </c>
      <c r="AU28" s="473">
        <f>COUNTIF(ParticipationJanvier1[[#This Row],[1]:[31]],Code12)</f>
        <v>0</v>
      </c>
      <c r="AV28" s="473">
        <f>COUNTIF(ParticipationJanvier1[[#This Row],[1]:[31]],Code13)</f>
        <v>0</v>
      </c>
      <c r="AW28" s="473">
        <f>COUNTIF(ParticipationJanvier1[[#This Row],[1]:[31]],Code14)</f>
        <v>0</v>
      </c>
      <c r="AX28" s="473">
        <f>COUNTIF(ParticipationJanvier1[[#This Row],[1]:[31]],Code15)</f>
        <v>0</v>
      </c>
      <c r="AY28" s="473">
        <f>COUNTIF(ParticipationJanvier1[[#This Row],[1]:[31]],Code16)</f>
        <v>0</v>
      </c>
      <c r="AZ28" s="473">
        <f>COUNTIF(ParticipationJanvier1[[#This Row],[1]:[31]],Code17)</f>
        <v>0</v>
      </c>
      <c r="BA28" s="475">
        <f>COUNTIF(ParticipationJanvier1[[#This Row],[1]:[31]],Code25)</f>
        <v>0</v>
      </c>
      <c r="BB28" s="475">
        <f>COUNTIF(ParticipationJanvier1[[#This Row],[1]:[31]],Code26)</f>
        <v>0</v>
      </c>
      <c r="BC28" s="475">
        <f>COUNTIF(ParticipationJanvier1[[#This Row],[1]:[31]],Code27)</f>
        <v>0</v>
      </c>
      <c r="BD28" s="475">
        <f>COUNTIF(ParticipationJanvier1[[#This Row],[1]:[31]],Code28)</f>
        <v>0</v>
      </c>
      <c r="BE28" s="475">
        <f>COUNTIF(ParticipationJanvier1[[#This Row],[1]:[31]],code30)</f>
        <v>0</v>
      </c>
      <c r="BF28" s="475">
        <f>COUNTIF(ParticipationJanvier1[[#This Row],[1]:[31]],Code31)</f>
        <v>0</v>
      </c>
      <c r="BG28" s="473">
        <f>COUNTIF(ParticipationJanvier1[[#This Row],[1]:[31]],code21)</f>
        <v>0</v>
      </c>
      <c r="BH28" s="473">
        <f>COUNTIF(ParticipationJanvier1[[#This Row],[1]:[31]],Code24)</f>
        <v>0</v>
      </c>
      <c r="BI28" s="473">
        <f>COUNTIF(ParticipationJanvier1[[#This Row],[1]:[31]],code18)</f>
        <v>0</v>
      </c>
      <c r="BJ28" s="473">
        <f>COUNTIF(ParticipationJanvier1[[#This Row],[1]:[31]],code19)</f>
        <v>0</v>
      </c>
      <c r="BK28" s="473">
        <f>COUNTIF(ParticipationJanvier1[[#This Row],[1]:[31]],code20)</f>
        <v>0</v>
      </c>
      <c r="BL28" s="476">
        <f>COUNTIF(ParticipationJanvier1[[#This Row],[1]:[31]],code29)</f>
        <v>0</v>
      </c>
      <c r="BM28" s="472">
        <f>SUM((AH28*1)+(AI32*1.5)+(AJ28*2)+(AK28*3)+(AL28*4)+(AQ28*5)+(AR28*6)+(AS28*7)+(AW28*2)+(AX28*3)+(AY28*4)+(AZ28*5)+(BG28*2))</f>
        <v>0</v>
      </c>
      <c r="BN28" s="472"/>
      <c r="BO28" s="472"/>
      <c r="BP28" s="472"/>
      <c r="BQ28" s="472"/>
      <c r="BR28" s="473"/>
      <c r="BS28" s="472"/>
      <c r="BT28" s="472"/>
      <c r="BU28" s="472"/>
      <c r="BV28" s="472"/>
      <c r="BW28" s="472"/>
      <c r="BX28" s="472"/>
      <c r="BY28" s="472"/>
      <c r="BZ28" s="472"/>
      <c r="CA28" s="472"/>
      <c r="CB28" s="472"/>
      <c r="CC28" s="472"/>
      <c r="CD28" s="472"/>
      <c r="CE28" s="472"/>
      <c r="CF28" s="472"/>
      <c r="CG28" s="472"/>
      <c r="CH28" s="472"/>
      <c r="CI28" s="472"/>
      <c r="CJ28" s="472"/>
      <c r="CK28" s="472"/>
      <c r="CL28" s="472"/>
      <c r="CM28" s="472"/>
      <c r="CN28" s="472"/>
      <c r="CO28" s="472"/>
      <c r="CP28" s="472"/>
      <c r="CQ28" s="472"/>
      <c r="CR28" s="472"/>
      <c r="CS28" s="472"/>
      <c r="CT28" s="472"/>
      <c r="CU28" s="516">
        <f>SUM((AN28*1)+(AM28*2)+(AO28*3)+(AP28*4)+(AT28*5)+(AU28*7)+(AV28*7)+(AW28*7)+(AX28*4)+(AY28*3)+(BA28*2)+(BC28*4)+(BB28*1)+(BG28*2)+(AZ28*5)+(BD28*1))</f>
        <v>0</v>
      </c>
      <c r="CV28" s="521">
        <f>SUM((AH28*1)+(AI28*1.5)+(AJ28*2)+(AK28*3)+(AP28*5)+(AQ28*6)+(AR28*7)+(AU28*2)+(AX28*3)+(AY28*4)+(BA28*5)+(BB28*3)+(BC28*2)+(BG28*2)+(AZ28*2)+(BD28*2))</f>
        <v>0</v>
      </c>
      <c r="CW28" s="522">
        <f>SUM((AN28*1)+(AM28*2)+(AO28*3)+(AP28*4)+(AT28*5)+(AU28*7)+(AV28*7)+(AW28*7)+(AX28*4)+(AY28*3)+(BA28*2)+(BC28*4)+(BB28*1)+(BG28*2)+(AZ28*5)+(BD28*1))</f>
        <v>0</v>
      </c>
      <c r="CX28" s="523">
        <f>BH28*1</f>
        <v>0</v>
      </c>
      <c r="CY28" s="512"/>
    </row>
    <row r="29" spans="1:103">
      <c r="A29" s="534" t="s">
        <v>370</v>
      </c>
      <c r="B29" s="372" t="str">
        <f>IFERROR(VLOOKUP(ParticipationJanvier1[[#This Row],[Référence]],ListeÉtudiants1[],18,FALSE),"")</f>
        <v>BENOUARETH NAWEL</v>
      </c>
      <c r="C29" s="19"/>
      <c r="D29" s="19"/>
      <c r="E29" s="19"/>
      <c r="F29" s="19"/>
      <c r="G29" s="287"/>
      <c r="H29" s="19"/>
      <c r="I29" s="287"/>
      <c r="J29" s="19"/>
      <c r="K29" s="287"/>
      <c r="L29" s="19"/>
      <c r="M29" s="287"/>
      <c r="N29" s="19"/>
      <c r="O29" s="19"/>
      <c r="P29" s="19"/>
      <c r="Q29" s="19" t="s">
        <v>108</v>
      </c>
      <c r="R29" s="19"/>
      <c r="S29" s="19"/>
      <c r="T29" s="19"/>
      <c r="U29" s="287"/>
      <c r="W29" s="287"/>
      <c r="X29" s="19"/>
      <c r="Y29" s="287"/>
      <c r="Z29" s="19"/>
      <c r="AA29" s="287"/>
      <c r="AB29" s="19"/>
      <c r="AC29" s="287"/>
      <c r="AD29" s="19"/>
      <c r="AE29" s="287"/>
      <c r="AF29" s="19"/>
      <c r="AG29" s="296"/>
      <c r="AH29" s="6">
        <f>COUNTIF(ParticipationJanvier1[[#This Row],[1]:[31]],Code1)</f>
        <v>0</v>
      </c>
      <c r="AI29" s="6">
        <f>COUNTIF(ParticipationJanvier1[[#This Row],[1]:[31]],code22)</f>
        <v>0</v>
      </c>
      <c r="AJ29" s="6">
        <f>COUNTIF(ParticipationJanvier1[[#This Row],[1]:[31]],Code2)</f>
        <v>0</v>
      </c>
      <c r="AK29" s="6">
        <f>COUNTIF(ParticipationJanvier1[[#This Row],[1]:[31]],Code3)</f>
        <v>0</v>
      </c>
      <c r="AL29" s="6">
        <f>COUNTIF(ParticipationJanvier1[[#This Row],[1]:[31]],Code4)</f>
        <v>0</v>
      </c>
      <c r="AM29" s="6">
        <f>COUNTIF(ParticipationJanvier1[[#This Row],[1]:[31]],Code5)</f>
        <v>0</v>
      </c>
      <c r="AN29" s="6">
        <f>COUNTIF(ParticipationJanvier1[[#This Row],[1]:[31]],Code23)</f>
        <v>0</v>
      </c>
      <c r="AO29" s="6">
        <f>COUNTIF(ParticipationJanvier1[[#This Row],[1]:[31]],Code6)</f>
        <v>1</v>
      </c>
      <c r="AP29" s="6">
        <f>COUNTIF(ParticipationJanvier1[[#This Row],[1]:[31]],Code7)</f>
        <v>0</v>
      </c>
      <c r="AQ29" s="6">
        <f>COUNTIF(ParticipationJanvier1[[#This Row],[1]:[31]],Code8)</f>
        <v>0</v>
      </c>
      <c r="AR29" s="6">
        <f>COUNTIF(ParticipationJanvier1[[#This Row],[1]:[31]],Code9)</f>
        <v>0</v>
      </c>
      <c r="AS29" s="6">
        <f>COUNTIF(ParticipationJanvier1[[#This Row],[1]:[31]],Code10)</f>
        <v>0</v>
      </c>
      <c r="AT29" s="6">
        <f>COUNTIF(ParticipationJanvier1[[#This Row],[1]:[31]],Code11)</f>
        <v>0</v>
      </c>
      <c r="AU29" s="6">
        <f>COUNTIF(ParticipationJanvier1[[#This Row],[1]:[31]],Code12)</f>
        <v>0</v>
      </c>
      <c r="AV29" s="6">
        <f>COUNTIF(ParticipationJanvier1[[#This Row],[1]:[31]],Code13)</f>
        <v>0</v>
      </c>
      <c r="AW29" s="6">
        <f>COUNTIF(ParticipationJanvier1[[#This Row],[1]:[31]],Code14)</f>
        <v>0</v>
      </c>
      <c r="AX29" s="6">
        <f>COUNTIF(ParticipationJanvier1[[#This Row],[1]:[31]],Code15)</f>
        <v>0</v>
      </c>
      <c r="AY29" s="6">
        <f>COUNTIF(ParticipationJanvier1[[#This Row],[1]:[31]],Code16)</f>
        <v>0</v>
      </c>
      <c r="AZ29" s="6">
        <f>COUNTIF(ParticipationJanvier1[[#This Row],[1]:[31]],Code17)</f>
        <v>0</v>
      </c>
      <c r="BA29" s="6">
        <f>COUNTIF(ParticipationJanvier1[[#This Row],[1]:[31]],Code25)</f>
        <v>0</v>
      </c>
      <c r="BB29" s="6">
        <f>COUNTIF(ParticipationJanvier1[[#This Row],[1]:[31]],Code26)</f>
        <v>0</v>
      </c>
      <c r="BC29" s="6">
        <f>COUNTIF(ParticipationJanvier1[[#This Row],[1]:[31]],Code27)</f>
        <v>0</v>
      </c>
      <c r="BD29" s="6">
        <f>COUNTIF(ParticipationJanvier1[[#This Row],[1]:[31]],Code28)</f>
        <v>0</v>
      </c>
      <c r="BE29" s="6">
        <f>COUNTIF(ParticipationJanvier1[[#This Row],[1]:[31]],code30)</f>
        <v>0</v>
      </c>
      <c r="BF29" s="6">
        <f>COUNTIF(ParticipationJanvier1[[#This Row],[1]:[31]],Code31)</f>
        <v>0</v>
      </c>
      <c r="BG29" s="6">
        <f>COUNTIF(ParticipationJanvier1[[#This Row],[1]:[31]],code21)</f>
        <v>0</v>
      </c>
      <c r="BH29" s="6">
        <f>COUNTIF(ParticipationJanvier1[[#This Row],[1]:[31]],Code24)</f>
        <v>0</v>
      </c>
      <c r="BI29" s="6">
        <f>COUNTIF(ParticipationJanvier1[[#This Row],[1]:[31]],code18)</f>
        <v>0</v>
      </c>
      <c r="BJ29" s="6">
        <f>COUNTIF(ParticipationJanvier1[[#This Row],[1]:[31]],code19)</f>
        <v>0</v>
      </c>
      <c r="BK29" s="6">
        <f>COUNTIF(ParticipationJanvier1[[#This Row],[1]:[31]],code20)</f>
        <v>0</v>
      </c>
      <c r="BL29" s="182">
        <f>COUNTIF(ParticipationJanvier1[[#This Row],[1]:[31]],code29)</f>
        <v>0</v>
      </c>
      <c r="BM29" s="297"/>
      <c r="BN29" s="297"/>
      <c r="BO29" s="297"/>
      <c r="BP29" s="297"/>
      <c r="BQ29" s="297"/>
      <c r="BR29" s="297"/>
      <c r="BS29" s="297"/>
      <c r="BT29" s="297"/>
      <c r="BU29" s="297"/>
      <c r="BV29" s="297"/>
      <c r="BW29" s="297"/>
      <c r="BX29" s="297"/>
      <c r="BY29" s="297"/>
      <c r="BZ29" s="297"/>
      <c r="CA29" s="297"/>
      <c r="CB29" s="297"/>
      <c r="CC29" s="297"/>
      <c r="CD29" s="297"/>
      <c r="CE29" s="297"/>
      <c r="CF29" s="297"/>
      <c r="CG29" s="297"/>
      <c r="CH29" s="297"/>
      <c r="CI29" s="297"/>
      <c r="CJ29" s="297"/>
      <c r="CK29" s="297"/>
      <c r="CL29" s="297"/>
      <c r="CM29" s="297"/>
      <c r="CN29" s="297"/>
      <c r="CO29" s="297"/>
      <c r="CP29" s="297"/>
      <c r="CQ29" s="297"/>
      <c r="CR29" s="297"/>
      <c r="CS29" s="297"/>
      <c r="CT29" s="297"/>
      <c r="CU29" s="300"/>
      <c r="CV29" s="165">
        <f t="shared" si="0"/>
        <v>0</v>
      </c>
      <c r="CW29" s="165">
        <f t="shared" si="1"/>
        <v>3</v>
      </c>
      <c r="CX29" s="249">
        <f t="shared" si="2"/>
        <v>0</v>
      </c>
      <c r="CY29" s="170">
        <f t="shared" si="3"/>
        <v>0</v>
      </c>
    </row>
    <row r="30" spans="1:103">
      <c r="A30" s="510" t="s">
        <v>371</v>
      </c>
      <c r="B30" s="372" t="str">
        <f>IFERROR(VLOOKUP(ParticipationJanvier1[[#This Row],[Référence]],ListeÉtudiants1[],18,FALSE),"")</f>
        <v>BERNARD LUDOVIC</v>
      </c>
      <c r="C30" s="19"/>
      <c r="D30" s="19"/>
      <c r="E30" s="19"/>
      <c r="F30" s="19"/>
      <c r="G30" s="518"/>
      <c r="H30" s="19"/>
      <c r="I30" s="518"/>
      <c r="J30" s="19"/>
      <c r="K30" s="518"/>
      <c r="L30" s="19"/>
      <c r="M30" s="518"/>
      <c r="N30" s="19"/>
      <c r="O30" s="518"/>
      <c r="P30" s="19"/>
      <c r="Q30" s="518"/>
      <c r="R30" s="19"/>
      <c r="S30" s="518"/>
      <c r="T30" s="19"/>
      <c r="U30" s="518"/>
      <c r="W30" s="518"/>
      <c r="X30" s="19"/>
      <c r="Y30" s="518"/>
      <c r="Z30" s="19"/>
      <c r="AA30" s="518"/>
      <c r="AB30" s="19"/>
      <c r="AC30" s="518"/>
      <c r="AD30" s="19"/>
      <c r="AE30" s="518"/>
      <c r="AF30" s="19"/>
      <c r="AG30" s="519"/>
      <c r="AH30" s="475">
        <f>COUNTIF(ParticipationJanvier1[[#This Row],[1]:[31]],Code1)</f>
        <v>0</v>
      </c>
      <c r="AI30" s="518">
        <f>COUNTIF(ParticipationJanvier1[[#This Row],[1]:[31]],code22)</f>
        <v>0</v>
      </c>
      <c r="AJ30" s="473">
        <f>COUNTIF(ParticipationJanvier1[[#This Row],[1]:[31]],Code2)</f>
        <v>0</v>
      </c>
      <c r="AK30" s="520">
        <f>COUNTIF(ParticipationJanvier1[[#This Row],[1]:[31]],Code3)</f>
        <v>0</v>
      </c>
      <c r="AL30" s="473">
        <f>COUNTIF(ParticipationJanvier1[[#This Row],[1]:[31]],Code4)</f>
        <v>0</v>
      </c>
      <c r="AM30" s="520">
        <f>COUNTIF(ParticipationJanvier1[[#This Row],[1]:[31]],Code5)</f>
        <v>0</v>
      </c>
      <c r="AN30" s="30">
        <f>COUNTIF(ParticipationJanvier1[[#This Row],[1]:[31]],Code23)</f>
        <v>0</v>
      </c>
      <c r="AO30" s="473">
        <f>COUNTIF(ParticipationJanvier1[[#This Row],[1]:[31]],Code6)</f>
        <v>0</v>
      </c>
      <c r="AP30" s="30">
        <f>COUNTIF(ParticipationJanvier1[[#This Row],[1]:[31]],Code7)</f>
        <v>0</v>
      </c>
      <c r="AQ30" s="30">
        <f>COUNTIF(ParticipationJanvier1[[#This Row],[1]:[31]],Code8)</f>
        <v>0</v>
      </c>
      <c r="AR30" s="30">
        <f>COUNTIF(ParticipationJanvier1[[#This Row],[1]:[31]],Code9)</f>
        <v>0</v>
      </c>
      <c r="AS30" s="473">
        <f>COUNTIF(ParticipationJanvier1[[#This Row],[1]:[31]],Code10)</f>
        <v>0</v>
      </c>
      <c r="AT30" s="473">
        <f>COUNTIF(ParticipationJanvier1[[#This Row],[1]:[31]],Code11)</f>
        <v>0</v>
      </c>
      <c r="AU30" s="473">
        <f>COUNTIF(ParticipationJanvier1[[#This Row],[1]:[31]],Code12)</f>
        <v>0</v>
      </c>
      <c r="AV30" s="473">
        <f>COUNTIF(ParticipationJanvier1[[#This Row],[1]:[31]],Code13)</f>
        <v>0</v>
      </c>
      <c r="AW30" s="473">
        <f>COUNTIF(ParticipationJanvier1[[#This Row],[1]:[31]],Code14)</f>
        <v>0</v>
      </c>
      <c r="AX30" s="473">
        <f>COUNTIF(ParticipationJanvier1[[#This Row],[1]:[31]],Code15)</f>
        <v>0</v>
      </c>
      <c r="AY30" s="473">
        <f>COUNTIF(ParticipationJanvier1[[#This Row],[1]:[31]],Code16)</f>
        <v>0</v>
      </c>
      <c r="AZ30" s="473">
        <f>COUNTIF(ParticipationJanvier1[[#This Row],[1]:[31]],Code17)</f>
        <v>0</v>
      </c>
      <c r="BA30" s="475">
        <f>COUNTIF(ParticipationJanvier1[[#This Row],[1]:[31]],Code25)</f>
        <v>0</v>
      </c>
      <c r="BB30" s="475">
        <f>COUNTIF(ParticipationJanvier1[[#This Row],[1]:[31]],Code26)</f>
        <v>0</v>
      </c>
      <c r="BC30" s="475">
        <f>COUNTIF(ParticipationJanvier1[[#This Row],[1]:[31]],Code27)</f>
        <v>0</v>
      </c>
      <c r="BD30" s="475">
        <f>COUNTIF(ParticipationJanvier1[[#This Row],[1]:[31]],Code28)</f>
        <v>0</v>
      </c>
      <c r="BE30" s="475">
        <f>COUNTIF(ParticipationJanvier1[[#This Row],[1]:[31]],code30)</f>
        <v>0</v>
      </c>
      <c r="BF30" s="475">
        <f>COUNTIF(ParticipationJanvier1[[#This Row],[1]:[31]],Code31)</f>
        <v>0</v>
      </c>
      <c r="BG30" s="473">
        <f>COUNTIF(ParticipationJanvier1[[#This Row],[1]:[31]],code21)</f>
        <v>0</v>
      </c>
      <c r="BH30" s="473">
        <f>COUNTIF(ParticipationJanvier1[[#This Row],[1]:[31]],Code24)</f>
        <v>0</v>
      </c>
      <c r="BI30" s="473">
        <f>COUNTIF(ParticipationJanvier1[[#This Row],[1]:[31]],code18)</f>
        <v>0</v>
      </c>
      <c r="BJ30" s="473">
        <f>COUNTIF(ParticipationJanvier1[[#This Row],[1]:[31]],code19)</f>
        <v>0</v>
      </c>
      <c r="BK30" s="473">
        <f>COUNTIF(ParticipationJanvier1[[#This Row],[1]:[31]],code20)</f>
        <v>0</v>
      </c>
      <c r="BL30" s="476">
        <f>COUNTIF(ParticipationJanvier1[[#This Row],[1]:[31]],code29)</f>
        <v>0</v>
      </c>
      <c r="BM30" s="472">
        <f>SUM((AH30*1)+(AI35*1.5)+(AJ30*2)+(AK30*3)+(AL30*4)+(AQ30*5)+(AR30*6)+(AS30*7)+(AW30*2)+(AX30*3)+(AY30*4)+(AZ30*5)+(BG30*2))</f>
        <v>0</v>
      </c>
      <c r="BN30" s="472"/>
      <c r="BO30" s="472"/>
      <c r="BP30" s="472"/>
      <c r="BQ30" s="472"/>
      <c r="BR30" s="473"/>
      <c r="BS30" s="473"/>
      <c r="BT30" s="472"/>
      <c r="BU30" s="472"/>
      <c r="BV30" s="472"/>
      <c r="BW30" s="472"/>
      <c r="BX30" s="472"/>
      <c r="BY30" s="472"/>
      <c r="BZ30" s="472"/>
      <c r="CA30" s="472"/>
      <c r="CB30" s="472"/>
      <c r="CC30" s="472"/>
      <c r="CD30" s="472"/>
      <c r="CE30" s="472"/>
      <c r="CF30" s="472"/>
      <c r="CG30" s="472"/>
      <c r="CH30" s="472"/>
      <c r="CI30" s="472"/>
      <c r="CJ30" s="472"/>
      <c r="CK30" s="472"/>
      <c r="CL30" s="472"/>
      <c r="CM30" s="472"/>
      <c r="CN30" s="472"/>
      <c r="CO30" s="472"/>
      <c r="CP30" s="472"/>
      <c r="CQ30" s="472"/>
      <c r="CR30" s="472"/>
      <c r="CS30" s="472"/>
      <c r="CT30" s="472"/>
      <c r="CU30" s="516">
        <f>SUM((AN30*1)+(AM30*2)+(AO30*3)+(AP30*4)+(AT30*5)+(AU30*7)+(AV30*7)+(AW30*7)+(AX30*4)+(AY30*3)+(BA30*2)+(BC30*4)+(BB30*1)+(BG30*2)+(AZ30*5)+(BD30*1))</f>
        <v>0</v>
      </c>
      <c r="CV30" s="521">
        <f>SUM((AH30*1)+(AI30*1.5)+(AJ30*2)+(AK30*3)+(AP30*5)+(AQ30*6)+(AR30*7)+(AU30*2)+(AX30*3)+(AY30*4)+(BA30*5)+(BB30*3)+(BC30*2)+(BG30*2)+(AZ30*2)+(BD30*2))</f>
        <v>0</v>
      </c>
      <c r="CW30" s="522">
        <f>SUM((AN30*1)+(AM30*2)+(AO30*3)+(AP30*4)+(AT30*5)+(AU30*7)+(AV30*7)+(AW30*7)+(AX30*4)+(AY30*3)+(BA30*2)+(BC30*4)+(BB30*1)+(BG30*2)+(AZ30*5)+(BD30*1))</f>
        <v>0</v>
      </c>
      <c r="CX30" s="523">
        <f>BH30*1</f>
        <v>0</v>
      </c>
      <c r="CY30" s="512"/>
    </row>
    <row r="31" spans="1:103">
      <c r="A31" s="534" t="s">
        <v>372</v>
      </c>
      <c r="B31" s="372" t="str">
        <f>IFERROR(VLOOKUP(ParticipationJanvier1[[#This Row],[Référence]],ListeÉtudiants1[],18,FALSE),"")</f>
        <v>BESTEL AGATHE</v>
      </c>
      <c r="C31" s="19"/>
      <c r="D31" s="19"/>
      <c r="E31" s="19"/>
      <c r="F31" s="19"/>
      <c r="G31" s="287"/>
      <c r="H31" s="19"/>
      <c r="I31" s="287"/>
      <c r="J31" s="19"/>
      <c r="K31" s="287"/>
      <c r="L31" s="19"/>
      <c r="M31" s="287"/>
      <c r="N31" s="19"/>
      <c r="O31" s="19"/>
      <c r="P31" s="19"/>
      <c r="Q31" s="19" t="s">
        <v>108</v>
      </c>
      <c r="R31" s="19"/>
      <c r="S31" s="19"/>
      <c r="T31" s="19"/>
      <c r="U31" s="287"/>
      <c r="W31" s="287"/>
      <c r="X31" s="19"/>
      <c r="Y31" s="287"/>
      <c r="Z31" s="19"/>
      <c r="AA31" s="287"/>
      <c r="AB31" s="19"/>
      <c r="AC31" s="287"/>
      <c r="AD31" s="19"/>
      <c r="AE31" s="287"/>
      <c r="AF31" s="19"/>
      <c r="AG31" s="296"/>
      <c r="AH31" s="6">
        <f>COUNTIF(ParticipationJanvier1[[#This Row],[1]:[31]],Code1)</f>
        <v>0</v>
      </c>
      <c r="AI31" s="6">
        <f>COUNTIF(ParticipationJanvier1[[#This Row],[1]:[31]],code22)</f>
        <v>0</v>
      </c>
      <c r="AJ31" s="6">
        <f>COUNTIF(ParticipationJanvier1[[#This Row],[1]:[31]],Code2)</f>
        <v>0</v>
      </c>
      <c r="AK31" s="6">
        <f>COUNTIF(ParticipationJanvier1[[#This Row],[1]:[31]],Code3)</f>
        <v>0</v>
      </c>
      <c r="AL31" s="6">
        <f>COUNTIF(ParticipationJanvier1[[#This Row],[1]:[31]],Code4)</f>
        <v>0</v>
      </c>
      <c r="AM31" s="6">
        <f>COUNTIF(ParticipationJanvier1[[#This Row],[1]:[31]],Code5)</f>
        <v>0</v>
      </c>
      <c r="AN31" s="6">
        <f>COUNTIF(ParticipationJanvier1[[#This Row],[1]:[31]],Code23)</f>
        <v>0</v>
      </c>
      <c r="AO31" s="6">
        <f>COUNTIF(ParticipationJanvier1[[#This Row],[1]:[31]],Code6)</f>
        <v>1</v>
      </c>
      <c r="AP31" s="6">
        <f>COUNTIF(ParticipationJanvier1[[#This Row],[1]:[31]],Code7)</f>
        <v>0</v>
      </c>
      <c r="AQ31" s="6">
        <f>COUNTIF(ParticipationJanvier1[[#This Row],[1]:[31]],Code8)</f>
        <v>0</v>
      </c>
      <c r="AR31" s="6">
        <f>COUNTIF(ParticipationJanvier1[[#This Row],[1]:[31]],Code9)</f>
        <v>0</v>
      </c>
      <c r="AS31" s="6">
        <f>COUNTIF(ParticipationJanvier1[[#This Row],[1]:[31]],Code10)</f>
        <v>0</v>
      </c>
      <c r="AT31" s="6">
        <f>COUNTIF(ParticipationJanvier1[[#This Row],[1]:[31]],Code11)</f>
        <v>0</v>
      </c>
      <c r="AU31" s="6">
        <f>COUNTIF(ParticipationJanvier1[[#This Row],[1]:[31]],Code12)</f>
        <v>0</v>
      </c>
      <c r="AV31" s="6">
        <f>COUNTIF(ParticipationJanvier1[[#This Row],[1]:[31]],Code13)</f>
        <v>0</v>
      </c>
      <c r="AW31" s="6">
        <f>COUNTIF(ParticipationJanvier1[[#This Row],[1]:[31]],Code14)</f>
        <v>0</v>
      </c>
      <c r="AX31" s="6">
        <f>COUNTIF(ParticipationJanvier1[[#This Row],[1]:[31]],Code15)</f>
        <v>0</v>
      </c>
      <c r="AY31" s="6">
        <f>COUNTIF(ParticipationJanvier1[[#This Row],[1]:[31]],Code16)</f>
        <v>0</v>
      </c>
      <c r="AZ31" s="6">
        <f>COUNTIF(ParticipationJanvier1[[#This Row],[1]:[31]],Code17)</f>
        <v>0</v>
      </c>
      <c r="BA31" s="6">
        <f>COUNTIF(ParticipationJanvier1[[#This Row],[1]:[31]],Code25)</f>
        <v>0</v>
      </c>
      <c r="BB31" s="6">
        <f>COUNTIF(ParticipationJanvier1[[#This Row],[1]:[31]],Code26)</f>
        <v>0</v>
      </c>
      <c r="BC31" s="6">
        <f>COUNTIF(ParticipationJanvier1[[#This Row],[1]:[31]],Code27)</f>
        <v>0</v>
      </c>
      <c r="BD31" s="6">
        <f>COUNTIF(ParticipationJanvier1[[#This Row],[1]:[31]],Code28)</f>
        <v>0</v>
      </c>
      <c r="BE31" s="6">
        <f>COUNTIF(ParticipationJanvier1[[#This Row],[1]:[31]],code30)</f>
        <v>0</v>
      </c>
      <c r="BF31" s="6">
        <f>COUNTIF(ParticipationJanvier1[[#This Row],[1]:[31]],Code31)</f>
        <v>0</v>
      </c>
      <c r="BG31" s="6">
        <f>COUNTIF(ParticipationJanvier1[[#This Row],[1]:[31]],code21)</f>
        <v>0</v>
      </c>
      <c r="BH31" s="6">
        <f>COUNTIF(ParticipationJanvier1[[#This Row],[1]:[31]],Code24)</f>
        <v>0</v>
      </c>
      <c r="BI31" s="6">
        <f>COUNTIF(ParticipationJanvier1[[#This Row],[1]:[31]],code18)</f>
        <v>0</v>
      </c>
      <c r="BJ31" s="6">
        <f>COUNTIF(ParticipationJanvier1[[#This Row],[1]:[31]],code19)</f>
        <v>0</v>
      </c>
      <c r="BK31" s="6">
        <f>COUNTIF(ParticipationJanvier1[[#This Row],[1]:[31]],code20)</f>
        <v>0</v>
      </c>
      <c r="BL31" s="182">
        <f>COUNTIF(ParticipationJanvier1[[#This Row],[1]:[31]],code29)</f>
        <v>0</v>
      </c>
      <c r="BM31" s="297"/>
      <c r="BN31" s="297"/>
      <c r="BO31" s="297"/>
      <c r="BP31" s="297"/>
      <c r="BQ31" s="297"/>
      <c r="BR31" s="297"/>
      <c r="BS31" s="297"/>
      <c r="BT31" s="297"/>
      <c r="BU31" s="297"/>
      <c r="BV31" s="297"/>
      <c r="BW31" s="297"/>
      <c r="BX31" s="297"/>
      <c r="BY31" s="297"/>
      <c r="BZ31" s="297"/>
      <c r="CA31" s="297"/>
      <c r="CB31" s="297"/>
      <c r="CC31" s="297"/>
      <c r="CD31" s="297"/>
      <c r="CE31" s="297"/>
      <c r="CF31" s="297"/>
      <c r="CG31" s="297"/>
      <c r="CH31" s="297"/>
      <c r="CI31" s="297"/>
      <c r="CJ31" s="297"/>
      <c r="CK31" s="297"/>
      <c r="CL31" s="297"/>
      <c r="CM31" s="297"/>
      <c r="CN31" s="297"/>
      <c r="CO31" s="297"/>
      <c r="CP31" s="297"/>
      <c r="CQ31" s="297"/>
      <c r="CR31" s="297"/>
      <c r="CS31" s="297"/>
      <c r="CT31" s="297"/>
      <c r="CU31" s="300"/>
      <c r="CV31" s="165">
        <f t="shared" si="0"/>
        <v>0</v>
      </c>
      <c r="CW31" s="165">
        <f t="shared" si="1"/>
        <v>3</v>
      </c>
      <c r="CX31" s="249">
        <f t="shared" si="2"/>
        <v>0</v>
      </c>
      <c r="CY31" s="170">
        <f t="shared" si="3"/>
        <v>0</v>
      </c>
    </row>
    <row r="32" spans="1:103">
      <c r="A32" s="510" t="s">
        <v>373</v>
      </c>
      <c r="B32" s="372" t="str">
        <f>IFERROR(VLOOKUP(ParticipationJanvier1[[#This Row],[Référence]],ListeÉtudiants1[],18,FALSE),"")</f>
        <v>BLOT  WENDY</v>
      </c>
      <c r="C32" s="19"/>
      <c r="D32" s="19"/>
      <c r="E32" s="19"/>
      <c r="F32" s="19"/>
      <c r="G32" s="287"/>
      <c r="H32" s="19"/>
      <c r="I32" s="287"/>
      <c r="J32" s="19"/>
      <c r="K32" s="287"/>
      <c r="L32" s="19"/>
      <c r="M32" s="287"/>
      <c r="N32" s="19"/>
      <c r="O32" s="19"/>
      <c r="P32" s="19"/>
      <c r="Q32" s="19" t="s">
        <v>529</v>
      </c>
      <c r="R32" s="19"/>
      <c r="S32" s="19"/>
      <c r="T32" s="19"/>
      <c r="U32" s="287"/>
      <c r="W32" s="287"/>
      <c r="X32" s="19"/>
      <c r="Y32" s="287"/>
      <c r="Z32" s="19"/>
      <c r="AA32" s="287"/>
      <c r="AB32" s="19"/>
      <c r="AC32" s="287"/>
      <c r="AD32" s="19"/>
      <c r="AE32" s="287"/>
      <c r="AF32" s="19"/>
      <c r="AG32" s="296"/>
      <c r="AH32" s="6">
        <f>COUNTIF(ParticipationJanvier1[[#This Row],[1]:[31]],Code1)</f>
        <v>0</v>
      </c>
      <c r="AI32" s="6">
        <f>COUNTIF(ParticipationJanvier1[[#This Row],[1]:[31]],code22)</f>
        <v>0</v>
      </c>
      <c r="AJ32" s="6">
        <f>COUNTIF(ParticipationJanvier1[[#This Row],[1]:[31]],Code2)</f>
        <v>0</v>
      </c>
      <c r="AK32" s="6">
        <f>COUNTIF(ParticipationJanvier1[[#This Row],[1]:[31]],Code3)</f>
        <v>0</v>
      </c>
      <c r="AL32" s="6">
        <f>COUNTIF(ParticipationJanvier1[[#This Row],[1]:[31]],Code4)</f>
        <v>0</v>
      </c>
      <c r="AM32" s="6">
        <f>COUNTIF(ParticipationJanvier1[[#This Row],[1]:[31]],Code5)</f>
        <v>0</v>
      </c>
      <c r="AN32" s="6">
        <f>COUNTIF(ParticipationJanvier1[[#This Row],[1]:[31]],Code23)</f>
        <v>1</v>
      </c>
      <c r="AO32" s="6">
        <f>COUNTIF(ParticipationJanvier1[[#This Row],[1]:[31]],Code6)</f>
        <v>0</v>
      </c>
      <c r="AP32" s="6">
        <f>COUNTIF(ParticipationJanvier1[[#This Row],[1]:[31]],Code7)</f>
        <v>0</v>
      </c>
      <c r="AQ32" s="6">
        <f>COUNTIF(ParticipationJanvier1[[#This Row],[1]:[31]],Code8)</f>
        <v>0</v>
      </c>
      <c r="AR32" s="6">
        <f>COUNTIF(ParticipationJanvier1[[#This Row],[1]:[31]],Code9)</f>
        <v>0</v>
      </c>
      <c r="AS32" s="6">
        <f>COUNTIF(ParticipationJanvier1[[#This Row],[1]:[31]],Code10)</f>
        <v>0</v>
      </c>
      <c r="AT32" s="6">
        <f>COUNTIF(ParticipationJanvier1[[#This Row],[1]:[31]],Code11)</f>
        <v>0</v>
      </c>
      <c r="AU32" s="6">
        <f>COUNTIF(ParticipationJanvier1[[#This Row],[1]:[31]],Code12)</f>
        <v>0</v>
      </c>
      <c r="AV32" s="6">
        <f>COUNTIF(ParticipationJanvier1[[#This Row],[1]:[31]],Code13)</f>
        <v>0</v>
      </c>
      <c r="AW32" s="6">
        <f>COUNTIF(ParticipationJanvier1[[#This Row],[1]:[31]],Code14)</f>
        <v>0</v>
      </c>
      <c r="AX32" s="6">
        <f>COUNTIF(ParticipationJanvier1[[#This Row],[1]:[31]],Code15)</f>
        <v>0</v>
      </c>
      <c r="AY32" s="6">
        <f>COUNTIF(ParticipationJanvier1[[#This Row],[1]:[31]],Code16)</f>
        <v>0</v>
      </c>
      <c r="AZ32" s="6">
        <f>COUNTIF(ParticipationJanvier1[[#This Row],[1]:[31]],Code17)</f>
        <v>0</v>
      </c>
      <c r="BA32" s="6">
        <f>COUNTIF(ParticipationJanvier1[[#This Row],[1]:[31]],Code25)</f>
        <v>0</v>
      </c>
      <c r="BB32" s="6">
        <f>COUNTIF(ParticipationJanvier1[[#This Row],[1]:[31]],Code26)</f>
        <v>0</v>
      </c>
      <c r="BC32" s="6">
        <f>COUNTIF(ParticipationJanvier1[[#This Row],[1]:[31]],Code27)</f>
        <v>0</v>
      </c>
      <c r="BD32" s="6">
        <f>COUNTIF(ParticipationJanvier1[[#This Row],[1]:[31]],Code28)</f>
        <v>0</v>
      </c>
      <c r="BE32" s="6">
        <f>COUNTIF(ParticipationJanvier1[[#This Row],[1]:[31]],code30)</f>
        <v>0</v>
      </c>
      <c r="BF32" s="6">
        <f>COUNTIF(ParticipationJanvier1[[#This Row],[1]:[31]],Code31)</f>
        <v>0</v>
      </c>
      <c r="BG32" s="6">
        <f>COUNTIF(ParticipationJanvier1[[#This Row],[1]:[31]],code21)</f>
        <v>0</v>
      </c>
      <c r="BH32" s="6">
        <f>COUNTIF(ParticipationJanvier1[[#This Row],[1]:[31]],Code24)</f>
        <v>0</v>
      </c>
      <c r="BI32" s="6">
        <f>COUNTIF(ParticipationJanvier1[[#This Row],[1]:[31]],code18)</f>
        <v>0</v>
      </c>
      <c r="BJ32" s="6">
        <f>COUNTIF(ParticipationJanvier1[[#This Row],[1]:[31]],code19)</f>
        <v>0</v>
      </c>
      <c r="BK32" s="6">
        <f>COUNTIF(ParticipationJanvier1[[#This Row],[1]:[31]],code20)</f>
        <v>0</v>
      </c>
      <c r="BL32" s="182">
        <f>COUNTIF(ParticipationJanvier1[[#This Row],[1]:[31]],code29)</f>
        <v>0</v>
      </c>
      <c r="BM32" s="297">
        <v>1</v>
      </c>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97"/>
      <c r="CO32" s="297"/>
      <c r="CP32" s="297"/>
      <c r="CQ32" s="297"/>
      <c r="CR32" s="297"/>
      <c r="CS32" s="297"/>
      <c r="CT32" s="297"/>
      <c r="CU32" s="300"/>
      <c r="CV32" s="165">
        <f t="shared" si="0"/>
        <v>0</v>
      </c>
      <c r="CW32" s="165">
        <f t="shared" si="1"/>
        <v>1</v>
      </c>
      <c r="CX32" s="249">
        <f t="shared" si="2"/>
        <v>0</v>
      </c>
      <c r="CY32" s="170">
        <f t="shared" si="3"/>
        <v>0</v>
      </c>
    </row>
    <row r="33" spans="1:103">
      <c r="A33" s="510" t="s">
        <v>374</v>
      </c>
      <c r="B33" s="372" t="str">
        <f>IFERROR(VLOOKUP(ParticipationJanvier1[[#This Row],[Référence]],ListeÉtudiants1[],18,FALSE),"")</f>
        <v>BOISSELET CHRISTELLE</v>
      </c>
      <c r="C33" s="19"/>
      <c r="D33" s="19"/>
      <c r="E33" s="19"/>
      <c r="F33" s="19"/>
      <c r="G33" s="518"/>
      <c r="H33" s="19"/>
      <c r="I33" s="518"/>
      <c r="J33" s="19"/>
      <c r="K33" s="518"/>
      <c r="L33" s="19"/>
      <c r="M33" s="518"/>
      <c r="N33" s="19"/>
      <c r="O33" s="518"/>
      <c r="P33" s="19"/>
      <c r="Q33" s="518"/>
      <c r="R33" s="19"/>
      <c r="S33" s="518"/>
      <c r="T33" s="19"/>
      <c r="U33" s="518"/>
      <c r="W33" s="518"/>
      <c r="X33" s="19"/>
      <c r="Y33" s="518"/>
      <c r="Z33" s="19"/>
      <c r="AA33" s="518"/>
      <c r="AB33" s="19"/>
      <c r="AC33" s="518"/>
      <c r="AD33" s="19"/>
      <c r="AE33" s="518"/>
      <c r="AF33" s="19"/>
      <c r="AG33" s="519"/>
      <c r="AH33" s="475">
        <f>COUNTIF(ParticipationJanvier1[[#This Row],[1]:[31]],Code1)</f>
        <v>0</v>
      </c>
      <c r="AI33" s="518">
        <f>COUNTIF(ParticipationJanvier1[[#This Row],[1]:[31]],code22)</f>
        <v>0</v>
      </c>
      <c r="AJ33" s="473">
        <f>COUNTIF(ParticipationJanvier1[[#This Row],[1]:[31]],Code2)</f>
        <v>0</v>
      </c>
      <c r="AK33" s="520">
        <f>COUNTIF(ParticipationJanvier1[[#This Row],[1]:[31]],Code3)</f>
        <v>0</v>
      </c>
      <c r="AL33" s="473">
        <f>COUNTIF(ParticipationJanvier1[[#This Row],[1]:[31]],Code4)</f>
        <v>0</v>
      </c>
      <c r="AM33" s="520">
        <f>COUNTIF(ParticipationJanvier1[[#This Row],[1]:[31]],Code5)</f>
        <v>0</v>
      </c>
      <c r="AN33" s="30">
        <f>COUNTIF(ParticipationJanvier1[[#This Row],[1]:[31]],Code23)</f>
        <v>0</v>
      </c>
      <c r="AO33" s="473">
        <f>COUNTIF(ParticipationJanvier1[[#This Row],[1]:[31]],Code6)</f>
        <v>0</v>
      </c>
      <c r="AP33" s="30">
        <f>COUNTIF(ParticipationJanvier1[[#This Row],[1]:[31]],Code7)</f>
        <v>0</v>
      </c>
      <c r="AQ33" s="30">
        <f>COUNTIF(ParticipationJanvier1[[#This Row],[1]:[31]],Code8)</f>
        <v>0</v>
      </c>
      <c r="AR33" s="30">
        <f>COUNTIF(ParticipationJanvier1[[#This Row],[1]:[31]],Code9)</f>
        <v>0</v>
      </c>
      <c r="AS33" s="473">
        <f>COUNTIF(ParticipationJanvier1[[#This Row],[1]:[31]],Code10)</f>
        <v>0</v>
      </c>
      <c r="AT33" s="473">
        <f>COUNTIF(ParticipationJanvier1[[#This Row],[1]:[31]],Code11)</f>
        <v>0</v>
      </c>
      <c r="AU33" s="473">
        <f>COUNTIF(ParticipationJanvier1[[#This Row],[1]:[31]],Code12)</f>
        <v>0</v>
      </c>
      <c r="AV33" s="473">
        <f>COUNTIF(ParticipationJanvier1[[#This Row],[1]:[31]],Code13)</f>
        <v>0</v>
      </c>
      <c r="AW33" s="473">
        <f>COUNTIF(ParticipationJanvier1[[#This Row],[1]:[31]],Code14)</f>
        <v>0</v>
      </c>
      <c r="AX33" s="473">
        <f>COUNTIF(ParticipationJanvier1[[#This Row],[1]:[31]],Code15)</f>
        <v>0</v>
      </c>
      <c r="AY33" s="473">
        <f>COUNTIF(ParticipationJanvier1[[#This Row],[1]:[31]],Code16)</f>
        <v>0</v>
      </c>
      <c r="AZ33" s="473">
        <f>COUNTIF(ParticipationJanvier1[[#This Row],[1]:[31]],Code17)</f>
        <v>0</v>
      </c>
      <c r="BA33" s="475">
        <f>COUNTIF(ParticipationJanvier1[[#This Row],[1]:[31]],Code25)</f>
        <v>0</v>
      </c>
      <c r="BB33" s="475">
        <f>COUNTIF(ParticipationJanvier1[[#This Row],[1]:[31]],Code26)</f>
        <v>0</v>
      </c>
      <c r="BC33" s="475">
        <f>COUNTIF(ParticipationJanvier1[[#This Row],[1]:[31]],Code27)</f>
        <v>0</v>
      </c>
      <c r="BD33" s="475">
        <f>COUNTIF(ParticipationJanvier1[[#This Row],[1]:[31]],Code28)</f>
        <v>0</v>
      </c>
      <c r="BE33" s="475">
        <f>COUNTIF(ParticipationJanvier1[[#This Row],[1]:[31]],code30)</f>
        <v>0</v>
      </c>
      <c r="BF33" s="475">
        <f>COUNTIF(ParticipationJanvier1[[#This Row],[1]:[31]],Code31)</f>
        <v>0</v>
      </c>
      <c r="BG33" s="473">
        <f>COUNTIF(ParticipationJanvier1[[#This Row],[1]:[31]],code21)</f>
        <v>0</v>
      </c>
      <c r="BH33" s="473">
        <f>COUNTIF(ParticipationJanvier1[[#This Row],[1]:[31]],Code24)</f>
        <v>0</v>
      </c>
      <c r="BI33" s="473">
        <f>COUNTIF(ParticipationJanvier1[[#This Row],[1]:[31]],code18)</f>
        <v>0</v>
      </c>
      <c r="BJ33" s="473">
        <f>COUNTIF(ParticipationJanvier1[[#This Row],[1]:[31]],code19)</f>
        <v>0</v>
      </c>
      <c r="BK33" s="473">
        <f>COUNTIF(ParticipationJanvier1[[#This Row],[1]:[31]],code20)</f>
        <v>0</v>
      </c>
      <c r="BL33" s="476">
        <f>COUNTIF(ParticipationJanvier1[[#This Row],[1]:[31]],code29)</f>
        <v>0</v>
      </c>
      <c r="BM33" s="472">
        <f>SUM((AH33*1)+(AI38*1.5)+(AJ33*2)+(AK33*3)+(AL33*4)+(AQ33*5)+(AR33*6)+(AS33*7)+(AW33*2)+(AX33*3)+(AY33*4)+(AZ33*5)+(BG33*2))</f>
        <v>0</v>
      </c>
      <c r="BN33" s="472"/>
      <c r="BO33" s="472"/>
      <c r="BP33" s="472"/>
      <c r="BQ33" s="472"/>
      <c r="BR33" s="473"/>
      <c r="BS33" s="473"/>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472"/>
      <c r="CQ33" s="472"/>
      <c r="CR33" s="472"/>
      <c r="CS33" s="472"/>
      <c r="CT33" s="472"/>
      <c r="CU33" s="516">
        <f>SUM((AN33*1)+(AM33*2)+(AO33*3)+(AP33*4)+(AT33*5)+(AU33*7)+(AV33*7)+(AW33*7)+(AX33*4)+(AY33*3)+(BA33*2)+(BC33*4)+(BB33*1)+(BG33*2)+(AZ33*5)+(BD33*1))</f>
        <v>0</v>
      </c>
      <c r="CV33" s="521">
        <f>SUM((AH33*1)+(AI33*1.5)+(AJ33*2)+(AK33*3)+(AP33*5)+(AQ33*6)+(AR33*7)+(AU33*2)+(AX33*3)+(AY33*4)+(BA33*5)+(BB33*3)+(BC33*2)+(BG33*2)+(AZ33*2)+(BD33*2))</f>
        <v>0</v>
      </c>
      <c r="CW33" s="522">
        <f>SUM((AN33*1)+(AM33*2)+(AO33*3)+(AP33*4)+(AT33*5)+(AU33*7)+(AV33*7)+(AW33*7)+(AX33*4)+(AY33*3)+(BA33*2)+(BC33*4)+(BB33*1)+(BG33*2)+(AZ33*5)+(BD33*1))</f>
        <v>0</v>
      </c>
      <c r="CX33" s="523">
        <f>BH33*1</f>
        <v>0</v>
      </c>
      <c r="CY33" s="512"/>
    </row>
    <row r="34" spans="1:103">
      <c r="A34" s="534" t="s">
        <v>375</v>
      </c>
      <c r="B34" s="372" t="str">
        <f>IFERROR(VLOOKUP(ParticipationJanvier1[[#This Row],[Référence]],ListeÉtudiants1[],18,FALSE),"")</f>
        <v>BOUCAUD  CHRISTINE</v>
      </c>
      <c r="C34" s="19"/>
      <c r="D34" s="19"/>
      <c r="E34" s="19"/>
      <c r="F34" s="19"/>
      <c r="G34" s="287"/>
      <c r="H34" s="19"/>
      <c r="I34" s="287"/>
      <c r="J34" s="19"/>
      <c r="K34" s="287"/>
      <c r="L34" s="19"/>
      <c r="M34" s="287"/>
      <c r="N34" s="19"/>
      <c r="O34" s="19"/>
      <c r="P34" s="19"/>
      <c r="Q34" s="19" t="s">
        <v>106</v>
      </c>
      <c r="R34" s="19" t="s">
        <v>106</v>
      </c>
      <c r="S34" s="19"/>
      <c r="T34" s="19"/>
      <c r="U34" s="287"/>
      <c r="W34" s="287"/>
      <c r="X34" s="19"/>
      <c r="Y34" s="287"/>
      <c r="Z34" s="19"/>
      <c r="AA34" s="287"/>
      <c r="AB34" s="19"/>
      <c r="AC34" s="287"/>
      <c r="AD34" s="19"/>
      <c r="AE34" s="287"/>
      <c r="AF34" s="19"/>
      <c r="AG34" s="296"/>
      <c r="AH34" s="6">
        <f>COUNTIF(ParticipationJanvier1[[#This Row],[1]:[31]],Code1)</f>
        <v>0</v>
      </c>
      <c r="AI34" s="6">
        <f>COUNTIF(ParticipationJanvier1[[#This Row],[1]:[31]],code22)</f>
        <v>0</v>
      </c>
      <c r="AJ34" s="6">
        <f>COUNTIF(ParticipationJanvier1[[#This Row],[1]:[31]],Code2)</f>
        <v>0</v>
      </c>
      <c r="AK34" s="6">
        <f>COUNTIF(ParticipationJanvier1[[#This Row],[1]:[31]],Code3)</f>
        <v>2</v>
      </c>
      <c r="AL34" s="6">
        <f>COUNTIF(ParticipationJanvier1[[#This Row],[1]:[31]],Code4)</f>
        <v>0</v>
      </c>
      <c r="AM34" s="6">
        <f>COUNTIF(ParticipationJanvier1[[#This Row],[1]:[31]],Code5)</f>
        <v>0</v>
      </c>
      <c r="AN34" s="6">
        <f>COUNTIF(ParticipationJanvier1[[#This Row],[1]:[31]],Code23)</f>
        <v>0</v>
      </c>
      <c r="AO34" s="6">
        <f>COUNTIF(ParticipationJanvier1[[#This Row],[1]:[31]],Code6)</f>
        <v>0</v>
      </c>
      <c r="AP34" s="6">
        <f>COUNTIF(ParticipationJanvier1[[#This Row],[1]:[31]],Code7)</f>
        <v>0</v>
      </c>
      <c r="AQ34" s="6">
        <f>COUNTIF(ParticipationJanvier1[[#This Row],[1]:[31]],Code8)</f>
        <v>0</v>
      </c>
      <c r="AR34" s="6">
        <f>COUNTIF(ParticipationJanvier1[[#This Row],[1]:[31]],Code9)</f>
        <v>0</v>
      </c>
      <c r="AS34" s="6">
        <f>COUNTIF(ParticipationJanvier1[[#This Row],[1]:[31]],Code10)</f>
        <v>0</v>
      </c>
      <c r="AT34" s="6">
        <f>COUNTIF(ParticipationJanvier1[[#This Row],[1]:[31]],Code11)</f>
        <v>0</v>
      </c>
      <c r="AU34" s="6">
        <f>COUNTIF(ParticipationJanvier1[[#This Row],[1]:[31]],Code12)</f>
        <v>0</v>
      </c>
      <c r="AV34" s="6">
        <f>COUNTIF(ParticipationJanvier1[[#This Row],[1]:[31]],Code13)</f>
        <v>0</v>
      </c>
      <c r="AW34" s="6">
        <f>COUNTIF(ParticipationJanvier1[[#This Row],[1]:[31]],Code14)</f>
        <v>0</v>
      </c>
      <c r="AX34" s="6">
        <f>COUNTIF(ParticipationJanvier1[[#This Row],[1]:[31]],Code15)</f>
        <v>0</v>
      </c>
      <c r="AY34" s="6">
        <f>COUNTIF(ParticipationJanvier1[[#This Row],[1]:[31]],Code16)</f>
        <v>0</v>
      </c>
      <c r="AZ34" s="6">
        <f>COUNTIF(ParticipationJanvier1[[#This Row],[1]:[31]],Code17)</f>
        <v>0</v>
      </c>
      <c r="BA34" s="6">
        <f>COUNTIF(ParticipationJanvier1[[#This Row],[1]:[31]],Code25)</f>
        <v>0</v>
      </c>
      <c r="BB34" s="6">
        <f>COUNTIF(ParticipationJanvier1[[#This Row],[1]:[31]],Code26)</f>
        <v>0</v>
      </c>
      <c r="BC34" s="6">
        <f>COUNTIF(ParticipationJanvier1[[#This Row],[1]:[31]],Code27)</f>
        <v>0</v>
      </c>
      <c r="BD34" s="6">
        <f>COUNTIF(ParticipationJanvier1[[#This Row],[1]:[31]],Code28)</f>
        <v>0</v>
      </c>
      <c r="BE34" s="6">
        <f>COUNTIF(ParticipationJanvier1[[#This Row],[1]:[31]],code30)</f>
        <v>0</v>
      </c>
      <c r="BF34" s="6">
        <f>COUNTIF(ParticipationJanvier1[[#This Row],[1]:[31]],Code31)</f>
        <v>0</v>
      </c>
      <c r="BG34" s="6">
        <f>COUNTIF(ParticipationJanvier1[[#This Row],[1]:[31]],code21)</f>
        <v>0</v>
      </c>
      <c r="BH34" s="6">
        <f>COUNTIF(ParticipationJanvier1[[#This Row],[1]:[31]],Code24)</f>
        <v>0</v>
      </c>
      <c r="BI34" s="6">
        <f>COUNTIF(ParticipationJanvier1[[#This Row],[1]:[31]],code18)</f>
        <v>0</v>
      </c>
      <c r="BJ34" s="6">
        <f>COUNTIF(ParticipationJanvier1[[#This Row],[1]:[31]],code19)</f>
        <v>0</v>
      </c>
      <c r="BK34" s="6">
        <f>COUNTIF(ParticipationJanvier1[[#This Row],[1]:[31]],code20)</f>
        <v>0</v>
      </c>
      <c r="BL34" s="182">
        <f>COUNTIF(ParticipationJanvier1[[#This Row],[1]:[31]],code29)</f>
        <v>0</v>
      </c>
      <c r="BM34" s="297">
        <v>2</v>
      </c>
      <c r="BN34" s="297"/>
      <c r="BO34" s="297"/>
      <c r="BP34" s="297"/>
      <c r="BQ34" s="297"/>
      <c r="BR34" s="297"/>
      <c r="BS34" s="297"/>
      <c r="BT34" s="297"/>
      <c r="BU34" s="297"/>
      <c r="BV34" s="297"/>
      <c r="BW34" s="297"/>
      <c r="BX34" s="297"/>
      <c r="BY34" s="297"/>
      <c r="BZ34" s="297"/>
      <c r="CA34" s="297"/>
      <c r="CB34" s="297"/>
      <c r="CC34" s="297"/>
      <c r="CD34" s="297"/>
      <c r="CE34" s="297"/>
      <c r="CF34" s="297"/>
      <c r="CG34" s="297"/>
      <c r="CH34" s="297"/>
      <c r="CI34" s="297"/>
      <c r="CJ34" s="297"/>
      <c r="CK34" s="297"/>
      <c r="CL34" s="297"/>
      <c r="CM34" s="297"/>
      <c r="CN34" s="297"/>
      <c r="CO34" s="297"/>
      <c r="CP34" s="297"/>
      <c r="CQ34" s="297"/>
      <c r="CR34" s="297"/>
      <c r="CS34" s="297"/>
      <c r="CT34" s="297"/>
      <c r="CU34" s="300"/>
      <c r="CV34" s="165">
        <f t="shared" si="0"/>
        <v>6</v>
      </c>
      <c r="CW34" s="165">
        <f t="shared" si="1"/>
        <v>0</v>
      </c>
      <c r="CX34" s="249">
        <f t="shared" si="2"/>
        <v>0</v>
      </c>
      <c r="CY34" s="170">
        <f t="shared" si="3"/>
        <v>0</v>
      </c>
    </row>
    <row r="35" spans="1:103">
      <c r="A35" s="510" t="s">
        <v>376</v>
      </c>
      <c r="B35" s="372" t="str">
        <f>IFERROR(VLOOKUP(ParticipationJanvier1[[#This Row],[Référence]],ListeÉtudiants1[],18,FALSE),"")</f>
        <v>BOUKHARAZ MARINA</v>
      </c>
      <c r="C35" s="19"/>
      <c r="D35" s="19"/>
      <c r="E35" s="19"/>
      <c r="F35" s="19"/>
      <c r="G35" s="287"/>
      <c r="H35" s="19"/>
      <c r="I35" s="287"/>
      <c r="J35" s="19"/>
      <c r="K35" s="287"/>
      <c r="L35" s="19"/>
      <c r="M35" s="287"/>
      <c r="N35" s="19" t="s">
        <v>105</v>
      </c>
      <c r="O35" s="19"/>
      <c r="P35" s="19"/>
      <c r="Q35" s="19" t="s">
        <v>108</v>
      </c>
      <c r="R35" s="19" t="s">
        <v>106</v>
      </c>
      <c r="S35" s="19" t="s">
        <v>107</v>
      </c>
      <c r="T35" s="19"/>
      <c r="U35" s="287"/>
      <c r="W35" s="287"/>
      <c r="X35" s="19"/>
      <c r="Y35" s="287"/>
      <c r="Z35" s="19"/>
      <c r="AA35" s="287"/>
      <c r="AB35" s="19"/>
      <c r="AC35" s="287"/>
      <c r="AD35" s="19"/>
      <c r="AE35" s="287"/>
      <c r="AF35" s="19"/>
      <c r="AG35" s="296"/>
      <c r="AH35" s="6">
        <f>COUNTIF(ParticipationJanvier1[[#This Row],[1]:[31]],Code1)</f>
        <v>0</v>
      </c>
      <c r="AI35" s="6">
        <f>COUNTIF(ParticipationJanvier1[[#This Row],[1]:[31]],code22)</f>
        <v>0</v>
      </c>
      <c r="AJ35" s="6">
        <f>COUNTIF(ParticipationJanvier1[[#This Row],[1]:[31]],Code2)</f>
        <v>1</v>
      </c>
      <c r="AK35" s="6">
        <f>COUNTIF(ParticipationJanvier1[[#This Row],[1]:[31]],Code3)</f>
        <v>1</v>
      </c>
      <c r="AL35" s="6">
        <f>COUNTIF(ParticipationJanvier1[[#This Row],[1]:[31]],Code4)</f>
        <v>1</v>
      </c>
      <c r="AM35" s="6">
        <f>COUNTIF(ParticipationJanvier1[[#This Row],[1]:[31]],Code5)</f>
        <v>0</v>
      </c>
      <c r="AN35" s="6">
        <f>COUNTIF(ParticipationJanvier1[[#This Row],[1]:[31]],Code23)</f>
        <v>0</v>
      </c>
      <c r="AO35" s="6">
        <f>COUNTIF(ParticipationJanvier1[[#This Row],[1]:[31]],Code6)</f>
        <v>1</v>
      </c>
      <c r="AP35" s="6">
        <f>COUNTIF(ParticipationJanvier1[[#This Row],[1]:[31]],Code7)</f>
        <v>0</v>
      </c>
      <c r="AQ35" s="6">
        <f>COUNTIF(ParticipationJanvier1[[#This Row],[1]:[31]],Code8)</f>
        <v>0</v>
      </c>
      <c r="AR35" s="6">
        <f>COUNTIF(ParticipationJanvier1[[#This Row],[1]:[31]],Code9)</f>
        <v>0</v>
      </c>
      <c r="AS35" s="6">
        <f>COUNTIF(ParticipationJanvier1[[#This Row],[1]:[31]],Code10)</f>
        <v>0</v>
      </c>
      <c r="AT35" s="6">
        <f>COUNTIF(ParticipationJanvier1[[#This Row],[1]:[31]],Code11)</f>
        <v>0</v>
      </c>
      <c r="AU35" s="6">
        <f>COUNTIF(ParticipationJanvier1[[#This Row],[1]:[31]],Code12)</f>
        <v>0</v>
      </c>
      <c r="AV35" s="6">
        <f>COUNTIF(ParticipationJanvier1[[#This Row],[1]:[31]],Code13)</f>
        <v>0</v>
      </c>
      <c r="AW35" s="6">
        <f>COUNTIF(ParticipationJanvier1[[#This Row],[1]:[31]],Code14)</f>
        <v>0</v>
      </c>
      <c r="AX35" s="6">
        <f>COUNTIF(ParticipationJanvier1[[#This Row],[1]:[31]],Code15)</f>
        <v>0</v>
      </c>
      <c r="AY35" s="6">
        <f>COUNTIF(ParticipationJanvier1[[#This Row],[1]:[31]],Code16)</f>
        <v>0</v>
      </c>
      <c r="AZ35" s="6">
        <f>COUNTIF(ParticipationJanvier1[[#This Row],[1]:[31]],Code17)</f>
        <v>0</v>
      </c>
      <c r="BA35" s="6">
        <f>COUNTIF(ParticipationJanvier1[[#This Row],[1]:[31]],Code25)</f>
        <v>0</v>
      </c>
      <c r="BB35" s="6">
        <f>COUNTIF(ParticipationJanvier1[[#This Row],[1]:[31]],Code26)</f>
        <v>0</v>
      </c>
      <c r="BC35" s="6">
        <f>COUNTIF(ParticipationJanvier1[[#This Row],[1]:[31]],Code27)</f>
        <v>0</v>
      </c>
      <c r="BD35" s="6">
        <f>COUNTIF(ParticipationJanvier1[[#This Row],[1]:[31]],Code28)</f>
        <v>0</v>
      </c>
      <c r="BE35" s="6">
        <f>COUNTIF(ParticipationJanvier1[[#This Row],[1]:[31]],code30)</f>
        <v>0</v>
      </c>
      <c r="BF35" s="6">
        <f>COUNTIF(ParticipationJanvier1[[#This Row],[1]:[31]],Code31)</f>
        <v>0</v>
      </c>
      <c r="BG35" s="6">
        <f>COUNTIF(ParticipationJanvier1[[#This Row],[1]:[31]],code21)</f>
        <v>0</v>
      </c>
      <c r="BH35" s="6">
        <f>COUNTIF(ParticipationJanvier1[[#This Row],[1]:[31]],Code24)</f>
        <v>0</v>
      </c>
      <c r="BI35" s="6">
        <f>COUNTIF(ParticipationJanvier1[[#This Row],[1]:[31]],code18)</f>
        <v>0</v>
      </c>
      <c r="BJ35" s="6">
        <f>COUNTIF(ParticipationJanvier1[[#This Row],[1]:[31]],code19)</f>
        <v>0</v>
      </c>
      <c r="BK35" s="6">
        <f>COUNTIF(ParticipationJanvier1[[#This Row],[1]:[31]],code20)</f>
        <v>0</v>
      </c>
      <c r="BL35" s="182">
        <f>COUNTIF(ParticipationJanvier1[[#This Row],[1]:[31]],code29)</f>
        <v>0</v>
      </c>
      <c r="BM35" s="297">
        <v>2</v>
      </c>
      <c r="BN35" s="297"/>
      <c r="BO35" s="297"/>
      <c r="BP35" s="297"/>
      <c r="BQ35" s="297"/>
      <c r="BR35" s="297"/>
      <c r="BS35" s="297"/>
      <c r="BT35" s="297"/>
      <c r="BU35" s="297"/>
      <c r="BV35" s="297"/>
      <c r="BW35" s="297"/>
      <c r="BX35" s="297"/>
      <c r="BY35" s="297"/>
      <c r="BZ35" s="297"/>
      <c r="CA35" s="297"/>
      <c r="CB35" s="297"/>
      <c r="CC35" s="297"/>
      <c r="CD35" s="297"/>
      <c r="CE35" s="297"/>
      <c r="CF35" s="297"/>
      <c r="CG35" s="297">
        <v>1</v>
      </c>
      <c r="CH35" s="297"/>
      <c r="CI35" s="297"/>
      <c r="CJ35" s="297"/>
      <c r="CK35" s="297"/>
      <c r="CL35" s="297"/>
      <c r="CM35" s="297"/>
      <c r="CN35" s="297"/>
      <c r="CO35" s="297"/>
      <c r="CP35" s="297"/>
      <c r="CQ35" s="297"/>
      <c r="CR35" s="297"/>
      <c r="CS35" s="297"/>
      <c r="CT35" s="297"/>
      <c r="CU35" s="300"/>
      <c r="CV35" s="165">
        <f t="shared" si="0"/>
        <v>5</v>
      </c>
      <c r="CW35" s="165">
        <f t="shared" si="1"/>
        <v>3</v>
      </c>
      <c r="CX35" s="249">
        <f t="shared" si="2"/>
        <v>0</v>
      </c>
      <c r="CY35" s="170">
        <f t="shared" si="3"/>
        <v>0</v>
      </c>
    </row>
    <row r="36" spans="1:103">
      <c r="A36" s="510" t="s">
        <v>377</v>
      </c>
      <c r="B36" s="372" t="str">
        <f>IFERROR(VLOOKUP(ParticipationJanvier1[[#This Row],[Référence]],ListeÉtudiants1[],18,FALSE),"")</f>
        <v>BOUTILLIER LAETITIA</v>
      </c>
      <c r="C36" s="19"/>
      <c r="D36" s="19"/>
      <c r="E36" s="19"/>
      <c r="F36" s="19"/>
      <c r="G36" s="287"/>
      <c r="H36" s="19"/>
      <c r="I36" s="287"/>
      <c r="J36" s="19"/>
      <c r="K36" s="287"/>
      <c r="L36" s="19"/>
      <c r="M36" s="287"/>
      <c r="N36" s="19"/>
      <c r="O36" s="19"/>
      <c r="P36" s="19"/>
      <c r="Q36" s="19"/>
      <c r="R36" s="19"/>
      <c r="S36" s="19"/>
      <c r="T36" s="19" t="s">
        <v>106</v>
      </c>
      <c r="U36" s="287"/>
      <c r="W36" s="287"/>
      <c r="X36" s="19"/>
      <c r="Y36" s="287"/>
      <c r="Z36" s="19"/>
      <c r="AA36" s="287"/>
      <c r="AB36" s="19"/>
      <c r="AC36" s="287"/>
      <c r="AD36" s="19"/>
      <c r="AE36" s="287"/>
      <c r="AF36" s="19"/>
      <c r="AG36" s="296"/>
      <c r="AH36" s="6">
        <f>COUNTIF(ParticipationJanvier1[[#This Row],[1]:[31]],Code1)</f>
        <v>0</v>
      </c>
      <c r="AI36" s="6">
        <f>COUNTIF(ParticipationJanvier1[[#This Row],[1]:[31]],code22)</f>
        <v>0</v>
      </c>
      <c r="AJ36" s="6">
        <f>COUNTIF(ParticipationJanvier1[[#This Row],[1]:[31]],Code2)</f>
        <v>0</v>
      </c>
      <c r="AK36" s="6">
        <f>COUNTIF(ParticipationJanvier1[[#This Row],[1]:[31]],Code3)</f>
        <v>1</v>
      </c>
      <c r="AL36" s="6">
        <f>COUNTIF(ParticipationJanvier1[[#This Row],[1]:[31]],Code4)</f>
        <v>0</v>
      </c>
      <c r="AM36" s="6">
        <f>COUNTIF(ParticipationJanvier1[[#This Row],[1]:[31]],Code5)</f>
        <v>0</v>
      </c>
      <c r="AN36" s="6">
        <f>COUNTIF(ParticipationJanvier1[[#This Row],[1]:[31]],Code23)</f>
        <v>0</v>
      </c>
      <c r="AO36" s="6">
        <f>COUNTIF(ParticipationJanvier1[[#This Row],[1]:[31]],Code6)</f>
        <v>0</v>
      </c>
      <c r="AP36" s="6">
        <f>COUNTIF(ParticipationJanvier1[[#This Row],[1]:[31]],Code7)</f>
        <v>0</v>
      </c>
      <c r="AQ36" s="6">
        <f>COUNTIF(ParticipationJanvier1[[#This Row],[1]:[31]],Code8)</f>
        <v>0</v>
      </c>
      <c r="AR36" s="6">
        <f>COUNTIF(ParticipationJanvier1[[#This Row],[1]:[31]],Code9)</f>
        <v>0</v>
      </c>
      <c r="AS36" s="6">
        <f>COUNTIF(ParticipationJanvier1[[#This Row],[1]:[31]],Code10)</f>
        <v>0</v>
      </c>
      <c r="AT36" s="6">
        <f>COUNTIF(ParticipationJanvier1[[#This Row],[1]:[31]],Code11)</f>
        <v>0</v>
      </c>
      <c r="AU36" s="6">
        <f>COUNTIF(ParticipationJanvier1[[#This Row],[1]:[31]],Code12)</f>
        <v>0</v>
      </c>
      <c r="AV36" s="6">
        <f>COUNTIF(ParticipationJanvier1[[#This Row],[1]:[31]],Code13)</f>
        <v>0</v>
      </c>
      <c r="AW36" s="6">
        <f>COUNTIF(ParticipationJanvier1[[#This Row],[1]:[31]],Code14)</f>
        <v>0</v>
      </c>
      <c r="AX36" s="6">
        <f>COUNTIF(ParticipationJanvier1[[#This Row],[1]:[31]],Code15)</f>
        <v>0</v>
      </c>
      <c r="AY36" s="6">
        <f>COUNTIF(ParticipationJanvier1[[#This Row],[1]:[31]],Code16)</f>
        <v>0</v>
      </c>
      <c r="AZ36" s="6">
        <f>COUNTIF(ParticipationJanvier1[[#This Row],[1]:[31]],Code17)</f>
        <v>0</v>
      </c>
      <c r="BA36" s="6">
        <f>COUNTIF(ParticipationJanvier1[[#This Row],[1]:[31]],Code25)</f>
        <v>0</v>
      </c>
      <c r="BB36" s="6">
        <f>COUNTIF(ParticipationJanvier1[[#This Row],[1]:[31]],Code26)</f>
        <v>0</v>
      </c>
      <c r="BC36" s="6">
        <f>COUNTIF(ParticipationJanvier1[[#This Row],[1]:[31]],Code27)</f>
        <v>0</v>
      </c>
      <c r="BD36" s="6">
        <f>COUNTIF(ParticipationJanvier1[[#This Row],[1]:[31]],Code28)</f>
        <v>0</v>
      </c>
      <c r="BE36" s="6">
        <f>COUNTIF(ParticipationJanvier1[[#This Row],[1]:[31]],code30)</f>
        <v>0</v>
      </c>
      <c r="BF36" s="6">
        <f>COUNTIF(ParticipationJanvier1[[#This Row],[1]:[31]],Code31)</f>
        <v>0</v>
      </c>
      <c r="BG36" s="6">
        <f>COUNTIF(ParticipationJanvier1[[#This Row],[1]:[31]],code21)</f>
        <v>0</v>
      </c>
      <c r="BH36" s="6">
        <f>COUNTIF(ParticipationJanvier1[[#This Row],[1]:[31]],Code24)</f>
        <v>0</v>
      </c>
      <c r="BI36" s="6">
        <f>COUNTIF(ParticipationJanvier1[[#This Row],[1]:[31]],code18)</f>
        <v>0</v>
      </c>
      <c r="BJ36" s="6">
        <f>COUNTIF(ParticipationJanvier1[[#This Row],[1]:[31]],code19)</f>
        <v>0</v>
      </c>
      <c r="BK36" s="6">
        <f>COUNTIF(ParticipationJanvier1[[#This Row],[1]:[31]],code20)</f>
        <v>0</v>
      </c>
      <c r="BL36" s="182">
        <f>COUNTIF(ParticipationJanvier1[[#This Row],[1]:[31]],code29)</f>
        <v>0</v>
      </c>
      <c r="BM36" s="297"/>
      <c r="BN36" s="297"/>
      <c r="BO36" s="297"/>
      <c r="BP36" s="297"/>
      <c r="BQ36" s="297"/>
      <c r="BR36" s="297"/>
      <c r="BS36" s="297"/>
      <c r="BT36" s="297"/>
      <c r="BU36" s="297"/>
      <c r="BV36" s="297"/>
      <c r="BW36" s="297"/>
      <c r="BX36" s="297"/>
      <c r="BY36" s="297"/>
      <c r="BZ36" s="297"/>
      <c r="CA36" s="297"/>
      <c r="CB36" s="297"/>
      <c r="CC36" s="297"/>
      <c r="CD36" s="297"/>
      <c r="CE36" s="297"/>
      <c r="CF36" s="297"/>
      <c r="CG36" s="297"/>
      <c r="CH36" s="297"/>
      <c r="CI36" s="297"/>
      <c r="CJ36" s="297">
        <v>1</v>
      </c>
      <c r="CK36" s="297"/>
      <c r="CL36" s="297"/>
      <c r="CM36" s="297"/>
      <c r="CN36" s="297"/>
      <c r="CO36" s="297"/>
      <c r="CP36" s="297"/>
      <c r="CQ36" s="297"/>
      <c r="CR36" s="297"/>
      <c r="CS36" s="297"/>
      <c r="CT36" s="297"/>
      <c r="CU36" s="300"/>
      <c r="CV36" s="165">
        <f t="shared" si="0"/>
        <v>3</v>
      </c>
      <c r="CW36" s="165">
        <f t="shared" si="1"/>
        <v>0</v>
      </c>
      <c r="CX36" s="249">
        <f t="shared" si="2"/>
        <v>0</v>
      </c>
      <c r="CY36" s="170">
        <f t="shared" si="3"/>
        <v>0</v>
      </c>
    </row>
    <row r="37" spans="1:103">
      <c r="A37" s="510" t="s">
        <v>378</v>
      </c>
      <c r="B37" s="372" t="str">
        <f>IFERROR(VLOOKUP(ParticipationJanvier1[[#This Row],[Référence]],ListeÉtudiants1[],18,FALSE),"")</f>
        <v>BRIAND OCEANE</v>
      </c>
      <c r="C37" s="19"/>
      <c r="D37" s="19"/>
      <c r="E37" s="19"/>
      <c r="F37" s="19"/>
      <c r="G37" s="518"/>
      <c r="H37" s="19"/>
      <c r="I37" s="518"/>
      <c r="J37" s="19"/>
      <c r="K37" s="518"/>
      <c r="L37" s="19"/>
      <c r="M37" s="518"/>
      <c r="N37" s="19"/>
      <c r="O37" s="518"/>
      <c r="P37" s="19"/>
      <c r="Q37" s="518"/>
      <c r="R37" s="19"/>
      <c r="S37" s="518"/>
      <c r="T37" s="19"/>
      <c r="U37" s="518"/>
      <c r="W37" s="518"/>
      <c r="X37" s="19"/>
      <c r="Y37" s="518"/>
      <c r="Z37" s="19"/>
      <c r="AA37" s="518"/>
      <c r="AB37" s="19"/>
      <c r="AC37" s="518"/>
      <c r="AD37" s="19"/>
      <c r="AE37" s="518"/>
      <c r="AF37" s="19"/>
      <c r="AG37" s="519"/>
      <c r="AH37" s="475">
        <f>COUNTIF(ParticipationJanvier1[[#This Row],[1]:[31]],Code1)</f>
        <v>0</v>
      </c>
      <c r="AI37" s="518">
        <f>COUNTIF(ParticipationJanvier1[[#This Row],[1]:[31]],code22)</f>
        <v>0</v>
      </c>
      <c r="AJ37" s="473">
        <f>COUNTIF(ParticipationJanvier1[[#This Row],[1]:[31]],Code2)</f>
        <v>0</v>
      </c>
      <c r="AK37" s="520">
        <f>COUNTIF(ParticipationJanvier1[[#This Row],[1]:[31]],Code3)</f>
        <v>0</v>
      </c>
      <c r="AL37" s="473">
        <f>COUNTIF(ParticipationJanvier1[[#This Row],[1]:[31]],Code4)</f>
        <v>0</v>
      </c>
      <c r="AM37" s="520">
        <f>COUNTIF(ParticipationJanvier1[[#This Row],[1]:[31]],Code5)</f>
        <v>0</v>
      </c>
      <c r="AN37" s="30">
        <f>COUNTIF(ParticipationJanvier1[[#This Row],[1]:[31]],Code23)</f>
        <v>0</v>
      </c>
      <c r="AO37" s="473">
        <f>COUNTIF(ParticipationJanvier1[[#This Row],[1]:[31]],Code6)</f>
        <v>0</v>
      </c>
      <c r="AP37" s="30">
        <f>COUNTIF(ParticipationJanvier1[[#This Row],[1]:[31]],Code7)</f>
        <v>0</v>
      </c>
      <c r="AQ37" s="30">
        <f>COUNTIF(ParticipationJanvier1[[#This Row],[1]:[31]],Code8)</f>
        <v>0</v>
      </c>
      <c r="AR37" s="30">
        <f>COUNTIF(ParticipationJanvier1[[#This Row],[1]:[31]],Code9)</f>
        <v>0</v>
      </c>
      <c r="AS37" s="473">
        <f>COUNTIF(ParticipationJanvier1[[#This Row],[1]:[31]],Code10)</f>
        <v>0</v>
      </c>
      <c r="AT37" s="473">
        <f>COUNTIF(ParticipationJanvier1[[#This Row],[1]:[31]],Code11)</f>
        <v>0</v>
      </c>
      <c r="AU37" s="473">
        <f>COUNTIF(ParticipationJanvier1[[#This Row],[1]:[31]],Code12)</f>
        <v>0</v>
      </c>
      <c r="AV37" s="473">
        <f>COUNTIF(ParticipationJanvier1[[#This Row],[1]:[31]],Code13)</f>
        <v>0</v>
      </c>
      <c r="AW37" s="473">
        <f>COUNTIF(ParticipationJanvier1[[#This Row],[1]:[31]],Code14)</f>
        <v>0</v>
      </c>
      <c r="AX37" s="473">
        <f>COUNTIF(ParticipationJanvier1[[#This Row],[1]:[31]],Code15)</f>
        <v>0</v>
      </c>
      <c r="AY37" s="473">
        <f>COUNTIF(ParticipationJanvier1[[#This Row],[1]:[31]],Code16)</f>
        <v>0</v>
      </c>
      <c r="AZ37" s="473">
        <f>COUNTIF(ParticipationJanvier1[[#This Row],[1]:[31]],Code17)</f>
        <v>0</v>
      </c>
      <c r="BA37" s="475">
        <f>COUNTIF(ParticipationJanvier1[[#This Row],[1]:[31]],Code25)</f>
        <v>0</v>
      </c>
      <c r="BB37" s="475">
        <f>COUNTIF(ParticipationJanvier1[[#This Row],[1]:[31]],Code26)</f>
        <v>0</v>
      </c>
      <c r="BC37" s="475">
        <f>COUNTIF(ParticipationJanvier1[[#This Row],[1]:[31]],Code27)</f>
        <v>0</v>
      </c>
      <c r="BD37" s="475">
        <f>COUNTIF(ParticipationJanvier1[[#This Row],[1]:[31]],Code28)</f>
        <v>0</v>
      </c>
      <c r="BE37" s="475">
        <f>COUNTIF(ParticipationJanvier1[[#This Row],[1]:[31]],code30)</f>
        <v>0</v>
      </c>
      <c r="BF37" s="475">
        <f>COUNTIF(ParticipationJanvier1[[#This Row],[1]:[31]],Code31)</f>
        <v>0</v>
      </c>
      <c r="BG37" s="473">
        <f>COUNTIF(ParticipationJanvier1[[#This Row],[1]:[31]],code21)</f>
        <v>0</v>
      </c>
      <c r="BH37" s="473">
        <f>COUNTIF(ParticipationJanvier1[[#This Row],[1]:[31]],Code24)</f>
        <v>0</v>
      </c>
      <c r="BI37" s="473">
        <f>COUNTIF(ParticipationJanvier1[[#This Row],[1]:[31]],code18)</f>
        <v>0</v>
      </c>
      <c r="BJ37" s="473">
        <f>COUNTIF(ParticipationJanvier1[[#This Row],[1]:[31]],code19)</f>
        <v>0</v>
      </c>
      <c r="BK37" s="473">
        <f>COUNTIF(ParticipationJanvier1[[#This Row],[1]:[31]],code20)</f>
        <v>0</v>
      </c>
      <c r="BL37" s="476">
        <f>COUNTIF(ParticipationJanvier1[[#This Row],[1]:[31]],code29)</f>
        <v>0</v>
      </c>
      <c r="BM37" s="472">
        <f>SUM((AH37*1)+(AI41*1.5)+(AJ37*2)+(AK37*3)+(AL37*4)+(AQ37*5)+(AR37*6)+(AS37*7)+(AW37*2)+(AX37*3)+(AY37*4)+(AZ37*5)+(BG37*2))</f>
        <v>0</v>
      </c>
      <c r="BN37" s="472"/>
      <c r="BO37" s="472"/>
      <c r="BP37" s="472"/>
      <c r="BQ37" s="472"/>
      <c r="BR37" s="473"/>
      <c r="BS37" s="472"/>
      <c r="BT37" s="472"/>
      <c r="BU37" s="472"/>
      <c r="BV37" s="472"/>
      <c r="BW37" s="472"/>
      <c r="BX37" s="472"/>
      <c r="BY37" s="472"/>
      <c r="BZ37" s="472"/>
      <c r="CA37" s="472"/>
      <c r="CB37" s="472"/>
      <c r="CC37" s="472"/>
      <c r="CD37" s="472"/>
      <c r="CE37" s="472"/>
      <c r="CF37" s="472"/>
      <c r="CG37" s="472"/>
      <c r="CH37" s="472"/>
      <c r="CI37" s="472"/>
      <c r="CJ37" s="472"/>
      <c r="CK37" s="472"/>
      <c r="CL37" s="472"/>
      <c r="CM37" s="472"/>
      <c r="CN37" s="472"/>
      <c r="CO37" s="472"/>
      <c r="CP37" s="472"/>
      <c r="CQ37" s="472"/>
      <c r="CR37" s="472"/>
      <c r="CS37" s="472"/>
      <c r="CT37" s="472"/>
      <c r="CU37" s="516">
        <f>SUM((AN37*1)+(AM37*2)+(AO37*3)+(AP37*4)+(AT37*5)+(AU37*7)+(AV37*7)+(AW37*7)+(AX37*4)+(AY37*3)+(BA37*2)+(BC37*4)+(BB37*1)+(BG37*2)+(AZ37*5)+(BD37*1))</f>
        <v>0</v>
      </c>
      <c r="CV37" s="521">
        <f>SUM((AH37*1)+(AI37*1.5)+(AJ37*2)+(AK37*3)+(AP37*5)+(AQ37*6)+(AR37*7)+(AU37*2)+(AX37*3)+(AY37*4)+(BA37*5)+(BB37*3)+(BC37*2)+(BG37*2)+(AZ37*2)+(BD37*2))</f>
        <v>0</v>
      </c>
      <c r="CW37" s="522">
        <f>SUM((AN37*1)+(AM37*2)+(AO37*3)+(AP37*4)+(AT37*5)+(AU37*7)+(AV37*7)+(AW37*7)+(AX37*4)+(AY37*3)+(BA37*2)+(BC37*4)+(BB37*1)+(BG37*2)+(AZ37*5)+(BD37*1))</f>
        <v>0</v>
      </c>
      <c r="CX37" s="523">
        <f>BH37*1</f>
        <v>0</v>
      </c>
      <c r="CY37" s="512"/>
    </row>
    <row r="38" spans="1:103">
      <c r="A38" s="534" t="s">
        <v>379</v>
      </c>
      <c r="B38" s="372" t="str">
        <f>IFERROR(VLOOKUP(ParticipationJanvier1[[#This Row],[Référence]],ListeÉtudiants1[],18,FALSE),"")</f>
        <v>BRITES TRACA ELODIE</v>
      </c>
      <c r="C38" s="19"/>
      <c r="D38" s="19"/>
      <c r="E38" s="19"/>
      <c r="F38" s="19"/>
      <c r="G38" s="287"/>
      <c r="H38" s="19"/>
      <c r="I38" s="287"/>
      <c r="J38" s="19"/>
      <c r="K38" s="287"/>
      <c r="L38" s="19"/>
      <c r="M38" s="287"/>
      <c r="N38" s="19" t="s">
        <v>105</v>
      </c>
      <c r="O38" s="19"/>
      <c r="P38" s="19"/>
      <c r="Q38" s="19" t="s">
        <v>490</v>
      </c>
      <c r="R38" s="19" t="s">
        <v>106</v>
      </c>
      <c r="S38" s="19" t="s">
        <v>107</v>
      </c>
      <c r="T38" s="19"/>
      <c r="U38" s="287"/>
      <c r="W38" s="287"/>
      <c r="X38" s="19"/>
      <c r="Y38" s="287"/>
      <c r="Z38" s="19"/>
      <c r="AA38" s="287"/>
      <c r="AB38" s="19"/>
      <c r="AC38" s="287"/>
      <c r="AD38" s="19"/>
      <c r="AE38" s="287"/>
      <c r="AF38" s="19"/>
      <c r="AG38" s="296"/>
      <c r="AH38" s="6">
        <f>COUNTIF(ParticipationJanvier1[[#This Row],[1]:[31]],Code1)</f>
        <v>0</v>
      </c>
      <c r="AI38" s="6">
        <f>COUNTIF(ParticipationJanvier1[[#This Row],[1]:[31]],code22)</f>
        <v>0</v>
      </c>
      <c r="AJ38" s="6">
        <f>COUNTIF(ParticipationJanvier1[[#This Row],[1]:[31]],Code2)</f>
        <v>1</v>
      </c>
      <c r="AK38" s="6">
        <f>COUNTIF(ParticipationJanvier1[[#This Row],[1]:[31]],Code3)</f>
        <v>1</v>
      </c>
      <c r="AL38" s="6">
        <f>COUNTIF(ParticipationJanvier1[[#This Row],[1]:[31]],Code4)</f>
        <v>1</v>
      </c>
      <c r="AM38" s="6">
        <f>COUNTIF(ParticipationJanvier1[[#This Row],[1]:[31]],Code5)</f>
        <v>0</v>
      </c>
      <c r="AN38" s="6">
        <f>COUNTIF(ParticipationJanvier1[[#This Row],[1]:[31]],Code23)</f>
        <v>0</v>
      </c>
      <c r="AO38" s="6">
        <f>COUNTIF(ParticipationJanvier1[[#This Row],[1]:[31]],Code6)</f>
        <v>0</v>
      </c>
      <c r="AP38" s="6">
        <f>COUNTIF(ParticipationJanvier1[[#This Row],[1]:[31]],Code7)</f>
        <v>0</v>
      </c>
      <c r="AQ38" s="6">
        <f>COUNTIF(ParticipationJanvier1[[#This Row],[1]:[31]],Code8)</f>
        <v>0</v>
      </c>
      <c r="AR38" s="6">
        <f>COUNTIF(ParticipationJanvier1[[#This Row],[1]:[31]],Code9)</f>
        <v>0</v>
      </c>
      <c r="AS38" s="6">
        <f>COUNTIF(ParticipationJanvier1[[#This Row],[1]:[31]],Code10)</f>
        <v>0</v>
      </c>
      <c r="AT38" s="6">
        <f>COUNTIF(ParticipationJanvier1[[#This Row],[1]:[31]],Code11)</f>
        <v>0</v>
      </c>
      <c r="AU38" s="6">
        <f>COUNTIF(ParticipationJanvier1[[#This Row],[1]:[31]],Code12)</f>
        <v>0</v>
      </c>
      <c r="AV38" s="6">
        <f>COUNTIF(ParticipationJanvier1[[#This Row],[1]:[31]],Code13)</f>
        <v>0</v>
      </c>
      <c r="AW38" s="6">
        <f>COUNTIF(ParticipationJanvier1[[#This Row],[1]:[31]],Code14)</f>
        <v>0</v>
      </c>
      <c r="AX38" s="6">
        <f>COUNTIF(ParticipationJanvier1[[#This Row],[1]:[31]],Code15)</f>
        <v>1</v>
      </c>
      <c r="AY38" s="6">
        <f>COUNTIF(ParticipationJanvier1[[#This Row],[1]:[31]],Code16)</f>
        <v>0</v>
      </c>
      <c r="AZ38" s="6">
        <f>COUNTIF(ParticipationJanvier1[[#This Row],[1]:[31]],Code17)</f>
        <v>0</v>
      </c>
      <c r="BA38" s="6">
        <f>COUNTIF(ParticipationJanvier1[[#This Row],[1]:[31]],Code25)</f>
        <v>0</v>
      </c>
      <c r="BB38" s="6">
        <f>COUNTIF(ParticipationJanvier1[[#This Row],[1]:[31]],Code26)</f>
        <v>0</v>
      </c>
      <c r="BC38" s="6">
        <f>COUNTIF(ParticipationJanvier1[[#This Row],[1]:[31]],Code27)</f>
        <v>0</v>
      </c>
      <c r="BD38" s="6">
        <f>COUNTIF(ParticipationJanvier1[[#This Row],[1]:[31]],Code28)</f>
        <v>0</v>
      </c>
      <c r="BE38" s="6">
        <f>COUNTIF(ParticipationJanvier1[[#This Row],[1]:[31]],code30)</f>
        <v>0</v>
      </c>
      <c r="BF38" s="6">
        <f>COUNTIF(ParticipationJanvier1[[#This Row],[1]:[31]],Code31)</f>
        <v>0</v>
      </c>
      <c r="BG38" s="6">
        <f>COUNTIF(ParticipationJanvier1[[#This Row],[1]:[31]],code21)</f>
        <v>0</v>
      </c>
      <c r="BH38" s="6">
        <f>COUNTIF(ParticipationJanvier1[[#This Row],[1]:[31]],Code24)</f>
        <v>0</v>
      </c>
      <c r="BI38" s="6">
        <f>COUNTIF(ParticipationJanvier1[[#This Row],[1]:[31]],code18)</f>
        <v>0</v>
      </c>
      <c r="BJ38" s="6">
        <f>COUNTIF(ParticipationJanvier1[[#This Row],[1]:[31]],code19)</f>
        <v>0</v>
      </c>
      <c r="BK38" s="6">
        <f>COUNTIF(ParticipationJanvier1[[#This Row],[1]:[31]],code20)</f>
        <v>0</v>
      </c>
      <c r="BL38" s="182">
        <f>COUNTIF(ParticipationJanvier1[[#This Row],[1]:[31]],code29)</f>
        <v>0</v>
      </c>
      <c r="BM38" s="297">
        <v>3</v>
      </c>
      <c r="BN38" s="297"/>
      <c r="BO38" s="297"/>
      <c r="BP38" s="297"/>
      <c r="BQ38" s="297"/>
      <c r="BR38" s="297"/>
      <c r="BS38" s="297"/>
      <c r="BT38" s="297"/>
      <c r="BU38" s="297"/>
      <c r="BV38" s="297"/>
      <c r="BW38" s="297"/>
      <c r="BX38" s="297"/>
      <c r="BY38" s="297"/>
      <c r="BZ38" s="297"/>
      <c r="CA38" s="297"/>
      <c r="CB38" s="297"/>
      <c r="CC38" s="297"/>
      <c r="CD38" s="297"/>
      <c r="CE38" s="297"/>
      <c r="CF38" s="297"/>
      <c r="CG38" s="297">
        <v>1</v>
      </c>
      <c r="CH38" s="297"/>
      <c r="CI38" s="297"/>
      <c r="CJ38" s="297"/>
      <c r="CK38" s="297"/>
      <c r="CL38" s="297"/>
      <c r="CM38" s="297"/>
      <c r="CN38" s="297"/>
      <c r="CO38" s="297"/>
      <c r="CP38" s="297"/>
      <c r="CQ38" s="297"/>
      <c r="CR38" s="297"/>
      <c r="CS38" s="297"/>
      <c r="CT38" s="297"/>
      <c r="CU38" s="300"/>
      <c r="CV38" s="165">
        <f t="shared" si="0"/>
        <v>8</v>
      </c>
      <c r="CW38" s="165">
        <f t="shared" si="1"/>
        <v>4</v>
      </c>
      <c r="CX38" s="249">
        <f t="shared" si="2"/>
        <v>0</v>
      </c>
      <c r="CY38" s="170">
        <f t="shared" si="3"/>
        <v>0</v>
      </c>
    </row>
    <row r="39" spans="1:103">
      <c r="A39" s="510" t="s">
        <v>380</v>
      </c>
      <c r="B39" s="372" t="str">
        <f>IFERROR(VLOOKUP(ParticipationJanvier1[[#This Row],[Référence]],ListeÉtudiants1[],18,FALSE),"")</f>
        <v>BRONZE  MARINE</v>
      </c>
      <c r="C39" s="19"/>
      <c r="D39" s="19"/>
      <c r="E39" s="19"/>
      <c r="F39" s="19"/>
      <c r="G39" s="287"/>
      <c r="H39" s="19"/>
      <c r="I39" s="287"/>
      <c r="J39" s="19"/>
      <c r="K39" s="287"/>
      <c r="L39" s="19"/>
      <c r="M39" s="287"/>
      <c r="N39" s="19" t="s">
        <v>507</v>
      </c>
      <c r="O39" s="19"/>
      <c r="P39" s="19"/>
      <c r="Q39" s="19" t="s">
        <v>108</v>
      </c>
      <c r="R39" s="19"/>
      <c r="S39" s="19"/>
      <c r="T39" s="19"/>
      <c r="U39" s="287"/>
      <c r="W39" s="287"/>
      <c r="X39" s="19"/>
      <c r="Y39" s="287"/>
      <c r="Z39" s="19"/>
      <c r="AA39" s="287"/>
      <c r="AB39" s="19"/>
      <c r="AC39" s="287"/>
      <c r="AD39" s="19"/>
      <c r="AE39" s="287"/>
      <c r="AF39" s="19"/>
      <c r="AG39" s="296"/>
      <c r="AH39" s="6">
        <f>COUNTIF(ParticipationJanvier1[[#This Row],[1]:[31]],Code1)</f>
        <v>0</v>
      </c>
      <c r="AI39" s="6">
        <f>COUNTIF(ParticipationJanvier1[[#This Row],[1]:[31]],code22)</f>
        <v>0</v>
      </c>
      <c r="AJ39" s="6">
        <f>COUNTIF(ParticipationJanvier1[[#This Row],[1]:[31]],Code2)</f>
        <v>0</v>
      </c>
      <c r="AK39" s="6">
        <f>COUNTIF(ParticipationJanvier1[[#This Row],[1]:[31]],Code3)</f>
        <v>0</v>
      </c>
      <c r="AL39" s="6">
        <f>COUNTIF(ParticipationJanvier1[[#This Row],[1]:[31]],Code4)</f>
        <v>0</v>
      </c>
      <c r="AM39" s="6">
        <f>COUNTIF(ParticipationJanvier1[[#This Row],[1]:[31]],Code5)</f>
        <v>0</v>
      </c>
      <c r="AN39" s="6">
        <f>COUNTIF(ParticipationJanvier1[[#This Row],[1]:[31]],Code23)</f>
        <v>0</v>
      </c>
      <c r="AO39" s="6">
        <f>COUNTIF(ParticipationJanvier1[[#This Row],[1]:[31]],Code6)</f>
        <v>1</v>
      </c>
      <c r="AP39" s="6">
        <f>COUNTIF(ParticipationJanvier1[[#This Row],[1]:[31]],Code7)</f>
        <v>0</v>
      </c>
      <c r="AQ39" s="6">
        <f>COUNTIF(ParticipationJanvier1[[#This Row],[1]:[31]],Code8)</f>
        <v>0</v>
      </c>
      <c r="AR39" s="6">
        <f>COUNTIF(ParticipationJanvier1[[#This Row],[1]:[31]],Code9)</f>
        <v>0</v>
      </c>
      <c r="AS39" s="6">
        <f>COUNTIF(ParticipationJanvier1[[#This Row],[1]:[31]],Code10)</f>
        <v>0</v>
      </c>
      <c r="AT39" s="6">
        <f>COUNTIF(ParticipationJanvier1[[#This Row],[1]:[31]],Code11)</f>
        <v>0</v>
      </c>
      <c r="AU39" s="6">
        <f>COUNTIF(ParticipationJanvier1[[#This Row],[1]:[31]],Code12)</f>
        <v>0</v>
      </c>
      <c r="AV39" s="6">
        <f>COUNTIF(ParticipationJanvier1[[#This Row],[1]:[31]],Code13)</f>
        <v>0</v>
      </c>
      <c r="AW39" s="6">
        <f>COUNTIF(ParticipationJanvier1[[#This Row],[1]:[31]],Code14)</f>
        <v>0</v>
      </c>
      <c r="AX39" s="6">
        <f>COUNTIF(ParticipationJanvier1[[#This Row],[1]:[31]],Code15)</f>
        <v>0</v>
      </c>
      <c r="AY39" s="6">
        <f>COUNTIF(ParticipationJanvier1[[#This Row],[1]:[31]],Code16)</f>
        <v>0</v>
      </c>
      <c r="AZ39" s="6">
        <f>COUNTIF(ParticipationJanvier1[[#This Row],[1]:[31]],Code17)</f>
        <v>0</v>
      </c>
      <c r="BA39" s="6">
        <f>COUNTIF(ParticipationJanvier1[[#This Row],[1]:[31]],Code25)</f>
        <v>0</v>
      </c>
      <c r="BB39" s="6">
        <f>COUNTIF(ParticipationJanvier1[[#This Row],[1]:[31]],Code26)</f>
        <v>0</v>
      </c>
      <c r="BC39" s="6">
        <f>COUNTIF(ParticipationJanvier1[[#This Row],[1]:[31]],Code27)</f>
        <v>0</v>
      </c>
      <c r="BD39" s="6">
        <f>COUNTIF(ParticipationJanvier1[[#This Row],[1]:[31]],Code28)</f>
        <v>0</v>
      </c>
      <c r="BE39" s="6">
        <f>COUNTIF(ParticipationJanvier1[[#This Row],[1]:[31]],code30)</f>
        <v>0</v>
      </c>
      <c r="BF39" s="6">
        <f>COUNTIF(ParticipationJanvier1[[#This Row],[1]:[31]],Code31)</f>
        <v>0</v>
      </c>
      <c r="BG39" s="6">
        <f>COUNTIF(ParticipationJanvier1[[#This Row],[1]:[31]],code21)</f>
        <v>1</v>
      </c>
      <c r="BH39" s="6">
        <f>COUNTIF(ParticipationJanvier1[[#This Row],[1]:[31]],Code24)</f>
        <v>0</v>
      </c>
      <c r="BI39" s="6">
        <f>COUNTIF(ParticipationJanvier1[[#This Row],[1]:[31]],code18)</f>
        <v>0</v>
      </c>
      <c r="BJ39" s="6">
        <f>COUNTIF(ParticipationJanvier1[[#This Row],[1]:[31]],code19)</f>
        <v>0</v>
      </c>
      <c r="BK39" s="6">
        <f>COUNTIF(ParticipationJanvier1[[#This Row],[1]:[31]],code20)</f>
        <v>0</v>
      </c>
      <c r="BL39" s="182">
        <f>COUNTIF(ParticipationJanvier1[[#This Row],[1]:[31]],code29)</f>
        <v>0</v>
      </c>
      <c r="BM39" s="297"/>
      <c r="BN39" s="297"/>
      <c r="BO39" s="297"/>
      <c r="BP39" s="297"/>
      <c r="BQ39" s="297"/>
      <c r="BR39" s="297"/>
      <c r="BS39" s="297"/>
      <c r="BT39" s="297"/>
      <c r="BU39" s="297"/>
      <c r="BV39" s="297"/>
      <c r="BW39" s="297"/>
      <c r="BX39" s="297"/>
      <c r="BY39" s="297"/>
      <c r="BZ39" s="297"/>
      <c r="CA39" s="297"/>
      <c r="CB39" s="297"/>
      <c r="CC39" s="297"/>
      <c r="CD39" s="297"/>
      <c r="CE39" s="297"/>
      <c r="CF39" s="297"/>
      <c r="CG39" s="297">
        <v>1</v>
      </c>
      <c r="CH39" s="297"/>
      <c r="CI39" s="297"/>
      <c r="CJ39" s="297"/>
      <c r="CK39" s="297"/>
      <c r="CL39" s="297"/>
      <c r="CM39" s="297"/>
      <c r="CN39" s="297"/>
      <c r="CO39" s="297"/>
      <c r="CP39" s="297"/>
      <c r="CQ39" s="297"/>
      <c r="CR39" s="297"/>
      <c r="CS39" s="297"/>
      <c r="CT39" s="297"/>
      <c r="CU39" s="300"/>
      <c r="CV39" s="165">
        <f t="shared" si="0"/>
        <v>2</v>
      </c>
      <c r="CW39" s="165">
        <f t="shared" si="1"/>
        <v>5</v>
      </c>
      <c r="CX39" s="249">
        <f t="shared" si="2"/>
        <v>0</v>
      </c>
      <c r="CY39" s="170">
        <f t="shared" si="3"/>
        <v>0</v>
      </c>
    </row>
    <row r="40" spans="1:103">
      <c r="A40" s="510" t="s">
        <v>381</v>
      </c>
      <c r="B40" s="372" t="str">
        <f>IFERROR(VLOOKUP(ParticipationJanvier1[[#This Row],[Référence]],ListeÉtudiants1[],18,FALSE),"")</f>
        <v>CAMISON VICTORIA</v>
      </c>
      <c r="C40" s="19"/>
      <c r="D40" s="19"/>
      <c r="E40" s="19"/>
      <c r="F40" s="19"/>
      <c r="G40" s="287"/>
      <c r="H40" s="19"/>
      <c r="I40" s="287"/>
      <c r="J40" s="19"/>
      <c r="K40" s="287"/>
      <c r="L40" s="19"/>
      <c r="M40" s="287"/>
      <c r="N40" s="19"/>
      <c r="O40" s="19"/>
      <c r="P40" s="19"/>
      <c r="Q40" s="19" t="s">
        <v>108</v>
      </c>
      <c r="R40" s="19"/>
      <c r="S40" s="19"/>
      <c r="T40" s="19"/>
      <c r="U40" s="287"/>
      <c r="W40" s="287"/>
      <c r="X40" s="19"/>
      <c r="Y40" s="287"/>
      <c r="Z40" s="19"/>
      <c r="AA40" s="287"/>
      <c r="AB40" s="19"/>
      <c r="AC40" s="287"/>
      <c r="AD40" s="19"/>
      <c r="AE40" s="287"/>
      <c r="AF40" s="19"/>
      <c r="AG40" s="296"/>
      <c r="AH40" s="6">
        <f>COUNTIF(ParticipationJanvier1[[#This Row],[1]:[31]],Code1)</f>
        <v>0</v>
      </c>
      <c r="AI40" s="6">
        <f>COUNTIF(ParticipationJanvier1[[#This Row],[1]:[31]],code22)</f>
        <v>0</v>
      </c>
      <c r="AJ40" s="6">
        <f>COUNTIF(ParticipationJanvier1[[#This Row],[1]:[31]],Code2)</f>
        <v>0</v>
      </c>
      <c r="AK40" s="6">
        <f>COUNTIF(ParticipationJanvier1[[#This Row],[1]:[31]],Code3)</f>
        <v>0</v>
      </c>
      <c r="AL40" s="6">
        <f>COUNTIF(ParticipationJanvier1[[#This Row],[1]:[31]],Code4)</f>
        <v>0</v>
      </c>
      <c r="AM40" s="6">
        <f>COUNTIF(ParticipationJanvier1[[#This Row],[1]:[31]],Code5)</f>
        <v>0</v>
      </c>
      <c r="AN40" s="6">
        <f>COUNTIF(ParticipationJanvier1[[#This Row],[1]:[31]],Code23)</f>
        <v>0</v>
      </c>
      <c r="AO40" s="6">
        <f>COUNTIF(ParticipationJanvier1[[#This Row],[1]:[31]],Code6)</f>
        <v>1</v>
      </c>
      <c r="AP40" s="6">
        <f>COUNTIF(ParticipationJanvier1[[#This Row],[1]:[31]],Code7)</f>
        <v>0</v>
      </c>
      <c r="AQ40" s="6">
        <f>COUNTIF(ParticipationJanvier1[[#This Row],[1]:[31]],Code8)</f>
        <v>0</v>
      </c>
      <c r="AR40" s="6">
        <f>COUNTIF(ParticipationJanvier1[[#This Row],[1]:[31]],Code9)</f>
        <v>0</v>
      </c>
      <c r="AS40" s="6">
        <f>COUNTIF(ParticipationJanvier1[[#This Row],[1]:[31]],Code10)</f>
        <v>0</v>
      </c>
      <c r="AT40" s="6">
        <f>COUNTIF(ParticipationJanvier1[[#This Row],[1]:[31]],Code11)</f>
        <v>0</v>
      </c>
      <c r="AU40" s="6">
        <f>COUNTIF(ParticipationJanvier1[[#This Row],[1]:[31]],Code12)</f>
        <v>0</v>
      </c>
      <c r="AV40" s="6">
        <f>COUNTIF(ParticipationJanvier1[[#This Row],[1]:[31]],Code13)</f>
        <v>0</v>
      </c>
      <c r="AW40" s="6">
        <f>COUNTIF(ParticipationJanvier1[[#This Row],[1]:[31]],Code14)</f>
        <v>0</v>
      </c>
      <c r="AX40" s="6">
        <f>COUNTIF(ParticipationJanvier1[[#This Row],[1]:[31]],Code15)</f>
        <v>0</v>
      </c>
      <c r="AY40" s="6">
        <f>COUNTIF(ParticipationJanvier1[[#This Row],[1]:[31]],Code16)</f>
        <v>0</v>
      </c>
      <c r="AZ40" s="6">
        <f>COUNTIF(ParticipationJanvier1[[#This Row],[1]:[31]],Code17)</f>
        <v>0</v>
      </c>
      <c r="BA40" s="6">
        <f>COUNTIF(ParticipationJanvier1[[#This Row],[1]:[31]],Code25)</f>
        <v>0</v>
      </c>
      <c r="BB40" s="6">
        <f>COUNTIF(ParticipationJanvier1[[#This Row],[1]:[31]],Code26)</f>
        <v>0</v>
      </c>
      <c r="BC40" s="6">
        <f>COUNTIF(ParticipationJanvier1[[#This Row],[1]:[31]],Code27)</f>
        <v>0</v>
      </c>
      <c r="BD40" s="6">
        <f>COUNTIF(ParticipationJanvier1[[#This Row],[1]:[31]],Code28)</f>
        <v>0</v>
      </c>
      <c r="BE40" s="6">
        <f>COUNTIF(ParticipationJanvier1[[#This Row],[1]:[31]],code30)</f>
        <v>0</v>
      </c>
      <c r="BF40" s="6">
        <f>COUNTIF(ParticipationJanvier1[[#This Row],[1]:[31]],Code31)</f>
        <v>0</v>
      </c>
      <c r="BG40" s="6">
        <f>COUNTIF(ParticipationJanvier1[[#This Row],[1]:[31]],code21)</f>
        <v>0</v>
      </c>
      <c r="BH40" s="6">
        <f>COUNTIF(ParticipationJanvier1[[#This Row],[1]:[31]],Code24)</f>
        <v>0</v>
      </c>
      <c r="BI40" s="6">
        <f>COUNTIF(ParticipationJanvier1[[#This Row],[1]:[31]],code18)</f>
        <v>0</v>
      </c>
      <c r="BJ40" s="6">
        <f>COUNTIF(ParticipationJanvier1[[#This Row],[1]:[31]],code19)</f>
        <v>0</v>
      </c>
      <c r="BK40" s="6">
        <f>COUNTIF(ParticipationJanvier1[[#This Row],[1]:[31]],code20)</f>
        <v>0</v>
      </c>
      <c r="BL40" s="182">
        <f>COUNTIF(ParticipationJanvier1[[#This Row],[1]:[31]],code29)</f>
        <v>0</v>
      </c>
      <c r="BM40" s="297"/>
      <c r="BN40" s="297"/>
      <c r="BO40" s="297"/>
      <c r="BP40" s="297"/>
      <c r="BQ40" s="297"/>
      <c r="BR40" s="297"/>
      <c r="BS40" s="297"/>
      <c r="BT40" s="297"/>
      <c r="BU40" s="297"/>
      <c r="BV40" s="297"/>
      <c r="BW40" s="297"/>
      <c r="BX40" s="297"/>
      <c r="BY40" s="297"/>
      <c r="BZ40" s="297"/>
      <c r="CA40" s="297"/>
      <c r="CB40" s="297"/>
      <c r="CC40" s="297"/>
      <c r="CD40" s="297"/>
      <c r="CE40" s="297"/>
      <c r="CF40" s="297"/>
      <c r="CG40" s="297"/>
      <c r="CH40" s="297"/>
      <c r="CI40" s="297"/>
      <c r="CJ40" s="297"/>
      <c r="CK40" s="297"/>
      <c r="CL40" s="297"/>
      <c r="CM40" s="297"/>
      <c r="CN40" s="297"/>
      <c r="CO40" s="297"/>
      <c r="CP40" s="297"/>
      <c r="CQ40" s="297"/>
      <c r="CR40" s="297"/>
      <c r="CS40" s="297"/>
      <c r="CT40" s="297"/>
      <c r="CU40" s="300"/>
      <c r="CV40" s="165">
        <f t="shared" si="0"/>
        <v>0</v>
      </c>
      <c r="CW40" s="165">
        <f t="shared" si="1"/>
        <v>3</v>
      </c>
      <c r="CX40" s="249">
        <f t="shared" si="2"/>
        <v>0</v>
      </c>
      <c r="CY40" s="170">
        <f t="shared" si="3"/>
        <v>0</v>
      </c>
    </row>
    <row r="41" spans="1:103">
      <c r="A41" s="510" t="s">
        <v>382</v>
      </c>
      <c r="B41" s="372" t="str">
        <f>IFERROR(VLOOKUP(ParticipationJanvier1[[#This Row],[Référence]],ListeÉtudiants1[],18,FALSE),"")</f>
        <v>CEBIN AMANDINE</v>
      </c>
      <c r="C41" s="19"/>
      <c r="D41" s="19"/>
      <c r="E41" s="19"/>
      <c r="F41" s="19"/>
      <c r="G41" s="287"/>
      <c r="H41" s="19"/>
      <c r="I41" s="287"/>
      <c r="J41" s="19"/>
      <c r="K41" s="287"/>
      <c r="L41" s="19"/>
      <c r="M41" s="287"/>
      <c r="N41" s="19"/>
      <c r="O41" s="19"/>
      <c r="P41" s="19"/>
      <c r="Q41" s="19" t="s">
        <v>529</v>
      </c>
      <c r="R41" s="19"/>
      <c r="S41" s="19"/>
      <c r="T41" s="19"/>
      <c r="U41" s="287"/>
      <c r="W41" s="287"/>
      <c r="X41" s="19"/>
      <c r="Y41" s="287"/>
      <c r="Z41" s="19"/>
      <c r="AA41" s="287"/>
      <c r="AB41" s="19"/>
      <c r="AC41" s="287"/>
      <c r="AD41" s="19"/>
      <c r="AE41" s="287"/>
      <c r="AF41" s="19"/>
      <c r="AG41" s="296"/>
      <c r="AH41" s="6">
        <f>COUNTIF(ParticipationJanvier1[[#This Row],[1]:[31]],Code1)</f>
        <v>0</v>
      </c>
      <c r="AI41" s="6">
        <f>COUNTIF(ParticipationJanvier1[[#This Row],[1]:[31]],code22)</f>
        <v>0</v>
      </c>
      <c r="AJ41" s="6">
        <f>COUNTIF(ParticipationJanvier1[[#This Row],[1]:[31]],Code2)</f>
        <v>0</v>
      </c>
      <c r="AK41" s="6">
        <f>COUNTIF(ParticipationJanvier1[[#This Row],[1]:[31]],Code3)</f>
        <v>0</v>
      </c>
      <c r="AL41" s="6">
        <f>COUNTIF(ParticipationJanvier1[[#This Row],[1]:[31]],Code4)</f>
        <v>0</v>
      </c>
      <c r="AM41" s="6">
        <f>COUNTIF(ParticipationJanvier1[[#This Row],[1]:[31]],Code5)</f>
        <v>0</v>
      </c>
      <c r="AN41" s="6">
        <f>COUNTIF(ParticipationJanvier1[[#This Row],[1]:[31]],Code23)</f>
        <v>1</v>
      </c>
      <c r="AO41" s="6">
        <f>COUNTIF(ParticipationJanvier1[[#This Row],[1]:[31]],Code6)</f>
        <v>0</v>
      </c>
      <c r="AP41" s="6">
        <f>COUNTIF(ParticipationJanvier1[[#This Row],[1]:[31]],Code7)</f>
        <v>0</v>
      </c>
      <c r="AQ41" s="6">
        <f>COUNTIF(ParticipationJanvier1[[#This Row],[1]:[31]],Code8)</f>
        <v>0</v>
      </c>
      <c r="AR41" s="6">
        <f>COUNTIF(ParticipationJanvier1[[#This Row],[1]:[31]],Code9)</f>
        <v>0</v>
      </c>
      <c r="AS41" s="6">
        <f>COUNTIF(ParticipationJanvier1[[#This Row],[1]:[31]],Code10)</f>
        <v>0</v>
      </c>
      <c r="AT41" s="6">
        <f>COUNTIF(ParticipationJanvier1[[#This Row],[1]:[31]],Code11)</f>
        <v>0</v>
      </c>
      <c r="AU41" s="6">
        <f>COUNTIF(ParticipationJanvier1[[#This Row],[1]:[31]],Code12)</f>
        <v>0</v>
      </c>
      <c r="AV41" s="6">
        <f>COUNTIF(ParticipationJanvier1[[#This Row],[1]:[31]],Code13)</f>
        <v>0</v>
      </c>
      <c r="AW41" s="6">
        <f>COUNTIF(ParticipationJanvier1[[#This Row],[1]:[31]],Code14)</f>
        <v>0</v>
      </c>
      <c r="AX41" s="6">
        <f>COUNTIF(ParticipationJanvier1[[#This Row],[1]:[31]],Code15)</f>
        <v>0</v>
      </c>
      <c r="AY41" s="6">
        <f>COUNTIF(ParticipationJanvier1[[#This Row],[1]:[31]],Code16)</f>
        <v>0</v>
      </c>
      <c r="AZ41" s="6">
        <f>COUNTIF(ParticipationJanvier1[[#This Row],[1]:[31]],Code17)</f>
        <v>0</v>
      </c>
      <c r="BA41" s="6">
        <f>COUNTIF(ParticipationJanvier1[[#This Row],[1]:[31]],Code25)</f>
        <v>0</v>
      </c>
      <c r="BB41" s="6">
        <f>COUNTIF(ParticipationJanvier1[[#This Row],[1]:[31]],Code26)</f>
        <v>0</v>
      </c>
      <c r="BC41" s="6">
        <f>COUNTIF(ParticipationJanvier1[[#This Row],[1]:[31]],Code27)</f>
        <v>0</v>
      </c>
      <c r="BD41" s="6">
        <f>COUNTIF(ParticipationJanvier1[[#This Row],[1]:[31]],Code28)</f>
        <v>0</v>
      </c>
      <c r="BE41" s="6">
        <f>COUNTIF(ParticipationJanvier1[[#This Row],[1]:[31]],code30)</f>
        <v>0</v>
      </c>
      <c r="BF41" s="6">
        <f>COUNTIF(ParticipationJanvier1[[#This Row],[1]:[31]],Code31)</f>
        <v>0</v>
      </c>
      <c r="BG41" s="6">
        <f>COUNTIF(ParticipationJanvier1[[#This Row],[1]:[31]],code21)</f>
        <v>0</v>
      </c>
      <c r="BH41" s="6">
        <f>COUNTIF(ParticipationJanvier1[[#This Row],[1]:[31]],Code24)</f>
        <v>0</v>
      </c>
      <c r="BI41" s="6">
        <f>COUNTIF(ParticipationJanvier1[[#This Row],[1]:[31]],code18)</f>
        <v>0</v>
      </c>
      <c r="BJ41" s="6">
        <f>COUNTIF(ParticipationJanvier1[[#This Row],[1]:[31]],code19)</f>
        <v>0</v>
      </c>
      <c r="BK41" s="6">
        <f>COUNTIF(ParticipationJanvier1[[#This Row],[1]:[31]],code20)</f>
        <v>0</v>
      </c>
      <c r="BL41" s="182">
        <f>COUNTIF(ParticipationJanvier1[[#This Row],[1]:[31]],code29)</f>
        <v>0</v>
      </c>
      <c r="BM41" s="297"/>
      <c r="BN41" s="297"/>
      <c r="BO41" s="297"/>
      <c r="BP41" s="297"/>
      <c r="BQ41" s="297"/>
      <c r="BR41" s="297"/>
      <c r="BS41" s="297"/>
      <c r="BT41" s="297"/>
      <c r="BU41" s="297"/>
      <c r="BV41" s="297"/>
      <c r="BW41" s="297"/>
      <c r="BX41" s="297"/>
      <c r="BY41" s="297"/>
      <c r="BZ41" s="297"/>
      <c r="CA41" s="297"/>
      <c r="CB41" s="297"/>
      <c r="CC41" s="297"/>
      <c r="CD41" s="297"/>
      <c r="CE41" s="297"/>
      <c r="CF41" s="297"/>
      <c r="CG41" s="297"/>
      <c r="CH41" s="297"/>
      <c r="CI41" s="297"/>
      <c r="CJ41" s="297"/>
      <c r="CK41" s="297"/>
      <c r="CL41" s="297"/>
      <c r="CM41" s="297"/>
      <c r="CN41" s="297"/>
      <c r="CO41" s="297"/>
      <c r="CP41" s="297"/>
      <c r="CQ41" s="297"/>
      <c r="CR41" s="297"/>
      <c r="CS41" s="297"/>
      <c r="CT41" s="297"/>
      <c r="CU41" s="300"/>
      <c r="CV41" s="165">
        <f t="shared" si="0"/>
        <v>0</v>
      </c>
      <c r="CW41" s="165">
        <f t="shared" si="1"/>
        <v>1</v>
      </c>
      <c r="CX41" s="249">
        <f t="shared" si="2"/>
        <v>0</v>
      </c>
      <c r="CY41" s="170">
        <f t="shared" si="3"/>
        <v>0</v>
      </c>
    </row>
    <row r="42" spans="1:103">
      <c r="A42" s="534" t="s">
        <v>383</v>
      </c>
      <c r="B42" s="372" t="str">
        <f>IFERROR(VLOOKUP(ParticipationJanvier1[[#This Row],[Référence]],ListeÉtudiants1[],18,FALSE),"")</f>
        <v>CHARPAGNE MORGANE</v>
      </c>
      <c r="C42" s="19"/>
      <c r="D42" s="19"/>
      <c r="E42" s="19"/>
      <c r="F42" s="19"/>
      <c r="G42" s="518"/>
      <c r="H42" s="19"/>
      <c r="I42" s="518"/>
      <c r="J42" s="19"/>
      <c r="K42" s="518"/>
      <c r="L42" s="19"/>
      <c r="M42" s="518"/>
      <c r="N42" s="19"/>
      <c r="O42" s="518"/>
      <c r="P42" s="19"/>
      <c r="Q42" s="518"/>
      <c r="R42" s="19"/>
      <c r="S42" s="518"/>
      <c r="T42" s="19"/>
      <c r="U42" s="518"/>
      <c r="W42" s="518"/>
      <c r="X42" s="19"/>
      <c r="Y42" s="518"/>
      <c r="Z42" s="19"/>
      <c r="AA42" s="518"/>
      <c r="AB42" s="19"/>
      <c r="AC42" s="518"/>
      <c r="AD42" s="19"/>
      <c r="AE42" s="518"/>
      <c r="AF42" s="19"/>
      <c r="AG42" s="519"/>
      <c r="AH42" s="475">
        <f>COUNTIF(ParticipationJanvier1[[#This Row],[1]:[31]],Code1)</f>
        <v>0</v>
      </c>
      <c r="AI42" s="518">
        <f>COUNTIF(ParticipationJanvier1[[#This Row],[1]:[31]],code22)</f>
        <v>0</v>
      </c>
      <c r="AJ42" s="473">
        <f>COUNTIF(ParticipationJanvier1[[#This Row],[1]:[31]],Code2)</f>
        <v>0</v>
      </c>
      <c r="AK42" s="520">
        <f>COUNTIF(ParticipationJanvier1[[#This Row],[1]:[31]],Code3)</f>
        <v>0</v>
      </c>
      <c r="AL42" s="473">
        <f>COUNTIF(ParticipationJanvier1[[#This Row],[1]:[31]],Code4)</f>
        <v>0</v>
      </c>
      <c r="AM42" s="520">
        <f>COUNTIF(ParticipationJanvier1[[#This Row],[1]:[31]],Code5)</f>
        <v>0</v>
      </c>
      <c r="AN42" s="30">
        <f>COUNTIF(ParticipationJanvier1[[#This Row],[1]:[31]],Code23)</f>
        <v>0</v>
      </c>
      <c r="AO42" s="473">
        <f>COUNTIF(ParticipationJanvier1[[#This Row],[1]:[31]],Code6)</f>
        <v>0</v>
      </c>
      <c r="AP42" s="30">
        <f>COUNTIF(ParticipationJanvier1[[#This Row],[1]:[31]],Code7)</f>
        <v>0</v>
      </c>
      <c r="AQ42" s="30">
        <f>COUNTIF(ParticipationJanvier1[[#This Row],[1]:[31]],Code8)</f>
        <v>0</v>
      </c>
      <c r="AR42" s="30">
        <f>COUNTIF(ParticipationJanvier1[[#This Row],[1]:[31]],Code9)</f>
        <v>0</v>
      </c>
      <c r="AS42" s="473">
        <f>COUNTIF(ParticipationJanvier1[[#This Row],[1]:[31]],Code10)</f>
        <v>0</v>
      </c>
      <c r="AT42" s="473">
        <f>COUNTIF(ParticipationJanvier1[[#This Row],[1]:[31]],Code11)</f>
        <v>0</v>
      </c>
      <c r="AU42" s="473">
        <f>COUNTIF(ParticipationJanvier1[[#This Row],[1]:[31]],Code12)</f>
        <v>0</v>
      </c>
      <c r="AV42" s="473">
        <f>COUNTIF(ParticipationJanvier1[[#This Row],[1]:[31]],Code13)</f>
        <v>0</v>
      </c>
      <c r="AW42" s="473">
        <f>COUNTIF(ParticipationJanvier1[[#This Row],[1]:[31]],Code14)</f>
        <v>0</v>
      </c>
      <c r="AX42" s="473">
        <f>COUNTIF(ParticipationJanvier1[[#This Row],[1]:[31]],Code15)</f>
        <v>0</v>
      </c>
      <c r="AY42" s="473">
        <f>COUNTIF(ParticipationJanvier1[[#This Row],[1]:[31]],Code16)</f>
        <v>0</v>
      </c>
      <c r="AZ42" s="473">
        <f>COUNTIF(ParticipationJanvier1[[#This Row],[1]:[31]],Code17)</f>
        <v>0</v>
      </c>
      <c r="BA42" s="475">
        <f>COUNTIF(ParticipationJanvier1[[#This Row],[1]:[31]],Code25)</f>
        <v>0</v>
      </c>
      <c r="BB42" s="475">
        <f>COUNTIF(ParticipationJanvier1[[#This Row],[1]:[31]],Code26)</f>
        <v>0</v>
      </c>
      <c r="BC42" s="475">
        <f>COUNTIF(ParticipationJanvier1[[#This Row],[1]:[31]],Code27)</f>
        <v>0</v>
      </c>
      <c r="BD42" s="475">
        <f>COUNTIF(ParticipationJanvier1[[#This Row],[1]:[31]],Code28)</f>
        <v>0</v>
      </c>
      <c r="BE42" s="475">
        <f>COUNTIF(ParticipationJanvier1[[#This Row],[1]:[31]],code30)</f>
        <v>0</v>
      </c>
      <c r="BF42" s="475">
        <f>COUNTIF(ParticipationJanvier1[[#This Row],[1]:[31]],Code31)</f>
        <v>0</v>
      </c>
      <c r="BG42" s="473">
        <f>COUNTIF(ParticipationJanvier1[[#This Row],[1]:[31]],code21)</f>
        <v>0</v>
      </c>
      <c r="BH42" s="473">
        <f>COUNTIF(ParticipationJanvier1[[#This Row],[1]:[31]],Code24)</f>
        <v>0</v>
      </c>
      <c r="BI42" s="473">
        <f>COUNTIF(ParticipationJanvier1[[#This Row],[1]:[31]],code18)</f>
        <v>0</v>
      </c>
      <c r="BJ42" s="473">
        <f>COUNTIF(ParticipationJanvier1[[#This Row],[1]:[31]],code19)</f>
        <v>0</v>
      </c>
      <c r="BK42" s="473">
        <f>COUNTIF(ParticipationJanvier1[[#This Row],[1]:[31]],code20)</f>
        <v>0</v>
      </c>
      <c r="BL42" s="476">
        <f>COUNTIF(ParticipationJanvier1[[#This Row],[1]:[31]],code29)</f>
        <v>0</v>
      </c>
      <c r="BM42" s="472">
        <f>SUM((AH42*1)+(AI47*1.5)+(AJ42*2)+(AK42*3)+(AL42*4)+(AQ42*5)+(AR42*6)+(AS42*7)+(AW42*2)+(AX42*3)+(AY42*4)+(AZ42*5)+(BG42*2))</f>
        <v>0</v>
      </c>
      <c r="BN42" s="472"/>
      <c r="BO42" s="472"/>
      <c r="BP42" s="472"/>
      <c r="BQ42" s="472"/>
      <c r="BR42" s="473"/>
      <c r="BS42" s="473"/>
      <c r="BT42" s="472"/>
      <c r="BU42" s="472"/>
      <c r="BV42" s="472"/>
      <c r="BW42" s="472"/>
      <c r="BX42" s="472"/>
      <c r="BY42" s="472"/>
      <c r="BZ42" s="472"/>
      <c r="CA42" s="472"/>
      <c r="CB42" s="472"/>
      <c r="CC42" s="472"/>
      <c r="CD42" s="472"/>
      <c r="CE42" s="472"/>
      <c r="CF42" s="472"/>
      <c r="CG42" s="472"/>
      <c r="CH42" s="472"/>
      <c r="CI42" s="472"/>
      <c r="CJ42" s="472"/>
      <c r="CK42" s="472"/>
      <c r="CL42" s="472"/>
      <c r="CM42" s="472"/>
      <c r="CN42" s="472"/>
      <c r="CO42" s="472"/>
      <c r="CP42" s="472"/>
      <c r="CQ42" s="472"/>
      <c r="CR42" s="472"/>
      <c r="CS42" s="472"/>
      <c r="CT42" s="472"/>
      <c r="CU42" s="516">
        <f>SUM((AN42*1)+(AM42*2)+(AO42*3)+(AP42*4)+(AT42*5)+(AU42*7)+(AV42*7)+(AW42*7)+(AX42*4)+(AY42*3)+(BA42*2)+(BC42*4)+(BB42*1)+(BG42*2)+(AZ42*5)+(BD42*1))</f>
        <v>0</v>
      </c>
      <c r="CV42" s="521">
        <f>SUM((AH42*1)+(AI42*1.5)+(AJ42*2)+(AK42*3)+(AP42*5)+(AQ42*6)+(AR42*7)+(AU42*2)+(AX42*3)+(AY42*4)+(BA42*5)+(BB42*3)+(BC42*2)+(BG42*2)+(AZ42*2)+(BD42*2))</f>
        <v>0</v>
      </c>
      <c r="CW42" s="522">
        <f>SUM((AN42*1)+(AM42*2)+(AO42*3)+(AP42*4)+(AT42*5)+(AU42*7)+(AV42*7)+(AW42*7)+(AX42*4)+(AY42*3)+(BA42*2)+(BC42*4)+(BB42*1)+(BG42*2)+(AZ42*5)+(BD42*1))</f>
        <v>0</v>
      </c>
      <c r="CX42" s="523">
        <f>BH42*1</f>
        <v>0</v>
      </c>
      <c r="CY42" s="512"/>
    </row>
    <row r="43" spans="1:103">
      <c r="A43" s="534" t="s">
        <v>384</v>
      </c>
      <c r="B43" s="372" t="str">
        <f>IFERROR(VLOOKUP(ParticipationJanvier1[[#This Row],[Référence]],ListeÉtudiants1[],18,FALSE),"")</f>
        <v>CIRACI AYLA</v>
      </c>
      <c r="C43" s="19"/>
      <c r="D43" s="19"/>
      <c r="E43" s="19"/>
      <c r="F43" s="19"/>
      <c r="G43" s="287"/>
      <c r="H43" s="19"/>
      <c r="I43" s="287"/>
      <c r="J43" s="19"/>
      <c r="K43" s="287"/>
      <c r="L43" s="19"/>
      <c r="M43" s="287"/>
      <c r="N43" s="19"/>
      <c r="O43" s="19"/>
      <c r="P43" s="19"/>
      <c r="Q43" s="19"/>
      <c r="R43" s="19" t="s">
        <v>106</v>
      </c>
      <c r="S43" s="19" t="s">
        <v>107</v>
      </c>
      <c r="T43" s="19"/>
      <c r="U43" s="287"/>
      <c r="W43" s="287"/>
      <c r="X43" s="19"/>
      <c r="Y43" s="287"/>
      <c r="Z43" s="19"/>
      <c r="AA43" s="287"/>
      <c r="AB43" s="19"/>
      <c r="AC43" s="287"/>
      <c r="AD43" s="19"/>
      <c r="AE43" s="287"/>
      <c r="AF43" s="19"/>
      <c r="AG43" s="295"/>
      <c r="AH43" s="6">
        <f>COUNTIF(ParticipationJanvier1[[#This Row],[1]:[31]],Code1)</f>
        <v>0</v>
      </c>
      <c r="AI43" s="6">
        <f>COUNTIF(ParticipationJanvier1[[#This Row],[1]:[31]],code22)</f>
        <v>0</v>
      </c>
      <c r="AJ43" s="6">
        <f>COUNTIF(ParticipationJanvier1[[#This Row],[1]:[31]],Code2)</f>
        <v>0</v>
      </c>
      <c r="AK43" s="6">
        <f>COUNTIF(ParticipationJanvier1[[#This Row],[1]:[31]],Code3)</f>
        <v>1</v>
      </c>
      <c r="AL43" s="6">
        <f>COUNTIF(ParticipationJanvier1[[#This Row],[1]:[31]],Code4)</f>
        <v>1</v>
      </c>
      <c r="AM43" s="6">
        <f>COUNTIF(ParticipationJanvier1[[#This Row],[1]:[31]],Code5)</f>
        <v>0</v>
      </c>
      <c r="AN43" s="6">
        <f>COUNTIF(ParticipationJanvier1[[#This Row],[1]:[31]],Code23)</f>
        <v>0</v>
      </c>
      <c r="AO43" s="6">
        <f>COUNTIF(ParticipationJanvier1[[#This Row],[1]:[31]],Code6)</f>
        <v>0</v>
      </c>
      <c r="AP43" s="6">
        <f>COUNTIF(ParticipationJanvier1[[#This Row],[1]:[31]],Code7)</f>
        <v>0</v>
      </c>
      <c r="AQ43" s="6">
        <f>COUNTIF(ParticipationJanvier1[[#This Row],[1]:[31]],Code8)</f>
        <v>0</v>
      </c>
      <c r="AR43" s="6">
        <f>COUNTIF(ParticipationJanvier1[[#This Row],[1]:[31]],Code9)</f>
        <v>0</v>
      </c>
      <c r="AS43" s="6">
        <f>COUNTIF(ParticipationJanvier1[[#This Row],[1]:[31]],Code10)</f>
        <v>0</v>
      </c>
      <c r="AT43" s="6">
        <f>COUNTIF(ParticipationJanvier1[[#This Row],[1]:[31]],Code11)</f>
        <v>0</v>
      </c>
      <c r="AU43" s="6">
        <f>COUNTIF(ParticipationJanvier1[[#This Row],[1]:[31]],Code12)</f>
        <v>0</v>
      </c>
      <c r="AV43" s="6">
        <f>COUNTIF(ParticipationJanvier1[[#This Row],[1]:[31]],Code13)</f>
        <v>0</v>
      </c>
      <c r="AW43" s="6">
        <f>COUNTIF(ParticipationJanvier1[[#This Row],[1]:[31]],Code14)</f>
        <v>0</v>
      </c>
      <c r="AX43" s="6">
        <f>COUNTIF(ParticipationJanvier1[[#This Row],[1]:[31]],Code15)</f>
        <v>0</v>
      </c>
      <c r="AY43" s="6">
        <f>COUNTIF(ParticipationJanvier1[[#This Row],[1]:[31]],Code16)</f>
        <v>0</v>
      </c>
      <c r="AZ43" s="6">
        <f>COUNTIF(ParticipationJanvier1[[#This Row],[1]:[31]],Code17)</f>
        <v>0</v>
      </c>
      <c r="BA43" s="6">
        <f>COUNTIF(ParticipationJanvier1[[#This Row],[1]:[31]],Code25)</f>
        <v>0</v>
      </c>
      <c r="BB43" s="6">
        <f>COUNTIF(ParticipationJanvier1[[#This Row],[1]:[31]],Code26)</f>
        <v>0</v>
      </c>
      <c r="BC43" s="6">
        <f>COUNTIF(ParticipationJanvier1[[#This Row],[1]:[31]],Code27)</f>
        <v>0</v>
      </c>
      <c r="BD43" s="6">
        <f>COUNTIF(ParticipationJanvier1[[#This Row],[1]:[31]],Code28)</f>
        <v>0</v>
      </c>
      <c r="BE43" s="6">
        <f>COUNTIF(ParticipationJanvier1[[#This Row],[1]:[31]],code30)</f>
        <v>0</v>
      </c>
      <c r="BF43" s="6">
        <f>COUNTIF(ParticipationJanvier1[[#This Row],[1]:[31]],Code31)</f>
        <v>0</v>
      </c>
      <c r="BG43" s="6">
        <f>COUNTIF(ParticipationJanvier1[[#This Row],[1]:[31]],code21)</f>
        <v>0</v>
      </c>
      <c r="BH43" s="6">
        <f>COUNTIF(ParticipationJanvier1[[#This Row],[1]:[31]],Code24)</f>
        <v>0</v>
      </c>
      <c r="BI43" s="6">
        <f>COUNTIF(ParticipationJanvier1[[#This Row],[1]:[31]],code18)</f>
        <v>0</v>
      </c>
      <c r="BJ43" s="6">
        <f>COUNTIF(ParticipationJanvier1[[#This Row],[1]:[31]],code19)</f>
        <v>0</v>
      </c>
      <c r="BK43" s="6">
        <f>COUNTIF(ParticipationJanvier1[[#This Row],[1]:[31]],code20)</f>
        <v>0</v>
      </c>
      <c r="BL43" s="182">
        <f>COUNTIF(ParticipationJanvier1[[#This Row],[1]:[31]],code29)</f>
        <v>0</v>
      </c>
      <c r="BM43" s="297">
        <v>2</v>
      </c>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c r="CO43" s="297"/>
      <c r="CP43" s="297"/>
      <c r="CQ43" s="297"/>
      <c r="CR43" s="297"/>
      <c r="CS43" s="297"/>
      <c r="CT43" s="297"/>
      <c r="CU43" s="300"/>
      <c r="CV43" s="165">
        <f t="shared" si="0"/>
        <v>3</v>
      </c>
      <c r="CW43" s="165">
        <f t="shared" si="1"/>
        <v>0</v>
      </c>
      <c r="CX43" s="249">
        <f t="shared" si="2"/>
        <v>0</v>
      </c>
      <c r="CY43" s="170">
        <f t="shared" si="3"/>
        <v>0</v>
      </c>
    </row>
    <row r="44" spans="1:103">
      <c r="A44" s="510" t="s">
        <v>385</v>
      </c>
      <c r="B44" s="372" t="str">
        <f>IFERROR(VLOOKUP(ParticipationJanvier1[[#This Row],[Référence]],ListeÉtudiants1[],18,FALSE),"")</f>
        <v>CLARY VERONIQUE</v>
      </c>
      <c r="C44" s="19"/>
      <c r="D44" s="19"/>
      <c r="E44" s="19"/>
      <c r="F44" s="19"/>
      <c r="G44" s="287"/>
      <c r="H44" s="19"/>
      <c r="I44" s="287"/>
      <c r="J44" s="19"/>
      <c r="K44" s="287"/>
      <c r="L44" s="19"/>
      <c r="M44" s="287"/>
      <c r="N44" s="19" t="s">
        <v>507</v>
      </c>
      <c r="O44" s="19"/>
      <c r="P44" s="19"/>
      <c r="Q44" s="19" t="s">
        <v>529</v>
      </c>
      <c r="R44" s="19"/>
      <c r="S44" s="19"/>
      <c r="T44" s="19"/>
      <c r="U44" s="287"/>
      <c r="W44" s="287"/>
      <c r="X44" s="19"/>
      <c r="Y44" s="287"/>
      <c r="Z44" s="19"/>
      <c r="AA44" s="287"/>
      <c r="AB44" s="19"/>
      <c r="AC44" s="287"/>
      <c r="AD44" s="19"/>
      <c r="AE44" s="287"/>
      <c r="AF44" s="19"/>
      <c r="AG44" s="295"/>
      <c r="AH44" s="6">
        <f>COUNTIF(ParticipationJanvier1[[#This Row],[1]:[31]],Code1)</f>
        <v>0</v>
      </c>
      <c r="AI44" s="6">
        <f>COUNTIF(ParticipationJanvier1[[#This Row],[1]:[31]],code22)</f>
        <v>0</v>
      </c>
      <c r="AJ44" s="6">
        <f>COUNTIF(ParticipationJanvier1[[#This Row],[1]:[31]],Code2)</f>
        <v>0</v>
      </c>
      <c r="AK44" s="6">
        <f>COUNTIF(ParticipationJanvier1[[#This Row],[1]:[31]],Code3)</f>
        <v>0</v>
      </c>
      <c r="AL44" s="6">
        <f>COUNTIF(ParticipationJanvier1[[#This Row],[1]:[31]],Code4)</f>
        <v>0</v>
      </c>
      <c r="AM44" s="6">
        <f>COUNTIF(ParticipationJanvier1[[#This Row],[1]:[31]],Code5)</f>
        <v>0</v>
      </c>
      <c r="AN44" s="6">
        <f>COUNTIF(ParticipationJanvier1[[#This Row],[1]:[31]],Code23)</f>
        <v>1</v>
      </c>
      <c r="AO44" s="6">
        <f>COUNTIF(ParticipationJanvier1[[#This Row],[1]:[31]],Code6)</f>
        <v>0</v>
      </c>
      <c r="AP44" s="6">
        <f>COUNTIF(ParticipationJanvier1[[#This Row],[1]:[31]],Code7)</f>
        <v>0</v>
      </c>
      <c r="AQ44" s="6">
        <f>COUNTIF(ParticipationJanvier1[[#This Row],[1]:[31]],Code8)</f>
        <v>0</v>
      </c>
      <c r="AR44" s="6">
        <f>COUNTIF(ParticipationJanvier1[[#This Row],[1]:[31]],Code9)</f>
        <v>0</v>
      </c>
      <c r="AS44" s="6">
        <f>COUNTIF(ParticipationJanvier1[[#This Row],[1]:[31]],Code10)</f>
        <v>0</v>
      </c>
      <c r="AT44" s="6">
        <f>COUNTIF(ParticipationJanvier1[[#This Row],[1]:[31]],Code11)</f>
        <v>0</v>
      </c>
      <c r="AU44" s="6">
        <f>COUNTIF(ParticipationJanvier1[[#This Row],[1]:[31]],Code12)</f>
        <v>0</v>
      </c>
      <c r="AV44" s="6">
        <f>COUNTIF(ParticipationJanvier1[[#This Row],[1]:[31]],Code13)</f>
        <v>0</v>
      </c>
      <c r="AW44" s="6">
        <f>COUNTIF(ParticipationJanvier1[[#This Row],[1]:[31]],Code14)</f>
        <v>0</v>
      </c>
      <c r="AX44" s="6">
        <f>COUNTIF(ParticipationJanvier1[[#This Row],[1]:[31]],Code15)</f>
        <v>0</v>
      </c>
      <c r="AY44" s="6">
        <f>COUNTIF(ParticipationJanvier1[[#This Row],[1]:[31]],Code16)</f>
        <v>0</v>
      </c>
      <c r="AZ44" s="6">
        <f>COUNTIF(ParticipationJanvier1[[#This Row],[1]:[31]],Code17)</f>
        <v>0</v>
      </c>
      <c r="BA44" s="6">
        <f>COUNTIF(ParticipationJanvier1[[#This Row],[1]:[31]],Code25)</f>
        <v>0</v>
      </c>
      <c r="BB44" s="6">
        <f>COUNTIF(ParticipationJanvier1[[#This Row],[1]:[31]],Code26)</f>
        <v>0</v>
      </c>
      <c r="BC44" s="6">
        <f>COUNTIF(ParticipationJanvier1[[#This Row],[1]:[31]],Code27)</f>
        <v>0</v>
      </c>
      <c r="BD44" s="6">
        <f>COUNTIF(ParticipationJanvier1[[#This Row],[1]:[31]],Code28)</f>
        <v>0</v>
      </c>
      <c r="BE44" s="6">
        <f>COUNTIF(ParticipationJanvier1[[#This Row],[1]:[31]],code30)</f>
        <v>0</v>
      </c>
      <c r="BF44" s="6">
        <f>COUNTIF(ParticipationJanvier1[[#This Row],[1]:[31]],Code31)</f>
        <v>0</v>
      </c>
      <c r="BG44" s="6">
        <f>COUNTIF(ParticipationJanvier1[[#This Row],[1]:[31]],code21)</f>
        <v>1</v>
      </c>
      <c r="BH44" s="6">
        <f>COUNTIF(ParticipationJanvier1[[#This Row],[1]:[31]],Code24)</f>
        <v>0</v>
      </c>
      <c r="BI44" s="6">
        <f>COUNTIF(ParticipationJanvier1[[#This Row],[1]:[31]],code18)</f>
        <v>0</v>
      </c>
      <c r="BJ44" s="6">
        <f>COUNTIF(ParticipationJanvier1[[#This Row],[1]:[31]],code19)</f>
        <v>0</v>
      </c>
      <c r="BK44" s="6">
        <f>COUNTIF(ParticipationJanvier1[[#This Row],[1]:[31]],code20)</f>
        <v>0</v>
      </c>
      <c r="BL44" s="182">
        <f>COUNTIF(ParticipationJanvier1[[#This Row],[1]:[31]],code29)</f>
        <v>0</v>
      </c>
      <c r="BM44" s="297"/>
      <c r="BN44" s="297"/>
      <c r="BO44" s="297"/>
      <c r="BP44" s="297"/>
      <c r="BQ44" s="297"/>
      <c r="BR44" s="297"/>
      <c r="BS44" s="297"/>
      <c r="BT44" s="297"/>
      <c r="BU44" s="297"/>
      <c r="BV44" s="297"/>
      <c r="BW44" s="297"/>
      <c r="BX44" s="297"/>
      <c r="BY44" s="297"/>
      <c r="BZ44" s="297"/>
      <c r="CA44" s="297"/>
      <c r="CB44" s="297"/>
      <c r="CC44" s="297"/>
      <c r="CD44" s="297"/>
      <c r="CE44" s="297"/>
      <c r="CF44" s="297"/>
      <c r="CG44" s="297">
        <v>1</v>
      </c>
      <c r="CH44" s="297"/>
      <c r="CI44" s="297"/>
      <c r="CJ44" s="297"/>
      <c r="CK44" s="297"/>
      <c r="CL44" s="297"/>
      <c r="CM44" s="297"/>
      <c r="CN44" s="297"/>
      <c r="CO44" s="297"/>
      <c r="CP44" s="297"/>
      <c r="CQ44" s="297"/>
      <c r="CR44" s="297"/>
      <c r="CS44" s="297"/>
      <c r="CT44" s="297"/>
      <c r="CU44" s="300"/>
      <c r="CV44" s="165">
        <f t="shared" si="0"/>
        <v>2</v>
      </c>
      <c r="CW44" s="165">
        <f t="shared" si="1"/>
        <v>3</v>
      </c>
      <c r="CX44" s="249">
        <f t="shared" si="2"/>
        <v>0</v>
      </c>
      <c r="CY44" s="170">
        <f t="shared" si="3"/>
        <v>0</v>
      </c>
    </row>
    <row r="45" spans="1:103">
      <c r="A45" s="534" t="s">
        <v>386</v>
      </c>
      <c r="B45" s="372" t="str">
        <f>IFERROR(VLOOKUP(ParticipationJanvier1[[#This Row],[Référence]],ListeÉtudiants1[],18,FALSE),"")</f>
        <v>CLAUDIN LAURENE</v>
      </c>
      <c r="C45" s="19"/>
      <c r="D45" s="19"/>
      <c r="E45" s="19"/>
      <c r="F45" s="19"/>
      <c r="G45" s="287"/>
      <c r="H45" s="19"/>
      <c r="I45" s="287"/>
      <c r="J45" s="19"/>
      <c r="K45" s="287"/>
      <c r="L45" s="19"/>
      <c r="M45" s="287"/>
      <c r="N45" s="19"/>
      <c r="O45" s="19"/>
      <c r="P45" s="19"/>
      <c r="Q45" s="19"/>
      <c r="R45" s="19"/>
      <c r="S45" s="19" t="s">
        <v>107</v>
      </c>
      <c r="T45" s="19"/>
      <c r="U45" s="287"/>
      <c r="W45" s="287"/>
      <c r="X45" s="19"/>
      <c r="Y45" s="287"/>
      <c r="Z45" s="19"/>
      <c r="AA45" s="287"/>
      <c r="AB45" s="19"/>
      <c r="AC45" s="287"/>
      <c r="AD45" s="19"/>
      <c r="AE45" s="287"/>
      <c r="AF45" s="19"/>
      <c r="AG45" s="295"/>
      <c r="AH45" s="6">
        <f>COUNTIF(ParticipationJanvier1[[#This Row],[1]:[31]],Code1)</f>
        <v>0</v>
      </c>
      <c r="AI45" s="6">
        <f>COUNTIF(ParticipationJanvier1[[#This Row],[1]:[31]],code22)</f>
        <v>0</v>
      </c>
      <c r="AJ45" s="6">
        <f>COUNTIF(ParticipationJanvier1[[#This Row],[1]:[31]],Code2)</f>
        <v>0</v>
      </c>
      <c r="AK45" s="6">
        <f>COUNTIF(ParticipationJanvier1[[#This Row],[1]:[31]],Code3)</f>
        <v>0</v>
      </c>
      <c r="AL45" s="6">
        <f>COUNTIF(ParticipationJanvier1[[#This Row],[1]:[31]],Code4)</f>
        <v>1</v>
      </c>
      <c r="AM45" s="6">
        <f>COUNTIF(ParticipationJanvier1[[#This Row],[1]:[31]],Code5)</f>
        <v>0</v>
      </c>
      <c r="AN45" s="6">
        <f>COUNTIF(ParticipationJanvier1[[#This Row],[1]:[31]],Code23)</f>
        <v>0</v>
      </c>
      <c r="AO45" s="6">
        <f>COUNTIF(ParticipationJanvier1[[#This Row],[1]:[31]],Code6)</f>
        <v>0</v>
      </c>
      <c r="AP45" s="6">
        <f>COUNTIF(ParticipationJanvier1[[#This Row],[1]:[31]],Code7)</f>
        <v>0</v>
      </c>
      <c r="AQ45" s="6">
        <f>COUNTIF(ParticipationJanvier1[[#This Row],[1]:[31]],Code8)</f>
        <v>0</v>
      </c>
      <c r="AR45" s="6">
        <f>COUNTIF(ParticipationJanvier1[[#This Row],[1]:[31]],Code9)</f>
        <v>0</v>
      </c>
      <c r="AS45" s="6">
        <f>COUNTIF(ParticipationJanvier1[[#This Row],[1]:[31]],Code10)</f>
        <v>0</v>
      </c>
      <c r="AT45" s="6">
        <f>COUNTIF(ParticipationJanvier1[[#This Row],[1]:[31]],Code11)</f>
        <v>0</v>
      </c>
      <c r="AU45" s="6">
        <f>COUNTIF(ParticipationJanvier1[[#This Row],[1]:[31]],Code12)</f>
        <v>0</v>
      </c>
      <c r="AV45" s="6">
        <f>COUNTIF(ParticipationJanvier1[[#This Row],[1]:[31]],Code13)</f>
        <v>0</v>
      </c>
      <c r="AW45" s="6">
        <f>COUNTIF(ParticipationJanvier1[[#This Row],[1]:[31]],Code14)</f>
        <v>0</v>
      </c>
      <c r="AX45" s="6">
        <f>COUNTIF(ParticipationJanvier1[[#This Row],[1]:[31]],Code15)</f>
        <v>0</v>
      </c>
      <c r="AY45" s="6">
        <f>COUNTIF(ParticipationJanvier1[[#This Row],[1]:[31]],Code16)</f>
        <v>0</v>
      </c>
      <c r="AZ45" s="6">
        <f>COUNTIF(ParticipationJanvier1[[#This Row],[1]:[31]],Code17)</f>
        <v>0</v>
      </c>
      <c r="BA45" s="6">
        <f>COUNTIF(ParticipationJanvier1[[#This Row],[1]:[31]],Code25)</f>
        <v>0</v>
      </c>
      <c r="BB45" s="6">
        <f>COUNTIF(ParticipationJanvier1[[#This Row],[1]:[31]],Code26)</f>
        <v>0</v>
      </c>
      <c r="BC45" s="6">
        <f>COUNTIF(ParticipationJanvier1[[#This Row],[1]:[31]],Code27)</f>
        <v>0</v>
      </c>
      <c r="BD45" s="6">
        <f>COUNTIF(ParticipationJanvier1[[#This Row],[1]:[31]],Code28)</f>
        <v>0</v>
      </c>
      <c r="BE45" s="6">
        <f>COUNTIF(ParticipationJanvier1[[#This Row],[1]:[31]],code30)</f>
        <v>0</v>
      </c>
      <c r="BF45" s="6">
        <f>COUNTIF(ParticipationJanvier1[[#This Row],[1]:[31]],Code31)</f>
        <v>0</v>
      </c>
      <c r="BG45" s="6">
        <f>COUNTIF(ParticipationJanvier1[[#This Row],[1]:[31]],code21)</f>
        <v>0</v>
      </c>
      <c r="BH45" s="6">
        <f>COUNTIF(ParticipationJanvier1[[#This Row],[1]:[31]],Code24)</f>
        <v>0</v>
      </c>
      <c r="BI45" s="6">
        <f>COUNTIF(ParticipationJanvier1[[#This Row],[1]:[31]],code18)</f>
        <v>0</v>
      </c>
      <c r="BJ45" s="6">
        <f>COUNTIF(ParticipationJanvier1[[#This Row],[1]:[31]],code19)</f>
        <v>0</v>
      </c>
      <c r="BK45" s="6">
        <f>COUNTIF(ParticipationJanvier1[[#This Row],[1]:[31]],code20)</f>
        <v>0</v>
      </c>
      <c r="BL45" s="182">
        <f>COUNTIF(ParticipationJanvier1[[#This Row],[1]:[31]],code29)</f>
        <v>0</v>
      </c>
      <c r="BM45" s="297">
        <v>1</v>
      </c>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297"/>
      <c r="CL45" s="297"/>
      <c r="CM45" s="297"/>
      <c r="CN45" s="297"/>
      <c r="CO45" s="297"/>
      <c r="CP45" s="297"/>
      <c r="CQ45" s="297"/>
      <c r="CR45" s="297"/>
      <c r="CS45" s="297"/>
      <c r="CT45" s="297"/>
      <c r="CU45" s="300"/>
      <c r="CV45" s="165">
        <f t="shared" si="0"/>
        <v>0</v>
      </c>
      <c r="CW45" s="165">
        <f t="shared" si="1"/>
        <v>0</v>
      </c>
      <c r="CX45" s="249">
        <f t="shared" si="2"/>
        <v>0</v>
      </c>
      <c r="CY45" s="170"/>
    </row>
    <row r="46" spans="1:103">
      <c r="A46" s="510" t="s">
        <v>387</v>
      </c>
      <c r="B46" s="372" t="str">
        <f>IFERROR(VLOOKUP(ParticipationJanvier1[[#This Row],[Référence]],ListeÉtudiants1[],18,FALSE),"")</f>
        <v>CORDEREIX MARIE</v>
      </c>
      <c r="C46" s="19"/>
      <c r="D46" s="19"/>
      <c r="E46" s="19"/>
      <c r="F46" s="19"/>
      <c r="G46" s="518"/>
      <c r="H46" s="19"/>
      <c r="I46" s="518"/>
      <c r="J46" s="19"/>
      <c r="K46" s="518"/>
      <c r="L46" s="19"/>
      <c r="M46" s="518"/>
      <c r="N46" s="19"/>
      <c r="O46" s="518"/>
      <c r="P46" s="19"/>
      <c r="Q46" s="518"/>
      <c r="R46" s="19"/>
      <c r="S46" s="518"/>
      <c r="T46" s="19"/>
      <c r="U46" s="518"/>
      <c r="W46" s="518"/>
      <c r="X46" s="19"/>
      <c r="Y46" s="518"/>
      <c r="Z46" s="19"/>
      <c r="AA46" s="518"/>
      <c r="AB46" s="19"/>
      <c r="AC46" s="518"/>
      <c r="AD46" s="19"/>
      <c r="AE46" s="518"/>
      <c r="AF46" s="19"/>
      <c r="AG46" s="519"/>
      <c r="AH46" s="475">
        <f>COUNTIF(ParticipationJanvier1[[#This Row],[1]:[31]],Code1)</f>
        <v>0</v>
      </c>
      <c r="AI46" s="518">
        <f>COUNTIF(ParticipationJanvier1[[#This Row],[1]:[31]],code22)</f>
        <v>0</v>
      </c>
      <c r="AJ46" s="473">
        <f>COUNTIF(ParticipationJanvier1[[#This Row],[1]:[31]],Code2)</f>
        <v>0</v>
      </c>
      <c r="AK46" s="520">
        <f>COUNTIF(ParticipationJanvier1[[#This Row],[1]:[31]],Code3)</f>
        <v>0</v>
      </c>
      <c r="AL46" s="473">
        <f>COUNTIF(ParticipationJanvier1[[#This Row],[1]:[31]],Code4)</f>
        <v>0</v>
      </c>
      <c r="AM46" s="520">
        <f>COUNTIF(ParticipationJanvier1[[#This Row],[1]:[31]],Code5)</f>
        <v>0</v>
      </c>
      <c r="AN46" s="30">
        <f>COUNTIF(ParticipationJanvier1[[#This Row],[1]:[31]],Code23)</f>
        <v>0</v>
      </c>
      <c r="AO46" s="473">
        <f>COUNTIF(ParticipationJanvier1[[#This Row],[1]:[31]],Code6)</f>
        <v>0</v>
      </c>
      <c r="AP46" s="30">
        <f>COUNTIF(ParticipationJanvier1[[#This Row],[1]:[31]],Code7)</f>
        <v>0</v>
      </c>
      <c r="AQ46" s="30">
        <f>COUNTIF(ParticipationJanvier1[[#This Row],[1]:[31]],Code8)</f>
        <v>0</v>
      </c>
      <c r="AR46" s="30">
        <f>COUNTIF(ParticipationJanvier1[[#This Row],[1]:[31]],Code9)</f>
        <v>0</v>
      </c>
      <c r="AS46" s="473">
        <f>COUNTIF(ParticipationJanvier1[[#This Row],[1]:[31]],Code10)</f>
        <v>0</v>
      </c>
      <c r="AT46" s="473">
        <f>COUNTIF(ParticipationJanvier1[[#This Row],[1]:[31]],Code11)</f>
        <v>0</v>
      </c>
      <c r="AU46" s="473">
        <f>COUNTIF(ParticipationJanvier1[[#This Row],[1]:[31]],Code12)</f>
        <v>0</v>
      </c>
      <c r="AV46" s="473">
        <f>COUNTIF(ParticipationJanvier1[[#This Row],[1]:[31]],Code13)</f>
        <v>0</v>
      </c>
      <c r="AW46" s="473">
        <f>COUNTIF(ParticipationJanvier1[[#This Row],[1]:[31]],Code14)</f>
        <v>0</v>
      </c>
      <c r="AX46" s="473">
        <f>COUNTIF(ParticipationJanvier1[[#This Row],[1]:[31]],Code15)</f>
        <v>0</v>
      </c>
      <c r="AY46" s="473">
        <f>COUNTIF(ParticipationJanvier1[[#This Row],[1]:[31]],Code16)</f>
        <v>0</v>
      </c>
      <c r="AZ46" s="473">
        <f>COUNTIF(ParticipationJanvier1[[#This Row],[1]:[31]],Code17)</f>
        <v>0</v>
      </c>
      <c r="BA46" s="475">
        <f>COUNTIF(ParticipationJanvier1[[#This Row],[1]:[31]],Code25)</f>
        <v>0</v>
      </c>
      <c r="BB46" s="475">
        <f>COUNTIF(ParticipationJanvier1[[#This Row],[1]:[31]],Code26)</f>
        <v>0</v>
      </c>
      <c r="BC46" s="475">
        <f>COUNTIF(ParticipationJanvier1[[#This Row],[1]:[31]],Code27)</f>
        <v>0</v>
      </c>
      <c r="BD46" s="475">
        <f>COUNTIF(ParticipationJanvier1[[#This Row],[1]:[31]],Code28)</f>
        <v>0</v>
      </c>
      <c r="BE46" s="475">
        <f>COUNTIF(ParticipationJanvier1[[#This Row],[1]:[31]],code30)</f>
        <v>0</v>
      </c>
      <c r="BF46" s="475">
        <f>COUNTIF(ParticipationJanvier1[[#This Row],[1]:[31]],Code31)</f>
        <v>0</v>
      </c>
      <c r="BG46" s="473">
        <f>COUNTIF(ParticipationJanvier1[[#This Row],[1]:[31]],code21)</f>
        <v>0</v>
      </c>
      <c r="BH46" s="473">
        <f>COUNTIF(ParticipationJanvier1[[#This Row],[1]:[31]],Code24)</f>
        <v>0</v>
      </c>
      <c r="BI46" s="473">
        <f>COUNTIF(ParticipationJanvier1[[#This Row],[1]:[31]],code18)</f>
        <v>0</v>
      </c>
      <c r="BJ46" s="473">
        <f>COUNTIF(ParticipationJanvier1[[#This Row],[1]:[31]],code19)</f>
        <v>0</v>
      </c>
      <c r="BK46" s="473">
        <f>COUNTIF(ParticipationJanvier1[[#This Row],[1]:[31]],code20)</f>
        <v>0</v>
      </c>
      <c r="BL46" s="476">
        <f>COUNTIF(ParticipationJanvier1[[#This Row],[1]:[31]],code29)</f>
        <v>0</v>
      </c>
      <c r="BM46" s="472">
        <f>SUM((AH46*1)+(AI53*1.5)+(AJ46*2)+(AK46*3)+(AL46*4)+(AQ46*5)+(AR46*6)+(AS46*7)+(AW46*2)+(AX46*3)+(AY46*4)+(AZ46*5)+(BG46*2))</f>
        <v>0</v>
      </c>
      <c r="BN46" s="472"/>
      <c r="BO46" s="472"/>
      <c r="BP46" s="472"/>
      <c r="BQ46" s="472"/>
      <c r="BR46" s="473"/>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516">
        <f>SUM((AN46*1)+(AM46*2)+(AO46*3)+(AP46*4)+(AT46*5)+(AU46*7)+(AV46*7)+(AW46*7)+(AX46*4)+(AY46*3)+(BA46*2)+(BC46*4)+(BB46*1)+(BG46*2)+(AZ46*5)+(BD46*1))</f>
        <v>0</v>
      </c>
      <c r="CV46" s="521">
        <f>SUM((AH46*1)+(AI46*1.5)+(AJ46*2)+(AK46*3)+(AP46*5)+(AQ46*6)+(AR46*7)+(AU46*2)+(AX46*3)+(AY46*4)+(BA46*5)+(BB46*3)+(BC46*2)+(BG46*2)+(AZ46*2)+(BD46*2))</f>
        <v>0</v>
      </c>
      <c r="CW46" s="522">
        <f>SUM((AN46*1)+(AM46*2)+(AO46*3)+(AP46*4)+(AT46*5)+(AU46*7)+(AV46*7)+(AW46*7)+(AX46*4)+(AY46*3)+(BA46*2)+(BC46*4)+(BB46*1)+(BG46*2)+(AZ46*5)+(BD46*1))</f>
        <v>0</v>
      </c>
      <c r="CX46" s="523">
        <f>BH46*1</f>
        <v>0</v>
      </c>
      <c r="CY46" s="512"/>
    </row>
    <row r="47" spans="1:103">
      <c r="A47" s="510" t="s">
        <v>388</v>
      </c>
      <c r="B47" s="372" t="str">
        <f>IFERROR(VLOOKUP(ParticipationJanvier1[[#This Row],[Référence]],ListeÉtudiants1[],18,FALSE),"")</f>
        <v>CORNELIS  ESTELLE</v>
      </c>
      <c r="C47" s="19"/>
      <c r="D47" s="19"/>
      <c r="E47" s="19"/>
      <c r="F47" s="19"/>
      <c r="G47" s="287"/>
      <c r="H47" s="19"/>
      <c r="I47" s="287"/>
      <c r="J47" s="19"/>
      <c r="K47" s="287"/>
      <c r="L47" s="19"/>
      <c r="M47" s="287"/>
      <c r="N47" s="19" t="s">
        <v>507</v>
      </c>
      <c r="O47" s="19"/>
      <c r="P47" s="19"/>
      <c r="Q47" s="19" t="s">
        <v>490</v>
      </c>
      <c r="R47" s="19" t="s">
        <v>106</v>
      </c>
      <c r="S47" s="19" t="s">
        <v>107</v>
      </c>
      <c r="T47" s="19"/>
      <c r="U47" s="287"/>
      <c r="W47" s="287"/>
      <c r="X47" s="19"/>
      <c r="Y47" s="287"/>
      <c r="Z47" s="19"/>
      <c r="AA47" s="287"/>
      <c r="AB47" s="19"/>
      <c r="AC47" s="287"/>
      <c r="AD47" s="19"/>
      <c r="AE47" s="287"/>
      <c r="AF47" s="19"/>
      <c r="AG47" s="295"/>
      <c r="AH47" s="6">
        <f>COUNTIF(ParticipationJanvier1[[#This Row],[1]:[31]],Code1)</f>
        <v>0</v>
      </c>
      <c r="AI47" s="6">
        <f>COUNTIF(ParticipationJanvier1[[#This Row],[1]:[31]],code22)</f>
        <v>0</v>
      </c>
      <c r="AJ47" s="6">
        <f>COUNTIF(ParticipationJanvier1[[#This Row],[1]:[31]],Code2)</f>
        <v>0</v>
      </c>
      <c r="AK47" s="6">
        <f>COUNTIF(ParticipationJanvier1[[#This Row],[1]:[31]],Code3)</f>
        <v>1</v>
      </c>
      <c r="AL47" s="6">
        <f>COUNTIF(ParticipationJanvier1[[#This Row],[1]:[31]],Code4)</f>
        <v>1</v>
      </c>
      <c r="AM47" s="6">
        <f>COUNTIF(ParticipationJanvier1[[#This Row],[1]:[31]],Code5)</f>
        <v>0</v>
      </c>
      <c r="AN47" s="6">
        <f>COUNTIF(ParticipationJanvier1[[#This Row],[1]:[31]],Code23)</f>
        <v>0</v>
      </c>
      <c r="AO47" s="6">
        <f>COUNTIF(ParticipationJanvier1[[#This Row],[1]:[31]],Code6)</f>
        <v>0</v>
      </c>
      <c r="AP47" s="6">
        <f>COUNTIF(ParticipationJanvier1[[#This Row],[1]:[31]],Code7)</f>
        <v>0</v>
      </c>
      <c r="AQ47" s="6">
        <f>COUNTIF(ParticipationJanvier1[[#This Row],[1]:[31]],Code8)</f>
        <v>0</v>
      </c>
      <c r="AR47" s="6">
        <f>COUNTIF(ParticipationJanvier1[[#This Row],[1]:[31]],Code9)</f>
        <v>0</v>
      </c>
      <c r="AS47" s="6">
        <f>COUNTIF(ParticipationJanvier1[[#This Row],[1]:[31]],Code10)</f>
        <v>0</v>
      </c>
      <c r="AT47" s="6">
        <f>COUNTIF(ParticipationJanvier1[[#This Row],[1]:[31]],Code11)</f>
        <v>0</v>
      </c>
      <c r="AU47" s="6">
        <f>COUNTIF(ParticipationJanvier1[[#This Row],[1]:[31]],Code12)</f>
        <v>0</v>
      </c>
      <c r="AV47" s="6">
        <f>COUNTIF(ParticipationJanvier1[[#This Row],[1]:[31]],Code13)</f>
        <v>0</v>
      </c>
      <c r="AW47" s="6">
        <f>COUNTIF(ParticipationJanvier1[[#This Row],[1]:[31]],Code14)</f>
        <v>0</v>
      </c>
      <c r="AX47" s="6">
        <f>COUNTIF(ParticipationJanvier1[[#This Row],[1]:[31]],Code15)</f>
        <v>1</v>
      </c>
      <c r="AY47" s="6">
        <f>COUNTIF(ParticipationJanvier1[[#This Row],[1]:[31]],Code16)</f>
        <v>0</v>
      </c>
      <c r="AZ47" s="6">
        <f>COUNTIF(ParticipationJanvier1[[#This Row],[1]:[31]],Code17)</f>
        <v>0</v>
      </c>
      <c r="BA47" s="6">
        <f>COUNTIF(ParticipationJanvier1[[#This Row],[1]:[31]],Code25)</f>
        <v>0</v>
      </c>
      <c r="BB47" s="6">
        <f>COUNTIF(ParticipationJanvier1[[#This Row],[1]:[31]],Code26)</f>
        <v>0</v>
      </c>
      <c r="BC47" s="6">
        <f>COUNTIF(ParticipationJanvier1[[#This Row],[1]:[31]],Code27)</f>
        <v>0</v>
      </c>
      <c r="BD47" s="6">
        <f>COUNTIF(ParticipationJanvier1[[#This Row],[1]:[31]],Code28)</f>
        <v>0</v>
      </c>
      <c r="BE47" s="6">
        <f>COUNTIF(ParticipationJanvier1[[#This Row],[1]:[31]],code30)</f>
        <v>0</v>
      </c>
      <c r="BF47" s="6">
        <f>COUNTIF(ParticipationJanvier1[[#This Row],[1]:[31]],Code31)</f>
        <v>0</v>
      </c>
      <c r="BG47" s="6">
        <f>COUNTIF(ParticipationJanvier1[[#This Row],[1]:[31]],code21)</f>
        <v>1</v>
      </c>
      <c r="BH47" s="6">
        <f>COUNTIF(ParticipationJanvier1[[#This Row],[1]:[31]],Code24)</f>
        <v>0</v>
      </c>
      <c r="BI47" s="6">
        <f>COUNTIF(ParticipationJanvier1[[#This Row],[1]:[31]],code18)</f>
        <v>0</v>
      </c>
      <c r="BJ47" s="6">
        <f>COUNTIF(ParticipationJanvier1[[#This Row],[1]:[31]],code19)</f>
        <v>0</v>
      </c>
      <c r="BK47" s="6">
        <f>COUNTIF(ParticipationJanvier1[[#This Row],[1]:[31]],code20)</f>
        <v>0</v>
      </c>
      <c r="BL47" s="182">
        <f>COUNTIF(ParticipationJanvier1[[#This Row],[1]:[31]],code29)</f>
        <v>0</v>
      </c>
      <c r="BM47" s="297">
        <v>3</v>
      </c>
      <c r="BN47" s="297"/>
      <c r="BO47" s="297"/>
      <c r="BP47" s="297"/>
      <c r="BQ47" s="297"/>
      <c r="BR47" s="297"/>
      <c r="BS47" s="297"/>
      <c r="BT47" s="297"/>
      <c r="BU47" s="297"/>
      <c r="BV47" s="297"/>
      <c r="BW47" s="297"/>
      <c r="BX47" s="297"/>
      <c r="BY47" s="297"/>
      <c r="BZ47" s="297"/>
      <c r="CA47" s="297"/>
      <c r="CB47" s="297"/>
      <c r="CC47" s="297"/>
      <c r="CD47" s="297"/>
      <c r="CE47" s="297"/>
      <c r="CF47" s="297"/>
      <c r="CG47" s="297">
        <v>1</v>
      </c>
      <c r="CH47" s="297"/>
      <c r="CI47" s="297"/>
      <c r="CJ47" s="297"/>
      <c r="CK47" s="297"/>
      <c r="CL47" s="297"/>
      <c r="CM47" s="297"/>
      <c r="CN47" s="297"/>
      <c r="CO47" s="297"/>
      <c r="CP47" s="297"/>
      <c r="CQ47" s="297"/>
      <c r="CR47" s="297"/>
      <c r="CS47" s="297"/>
      <c r="CT47" s="297"/>
      <c r="CU47" s="300"/>
      <c r="CV47" s="165">
        <f t="shared" si="0"/>
        <v>8</v>
      </c>
      <c r="CW47" s="165">
        <f t="shared" si="1"/>
        <v>6</v>
      </c>
      <c r="CX47" s="249">
        <f t="shared" si="2"/>
        <v>0</v>
      </c>
      <c r="CY47" s="171">
        <f>SUM(AQ47:CS47)</f>
        <v>6</v>
      </c>
    </row>
    <row r="48" spans="1:103">
      <c r="A48" s="510" t="s">
        <v>389</v>
      </c>
      <c r="B48" s="372" t="str">
        <f>IFERROR(VLOOKUP(ParticipationJanvier1[[#This Row],[Référence]],ListeÉtudiants1[],18,FALSE),"")</f>
        <v>COULIBALY COLLO</v>
      </c>
      <c r="C48" s="19"/>
      <c r="D48" s="19"/>
      <c r="E48" s="19"/>
      <c r="F48" s="19"/>
      <c r="G48" s="518"/>
      <c r="H48" s="19"/>
      <c r="I48" s="518"/>
      <c r="J48" s="19"/>
      <c r="K48" s="518"/>
      <c r="L48" s="19"/>
      <c r="M48" s="518"/>
      <c r="N48" s="19"/>
      <c r="O48" s="518"/>
      <c r="P48" s="19"/>
      <c r="Q48" s="518"/>
      <c r="R48" s="19"/>
      <c r="S48" s="518"/>
      <c r="T48" s="19"/>
      <c r="U48" s="518"/>
      <c r="W48" s="518"/>
      <c r="X48" s="19"/>
      <c r="Y48" s="518"/>
      <c r="Z48" s="19"/>
      <c r="AA48" s="518"/>
      <c r="AB48" s="19"/>
      <c r="AC48" s="518"/>
      <c r="AD48" s="19"/>
      <c r="AE48" s="518"/>
      <c r="AF48" s="19"/>
      <c r="AG48" s="519"/>
      <c r="AH48" s="475">
        <f>COUNTIF(ParticipationJanvier1[[#This Row],[1]:[31]],Code1)</f>
        <v>0</v>
      </c>
      <c r="AI48" s="518">
        <f>COUNTIF(ParticipationJanvier1[[#This Row],[1]:[31]],code22)</f>
        <v>0</v>
      </c>
      <c r="AJ48" s="473">
        <f>COUNTIF(ParticipationJanvier1[[#This Row],[1]:[31]],Code2)</f>
        <v>0</v>
      </c>
      <c r="AK48" s="520">
        <f>COUNTIF(ParticipationJanvier1[[#This Row],[1]:[31]],Code3)</f>
        <v>0</v>
      </c>
      <c r="AL48" s="473">
        <f>COUNTIF(ParticipationJanvier1[[#This Row],[1]:[31]],Code4)</f>
        <v>0</v>
      </c>
      <c r="AM48" s="520">
        <f>COUNTIF(ParticipationJanvier1[[#This Row],[1]:[31]],Code5)</f>
        <v>0</v>
      </c>
      <c r="AN48" s="30">
        <f>COUNTIF(ParticipationJanvier1[[#This Row],[1]:[31]],Code23)</f>
        <v>0</v>
      </c>
      <c r="AO48" s="473">
        <f>COUNTIF(ParticipationJanvier1[[#This Row],[1]:[31]],Code6)</f>
        <v>0</v>
      </c>
      <c r="AP48" s="30">
        <f>COUNTIF(ParticipationJanvier1[[#This Row],[1]:[31]],Code7)</f>
        <v>0</v>
      </c>
      <c r="AQ48" s="30">
        <f>COUNTIF(ParticipationJanvier1[[#This Row],[1]:[31]],Code8)</f>
        <v>0</v>
      </c>
      <c r="AR48" s="30">
        <f>COUNTIF(ParticipationJanvier1[[#This Row],[1]:[31]],Code9)</f>
        <v>0</v>
      </c>
      <c r="AS48" s="473">
        <f>COUNTIF(ParticipationJanvier1[[#This Row],[1]:[31]],Code10)</f>
        <v>0</v>
      </c>
      <c r="AT48" s="473">
        <f>COUNTIF(ParticipationJanvier1[[#This Row],[1]:[31]],Code11)</f>
        <v>0</v>
      </c>
      <c r="AU48" s="473">
        <f>COUNTIF(ParticipationJanvier1[[#This Row],[1]:[31]],Code12)</f>
        <v>0</v>
      </c>
      <c r="AV48" s="473">
        <f>COUNTIF(ParticipationJanvier1[[#This Row],[1]:[31]],Code13)</f>
        <v>0</v>
      </c>
      <c r="AW48" s="473">
        <f>COUNTIF(ParticipationJanvier1[[#This Row],[1]:[31]],Code14)</f>
        <v>0</v>
      </c>
      <c r="AX48" s="473">
        <f>COUNTIF(ParticipationJanvier1[[#This Row],[1]:[31]],Code15)</f>
        <v>0</v>
      </c>
      <c r="AY48" s="473">
        <f>COUNTIF(ParticipationJanvier1[[#This Row],[1]:[31]],Code16)</f>
        <v>0</v>
      </c>
      <c r="AZ48" s="473">
        <f>COUNTIF(ParticipationJanvier1[[#This Row],[1]:[31]],Code17)</f>
        <v>0</v>
      </c>
      <c r="BA48" s="475">
        <f>COUNTIF(ParticipationJanvier1[[#This Row],[1]:[31]],Code25)</f>
        <v>0</v>
      </c>
      <c r="BB48" s="475">
        <f>COUNTIF(ParticipationJanvier1[[#This Row],[1]:[31]],Code26)</f>
        <v>0</v>
      </c>
      <c r="BC48" s="475">
        <f>COUNTIF(ParticipationJanvier1[[#This Row],[1]:[31]],Code27)</f>
        <v>0</v>
      </c>
      <c r="BD48" s="475">
        <f>COUNTIF(ParticipationJanvier1[[#This Row],[1]:[31]],Code28)</f>
        <v>0</v>
      </c>
      <c r="BE48" s="475">
        <f>COUNTIF(ParticipationJanvier1[[#This Row],[1]:[31]],code30)</f>
        <v>0</v>
      </c>
      <c r="BF48" s="475">
        <f>COUNTIF(ParticipationJanvier1[[#This Row],[1]:[31]],Code31)</f>
        <v>0</v>
      </c>
      <c r="BG48" s="473">
        <f>COUNTIF(ParticipationJanvier1[[#This Row],[1]:[31]],code21)</f>
        <v>0</v>
      </c>
      <c r="BH48" s="473">
        <f>COUNTIF(ParticipationJanvier1[[#This Row],[1]:[31]],Code24)</f>
        <v>0</v>
      </c>
      <c r="BI48" s="473">
        <f>COUNTIF(ParticipationJanvier1[[#This Row],[1]:[31]],code18)</f>
        <v>0</v>
      </c>
      <c r="BJ48" s="473">
        <f>COUNTIF(ParticipationJanvier1[[#This Row],[1]:[31]],code19)</f>
        <v>0</v>
      </c>
      <c r="BK48" s="473">
        <f>COUNTIF(ParticipationJanvier1[[#This Row],[1]:[31]],code20)</f>
        <v>0</v>
      </c>
      <c r="BL48" s="476">
        <f>COUNTIF(ParticipationJanvier1[[#This Row],[1]:[31]],code29)</f>
        <v>0</v>
      </c>
      <c r="BM48" s="472">
        <f>SUM((AH48*1)+(AI53*1.5)+(AJ48*2)+(AK48*3)+(AL48*4)+(AQ48*5)+(AR48*6)+(AS48*7)+(AW48*2)+(AX48*3)+(AY48*4)+(AZ48*5)+(BG48*2))</f>
        <v>0</v>
      </c>
      <c r="BN48" s="472"/>
      <c r="BO48" s="472"/>
      <c r="BP48" s="472"/>
      <c r="BQ48" s="472"/>
      <c r="BR48" s="473"/>
      <c r="BS48" s="473"/>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2"/>
      <c r="CT48" s="472"/>
      <c r="CU48" s="516">
        <f>SUM((AN48*1)+(AM48*2)+(AO48*3)+(AP48*4)+(AT48*5)+(AU48*7)+(AV48*7)+(AW48*7)+(AX48*4)+(AY48*3)+(BA48*2)+(BC48*4)+(BB48*1)+(BG48*2)+(AZ48*5)+(BD48*1))</f>
        <v>0</v>
      </c>
      <c r="CV48" s="521">
        <f>SUM((AH48*1)+(AI48*1.5)+(AJ48*2)+(AK48*3)+(AP48*5)+(AQ48*6)+(AR48*7)+(AU48*2)+(AX48*3)+(AY48*4)+(BA48*5)+(BB48*3)+(BC48*2)+(BG48*2)+(AZ48*2)+(BD48*2))</f>
        <v>0</v>
      </c>
      <c r="CW48" s="522">
        <f>SUM((AN48*1)+(AM48*2)+(AO48*3)+(AP48*4)+(AT48*5)+(AU48*7)+(AV48*7)+(AW48*7)+(AX48*4)+(AY48*3)+(BA48*2)+(BC48*4)+(BB48*1)+(BG48*2)+(AZ48*5)+(BD48*1))</f>
        <v>0</v>
      </c>
      <c r="CX48" s="523">
        <f>BH48*1</f>
        <v>0</v>
      </c>
      <c r="CY48" s="512"/>
    </row>
    <row r="49" spans="1:125">
      <c r="A49" s="510" t="s">
        <v>390</v>
      </c>
      <c r="B49" s="372" t="str">
        <f>IFERROR(VLOOKUP(ParticipationJanvier1[[#This Row],[Référence]],ListeÉtudiants1[],18,FALSE),"")</f>
        <v>DAGNET ANNAH</v>
      </c>
      <c r="C49" s="19"/>
      <c r="D49" s="19"/>
      <c r="E49" s="19"/>
      <c r="F49" s="19"/>
      <c r="G49" s="518"/>
      <c r="H49" s="19"/>
      <c r="I49" s="518"/>
      <c r="J49" s="19"/>
      <c r="K49" s="518"/>
      <c r="L49" s="19"/>
      <c r="M49" s="518"/>
      <c r="N49" s="19"/>
      <c r="O49" s="518"/>
      <c r="P49" s="19"/>
      <c r="Q49" s="518"/>
      <c r="R49" s="19"/>
      <c r="S49" s="518"/>
      <c r="T49" s="19"/>
      <c r="U49" s="518"/>
      <c r="W49" s="518"/>
      <c r="X49" s="19"/>
      <c r="Y49" s="518"/>
      <c r="Z49" s="19"/>
      <c r="AA49" s="518"/>
      <c r="AB49" s="19"/>
      <c r="AC49" s="518"/>
      <c r="AD49" s="19"/>
      <c r="AE49" s="518"/>
      <c r="AF49" s="19"/>
      <c r="AG49" s="519"/>
      <c r="AH49" s="475">
        <f>COUNTIF(ParticipationJanvier1[[#This Row],[1]:[31]],Code1)</f>
        <v>0</v>
      </c>
      <c r="AI49" s="518">
        <f>COUNTIF(ParticipationJanvier1[[#This Row],[1]:[31]],code22)</f>
        <v>0</v>
      </c>
      <c r="AJ49" s="473">
        <f>COUNTIF(ParticipationJanvier1[[#This Row],[1]:[31]],Code2)</f>
        <v>0</v>
      </c>
      <c r="AK49" s="520">
        <f>COUNTIF(ParticipationJanvier1[[#This Row],[1]:[31]],Code3)</f>
        <v>0</v>
      </c>
      <c r="AL49" s="473">
        <f>COUNTIF(ParticipationJanvier1[[#This Row],[1]:[31]],Code4)</f>
        <v>0</v>
      </c>
      <c r="AM49" s="520">
        <f>COUNTIF(ParticipationJanvier1[[#This Row],[1]:[31]],Code5)</f>
        <v>0</v>
      </c>
      <c r="AN49" s="30">
        <f>COUNTIF(ParticipationJanvier1[[#This Row],[1]:[31]],Code23)</f>
        <v>0</v>
      </c>
      <c r="AO49" s="473">
        <f>COUNTIF(ParticipationJanvier1[[#This Row],[1]:[31]],Code6)</f>
        <v>0</v>
      </c>
      <c r="AP49" s="30">
        <f>COUNTIF(ParticipationJanvier1[[#This Row],[1]:[31]],Code7)</f>
        <v>0</v>
      </c>
      <c r="AQ49" s="30">
        <f>COUNTIF(ParticipationJanvier1[[#This Row],[1]:[31]],Code8)</f>
        <v>0</v>
      </c>
      <c r="AR49" s="30">
        <f>COUNTIF(ParticipationJanvier1[[#This Row],[1]:[31]],Code9)</f>
        <v>0</v>
      </c>
      <c r="AS49" s="473">
        <f>COUNTIF(ParticipationJanvier1[[#This Row],[1]:[31]],Code10)</f>
        <v>0</v>
      </c>
      <c r="AT49" s="473">
        <f>COUNTIF(ParticipationJanvier1[[#This Row],[1]:[31]],Code11)</f>
        <v>0</v>
      </c>
      <c r="AU49" s="473">
        <f>COUNTIF(ParticipationJanvier1[[#This Row],[1]:[31]],Code12)</f>
        <v>0</v>
      </c>
      <c r="AV49" s="473">
        <f>COUNTIF(ParticipationJanvier1[[#This Row],[1]:[31]],Code13)</f>
        <v>0</v>
      </c>
      <c r="AW49" s="473">
        <f>COUNTIF(ParticipationJanvier1[[#This Row],[1]:[31]],Code14)</f>
        <v>0</v>
      </c>
      <c r="AX49" s="473">
        <f>COUNTIF(ParticipationJanvier1[[#This Row],[1]:[31]],Code15)</f>
        <v>0</v>
      </c>
      <c r="AY49" s="473">
        <f>COUNTIF(ParticipationJanvier1[[#This Row],[1]:[31]],Code16)</f>
        <v>0</v>
      </c>
      <c r="AZ49" s="473">
        <f>COUNTIF(ParticipationJanvier1[[#This Row],[1]:[31]],Code17)</f>
        <v>0</v>
      </c>
      <c r="BA49" s="475">
        <f>COUNTIF(ParticipationJanvier1[[#This Row],[1]:[31]],Code25)</f>
        <v>0</v>
      </c>
      <c r="BB49" s="475">
        <f>COUNTIF(ParticipationJanvier1[[#This Row],[1]:[31]],Code26)</f>
        <v>0</v>
      </c>
      <c r="BC49" s="475">
        <f>COUNTIF(ParticipationJanvier1[[#This Row],[1]:[31]],Code27)</f>
        <v>0</v>
      </c>
      <c r="BD49" s="475">
        <f>COUNTIF(ParticipationJanvier1[[#This Row],[1]:[31]],Code28)</f>
        <v>0</v>
      </c>
      <c r="BE49" s="475">
        <f>COUNTIF(ParticipationJanvier1[[#This Row],[1]:[31]],code30)</f>
        <v>0</v>
      </c>
      <c r="BF49" s="475">
        <f>COUNTIF(ParticipationJanvier1[[#This Row],[1]:[31]],Code31)</f>
        <v>0</v>
      </c>
      <c r="BG49" s="473">
        <f>COUNTIF(ParticipationJanvier1[[#This Row],[1]:[31]],code21)</f>
        <v>0</v>
      </c>
      <c r="BH49" s="473">
        <f>COUNTIF(ParticipationJanvier1[[#This Row],[1]:[31]],Code24)</f>
        <v>0</v>
      </c>
      <c r="BI49" s="473">
        <f>COUNTIF(ParticipationJanvier1[[#This Row],[1]:[31]],code18)</f>
        <v>0</v>
      </c>
      <c r="BJ49" s="473">
        <f>COUNTIF(ParticipationJanvier1[[#This Row],[1]:[31]],code19)</f>
        <v>0</v>
      </c>
      <c r="BK49" s="473">
        <f>COUNTIF(ParticipationJanvier1[[#This Row],[1]:[31]],code20)</f>
        <v>0</v>
      </c>
      <c r="BL49" s="476">
        <f>COUNTIF(ParticipationJanvier1[[#This Row],[1]:[31]],code29)</f>
        <v>0</v>
      </c>
      <c r="BM49" s="472">
        <f>SUM((AH49*1)+(AI54*1.5)+(AJ49*2)+(AK49*3)+(AL49*4)+(AQ49*5)+(AR49*6)+(AS49*7)+(AW49*2)+(AX49*3)+(AY49*4)+(AZ49*5)+(BG49*2))</f>
        <v>0</v>
      </c>
      <c r="BN49" s="472"/>
      <c r="BO49" s="472"/>
      <c r="BP49" s="472"/>
      <c r="BQ49" s="472"/>
      <c r="BR49" s="473"/>
      <c r="BS49" s="473"/>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516">
        <f>SUM((AN49*1)+(AM49*2)+(AO49*3)+(AP49*4)+(AT49*5)+(AU49*7)+(AV49*7)+(AW49*7)+(AX49*4)+(AY49*3)+(BA49*2)+(BC49*4)+(BB49*1)+(BG49*2)+(AZ49*5)+(BD49*1))</f>
        <v>0</v>
      </c>
      <c r="CV49" s="521">
        <f>SUM((AH49*1)+(AI49*1.5)+(AJ49*2)+(AK49*3)+(AP49*5)+(AQ49*6)+(AR49*7)+(AU49*2)+(AX49*3)+(AY49*4)+(BA49*5)+(BB49*3)+(BC49*2)+(BG49*2)+(AZ49*2)+(BD49*2))</f>
        <v>0</v>
      </c>
      <c r="CW49" s="522">
        <f>SUM((AN49*1)+(AM49*2)+(AO49*3)+(AP49*4)+(AT49*5)+(AU49*7)+(AV49*7)+(AW49*7)+(AX49*4)+(AY49*3)+(BA49*2)+(BC49*4)+(BB49*1)+(BG49*2)+(AZ49*5)+(BD49*1))</f>
        <v>0</v>
      </c>
      <c r="CX49" s="523">
        <f>BH49*1</f>
        <v>0</v>
      </c>
      <c r="CY49" s="512"/>
    </row>
    <row r="50" spans="1:125">
      <c r="A50" s="510" t="s">
        <v>391</v>
      </c>
      <c r="B50" s="372" t="str">
        <f>IFERROR(VLOOKUP(ParticipationJanvier1[[#This Row],[Référence]],ListeÉtudiants1[],18,FALSE),"")</f>
        <v>DAHMANI LUANA</v>
      </c>
      <c r="C50" s="19"/>
      <c r="D50" s="19"/>
      <c r="E50" s="19"/>
      <c r="F50" s="19"/>
      <c r="G50" s="287"/>
      <c r="H50" s="19"/>
      <c r="I50" s="287"/>
      <c r="J50" s="19"/>
      <c r="K50" s="287"/>
      <c r="L50" s="19"/>
      <c r="M50" s="287"/>
      <c r="N50" s="19" t="s">
        <v>35</v>
      </c>
      <c r="O50" s="19"/>
      <c r="P50" s="19"/>
      <c r="Q50" s="19" t="s">
        <v>490</v>
      </c>
      <c r="R50" s="19"/>
      <c r="S50" s="19"/>
      <c r="T50" s="19"/>
      <c r="U50" s="287"/>
      <c r="W50" s="287"/>
      <c r="X50" s="19"/>
      <c r="Y50" s="287"/>
      <c r="Z50" s="19"/>
      <c r="AA50" s="287"/>
      <c r="AB50" s="19"/>
      <c r="AC50" s="287"/>
      <c r="AD50" s="19"/>
      <c r="AE50" s="287"/>
      <c r="AF50" s="19"/>
      <c r="AG50" s="295"/>
      <c r="AH50" s="6">
        <f>COUNTIF(ParticipationJanvier1[[#This Row],[1]:[31]],Code1)</f>
        <v>0</v>
      </c>
      <c r="AI50" s="6">
        <f>COUNTIF(ParticipationJanvier1[[#This Row],[1]:[31]],code22)</f>
        <v>0</v>
      </c>
      <c r="AJ50" s="6">
        <f>COUNTIF(ParticipationJanvier1[[#This Row],[1]:[31]],Code2)</f>
        <v>0</v>
      </c>
      <c r="AK50" s="6">
        <f>COUNTIF(ParticipationJanvier1[[#This Row],[1]:[31]],Code3)</f>
        <v>0</v>
      </c>
      <c r="AL50" s="6">
        <f>COUNTIF(ParticipationJanvier1[[#This Row],[1]:[31]],Code4)</f>
        <v>0</v>
      </c>
      <c r="AM50" s="6">
        <f>COUNTIF(ParticipationJanvier1[[#This Row],[1]:[31]],Code5)</f>
        <v>1</v>
      </c>
      <c r="AN50" s="6">
        <f>COUNTIF(ParticipationJanvier1[[#This Row],[1]:[31]],Code23)</f>
        <v>0</v>
      </c>
      <c r="AO50" s="6">
        <f>COUNTIF(ParticipationJanvier1[[#This Row],[1]:[31]],Code6)</f>
        <v>0</v>
      </c>
      <c r="AP50" s="6">
        <f>COUNTIF(ParticipationJanvier1[[#This Row],[1]:[31]],Code7)</f>
        <v>0</v>
      </c>
      <c r="AQ50" s="6">
        <f>COUNTIF(ParticipationJanvier1[[#This Row],[1]:[31]],Code8)</f>
        <v>0</v>
      </c>
      <c r="AR50" s="6">
        <f>COUNTIF(ParticipationJanvier1[[#This Row],[1]:[31]],Code9)</f>
        <v>0</v>
      </c>
      <c r="AS50" s="6">
        <f>COUNTIF(ParticipationJanvier1[[#This Row],[1]:[31]],Code10)</f>
        <v>0</v>
      </c>
      <c r="AT50" s="6">
        <f>COUNTIF(ParticipationJanvier1[[#This Row],[1]:[31]],Code11)</f>
        <v>0</v>
      </c>
      <c r="AU50" s="6">
        <f>COUNTIF(ParticipationJanvier1[[#This Row],[1]:[31]],Code12)</f>
        <v>0</v>
      </c>
      <c r="AV50" s="6">
        <f>COUNTIF(ParticipationJanvier1[[#This Row],[1]:[31]],Code13)</f>
        <v>0</v>
      </c>
      <c r="AW50" s="6">
        <f>COUNTIF(ParticipationJanvier1[[#This Row],[1]:[31]],Code14)</f>
        <v>0</v>
      </c>
      <c r="AX50" s="6">
        <f>COUNTIF(ParticipationJanvier1[[#This Row],[1]:[31]],Code15)</f>
        <v>1</v>
      </c>
      <c r="AY50" s="6">
        <f>COUNTIF(ParticipationJanvier1[[#This Row],[1]:[31]],Code16)</f>
        <v>0</v>
      </c>
      <c r="AZ50" s="6">
        <f>COUNTIF(ParticipationJanvier1[[#This Row],[1]:[31]],Code17)</f>
        <v>0</v>
      </c>
      <c r="BA50" s="6">
        <f>COUNTIF(ParticipationJanvier1[[#This Row],[1]:[31]],Code25)</f>
        <v>0</v>
      </c>
      <c r="BB50" s="6">
        <f>COUNTIF(ParticipationJanvier1[[#This Row],[1]:[31]],Code26)</f>
        <v>0</v>
      </c>
      <c r="BC50" s="6">
        <f>COUNTIF(ParticipationJanvier1[[#This Row],[1]:[31]],Code27)</f>
        <v>0</v>
      </c>
      <c r="BD50" s="6">
        <f>COUNTIF(ParticipationJanvier1[[#This Row],[1]:[31]],Code28)</f>
        <v>0</v>
      </c>
      <c r="BE50" s="6">
        <f>COUNTIF(ParticipationJanvier1[[#This Row],[1]:[31]],code30)</f>
        <v>0</v>
      </c>
      <c r="BF50" s="6">
        <f>COUNTIF(ParticipationJanvier1[[#This Row],[1]:[31]],Code31)</f>
        <v>0</v>
      </c>
      <c r="BG50" s="6">
        <f>COUNTIF(ParticipationJanvier1[[#This Row],[1]:[31]],code21)</f>
        <v>0</v>
      </c>
      <c r="BH50" s="6">
        <f>COUNTIF(ParticipationJanvier1[[#This Row],[1]:[31]],Code24)</f>
        <v>0</v>
      </c>
      <c r="BI50" s="6">
        <f>COUNTIF(ParticipationJanvier1[[#This Row],[1]:[31]],code18)</f>
        <v>0</v>
      </c>
      <c r="BJ50" s="6">
        <f>COUNTIF(ParticipationJanvier1[[#This Row],[1]:[31]],code19)</f>
        <v>0</v>
      </c>
      <c r="BK50" s="6">
        <f>COUNTIF(ParticipationJanvier1[[#This Row],[1]:[31]],code20)</f>
        <v>0</v>
      </c>
      <c r="BL50" s="182">
        <f>COUNTIF(ParticipationJanvier1[[#This Row],[1]:[31]],code29)</f>
        <v>0</v>
      </c>
      <c r="BM50" s="297">
        <v>1</v>
      </c>
      <c r="BN50" s="297"/>
      <c r="BO50" s="297"/>
      <c r="BP50" s="297"/>
      <c r="BQ50" s="297"/>
      <c r="BR50" s="297"/>
      <c r="BS50" s="297"/>
      <c r="BT50" s="297"/>
      <c r="BU50" s="297"/>
      <c r="BV50" s="297"/>
      <c r="BW50" s="297"/>
      <c r="BX50" s="297"/>
      <c r="BY50" s="297"/>
      <c r="BZ50" s="297"/>
      <c r="CA50" s="297"/>
      <c r="CB50" s="297"/>
      <c r="CC50" s="297"/>
      <c r="CD50" s="297"/>
      <c r="CE50" s="297"/>
      <c r="CF50" s="297"/>
      <c r="CG50" s="297"/>
      <c r="CH50" s="297"/>
      <c r="CI50" s="297"/>
      <c r="CJ50" s="297"/>
      <c r="CK50" s="297"/>
      <c r="CL50" s="297"/>
      <c r="CM50" s="297"/>
      <c r="CN50" s="297"/>
      <c r="CO50" s="297"/>
      <c r="CP50" s="297"/>
      <c r="CQ50" s="297"/>
      <c r="CR50" s="297"/>
      <c r="CS50" s="297"/>
      <c r="CT50" s="297"/>
      <c r="CU50" s="300"/>
      <c r="CV50" s="165">
        <f t="shared" si="0"/>
        <v>3</v>
      </c>
      <c r="CW50" s="165">
        <f t="shared" si="1"/>
        <v>6</v>
      </c>
      <c r="CX50" s="249">
        <f t="shared" si="2"/>
        <v>0</v>
      </c>
      <c r="CY50" s="171">
        <f>SUM(AQ50:CS50)</f>
        <v>2</v>
      </c>
    </row>
    <row r="51" spans="1:125">
      <c r="A51" s="534" t="s">
        <v>392</v>
      </c>
      <c r="B51" s="372" t="str">
        <f>IFERROR(VLOOKUP(ParticipationJanvier1[[#This Row],[Référence]],ListeÉtudiants1[],18,FALSE),"")</f>
        <v>DALI SOUAD</v>
      </c>
      <c r="C51" s="19"/>
      <c r="D51" s="19"/>
      <c r="E51" s="19"/>
      <c r="F51" s="19"/>
      <c r="G51" s="518"/>
      <c r="H51" s="19"/>
      <c r="I51" s="518"/>
      <c r="J51" s="19"/>
      <c r="K51" s="518"/>
      <c r="L51" s="19"/>
      <c r="M51" s="518"/>
      <c r="N51" s="19"/>
      <c r="O51" s="518"/>
      <c r="P51" s="19"/>
      <c r="Q51" s="518"/>
      <c r="R51" s="19"/>
      <c r="S51" s="518"/>
      <c r="T51" s="19"/>
      <c r="U51" s="518"/>
      <c r="W51" s="518"/>
      <c r="X51" s="19"/>
      <c r="Y51" s="518"/>
      <c r="Z51" s="19"/>
      <c r="AA51" s="518"/>
      <c r="AB51" s="19"/>
      <c r="AC51" s="518"/>
      <c r="AD51" s="19"/>
      <c r="AE51" s="518"/>
      <c r="AF51" s="19"/>
      <c r="AG51" s="519"/>
      <c r="AH51" s="475">
        <f>COUNTIF(ParticipationJanvier1[[#This Row],[1]:[31]],Code1)</f>
        <v>0</v>
      </c>
      <c r="AI51" s="518">
        <f>COUNTIF(ParticipationJanvier1[[#This Row],[1]:[31]],code22)</f>
        <v>0</v>
      </c>
      <c r="AJ51" s="473">
        <f>COUNTIF(ParticipationJanvier1[[#This Row],[1]:[31]],Code2)</f>
        <v>0</v>
      </c>
      <c r="AK51" s="520">
        <f>COUNTIF(ParticipationJanvier1[[#This Row],[1]:[31]],Code3)</f>
        <v>0</v>
      </c>
      <c r="AL51" s="473">
        <f>COUNTIF(ParticipationJanvier1[[#This Row],[1]:[31]],Code4)</f>
        <v>0</v>
      </c>
      <c r="AM51" s="520">
        <f>COUNTIF(ParticipationJanvier1[[#This Row],[1]:[31]],Code5)</f>
        <v>0</v>
      </c>
      <c r="AN51" s="30">
        <f>COUNTIF(ParticipationJanvier1[[#This Row],[1]:[31]],Code23)</f>
        <v>0</v>
      </c>
      <c r="AO51" s="473">
        <f>COUNTIF(ParticipationJanvier1[[#This Row],[1]:[31]],Code6)</f>
        <v>0</v>
      </c>
      <c r="AP51" s="30">
        <f>COUNTIF(ParticipationJanvier1[[#This Row],[1]:[31]],Code7)</f>
        <v>0</v>
      </c>
      <c r="AQ51" s="30">
        <f>COUNTIF(ParticipationJanvier1[[#This Row],[1]:[31]],Code8)</f>
        <v>0</v>
      </c>
      <c r="AR51" s="30">
        <f>COUNTIF(ParticipationJanvier1[[#This Row],[1]:[31]],Code9)</f>
        <v>0</v>
      </c>
      <c r="AS51" s="473">
        <f>COUNTIF(ParticipationJanvier1[[#This Row],[1]:[31]],Code10)</f>
        <v>0</v>
      </c>
      <c r="AT51" s="473">
        <f>COUNTIF(ParticipationJanvier1[[#This Row],[1]:[31]],Code11)</f>
        <v>0</v>
      </c>
      <c r="AU51" s="473">
        <f>COUNTIF(ParticipationJanvier1[[#This Row],[1]:[31]],Code12)</f>
        <v>0</v>
      </c>
      <c r="AV51" s="473">
        <f>COUNTIF(ParticipationJanvier1[[#This Row],[1]:[31]],Code13)</f>
        <v>0</v>
      </c>
      <c r="AW51" s="473">
        <f>COUNTIF(ParticipationJanvier1[[#This Row],[1]:[31]],Code14)</f>
        <v>0</v>
      </c>
      <c r="AX51" s="473">
        <f>COUNTIF(ParticipationJanvier1[[#This Row],[1]:[31]],Code15)</f>
        <v>0</v>
      </c>
      <c r="AY51" s="473">
        <f>COUNTIF(ParticipationJanvier1[[#This Row],[1]:[31]],Code16)</f>
        <v>0</v>
      </c>
      <c r="AZ51" s="473">
        <f>COUNTIF(ParticipationJanvier1[[#This Row],[1]:[31]],Code17)</f>
        <v>0</v>
      </c>
      <c r="BA51" s="475">
        <f>COUNTIF(ParticipationJanvier1[[#This Row],[1]:[31]],Code25)</f>
        <v>0</v>
      </c>
      <c r="BB51" s="475">
        <f>COUNTIF(ParticipationJanvier1[[#This Row],[1]:[31]],Code26)</f>
        <v>0</v>
      </c>
      <c r="BC51" s="475">
        <f>COUNTIF(ParticipationJanvier1[[#This Row],[1]:[31]],Code27)</f>
        <v>0</v>
      </c>
      <c r="BD51" s="475">
        <f>COUNTIF(ParticipationJanvier1[[#This Row],[1]:[31]],Code28)</f>
        <v>0</v>
      </c>
      <c r="BE51" s="475">
        <f>COUNTIF(ParticipationJanvier1[[#This Row],[1]:[31]],code30)</f>
        <v>0</v>
      </c>
      <c r="BF51" s="475">
        <f>COUNTIF(ParticipationJanvier1[[#This Row],[1]:[31]],Code31)</f>
        <v>0</v>
      </c>
      <c r="BG51" s="473">
        <f>COUNTIF(ParticipationJanvier1[[#This Row],[1]:[31]],code21)</f>
        <v>0</v>
      </c>
      <c r="BH51" s="473">
        <f>COUNTIF(ParticipationJanvier1[[#This Row],[1]:[31]],Code24)</f>
        <v>0</v>
      </c>
      <c r="BI51" s="473">
        <f>COUNTIF(ParticipationJanvier1[[#This Row],[1]:[31]],code18)</f>
        <v>0</v>
      </c>
      <c r="BJ51" s="473">
        <f>COUNTIF(ParticipationJanvier1[[#This Row],[1]:[31]],code19)</f>
        <v>0</v>
      </c>
      <c r="BK51" s="473">
        <f>COUNTIF(ParticipationJanvier1[[#This Row],[1]:[31]],code20)</f>
        <v>0</v>
      </c>
      <c r="BL51" s="476">
        <f>COUNTIF(ParticipationJanvier1[[#This Row],[1]:[31]],code29)</f>
        <v>0</v>
      </c>
      <c r="BM51" s="472">
        <f>SUM((AH51*1)+(AI56*1.5)+(AJ51*2)+(AK51*3)+(AL51*4)+(AQ51*5)+(AR51*6)+(AS51*7)+(AW51*2)+(AX51*3)+(AY51*4)+(AZ51*5)+(BG51*2))</f>
        <v>0</v>
      </c>
      <c r="BN51" s="472"/>
      <c r="BO51" s="472"/>
      <c r="BP51" s="472"/>
      <c r="BQ51" s="472"/>
      <c r="BR51" s="473"/>
      <c r="BS51" s="473"/>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2"/>
      <c r="CT51" s="472"/>
      <c r="CU51" s="516">
        <f>SUM((AN51*1)+(AM51*2)+(AO51*3)+(AP51*4)+(AT51*5)+(AU51*7)+(AV51*7)+(AW51*7)+(AX51*4)+(AY51*3)+(BA51*2)+(BC51*4)+(BB51*1)+(BG51*2)+(AZ51*5)+(BD51*1))</f>
        <v>0</v>
      </c>
      <c r="CV51" s="521">
        <f>SUM((AH51*1)+(AI51*1.5)+(AJ51*2)+(AK51*3)+(AP51*5)+(AQ51*6)+(AR51*7)+(AU51*2)+(AX51*3)+(AY51*4)+(BA51*5)+(BB51*3)+(BC51*2)+(BG51*2)+(AZ51*2)+(BD51*2))</f>
        <v>0</v>
      </c>
      <c r="CW51" s="522">
        <f>SUM((AN51*1)+(AM51*2)+(AO51*3)+(AP51*4)+(AT51*5)+(AU51*7)+(AV51*7)+(AW51*7)+(AX51*4)+(AY51*3)+(BA51*2)+(BC51*4)+(BB51*1)+(BG51*2)+(AZ51*5)+(BD51*1))</f>
        <v>0</v>
      </c>
      <c r="CX51" s="523">
        <f>BH51*1</f>
        <v>0</v>
      </c>
      <c r="CY51" s="512"/>
    </row>
    <row r="52" spans="1:125">
      <c r="A52" s="510" t="s">
        <v>393</v>
      </c>
      <c r="B52" s="372" t="str">
        <f>IFERROR(VLOOKUP(ParticipationJanvier1[[#This Row],[Référence]],ListeÉtudiants1[],18,FALSE),"")</f>
        <v>DANION LUCIE</v>
      </c>
      <c r="C52" s="19"/>
      <c r="D52" s="19"/>
      <c r="E52" s="19"/>
      <c r="F52" s="19"/>
      <c r="G52" s="287"/>
      <c r="H52" s="19"/>
      <c r="I52" s="287"/>
      <c r="J52" s="19"/>
      <c r="K52" s="287"/>
      <c r="L52" s="19"/>
      <c r="M52" s="287"/>
      <c r="N52" s="19" t="s">
        <v>507</v>
      </c>
      <c r="O52" s="19"/>
      <c r="P52" s="19"/>
      <c r="Q52" s="19" t="s">
        <v>490</v>
      </c>
      <c r="R52" s="19"/>
      <c r="S52" s="19"/>
      <c r="T52" s="19"/>
      <c r="U52" s="287"/>
      <c r="W52" s="287"/>
      <c r="X52" s="19"/>
      <c r="Y52" s="287"/>
      <c r="Z52" s="19"/>
      <c r="AA52" s="287"/>
      <c r="AB52" s="19"/>
      <c r="AC52" s="287"/>
      <c r="AD52" s="19"/>
      <c r="AE52" s="287"/>
      <c r="AF52" s="19"/>
      <c r="AG52" s="295"/>
      <c r="AH52" s="6">
        <f>COUNTIF(ParticipationJanvier1[[#This Row],[1]:[31]],Code1)</f>
        <v>0</v>
      </c>
      <c r="AI52" s="6">
        <f>COUNTIF(ParticipationJanvier1[[#This Row],[1]:[31]],code22)</f>
        <v>0</v>
      </c>
      <c r="AJ52" s="6">
        <f>COUNTIF(ParticipationJanvier1[[#This Row],[1]:[31]],Code2)</f>
        <v>0</v>
      </c>
      <c r="AK52" s="6">
        <f>COUNTIF(ParticipationJanvier1[[#This Row],[1]:[31]],Code3)</f>
        <v>0</v>
      </c>
      <c r="AL52" s="6">
        <f>COUNTIF(ParticipationJanvier1[[#This Row],[1]:[31]],Code4)</f>
        <v>0</v>
      </c>
      <c r="AM52" s="6">
        <f>COUNTIF(ParticipationJanvier1[[#This Row],[1]:[31]],Code5)</f>
        <v>0</v>
      </c>
      <c r="AN52" s="6">
        <f>COUNTIF(ParticipationJanvier1[[#This Row],[1]:[31]],Code23)</f>
        <v>0</v>
      </c>
      <c r="AO52" s="6">
        <f>COUNTIF(ParticipationJanvier1[[#This Row],[1]:[31]],Code6)</f>
        <v>0</v>
      </c>
      <c r="AP52" s="6">
        <f>COUNTIF(ParticipationJanvier1[[#This Row],[1]:[31]],Code7)</f>
        <v>0</v>
      </c>
      <c r="AQ52" s="6">
        <f>COUNTIF(ParticipationJanvier1[[#This Row],[1]:[31]],Code8)</f>
        <v>0</v>
      </c>
      <c r="AR52" s="6">
        <f>COUNTIF(ParticipationJanvier1[[#This Row],[1]:[31]],Code9)</f>
        <v>0</v>
      </c>
      <c r="AS52" s="6">
        <f>COUNTIF(ParticipationJanvier1[[#This Row],[1]:[31]],Code10)</f>
        <v>0</v>
      </c>
      <c r="AT52" s="6">
        <f>COUNTIF(ParticipationJanvier1[[#This Row],[1]:[31]],Code11)</f>
        <v>0</v>
      </c>
      <c r="AU52" s="6">
        <f>COUNTIF(ParticipationJanvier1[[#This Row],[1]:[31]],Code12)</f>
        <v>0</v>
      </c>
      <c r="AV52" s="6">
        <f>COUNTIF(ParticipationJanvier1[[#This Row],[1]:[31]],Code13)</f>
        <v>0</v>
      </c>
      <c r="AW52" s="6">
        <f>COUNTIF(ParticipationJanvier1[[#This Row],[1]:[31]],Code14)</f>
        <v>0</v>
      </c>
      <c r="AX52" s="6">
        <f>COUNTIF(ParticipationJanvier1[[#This Row],[1]:[31]],Code15)</f>
        <v>1</v>
      </c>
      <c r="AY52" s="6">
        <f>COUNTIF(ParticipationJanvier1[[#This Row],[1]:[31]],Code16)</f>
        <v>0</v>
      </c>
      <c r="AZ52" s="6">
        <f>COUNTIF(ParticipationJanvier1[[#This Row],[1]:[31]],Code17)</f>
        <v>0</v>
      </c>
      <c r="BA52" s="6">
        <f>COUNTIF(ParticipationJanvier1[[#This Row],[1]:[31]],Code25)</f>
        <v>0</v>
      </c>
      <c r="BB52" s="6">
        <f>COUNTIF(ParticipationJanvier1[[#This Row],[1]:[31]],Code26)</f>
        <v>0</v>
      </c>
      <c r="BC52" s="6">
        <f>COUNTIF(ParticipationJanvier1[[#This Row],[1]:[31]],Code27)</f>
        <v>0</v>
      </c>
      <c r="BD52" s="6">
        <f>COUNTIF(ParticipationJanvier1[[#This Row],[1]:[31]],Code28)</f>
        <v>0</v>
      </c>
      <c r="BE52" s="6">
        <f>COUNTIF(ParticipationJanvier1[[#This Row],[1]:[31]],code30)</f>
        <v>0</v>
      </c>
      <c r="BF52" s="6">
        <f>COUNTIF(ParticipationJanvier1[[#This Row],[1]:[31]],Code31)</f>
        <v>0</v>
      </c>
      <c r="BG52" s="6">
        <f>COUNTIF(ParticipationJanvier1[[#This Row],[1]:[31]],code21)</f>
        <v>1</v>
      </c>
      <c r="BH52" s="6">
        <f>COUNTIF(ParticipationJanvier1[[#This Row],[1]:[31]],Code24)</f>
        <v>0</v>
      </c>
      <c r="BI52" s="6">
        <f>COUNTIF(ParticipationJanvier1[[#This Row],[1]:[31]],code18)</f>
        <v>0</v>
      </c>
      <c r="BJ52" s="6">
        <f>COUNTIF(ParticipationJanvier1[[#This Row],[1]:[31]],code19)</f>
        <v>0</v>
      </c>
      <c r="BK52" s="6">
        <f>COUNTIF(ParticipationJanvier1[[#This Row],[1]:[31]],code20)</f>
        <v>0</v>
      </c>
      <c r="BL52" s="182">
        <f>COUNTIF(ParticipationJanvier1[[#This Row],[1]:[31]],code29)</f>
        <v>0</v>
      </c>
      <c r="BM52" s="297">
        <v>1</v>
      </c>
      <c r="BN52" s="297"/>
      <c r="BO52" s="297"/>
      <c r="BP52" s="297"/>
      <c r="BQ52" s="297"/>
      <c r="BR52" s="297"/>
      <c r="BS52" s="297"/>
      <c r="BT52" s="297"/>
      <c r="BU52" s="297"/>
      <c r="BV52" s="297"/>
      <c r="BW52" s="297"/>
      <c r="BX52" s="297"/>
      <c r="BY52" s="297"/>
      <c r="BZ52" s="297"/>
      <c r="CA52" s="297"/>
      <c r="CB52" s="297"/>
      <c r="CC52" s="297"/>
      <c r="CD52" s="297"/>
      <c r="CE52" s="297"/>
      <c r="CF52" s="297"/>
      <c r="CG52" s="297">
        <v>1</v>
      </c>
      <c r="CH52" s="297"/>
      <c r="CI52" s="297"/>
      <c r="CJ52" s="297"/>
      <c r="CK52" s="297"/>
      <c r="CL52" s="297"/>
      <c r="CM52" s="297"/>
      <c r="CN52" s="297"/>
      <c r="CO52" s="297"/>
      <c r="CP52" s="297"/>
      <c r="CQ52" s="297"/>
      <c r="CR52" s="297"/>
      <c r="CS52" s="297"/>
      <c r="CT52" s="297"/>
      <c r="CU52" s="300"/>
      <c r="CV52" s="165">
        <f t="shared" si="0"/>
        <v>5</v>
      </c>
      <c r="CW52" s="165">
        <f t="shared" si="1"/>
        <v>6</v>
      </c>
      <c r="CX52" s="249">
        <f t="shared" si="2"/>
        <v>0</v>
      </c>
      <c r="CY52" s="170"/>
    </row>
    <row r="53" spans="1:125">
      <c r="A53" s="510" t="s">
        <v>394</v>
      </c>
      <c r="B53" s="372" t="str">
        <f>IFERROR(VLOOKUP(ParticipationJanvier1[[#This Row],[Référence]],ListeÉtudiants1[],18,FALSE),"")</f>
        <v>DE LUISE STELLA</v>
      </c>
      <c r="C53" s="19"/>
      <c r="D53" s="19"/>
      <c r="E53" s="19"/>
      <c r="F53" s="19"/>
      <c r="G53" s="287"/>
      <c r="H53" s="19"/>
      <c r="I53" s="287"/>
      <c r="J53" s="19"/>
      <c r="K53" s="287"/>
      <c r="L53" s="19"/>
      <c r="M53" s="287"/>
      <c r="N53" s="19" t="s">
        <v>105</v>
      </c>
      <c r="O53" s="19"/>
      <c r="P53" s="19"/>
      <c r="Q53" s="19" t="s">
        <v>490</v>
      </c>
      <c r="R53" s="19" t="s">
        <v>106</v>
      </c>
      <c r="S53" s="19" t="s">
        <v>107</v>
      </c>
      <c r="T53" s="19"/>
      <c r="U53" s="287"/>
      <c r="W53" s="287"/>
      <c r="X53" s="19"/>
      <c r="Y53" s="287"/>
      <c r="Z53" s="19"/>
      <c r="AA53" s="287"/>
      <c r="AB53" s="19"/>
      <c r="AC53" s="287"/>
      <c r="AD53" s="19"/>
      <c r="AE53" s="287"/>
      <c r="AF53" s="19"/>
      <c r="AG53" s="295"/>
      <c r="AH53" s="6">
        <f>COUNTIF(ParticipationJanvier1[[#This Row],[1]:[31]],Code1)</f>
        <v>0</v>
      </c>
      <c r="AI53" s="6">
        <f>COUNTIF(ParticipationJanvier1[[#This Row],[1]:[31]],code22)</f>
        <v>0</v>
      </c>
      <c r="AJ53" s="6">
        <f>COUNTIF(ParticipationJanvier1[[#This Row],[1]:[31]],Code2)</f>
        <v>1</v>
      </c>
      <c r="AK53" s="6">
        <f>COUNTIF(ParticipationJanvier1[[#This Row],[1]:[31]],Code3)</f>
        <v>1</v>
      </c>
      <c r="AL53" s="6">
        <f>COUNTIF(ParticipationJanvier1[[#This Row],[1]:[31]],Code4)</f>
        <v>1</v>
      </c>
      <c r="AM53" s="6">
        <f>COUNTIF(ParticipationJanvier1[[#This Row],[1]:[31]],Code5)</f>
        <v>0</v>
      </c>
      <c r="AN53" s="6">
        <f>COUNTIF(ParticipationJanvier1[[#This Row],[1]:[31]],Code23)</f>
        <v>0</v>
      </c>
      <c r="AO53" s="6">
        <f>COUNTIF(ParticipationJanvier1[[#This Row],[1]:[31]],Code6)</f>
        <v>0</v>
      </c>
      <c r="AP53" s="6">
        <f>COUNTIF(ParticipationJanvier1[[#This Row],[1]:[31]],Code7)</f>
        <v>0</v>
      </c>
      <c r="AQ53" s="6">
        <f>COUNTIF(ParticipationJanvier1[[#This Row],[1]:[31]],Code8)</f>
        <v>0</v>
      </c>
      <c r="AR53" s="6">
        <f>COUNTIF(ParticipationJanvier1[[#This Row],[1]:[31]],Code9)</f>
        <v>0</v>
      </c>
      <c r="AS53" s="6">
        <f>COUNTIF(ParticipationJanvier1[[#This Row],[1]:[31]],Code10)</f>
        <v>0</v>
      </c>
      <c r="AT53" s="6">
        <f>COUNTIF(ParticipationJanvier1[[#This Row],[1]:[31]],Code11)</f>
        <v>0</v>
      </c>
      <c r="AU53" s="6">
        <f>COUNTIF(ParticipationJanvier1[[#This Row],[1]:[31]],Code12)</f>
        <v>0</v>
      </c>
      <c r="AV53" s="6">
        <f>COUNTIF(ParticipationJanvier1[[#This Row],[1]:[31]],Code13)</f>
        <v>0</v>
      </c>
      <c r="AW53" s="6">
        <f>COUNTIF(ParticipationJanvier1[[#This Row],[1]:[31]],Code14)</f>
        <v>0</v>
      </c>
      <c r="AX53" s="6">
        <f>COUNTIF(ParticipationJanvier1[[#This Row],[1]:[31]],Code15)</f>
        <v>1</v>
      </c>
      <c r="AY53" s="6">
        <f>COUNTIF(ParticipationJanvier1[[#This Row],[1]:[31]],Code16)</f>
        <v>0</v>
      </c>
      <c r="AZ53" s="6">
        <f>COUNTIF(ParticipationJanvier1[[#This Row],[1]:[31]],Code17)</f>
        <v>0</v>
      </c>
      <c r="BA53" s="6">
        <f>COUNTIF(ParticipationJanvier1[[#This Row],[1]:[31]],Code25)</f>
        <v>0</v>
      </c>
      <c r="BB53" s="6">
        <f>COUNTIF(ParticipationJanvier1[[#This Row],[1]:[31]],Code26)</f>
        <v>0</v>
      </c>
      <c r="BC53" s="6">
        <f>COUNTIF(ParticipationJanvier1[[#This Row],[1]:[31]],Code27)</f>
        <v>0</v>
      </c>
      <c r="BD53" s="6">
        <f>COUNTIF(ParticipationJanvier1[[#This Row],[1]:[31]],Code28)</f>
        <v>0</v>
      </c>
      <c r="BE53" s="6">
        <f>COUNTIF(ParticipationJanvier1[[#This Row],[1]:[31]],code30)</f>
        <v>0</v>
      </c>
      <c r="BF53" s="6">
        <f>COUNTIF(ParticipationJanvier1[[#This Row],[1]:[31]],Code31)</f>
        <v>0</v>
      </c>
      <c r="BG53" s="6">
        <f>COUNTIF(ParticipationJanvier1[[#This Row],[1]:[31]],code21)</f>
        <v>0</v>
      </c>
      <c r="BH53" s="6">
        <f>COUNTIF(ParticipationJanvier1[[#This Row],[1]:[31]],Code24)</f>
        <v>0</v>
      </c>
      <c r="BI53" s="6">
        <f>COUNTIF(ParticipationJanvier1[[#This Row],[1]:[31]],code18)</f>
        <v>0</v>
      </c>
      <c r="BJ53" s="6">
        <f>COUNTIF(ParticipationJanvier1[[#This Row],[1]:[31]],code19)</f>
        <v>0</v>
      </c>
      <c r="BK53" s="6">
        <f>COUNTIF(ParticipationJanvier1[[#This Row],[1]:[31]],code20)</f>
        <v>0</v>
      </c>
      <c r="BL53" s="182">
        <f>COUNTIF(ParticipationJanvier1[[#This Row],[1]:[31]],code29)</f>
        <v>0</v>
      </c>
      <c r="BM53" s="297">
        <v>3</v>
      </c>
      <c r="BN53" s="297"/>
      <c r="BO53" s="297"/>
      <c r="BP53" s="297"/>
      <c r="BQ53" s="297"/>
      <c r="BR53" s="297"/>
      <c r="BS53" s="297"/>
      <c r="BT53" s="297"/>
      <c r="BU53" s="297"/>
      <c r="BV53" s="297"/>
      <c r="BW53" s="297"/>
      <c r="BX53" s="297"/>
      <c r="BY53" s="297"/>
      <c r="BZ53" s="297"/>
      <c r="CA53" s="297"/>
      <c r="CB53" s="297"/>
      <c r="CC53" s="297"/>
      <c r="CD53" s="297"/>
      <c r="CE53" s="297"/>
      <c r="CF53" s="297"/>
      <c r="CG53" s="297">
        <v>1</v>
      </c>
      <c r="CH53" s="297"/>
      <c r="CI53" s="297"/>
      <c r="CJ53" s="297"/>
      <c r="CK53" s="297"/>
      <c r="CL53" s="297"/>
      <c r="CM53" s="297"/>
      <c r="CN53" s="297"/>
      <c r="CO53" s="297"/>
      <c r="CP53" s="297"/>
      <c r="CQ53" s="297"/>
      <c r="CR53" s="297"/>
      <c r="CS53" s="297"/>
      <c r="CT53" s="297"/>
      <c r="CU53" s="300"/>
      <c r="CV53" s="165">
        <f t="shared" si="0"/>
        <v>8</v>
      </c>
      <c r="CW53" s="165">
        <f t="shared" si="1"/>
        <v>4</v>
      </c>
      <c r="CX53" s="249">
        <f t="shared" si="2"/>
        <v>0</v>
      </c>
      <c r="CY53" s="170"/>
    </row>
    <row r="54" spans="1:125">
      <c r="A54" s="534" t="s">
        <v>395</v>
      </c>
      <c r="B54" s="372" t="str">
        <f>IFERROR(VLOOKUP(ParticipationJanvier1[[#This Row],[Référence]],ListeÉtudiants1[],18,FALSE),"")</f>
        <v>DIAOUNE MAJULA</v>
      </c>
      <c r="C54" s="19"/>
      <c r="D54" s="19"/>
      <c r="E54" s="19"/>
      <c r="F54" s="19"/>
      <c r="G54" s="287"/>
      <c r="H54" s="19"/>
      <c r="I54" s="287"/>
      <c r="J54" s="19"/>
      <c r="K54" s="287"/>
      <c r="L54" s="19"/>
      <c r="M54" s="287"/>
      <c r="N54" s="19"/>
      <c r="O54" s="19"/>
      <c r="P54" s="19"/>
      <c r="Q54" s="19" t="s">
        <v>529</v>
      </c>
      <c r="R54" s="19"/>
      <c r="S54" s="19"/>
      <c r="T54" s="19"/>
      <c r="U54" s="287"/>
      <c r="W54" s="287"/>
      <c r="X54" s="19"/>
      <c r="Y54" s="287"/>
      <c r="Z54" s="19"/>
      <c r="AA54" s="287"/>
      <c r="AB54" s="19"/>
      <c r="AC54" s="287"/>
      <c r="AD54" s="19"/>
      <c r="AE54" s="287"/>
      <c r="AF54" s="19"/>
      <c r="AG54" s="295"/>
      <c r="AH54" s="6">
        <f>COUNTIF(ParticipationJanvier1[[#This Row],[1]:[31]],Code1)</f>
        <v>0</v>
      </c>
      <c r="AI54" s="6">
        <f>COUNTIF(ParticipationJanvier1[[#This Row],[1]:[31]],code22)</f>
        <v>0</v>
      </c>
      <c r="AJ54" s="6">
        <f>COUNTIF(ParticipationJanvier1[[#This Row],[1]:[31]],Code2)</f>
        <v>0</v>
      </c>
      <c r="AK54" s="6">
        <f>COUNTIF(ParticipationJanvier1[[#This Row],[1]:[31]],Code3)</f>
        <v>0</v>
      </c>
      <c r="AL54" s="6">
        <f>COUNTIF(ParticipationJanvier1[[#This Row],[1]:[31]],Code4)</f>
        <v>0</v>
      </c>
      <c r="AM54" s="6">
        <f>COUNTIF(ParticipationJanvier1[[#This Row],[1]:[31]],Code5)</f>
        <v>0</v>
      </c>
      <c r="AN54" s="6">
        <f>COUNTIF(ParticipationJanvier1[[#This Row],[1]:[31]],Code23)</f>
        <v>1</v>
      </c>
      <c r="AO54" s="6">
        <f>COUNTIF(ParticipationJanvier1[[#This Row],[1]:[31]],Code6)</f>
        <v>0</v>
      </c>
      <c r="AP54" s="6">
        <f>COUNTIF(ParticipationJanvier1[[#This Row],[1]:[31]],Code7)</f>
        <v>0</v>
      </c>
      <c r="AQ54" s="6">
        <f>COUNTIF(ParticipationJanvier1[[#This Row],[1]:[31]],Code8)</f>
        <v>0</v>
      </c>
      <c r="AR54" s="6">
        <f>COUNTIF(ParticipationJanvier1[[#This Row],[1]:[31]],Code9)</f>
        <v>0</v>
      </c>
      <c r="AS54" s="6">
        <f>COUNTIF(ParticipationJanvier1[[#This Row],[1]:[31]],Code10)</f>
        <v>0</v>
      </c>
      <c r="AT54" s="6">
        <f>COUNTIF(ParticipationJanvier1[[#This Row],[1]:[31]],Code11)</f>
        <v>0</v>
      </c>
      <c r="AU54" s="6">
        <f>COUNTIF(ParticipationJanvier1[[#This Row],[1]:[31]],Code12)</f>
        <v>0</v>
      </c>
      <c r="AV54" s="6">
        <f>COUNTIF(ParticipationJanvier1[[#This Row],[1]:[31]],Code13)</f>
        <v>0</v>
      </c>
      <c r="AW54" s="6">
        <f>COUNTIF(ParticipationJanvier1[[#This Row],[1]:[31]],Code14)</f>
        <v>0</v>
      </c>
      <c r="AX54" s="6">
        <f>COUNTIF(ParticipationJanvier1[[#This Row],[1]:[31]],Code15)</f>
        <v>0</v>
      </c>
      <c r="AY54" s="6">
        <f>COUNTIF(ParticipationJanvier1[[#This Row],[1]:[31]],Code16)</f>
        <v>0</v>
      </c>
      <c r="AZ54" s="6">
        <f>COUNTIF(ParticipationJanvier1[[#This Row],[1]:[31]],Code17)</f>
        <v>0</v>
      </c>
      <c r="BA54" s="6">
        <f>COUNTIF(ParticipationJanvier1[[#This Row],[1]:[31]],Code25)</f>
        <v>0</v>
      </c>
      <c r="BB54" s="6">
        <f>COUNTIF(ParticipationJanvier1[[#This Row],[1]:[31]],Code26)</f>
        <v>0</v>
      </c>
      <c r="BC54" s="6">
        <f>COUNTIF(ParticipationJanvier1[[#This Row],[1]:[31]],Code27)</f>
        <v>0</v>
      </c>
      <c r="BD54" s="6">
        <f>COUNTIF(ParticipationJanvier1[[#This Row],[1]:[31]],Code28)</f>
        <v>0</v>
      </c>
      <c r="BE54" s="6">
        <f>COUNTIF(ParticipationJanvier1[[#This Row],[1]:[31]],code30)</f>
        <v>0</v>
      </c>
      <c r="BF54" s="6">
        <f>COUNTIF(ParticipationJanvier1[[#This Row],[1]:[31]],Code31)</f>
        <v>0</v>
      </c>
      <c r="BG54" s="6">
        <f>COUNTIF(ParticipationJanvier1[[#This Row],[1]:[31]],code21)</f>
        <v>0</v>
      </c>
      <c r="BH54" s="6">
        <f>COUNTIF(ParticipationJanvier1[[#This Row],[1]:[31]],Code24)</f>
        <v>0</v>
      </c>
      <c r="BI54" s="6">
        <f>COUNTIF(ParticipationJanvier1[[#This Row],[1]:[31]],code18)</f>
        <v>0</v>
      </c>
      <c r="BJ54" s="6">
        <f>COUNTIF(ParticipationJanvier1[[#This Row],[1]:[31]],code19)</f>
        <v>0</v>
      </c>
      <c r="BK54" s="6">
        <f>COUNTIF(ParticipationJanvier1[[#This Row],[1]:[31]],code20)</f>
        <v>0</v>
      </c>
      <c r="BL54" s="182">
        <f>COUNTIF(ParticipationJanvier1[[#This Row],[1]:[31]],code29)</f>
        <v>0</v>
      </c>
      <c r="BM54" s="297"/>
      <c r="BN54" s="297"/>
      <c r="BO54" s="297"/>
      <c r="BP54" s="297"/>
      <c r="BQ54" s="297"/>
      <c r="BR54" s="297"/>
      <c r="BS54" s="297"/>
      <c r="BT54" s="297"/>
      <c r="BU54" s="297"/>
      <c r="BV54" s="297"/>
      <c r="BW54" s="297"/>
      <c r="BX54" s="297"/>
      <c r="BY54" s="297"/>
      <c r="BZ54" s="297"/>
      <c r="CA54" s="297"/>
      <c r="CB54" s="297"/>
      <c r="CC54" s="297"/>
      <c r="CD54" s="297"/>
      <c r="CE54" s="297"/>
      <c r="CF54" s="297"/>
      <c r="CG54" s="297"/>
      <c r="CH54" s="297"/>
      <c r="CI54" s="297"/>
      <c r="CJ54" s="297"/>
      <c r="CK54" s="297"/>
      <c r="CL54" s="297"/>
      <c r="CM54" s="297"/>
      <c r="CN54" s="297"/>
      <c r="CO54" s="297"/>
      <c r="CP54" s="297"/>
      <c r="CQ54" s="297"/>
      <c r="CR54" s="297"/>
      <c r="CS54" s="297"/>
      <c r="CT54" s="297"/>
      <c r="CU54" s="300"/>
      <c r="CV54" s="165">
        <f t="shared" si="0"/>
        <v>0</v>
      </c>
      <c r="CW54" s="165">
        <f t="shared" si="1"/>
        <v>1</v>
      </c>
      <c r="CX54" s="249">
        <f t="shared" si="2"/>
        <v>0</v>
      </c>
      <c r="CY54" s="170"/>
    </row>
    <row r="55" spans="1:125">
      <c r="A55" s="510" t="s">
        <v>396</v>
      </c>
      <c r="B55" s="372" t="str">
        <f>IFERROR(VLOOKUP(ParticipationJanvier1[[#This Row],[Référence]],ListeÉtudiants1[],18,FALSE),"")</f>
        <v>DOS SANTOS SILVA CELIA</v>
      </c>
      <c r="C55" s="19"/>
      <c r="D55" s="19"/>
      <c r="E55" s="19"/>
      <c r="F55" s="19"/>
      <c r="G55" s="518"/>
      <c r="H55" s="19"/>
      <c r="I55" s="518"/>
      <c r="J55" s="19"/>
      <c r="K55" s="518"/>
      <c r="L55" s="19"/>
      <c r="M55" s="518"/>
      <c r="N55" s="19"/>
      <c r="O55" s="518"/>
      <c r="P55" s="19"/>
      <c r="Q55" s="518"/>
      <c r="R55" s="19"/>
      <c r="S55" s="518"/>
      <c r="T55" s="19"/>
      <c r="U55" s="518"/>
      <c r="W55" s="518"/>
      <c r="X55" s="19"/>
      <c r="Y55" s="518"/>
      <c r="Z55" s="19"/>
      <c r="AA55" s="518"/>
      <c r="AB55" s="19"/>
      <c r="AC55" s="518"/>
      <c r="AD55" s="19"/>
      <c r="AE55" s="518"/>
      <c r="AF55" s="19"/>
      <c r="AG55" s="519"/>
      <c r="AH55" s="475">
        <f>COUNTIF(ParticipationJanvier1[[#This Row],[1]:[31]],Code1)</f>
        <v>0</v>
      </c>
      <c r="AI55" s="518">
        <f>COUNTIF(ParticipationJanvier1[[#This Row],[1]:[31]],code22)</f>
        <v>0</v>
      </c>
      <c r="AJ55" s="473">
        <f>COUNTIF(ParticipationJanvier1[[#This Row],[1]:[31]],Code2)</f>
        <v>0</v>
      </c>
      <c r="AK55" s="520">
        <f>COUNTIF(ParticipationJanvier1[[#This Row],[1]:[31]],Code3)</f>
        <v>0</v>
      </c>
      <c r="AL55" s="473">
        <f>COUNTIF(ParticipationJanvier1[[#This Row],[1]:[31]],Code4)</f>
        <v>0</v>
      </c>
      <c r="AM55" s="520">
        <f>COUNTIF(ParticipationJanvier1[[#This Row],[1]:[31]],Code5)</f>
        <v>0</v>
      </c>
      <c r="AN55" s="30">
        <f>COUNTIF(ParticipationJanvier1[[#This Row],[1]:[31]],Code23)</f>
        <v>0</v>
      </c>
      <c r="AO55" s="473">
        <f>COUNTIF(ParticipationJanvier1[[#This Row],[1]:[31]],Code6)</f>
        <v>0</v>
      </c>
      <c r="AP55" s="30">
        <f>COUNTIF(ParticipationJanvier1[[#This Row],[1]:[31]],Code7)</f>
        <v>0</v>
      </c>
      <c r="AQ55" s="30">
        <f>COUNTIF(ParticipationJanvier1[[#This Row],[1]:[31]],Code8)</f>
        <v>0</v>
      </c>
      <c r="AR55" s="30">
        <f>COUNTIF(ParticipationJanvier1[[#This Row],[1]:[31]],Code9)</f>
        <v>0</v>
      </c>
      <c r="AS55" s="473">
        <f>COUNTIF(ParticipationJanvier1[[#This Row],[1]:[31]],Code10)</f>
        <v>0</v>
      </c>
      <c r="AT55" s="473">
        <f>COUNTIF(ParticipationJanvier1[[#This Row],[1]:[31]],Code11)</f>
        <v>0</v>
      </c>
      <c r="AU55" s="473">
        <f>COUNTIF(ParticipationJanvier1[[#This Row],[1]:[31]],Code12)</f>
        <v>0</v>
      </c>
      <c r="AV55" s="473">
        <f>COUNTIF(ParticipationJanvier1[[#This Row],[1]:[31]],Code13)</f>
        <v>0</v>
      </c>
      <c r="AW55" s="473">
        <f>COUNTIF(ParticipationJanvier1[[#This Row],[1]:[31]],Code14)</f>
        <v>0</v>
      </c>
      <c r="AX55" s="473">
        <f>COUNTIF(ParticipationJanvier1[[#This Row],[1]:[31]],Code15)</f>
        <v>0</v>
      </c>
      <c r="AY55" s="473">
        <f>COUNTIF(ParticipationJanvier1[[#This Row],[1]:[31]],Code16)</f>
        <v>0</v>
      </c>
      <c r="AZ55" s="473">
        <f>COUNTIF(ParticipationJanvier1[[#This Row],[1]:[31]],Code17)</f>
        <v>0</v>
      </c>
      <c r="BA55" s="475">
        <f>COUNTIF(ParticipationJanvier1[[#This Row],[1]:[31]],Code25)</f>
        <v>0</v>
      </c>
      <c r="BB55" s="475">
        <f>COUNTIF(ParticipationJanvier1[[#This Row],[1]:[31]],Code26)</f>
        <v>0</v>
      </c>
      <c r="BC55" s="475">
        <f>COUNTIF(ParticipationJanvier1[[#This Row],[1]:[31]],Code27)</f>
        <v>0</v>
      </c>
      <c r="BD55" s="475">
        <f>COUNTIF(ParticipationJanvier1[[#This Row],[1]:[31]],Code28)</f>
        <v>0</v>
      </c>
      <c r="BE55" s="475">
        <f>COUNTIF(ParticipationJanvier1[[#This Row],[1]:[31]],code30)</f>
        <v>0</v>
      </c>
      <c r="BF55" s="475">
        <f>COUNTIF(ParticipationJanvier1[[#This Row],[1]:[31]],Code31)</f>
        <v>0</v>
      </c>
      <c r="BG55" s="473">
        <f>COUNTIF(ParticipationJanvier1[[#This Row],[1]:[31]],code21)</f>
        <v>0</v>
      </c>
      <c r="BH55" s="473">
        <f>COUNTIF(ParticipationJanvier1[[#This Row],[1]:[31]],Code24)</f>
        <v>0</v>
      </c>
      <c r="BI55" s="473">
        <f>COUNTIF(ParticipationJanvier1[[#This Row],[1]:[31]],code18)</f>
        <v>0</v>
      </c>
      <c r="BJ55" s="473">
        <f>COUNTIF(ParticipationJanvier1[[#This Row],[1]:[31]],code19)</f>
        <v>0</v>
      </c>
      <c r="BK55" s="473">
        <f>COUNTIF(ParticipationJanvier1[[#This Row],[1]:[31]],code20)</f>
        <v>0</v>
      </c>
      <c r="BL55" s="476">
        <f>COUNTIF(ParticipationJanvier1[[#This Row],[1]:[31]],code29)</f>
        <v>0</v>
      </c>
      <c r="BM55" s="472">
        <f>SUM((AH55*1)+(AI64*1.5)+(AJ55*2)+(AK55*3)+(AL55*4)+(AQ55*5)+(AR55*6)+(AS55*7)+(AW55*2)+(AX55*3)+(AY55*4)+(AZ55*5)+(BG55*2))</f>
        <v>0</v>
      </c>
      <c r="BN55" s="472"/>
      <c r="BO55" s="472"/>
      <c r="BP55" s="472"/>
      <c r="BQ55" s="472"/>
      <c r="BR55" s="473"/>
      <c r="BS55" s="473"/>
      <c r="BT55" s="472"/>
      <c r="BU55" s="472"/>
      <c r="BV55" s="472"/>
      <c r="BW55" s="472"/>
      <c r="BX55" s="472"/>
      <c r="BY55" s="472"/>
      <c r="BZ55" s="472"/>
      <c r="CA55" s="472"/>
      <c r="CB55" s="472"/>
      <c r="CC55" s="472"/>
      <c r="CD55" s="472"/>
      <c r="CE55" s="472"/>
      <c r="CF55" s="472"/>
      <c r="CG55" s="472"/>
      <c r="CH55" s="472"/>
      <c r="CI55" s="472"/>
      <c r="CJ55" s="472"/>
      <c r="CK55" s="472"/>
      <c r="CL55" s="472"/>
      <c r="CM55" s="472"/>
      <c r="CN55" s="472"/>
      <c r="CO55" s="472"/>
      <c r="CP55" s="472"/>
      <c r="CQ55" s="472"/>
      <c r="CR55" s="472"/>
      <c r="CS55" s="472"/>
      <c r="CT55" s="472"/>
      <c r="CU55" s="516">
        <f>SUM((AN55*1)+(AM55*2)+(AO55*3)+(AP55*4)+(AT55*5)+(AU55*7)+(AV55*7)+(AW55*7)+(AX55*4)+(AY55*3)+(BA55*2)+(BC55*4)+(BB55*1)+(BG55*2)+(AZ55*5)+(BD55*1))</f>
        <v>0</v>
      </c>
      <c r="CV55" s="521">
        <f>SUM((AH55*1)+(AI55*1.5)+(AJ55*2)+(AK55*3)+(AP55*5)+(AQ55*6)+(AR55*7)+(AU55*2)+(AX55*3)+(AY55*4)+(BA55*5)+(BB55*3)+(BC55*2)+(BG55*2)+(AZ55*2)+(BD55*2))</f>
        <v>0</v>
      </c>
      <c r="CW55" s="522">
        <f>SUM((AN55*1)+(AM55*2)+(AO55*3)+(AP55*4)+(AT55*5)+(AU55*7)+(AV55*7)+(AW55*7)+(AX55*4)+(AY55*3)+(BA55*2)+(BC55*4)+(BB55*1)+(BG55*2)+(AZ55*5)+(BD55*1))</f>
        <v>0</v>
      </c>
      <c r="CX55" s="523">
        <f>BH55*1</f>
        <v>0</v>
      </c>
      <c r="CY55" s="512"/>
    </row>
    <row r="56" spans="1:125">
      <c r="A56" s="534" t="s">
        <v>397</v>
      </c>
      <c r="B56" s="372" t="str">
        <f>IFERROR(VLOOKUP(ParticipationJanvier1[[#This Row],[Référence]],ListeÉtudiants1[],18,FALSE),"")</f>
        <v>DOSSOU ESTELLE</v>
      </c>
      <c r="C56" s="19"/>
      <c r="D56" s="19"/>
      <c r="E56" s="19"/>
      <c r="F56" s="19"/>
      <c r="G56" s="287"/>
      <c r="H56" s="19"/>
      <c r="I56" s="287"/>
      <c r="J56" s="19"/>
      <c r="K56" s="287"/>
      <c r="L56" s="19"/>
      <c r="M56" s="287"/>
      <c r="N56" s="19"/>
      <c r="O56" s="19"/>
      <c r="P56" s="19"/>
      <c r="Q56" s="19" t="s">
        <v>108</v>
      </c>
      <c r="R56" s="19"/>
      <c r="S56" s="19"/>
      <c r="T56" s="19"/>
      <c r="U56" s="287"/>
      <c r="W56" s="287"/>
      <c r="X56" s="19"/>
      <c r="Y56" s="287"/>
      <c r="Z56" s="19"/>
      <c r="AA56" s="287"/>
      <c r="AB56" s="19"/>
      <c r="AC56" s="287"/>
      <c r="AD56" s="19"/>
      <c r="AE56" s="287"/>
      <c r="AF56" s="19"/>
      <c r="AG56" s="295"/>
      <c r="AH56" s="6">
        <f>COUNTIF(ParticipationJanvier1[[#This Row],[1]:[31]],Code1)</f>
        <v>0</v>
      </c>
      <c r="AI56" s="6">
        <f>COUNTIF(ParticipationJanvier1[[#This Row],[1]:[31]],code22)</f>
        <v>0</v>
      </c>
      <c r="AJ56" s="6">
        <f>COUNTIF(ParticipationJanvier1[[#This Row],[1]:[31]],Code2)</f>
        <v>0</v>
      </c>
      <c r="AK56" s="6">
        <f>COUNTIF(ParticipationJanvier1[[#This Row],[1]:[31]],Code3)</f>
        <v>0</v>
      </c>
      <c r="AL56" s="6">
        <f>COUNTIF(ParticipationJanvier1[[#This Row],[1]:[31]],Code4)</f>
        <v>0</v>
      </c>
      <c r="AM56" s="6">
        <f>COUNTIF(ParticipationJanvier1[[#This Row],[1]:[31]],Code5)</f>
        <v>0</v>
      </c>
      <c r="AN56" s="6">
        <f>COUNTIF(ParticipationJanvier1[[#This Row],[1]:[31]],Code23)</f>
        <v>0</v>
      </c>
      <c r="AO56" s="6">
        <f>COUNTIF(ParticipationJanvier1[[#This Row],[1]:[31]],Code6)</f>
        <v>1</v>
      </c>
      <c r="AP56" s="6">
        <f>COUNTIF(ParticipationJanvier1[[#This Row],[1]:[31]],Code7)</f>
        <v>0</v>
      </c>
      <c r="AQ56" s="6">
        <f>COUNTIF(ParticipationJanvier1[[#This Row],[1]:[31]],Code8)</f>
        <v>0</v>
      </c>
      <c r="AR56" s="6">
        <f>COUNTIF(ParticipationJanvier1[[#This Row],[1]:[31]],Code9)</f>
        <v>0</v>
      </c>
      <c r="AS56" s="6">
        <f>COUNTIF(ParticipationJanvier1[[#This Row],[1]:[31]],Code10)</f>
        <v>0</v>
      </c>
      <c r="AT56" s="6">
        <f>COUNTIF(ParticipationJanvier1[[#This Row],[1]:[31]],Code11)</f>
        <v>0</v>
      </c>
      <c r="AU56" s="6">
        <f>COUNTIF(ParticipationJanvier1[[#This Row],[1]:[31]],Code12)</f>
        <v>0</v>
      </c>
      <c r="AV56" s="6">
        <f>COUNTIF(ParticipationJanvier1[[#This Row],[1]:[31]],Code13)</f>
        <v>0</v>
      </c>
      <c r="AW56" s="6">
        <f>COUNTIF(ParticipationJanvier1[[#This Row],[1]:[31]],Code14)</f>
        <v>0</v>
      </c>
      <c r="AX56" s="6">
        <f>COUNTIF(ParticipationJanvier1[[#This Row],[1]:[31]],Code15)</f>
        <v>0</v>
      </c>
      <c r="AY56" s="6">
        <f>COUNTIF(ParticipationJanvier1[[#This Row],[1]:[31]],Code16)</f>
        <v>0</v>
      </c>
      <c r="AZ56" s="6">
        <f>COUNTIF(ParticipationJanvier1[[#This Row],[1]:[31]],Code17)</f>
        <v>0</v>
      </c>
      <c r="BA56" s="6">
        <f>COUNTIF(ParticipationJanvier1[[#This Row],[1]:[31]],Code25)</f>
        <v>0</v>
      </c>
      <c r="BB56" s="6">
        <f>COUNTIF(ParticipationJanvier1[[#This Row],[1]:[31]],Code26)</f>
        <v>0</v>
      </c>
      <c r="BC56" s="6">
        <f>COUNTIF(ParticipationJanvier1[[#This Row],[1]:[31]],Code27)</f>
        <v>0</v>
      </c>
      <c r="BD56" s="6">
        <f>COUNTIF(ParticipationJanvier1[[#This Row],[1]:[31]],Code28)</f>
        <v>0</v>
      </c>
      <c r="BE56" s="6">
        <f>COUNTIF(ParticipationJanvier1[[#This Row],[1]:[31]],code30)</f>
        <v>0</v>
      </c>
      <c r="BF56" s="6">
        <f>COUNTIF(ParticipationJanvier1[[#This Row],[1]:[31]],Code31)</f>
        <v>0</v>
      </c>
      <c r="BG56" s="6">
        <f>COUNTIF(ParticipationJanvier1[[#This Row],[1]:[31]],code21)</f>
        <v>0</v>
      </c>
      <c r="BH56" s="6">
        <f>COUNTIF(ParticipationJanvier1[[#This Row],[1]:[31]],Code24)</f>
        <v>0</v>
      </c>
      <c r="BI56" s="6">
        <f>COUNTIF(ParticipationJanvier1[[#This Row],[1]:[31]],code18)</f>
        <v>0</v>
      </c>
      <c r="BJ56" s="6">
        <f>COUNTIF(ParticipationJanvier1[[#This Row],[1]:[31]],code19)</f>
        <v>0</v>
      </c>
      <c r="BK56" s="6">
        <f>COUNTIF(ParticipationJanvier1[[#This Row],[1]:[31]],code20)</f>
        <v>0</v>
      </c>
      <c r="BL56" s="182">
        <f>COUNTIF(ParticipationJanvier1[[#This Row],[1]:[31]],code29)</f>
        <v>0</v>
      </c>
      <c r="BM56" s="297"/>
      <c r="BN56" s="297"/>
      <c r="BO56" s="297"/>
      <c r="BP56" s="297"/>
      <c r="BQ56" s="297"/>
      <c r="BR56" s="297"/>
      <c r="BS56" s="297"/>
      <c r="BT56" s="297"/>
      <c r="BU56" s="297"/>
      <c r="BV56" s="297"/>
      <c r="BW56" s="297"/>
      <c r="BX56" s="297"/>
      <c r="BY56" s="297"/>
      <c r="BZ56" s="297"/>
      <c r="CA56" s="297"/>
      <c r="CB56" s="297"/>
      <c r="CC56" s="297"/>
      <c r="CD56" s="297"/>
      <c r="CE56" s="297"/>
      <c r="CF56" s="297"/>
      <c r="CG56" s="297"/>
      <c r="CH56" s="297"/>
      <c r="CI56" s="297"/>
      <c r="CJ56" s="297"/>
      <c r="CK56" s="297"/>
      <c r="CL56" s="297"/>
      <c r="CM56" s="297"/>
      <c r="CN56" s="297"/>
      <c r="CO56" s="297"/>
      <c r="CP56" s="297"/>
      <c r="CQ56" s="297"/>
      <c r="CR56" s="297"/>
      <c r="CS56" s="297"/>
      <c r="CT56" s="297"/>
      <c r="CU56" s="300"/>
      <c r="CV56" s="165">
        <f t="shared" si="0"/>
        <v>0</v>
      </c>
      <c r="CW56" s="165">
        <f t="shared" si="1"/>
        <v>3</v>
      </c>
      <c r="CX56" s="249">
        <f t="shared" si="2"/>
        <v>0</v>
      </c>
      <c r="CY56" s="170"/>
    </row>
    <row r="57" spans="1:125">
      <c r="A57" s="510" t="s">
        <v>398</v>
      </c>
      <c r="B57" s="372" t="str">
        <f>IFERROR(VLOOKUP(ParticipationJanvier1[[#This Row],[Référence]],ListeÉtudiants1[],18,FALSE),"")</f>
        <v>DUFFO FELIX</v>
      </c>
      <c r="C57" s="19"/>
      <c r="D57" s="19"/>
      <c r="E57" s="19"/>
      <c r="F57" s="19"/>
      <c r="G57" s="518"/>
      <c r="H57" s="19"/>
      <c r="I57" s="518"/>
      <c r="J57" s="19"/>
      <c r="K57" s="518"/>
      <c r="L57" s="19"/>
      <c r="M57" s="518"/>
      <c r="N57" s="19"/>
      <c r="O57" s="518"/>
      <c r="P57" s="19"/>
      <c r="Q57" s="518"/>
      <c r="R57" s="19"/>
      <c r="S57" s="518"/>
      <c r="T57" s="19"/>
      <c r="U57" s="518"/>
      <c r="W57" s="518"/>
      <c r="X57" s="19"/>
      <c r="Y57" s="518"/>
      <c r="Z57" s="19"/>
      <c r="AA57" s="518"/>
      <c r="AB57" s="19"/>
      <c r="AC57" s="518"/>
      <c r="AD57" s="19"/>
      <c r="AE57" s="518"/>
      <c r="AF57" s="19"/>
      <c r="AG57" s="519"/>
      <c r="AH57" s="475">
        <f>COUNTIF(ParticipationJanvier1[[#This Row],[1]:[31]],Code1)</f>
        <v>0</v>
      </c>
      <c r="AI57" s="518">
        <f>COUNTIF(ParticipationJanvier1[[#This Row],[1]:[31]],code22)</f>
        <v>0</v>
      </c>
      <c r="AJ57" s="473">
        <f>COUNTIF(ParticipationJanvier1[[#This Row],[1]:[31]],Code2)</f>
        <v>0</v>
      </c>
      <c r="AK57" s="520">
        <f>COUNTIF(ParticipationJanvier1[[#This Row],[1]:[31]],Code3)</f>
        <v>0</v>
      </c>
      <c r="AL57" s="473">
        <f>COUNTIF(ParticipationJanvier1[[#This Row],[1]:[31]],Code4)</f>
        <v>0</v>
      </c>
      <c r="AM57" s="520">
        <f>COUNTIF(ParticipationJanvier1[[#This Row],[1]:[31]],Code5)</f>
        <v>0</v>
      </c>
      <c r="AN57" s="30">
        <f>COUNTIF(ParticipationJanvier1[[#This Row],[1]:[31]],Code23)</f>
        <v>0</v>
      </c>
      <c r="AO57" s="473">
        <f>COUNTIF(ParticipationJanvier1[[#This Row],[1]:[31]],Code6)</f>
        <v>0</v>
      </c>
      <c r="AP57" s="30">
        <f>COUNTIF(ParticipationJanvier1[[#This Row],[1]:[31]],Code7)</f>
        <v>0</v>
      </c>
      <c r="AQ57" s="30">
        <f>COUNTIF(ParticipationJanvier1[[#This Row],[1]:[31]],Code8)</f>
        <v>0</v>
      </c>
      <c r="AR57" s="30">
        <f>COUNTIF(ParticipationJanvier1[[#This Row],[1]:[31]],Code9)</f>
        <v>0</v>
      </c>
      <c r="AS57" s="473">
        <f>COUNTIF(ParticipationJanvier1[[#This Row],[1]:[31]],Code10)</f>
        <v>0</v>
      </c>
      <c r="AT57" s="473">
        <f>COUNTIF(ParticipationJanvier1[[#This Row],[1]:[31]],Code11)</f>
        <v>0</v>
      </c>
      <c r="AU57" s="473">
        <f>COUNTIF(ParticipationJanvier1[[#This Row],[1]:[31]],Code12)</f>
        <v>0</v>
      </c>
      <c r="AV57" s="473">
        <f>COUNTIF(ParticipationJanvier1[[#This Row],[1]:[31]],Code13)</f>
        <v>0</v>
      </c>
      <c r="AW57" s="473">
        <f>COUNTIF(ParticipationJanvier1[[#This Row],[1]:[31]],Code14)</f>
        <v>0</v>
      </c>
      <c r="AX57" s="473">
        <f>COUNTIF(ParticipationJanvier1[[#This Row],[1]:[31]],Code15)</f>
        <v>0</v>
      </c>
      <c r="AY57" s="473">
        <f>COUNTIF(ParticipationJanvier1[[#This Row],[1]:[31]],Code16)</f>
        <v>0</v>
      </c>
      <c r="AZ57" s="473">
        <f>COUNTIF(ParticipationJanvier1[[#This Row],[1]:[31]],Code17)</f>
        <v>0</v>
      </c>
      <c r="BA57" s="475">
        <f>COUNTIF(ParticipationJanvier1[[#This Row],[1]:[31]],Code25)</f>
        <v>0</v>
      </c>
      <c r="BB57" s="475">
        <f>COUNTIF(ParticipationJanvier1[[#This Row],[1]:[31]],Code26)</f>
        <v>0</v>
      </c>
      <c r="BC57" s="475">
        <f>COUNTIF(ParticipationJanvier1[[#This Row],[1]:[31]],Code27)</f>
        <v>0</v>
      </c>
      <c r="BD57" s="475">
        <f>COUNTIF(ParticipationJanvier1[[#This Row],[1]:[31]],Code28)</f>
        <v>0</v>
      </c>
      <c r="BE57" s="475">
        <f>COUNTIF(ParticipationJanvier1[[#This Row],[1]:[31]],code30)</f>
        <v>0</v>
      </c>
      <c r="BF57" s="475">
        <f>COUNTIF(ParticipationJanvier1[[#This Row],[1]:[31]],Code31)</f>
        <v>0</v>
      </c>
      <c r="BG57" s="473">
        <f>COUNTIF(ParticipationJanvier1[[#This Row],[1]:[31]],code21)</f>
        <v>0</v>
      </c>
      <c r="BH57" s="473">
        <f>COUNTIF(ParticipationJanvier1[[#This Row],[1]:[31]],Code24)</f>
        <v>0</v>
      </c>
      <c r="BI57" s="473">
        <f>COUNTIF(ParticipationJanvier1[[#This Row],[1]:[31]],code18)</f>
        <v>0</v>
      </c>
      <c r="BJ57" s="473">
        <f>COUNTIF(ParticipationJanvier1[[#This Row],[1]:[31]],code19)</f>
        <v>0</v>
      </c>
      <c r="BK57" s="473">
        <f>COUNTIF(ParticipationJanvier1[[#This Row],[1]:[31]],code20)</f>
        <v>0</v>
      </c>
      <c r="BL57" s="476">
        <f>COUNTIF(ParticipationJanvier1[[#This Row],[1]:[31]],code29)</f>
        <v>0</v>
      </c>
      <c r="BM57" s="472">
        <f>SUM((AH57*1)+(AI64*1.5)+(AJ57*2)+(AK57*3)+(AL57*4)+(AQ57*5)+(AR57*6)+(AS57*7)+(AW57*2)+(AX57*3)+(AY57*4)+(AZ57*5)+(BG57*2))</f>
        <v>0</v>
      </c>
      <c r="BN57" s="472"/>
      <c r="BO57" s="472"/>
      <c r="BP57" s="472"/>
      <c r="BQ57" s="472"/>
      <c r="BR57" s="473"/>
      <c r="BS57" s="472"/>
      <c r="BT57" s="472"/>
      <c r="BU57" s="472"/>
      <c r="BV57" s="472"/>
      <c r="BW57" s="472"/>
      <c r="BX57" s="472"/>
      <c r="BY57" s="472"/>
      <c r="BZ57" s="472"/>
      <c r="CA57" s="472"/>
      <c r="CB57" s="472"/>
      <c r="CC57" s="472"/>
      <c r="CD57" s="472"/>
      <c r="CE57" s="472"/>
      <c r="CF57" s="472"/>
      <c r="CG57" s="472"/>
      <c r="CH57" s="472"/>
      <c r="CI57" s="472"/>
      <c r="CJ57" s="472"/>
      <c r="CK57" s="472"/>
      <c r="CL57" s="472"/>
      <c r="CM57" s="472"/>
      <c r="CN57" s="472"/>
      <c r="CO57" s="472"/>
      <c r="CP57" s="472"/>
      <c r="CQ57" s="472"/>
      <c r="CR57" s="472"/>
      <c r="CS57" s="472"/>
      <c r="CT57" s="472"/>
      <c r="CU57" s="516">
        <f>SUM((AN57*1)+(AM57*2)+(AO57*3)+(AP57*4)+(AT57*5)+(AU57*7)+(AV57*7)+(AW57*7)+(AX57*4)+(AY57*3)+(BA57*2)+(BC57*4)+(BB57*1)+(BG57*2)+(AZ57*5)+(BD57*1))</f>
        <v>0</v>
      </c>
      <c r="CV57" s="521">
        <f>SUM((AH57*1)+(AI57*1.5)+(AJ57*2)+(AK57*3)+(AP57*5)+(AQ57*6)+(AR57*7)+(AU57*2)+(AX57*3)+(AY57*4)+(BA57*5)+(BB57*3)+(BC57*2)+(BG57*2)+(AZ57*2)+(BD57*2))</f>
        <v>0</v>
      </c>
      <c r="CW57" s="522">
        <f>SUM((AN57*1)+(AM57*2)+(AO57*3)+(AP57*4)+(AT57*5)+(AU57*7)+(AV57*7)+(AW57*7)+(AX57*4)+(AY57*3)+(BA57*2)+(BC57*4)+(BB57*1)+(BG57*2)+(AZ57*5)+(BD57*1))</f>
        <v>0</v>
      </c>
      <c r="CX57" s="523">
        <f>BH57*1</f>
        <v>0</v>
      </c>
      <c r="CY57" s="512"/>
    </row>
    <row r="58" spans="1:125">
      <c r="A58" s="510" t="s">
        <v>399</v>
      </c>
      <c r="B58" s="372" t="str">
        <f>IFERROR(VLOOKUP(ParticipationJanvier1[[#This Row],[Référence]],ListeÉtudiants1[],18,FALSE),"")</f>
        <v>DUPUY JULINE</v>
      </c>
      <c r="C58" s="19"/>
      <c r="D58" s="19"/>
      <c r="E58" s="19"/>
      <c r="F58" s="19"/>
      <c r="G58" s="518"/>
      <c r="H58" s="19"/>
      <c r="I58" s="518"/>
      <c r="J58" s="19"/>
      <c r="K58" s="518"/>
      <c r="L58" s="19"/>
      <c r="M58" s="518"/>
      <c r="N58" s="19"/>
      <c r="O58" s="518"/>
      <c r="P58" s="19"/>
      <c r="Q58" s="518"/>
      <c r="R58" s="19"/>
      <c r="S58" s="518"/>
      <c r="T58" s="19"/>
      <c r="U58" s="518"/>
      <c r="W58" s="518"/>
      <c r="X58" s="19"/>
      <c r="Y58" s="518"/>
      <c r="Z58" s="19"/>
      <c r="AA58" s="518"/>
      <c r="AB58" s="19"/>
      <c r="AC58" s="518"/>
      <c r="AD58" s="19"/>
      <c r="AE58" s="518"/>
      <c r="AF58" s="19"/>
      <c r="AG58" s="519"/>
      <c r="AH58" s="475">
        <f>COUNTIF(ParticipationJanvier1[[#This Row],[1]:[31]],Code1)</f>
        <v>0</v>
      </c>
      <c r="AI58" s="518">
        <f>COUNTIF(ParticipationJanvier1[[#This Row],[1]:[31]],code22)</f>
        <v>0</v>
      </c>
      <c r="AJ58" s="473">
        <f>COUNTIF(ParticipationJanvier1[[#This Row],[1]:[31]],Code2)</f>
        <v>0</v>
      </c>
      <c r="AK58" s="520">
        <f>COUNTIF(ParticipationJanvier1[[#This Row],[1]:[31]],Code3)</f>
        <v>0</v>
      </c>
      <c r="AL58" s="473">
        <f>COUNTIF(ParticipationJanvier1[[#This Row],[1]:[31]],Code4)</f>
        <v>0</v>
      </c>
      <c r="AM58" s="520">
        <f>COUNTIF(ParticipationJanvier1[[#This Row],[1]:[31]],Code5)</f>
        <v>0</v>
      </c>
      <c r="AN58" s="30">
        <f>COUNTIF(ParticipationJanvier1[[#This Row],[1]:[31]],Code23)</f>
        <v>0</v>
      </c>
      <c r="AO58" s="473">
        <f>COUNTIF(ParticipationJanvier1[[#This Row],[1]:[31]],Code6)</f>
        <v>0</v>
      </c>
      <c r="AP58" s="30">
        <f>COUNTIF(ParticipationJanvier1[[#This Row],[1]:[31]],Code7)</f>
        <v>0</v>
      </c>
      <c r="AQ58" s="30">
        <f>COUNTIF(ParticipationJanvier1[[#This Row],[1]:[31]],Code8)</f>
        <v>0</v>
      </c>
      <c r="AR58" s="30">
        <f>COUNTIF(ParticipationJanvier1[[#This Row],[1]:[31]],Code9)</f>
        <v>0</v>
      </c>
      <c r="AS58" s="473">
        <f>COUNTIF(ParticipationJanvier1[[#This Row],[1]:[31]],Code10)</f>
        <v>0</v>
      </c>
      <c r="AT58" s="473">
        <f>COUNTIF(ParticipationJanvier1[[#This Row],[1]:[31]],Code11)</f>
        <v>0</v>
      </c>
      <c r="AU58" s="473">
        <f>COUNTIF(ParticipationJanvier1[[#This Row],[1]:[31]],Code12)</f>
        <v>0</v>
      </c>
      <c r="AV58" s="473">
        <f>COUNTIF(ParticipationJanvier1[[#This Row],[1]:[31]],Code13)</f>
        <v>0</v>
      </c>
      <c r="AW58" s="473">
        <f>COUNTIF(ParticipationJanvier1[[#This Row],[1]:[31]],Code14)</f>
        <v>0</v>
      </c>
      <c r="AX58" s="473">
        <f>COUNTIF(ParticipationJanvier1[[#This Row],[1]:[31]],Code15)</f>
        <v>0</v>
      </c>
      <c r="AY58" s="473">
        <f>COUNTIF(ParticipationJanvier1[[#This Row],[1]:[31]],Code16)</f>
        <v>0</v>
      </c>
      <c r="AZ58" s="473">
        <f>COUNTIF(ParticipationJanvier1[[#This Row],[1]:[31]],Code17)</f>
        <v>0</v>
      </c>
      <c r="BA58" s="475">
        <f>COUNTIF(ParticipationJanvier1[[#This Row],[1]:[31]],Code25)</f>
        <v>0</v>
      </c>
      <c r="BB58" s="475">
        <f>COUNTIF(ParticipationJanvier1[[#This Row],[1]:[31]],Code26)</f>
        <v>0</v>
      </c>
      <c r="BC58" s="475">
        <f>COUNTIF(ParticipationJanvier1[[#This Row],[1]:[31]],Code27)</f>
        <v>0</v>
      </c>
      <c r="BD58" s="475">
        <f>COUNTIF(ParticipationJanvier1[[#This Row],[1]:[31]],Code28)</f>
        <v>0</v>
      </c>
      <c r="BE58" s="475">
        <f>COUNTIF(ParticipationJanvier1[[#This Row],[1]:[31]],code30)</f>
        <v>0</v>
      </c>
      <c r="BF58" s="475">
        <f>COUNTIF(ParticipationJanvier1[[#This Row],[1]:[31]],Code31)</f>
        <v>0</v>
      </c>
      <c r="BG58" s="473">
        <f>COUNTIF(ParticipationJanvier1[[#This Row],[1]:[31]],code21)</f>
        <v>0</v>
      </c>
      <c r="BH58" s="473">
        <f>COUNTIF(ParticipationJanvier1[[#This Row],[1]:[31]],Code24)</f>
        <v>0</v>
      </c>
      <c r="BI58" s="473">
        <f>COUNTIF(ParticipationJanvier1[[#This Row],[1]:[31]],code18)</f>
        <v>0</v>
      </c>
      <c r="BJ58" s="473">
        <f>COUNTIF(ParticipationJanvier1[[#This Row],[1]:[31]],code19)</f>
        <v>0</v>
      </c>
      <c r="BK58" s="473">
        <f>COUNTIF(ParticipationJanvier1[[#This Row],[1]:[31]],code20)</f>
        <v>0</v>
      </c>
      <c r="BL58" s="476">
        <f>COUNTIF(ParticipationJanvier1[[#This Row],[1]:[31]],code29)</f>
        <v>0</v>
      </c>
      <c r="BM58" s="472">
        <f>SUM((AH58*1)+(AI65*1.5)+(AJ58*2)+(AK58*3)+(AL58*4)+(AQ58*5)+(AR58*6)+(AS58*7)+(AW58*2)+(AX58*3)+(AY58*4)+(AZ58*5)+(BG58*2))</f>
        <v>0</v>
      </c>
      <c r="BN58" s="472"/>
      <c r="BO58" s="472"/>
      <c r="BP58" s="472"/>
      <c r="BQ58" s="472"/>
      <c r="BR58" s="473"/>
      <c r="BS58" s="473"/>
      <c r="BT58" s="472"/>
      <c r="BU58" s="472"/>
      <c r="BV58" s="472"/>
      <c r="BW58" s="472"/>
      <c r="BX58" s="472"/>
      <c r="BY58" s="472"/>
      <c r="BZ58" s="472"/>
      <c r="CA58" s="472"/>
      <c r="CB58" s="472"/>
      <c r="CC58" s="472"/>
      <c r="CD58" s="472"/>
      <c r="CE58" s="472"/>
      <c r="CF58" s="472"/>
      <c r="CG58" s="472"/>
      <c r="CH58" s="472"/>
      <c r="CI58" s="472"/>
      <c r="CJ58" s="472"/>
      <c r="CK58" s="472"/>
      <c r="CL58" s="472"/>
      <c r="CM58" s="472"/>
      <c r="CN58" s="472"/>
      <c r="CO58" s="472"/>
      <c r="CP58" s="472"/>
      <c r="CQ58" s="472"/>
      <c r="CR58" s="472"/>
      <c r="CS58" s="472"/>
      <c r="CT58" s="472"/>
      <c r="CU58" s="516">
        <f>SUM((AN58*1)+(AM58*2)+(AO58*3)+(AP58*4)+(AT58*5)+(AU58*7)+(AV58*7)+(AW58*7)+(AX58*4)+(AY58*3)+(BA58*2)+(BC58*4)+(BB58*1)+(BG58*2)+(AZ58*5)+(BD58*1))</f>
        <v>0</v>
      </c>
      <c r="CV58" s="521">
        <f>SUM((AH58*1)+(AI58*1.5)+(AJ58*2)+(AK58*3)+(AP58*5)+(AQ58*6)+(AR58*7)+(AU58*2)+(AX58*3)+(AY58*4)+(BA58*5)+(BB58*3)+(BC58*2)+(BG58*2)+(AZ58*2)+(BD58*2))</f>
        <v>0</v>
      </c>
      <c r="CW58" s="522">
        <f>SUM((AN58*1)+(AM58*2)+(AO58*3)+(AP58*4)+(AT58*5)+(AU58*7)+(AV58*7)+(AW58*7)+(AX58*4)+(AY58*3)+(BA58*2)+(BC58*4)+(BB58*1)+(BG58*2)+(AZ58*5)+(BD58*1))</f>
        <v>0</v>
      </c>
      <c r="CX58" s="523">
        <f>BH58*1</f>
        <v>0</v>
      </c>
      <c r="CY58" s="512"/>
    </row>
    <row r="59" spans="1:125">
      <c r="A59" s="510" t="s">
        <v>400</v>
      </c>
      <c r="B59" s="372" t="str">
        <f>IFERROR(VLOOKUP(ParticipationJanvier1[[#This Row],[Référence]],ListeÉtudiants1[],18,FALSE),"")</f>
        <v>EDERY JEFFREY</v>
      </c>
      <c r="C59" s="19"/>
      <c r="D59" s="19"/>
      <c r="E59" s="19"/>
      <c r="F59" s="19"/>
      <c r="G59" s="287"/>
      <c r="H59" s="19"/>
      <c r="I59" s="287"/>
      <c r="J59" s="19"/>
      <c r="K59" s="287"/>
      <c r="L59" s="19"/>
      <c r="M59" s="287"/>
      <c r="N59" s="19"/>
      <c r="O59" s="19"/>
      <c r="P59" s="19"/>
      <c r="Q59" s="19"/>
      <c r="R59" s="19"/>
      <c r="S59" s="19" t="s">
        <v>107</v>
      </c>
      <c r="T59" s="19"/>
      <c r="U59" s="287"/>
      <c r="W59" s="287"/>
      <c r="X59" s="19"/>
      <c r="Y59" s="287"/>
      <c r="Z59" s="19"/>
      <c r="AA59" s="287"/>
      <c r="AB59" s="19"/>
      <c r="AC59" s="287"/>
      <c r="AD59" s="19"/>
      <c r="AE59" s="287"/>
      <c r="AF59" s="19"/>
      <c r="AG59" s="295"/>
      <c r="AH59" s="6">
        <f>COUNTIF(ParticipationJanvier1[[#This Row],[1]:[31]],Code1)</f>
        <v>0</v>
      </c>
      <c r="AI59" s="6">
        <f>COUNTIF(ParticipationJanvier1[[#This Row],[1]:[31]],code22)</f>
        <v>0</v>
      </c>
      <c r="AJ59" s="6">
        <f>COUNTIF(ParticipationJanvier1[[#This Row],[1]:[31]],Code2)</f>
        <v>0</v>
      </c>
      <c r="AK59" s="6">
        <f>COUNTIF(ParticipationJanvier1[[#This Row],[1]:[31]],Code3)</f>
        <v>0</v>
      </c>
      <c r="AL59" s="6">
        <f>COUNTIF(ParticipationJanvier1[[#This Row],[1]:[31]],Code4)</f>
        <v>1</v>
      </c>
      <c r="AM59" s="6">
        <f>COUNTIF(ParticipationJanvier1[[#This Row],[1]:[31]],Code5)</f>
        <v>0</v>
      </c>
      <c r="AN59" s="6">
        <f>COUNTIF(ParticipationJanvier1[[#This Row],[1]:[31]],Code23)</f>
        <v>0</v>
      </c>
      <c r="AO59" s="6">
        <f>COUNTIF(ParticipationJanvier1[[#This Row],[1]:[31]],Code6)</f>
        <v>0</v>
      </c>
      <c r="AP59" s="6">
        <f>COUNTIF(ParticipationJanvier1[[#This Row],[1]:[31]],Code7)</f>
        <v>0</v>
      </c>
      <c r="AQ59" s="6">
        <f>COUNTIF(ParticipationJanvier1[[#This Row],[1]:[31]],Code8)</f>
        <v>0</v>
      </c>
      <c r="AR59" s="6">
        <f>COUNTIF(ParticipationJanvier1[[#This Row],[1]:[31]],Code9)</f>
        <v>0</v>
      </c>
      <c r="AS59" s="6">
        <f>COUNTIF(ParticipationJanvier1[[#This Row],[1]:[31]],Code10)</f>
        <v>0</v>
      </c>
      <c r="AT59" s="6">
        <f>COUNTIF(ParticipationJanvier1[[#This Row],[1]:[31]],Code11)</f>
        <v>0</v>
      </c>
      <c r="AU59" s="6">
        <f>COUNTIF(ParticipationJanvier1[[#This Row],[1]:[31]],Code12)</f>
        <v>0</v>
      </c>
      <c r="AV59" s="6">
        <f>COUNTIF(ParticipationJanvier1[[#This Row],[1]:[31]],Code13)</f>
        <v>0</v>
      </c>
      <c r="AW59" s="6">
        <f>COUNTIF(ParticipationJanvier1[[#This Row],[1]:[31]],Code14)</f>
        <v>0</v>
      </c>
      <c r="AX59" s="6">
        <f>COUNTIF(ParticipationJanvier1[[#This Row],[1]:[31]],Code15)</f>
        <v>0</v>
      </c>
      <c r="AY59" s="6">
        <f>COUNTIF(ParticipationJanvier1[[#This Row],[1]:[31]],Code16)</f>
        <v>0</v>
      </c>
      <c r="AZ59" s="6">
        <f>COUNTIF(ParticipationJanvier1[[#This Row],[1]:[31]],Code17)</f>
        <v>0</v>
      </c>
      <c r="BA59" s="6">
        <f>COUNTIF(ParticipationJanvier1[[#This Row],[1]:[31]],Code25)</f>
        <v>0</v>
      </c>
      <c r="BB59" s="6">
        <f>COUNTIF(ParticipationJanvier1[[#This Row],[1]:[31]],Code26)</f>
        <v>0</v>
      </c>
      <c r="BC59" s="6">
        <f>COUNTIF(ParticipationJanvier1[[#This Row],[1]:[31]],Code27)</f>
        <v>0</v>
      </c>
      <c r="BD59" s="6">
        <f>COUNTIF(ParticipationJanvier1[[#This Row],[1]:[31]],Code28)</f>
        <v>0</v>
      </c>
      <c r="BE59" s="6">
        <f>COUNTIF(ParticipationJanvier1[[#This Row],[1]:[31]],code30)</f>
        <v>0</v>
      </c>
      <c r="BF59" s="6">
        <f>COUNTIF(ParticipationJanvier1[[#This Row],[1]:[31]],Code31)</f>
        <v>0</v>
      </c>
      <c r="BG59" s="6">
        <f>COUNTIF(ParticipationJanvier1[[#This Row],[1]:[31]],code21)</f>
        <v>0</v>
      </c>
      <c r="BH59" s="6">
        <f>COUNTIF(ParticipationJanvier1[[#This Row],[1]:[31]],Code24)</f>
        <v>0</v>
      </c>
      <c r="BI59" s="6">
        <f>COUNTIF(ParticipationJanvier1[[#This Row],[1]:[31]],code18)</f>
        <v>0</v>
      </c>
      <c r="BJ59" s="6">
        <f>COUNTIF(ParticipationJanvier1[[#This Row],[1]:[31]],code19)</f>
        <v>0</v>
      </c>
      <c r="BK59" s="6">
        <f>COUNTIF(ParticipationJanvier1[[#This Row],[1]:[31]],code20)</f>
        <v>0</v>
      </c>
      <c r="BL59" s="182">
        <f>COUNTIF(ParticipationJanvier1[[#This Row],[1]:[31]],code29)</f>
        <v>0</v>
      </c>
      <c r="BM59" s="297">
        <v>1</v>
      </c>
      <c r="BN59" s="297"/>
      <c r="BO59" s="297"/>
      <c r="BP59" s="297"/>
      <c r="BQ59" s="297"/>
      <c r="BR59" s="297"/>
      <c r="BS59" s="297"/>
      <c r="BT59" s="297"/>
      <c r="BU59" s="297"/>
      <c r="BV59" s="297"/>
      <c r="BW59" s="297"/>
      <c r="BX59" s="297"/>
      <c r="BY59" s="297"/>
      <c r="BZ59" s="297"/>
      <c r="CA59" s="297"/>
      <c r="CB59" s="297"/>
      <c r="CC59" s="297"/>
      <c r="CD59" s="297"/>
      <c r="CE59" s="297"/>
      <c r="CF59" s="297"/>
      <c r="CG59" s="297"/>
      <c r="CH59" s="297"/>
      <c r="CI59" s="297"/>
      <c r="CJ59" s="297"/>
      <c r="CK59" s="297"/>
      <c r="CL59" s="297"/>
      <c r="CM59" s="297"/>
      <c r="CN59" s="297"/>
      <c r="CO59" s="297"/>
      <c r="CP59" s="297"/>
      <c r="CQ59" s="297"/>
      <c r="CR59" s="297"/>
      <c r="CS59" s="297"/>
      <c r="CT59" s="297"/>
      <c r="CU59" s="300"/>
      <c r="CV59" s="165">
        <f t="shared" si="0"/>
        <v>0</v>
      </c>
      <c r="CW59" s="165">
        <f t="shared" si="1"/>
        <v>0</v>
      </c>
      <c r="CX59" s="249">
        <f t="shared" si="2"/>
        <v>0</v>
      </c>
      <c r="CY59" s="170"/>
    </row>
    <row r="60" spans="1:125">
      <c r="A60" s="510" t="s">
        <v>401</v>
      </c>
      <c r="B60" s="372" t="str">
        <f>IFERROR(VLOOKUP(ParticipationJanvier1[[#This Row],[Référence]],ListeÉtudiants1[],18,FALSE),"")</f>
        <v>EL MAZGHI GHITA</v>
      </c>
      <c r="C60" s="19"/>
      <c r="D60" s="19"/>
      <c r="E60" s="19"/>
      <c r="F60" s="19"/>
      <c r="G60" s="287"/>
      <c r="H60" s="19"/>
      <c r="I60" s="287"/>
      <c r="J60" s="19"/>
      <c r="K60" s="287"/>
      <c r="L60" s="19"/>
      <c r="M60" s="287"/>
      <c r="N60" s="19"/>
      <c r="O60" s="19"/>
      <c r="P60" s="19"/>
      <c r="Q60" s="19"/>
      <c r="R60" s="19"/>
      <c r="S60" s="19" t="s">
        <v>107</v>
      </c>
      <c r="T60" s="19"/>
      <c r="U60" s="287"/>
      <c r="V60" s="19"/>
      <c r="W60" s="287"/>
      <c r="X60" s="19"/>
      <c r="Y60" s="287"/>
      <c r="Z60" s="19"/>
      <c r="AA60" s="287"/>
      <c r="AB60" s="19"/>
      <c r="AC60" s="287"/>
      <c r="AD60" s="19"/>
      <c r="AE60" s="287"/>
      <c r="AF60" s="19"/>
      <c r="AG60" s="295"/>
      <c r="AH60" s="6">
        <f>COUNTIF(ParticipationJanvier1[[#This Row],[1]:[31]],Code1)</f>
        <v>0</v>
      </c>
      <c r="AI60" s="6">
        <f>COUNTIF(ParticipationJanvier1[[#This Row],[1]:[31]],code22)</f>
        <v>0</v>
      </c>
      <c r="AJ60" s="6">
        <f>COUNTIF(ParticipationJanvier1[[#This Row],[1]:[31]],Code2)</f>
        <v>0</v>
      </c>
      <c r="AK60" s="6">
        <f>COUNTIF(ParticipationJanvier1[[#This Row],[1]:[31]],Code3)</f>
        <v>0</v>
      </c>
      <c r="AL60" s="6">
        <f>COUNTIF(ParticipationJanvier1[[#This Row],[1]:[31]],Code4)</f>
        <v>1</v>
      </c>
      <c r="AM60" s="6">
        <f>COUNTIF(ParticipationJanvier1[[#This Row],[1]:[31]],Code5)</f>
        <v>0</v>
      </c>
      <c r="AN60" s="6">
        <f>COUNTIF(ParticipationJanvier1[[#This Row],[1]:[31]],Code23)</f>
        <v>0</v>
      </c>
      <c r="AO60" s="6">
        <f>COUNTIF(ParticipationJanvier1[[#This Row],[1]:[31]],Code6)</f>
        <v>0</v>
      </c>
      <c r="AP60" s="6">
        <f>COUNTIF(ParticipationJanvier1[[#This Row],[1]:[31]],Code7)</f>
        <v>0</v>
      </c>
      <c r="AQ60" s="6">
        <f>COUNTIF(ParticipationJanvier1[[#This Row],[1]:[31]],Code8)</f>
        <v>0</v>
      </c>
      <c r="AR60" s="6">
        <f>COUNTIF(ParticipationJanvier1[[#This Row],[1]:[31]],Code9)</f>
        <v>0</v>
      </c>
      <c r="AS60" s="6">
        <f>COUNTIF(ParticipationJanvier1[[#This Row],[1]:[31]],Code10)</f>
        <v>0</v>
      </c>
      <c r="AT60" s="6">
        <f>COUNTIF(ParticipationJanvier1[[#This Row],[1]:[31]],Code11)</f>
        <v>0</v>
      </c>
      <c r="AU60" s="6">
        <f>COUNTIF(ParticipationJanvier1[[#This Row],[1]:[31]],Code12)</f>
        <v>0</v>
      </c>
      <c r="AV60" s="6">
        <f>COUNTIF(ParticipationJanvier1[[#This Row],[1]:[31]],Code13)</f>
        <v>0</v>
      </c>
      <c r="AW60" s="6">
        <f>COUNTIF(ParticipationJanvier1[[#This Row],[1]:[31]],Code14)</f>
        <v>0</v>
      </c>
      <c r="AX60" s="6">
        <f>COUNTIF(ParticipationJanvier1[[#This Row],[1]:[31]],Code15)</f>
        <v>0</v>
      </c>
      <c r="AY60" s="6">
        <f>COUNTIF(ParticipationJanvier1[[#This Row],[1]:[31]],Code16)</f>
        <v>0</v>
      </c>
      <c r="AZ60" s="6">
        <f>COUNTIF(ParticipationJanvier1[[#This Row],[1]:[31]],Code17)</f>
        <v>0</v>
      </c>
      <c r="BA60" s="6">
        <f>COUNTIF(ParticipationJanvier1[[#This Row],[1]:[31]],Code25)</f>
        <v>0</v>
      </c>
      <c r="BB60" s="6">
        <f>COUNTIF(ParticipationJanvier1[[#This Row],[1]:[31]],Code26)</f>
        <v>0</v>
      </c>
      <c r="BC60" s="6">
        <f>COUNTIF(ParticipationJanvier1[[#This Row],[1]:[31]],Code27)</f>
        <v>0</v>
      </c>
      <c r="BD60" s="6">
        <f>COUNTIF(ParticipationJanvier1[[#This Row],[1]:[31]],Code28)</f>
        <v>0</v>
      </c>
      <c r="BE60" s="6">
        <f>COUNTIF(ParticipationJanvier1[[#This Row],[1]:[31]],code30)</f>
        <v>0</v>
      </c>
      <c r="BF60" s="6">
        <f>COUNTIF(ParticipationJanvier1[[#This Row],[1]:[31]],Code31)</f>
        <v>0</v>
      </c>
      <c r="BG60" s="6">
        <f>COUNTIF(ParticipationJanvier1[[#This Row],[1]:[31]],code21)</f>
        <v>0</v>
      </c>
      <c r="BH60" s="6">
        <f>COUNTIF(ParticipationJanvier1[[#This Row],[1]:[31]],Code24)</f>
        <v>0</v>
      </c>
      <c r="BI60" s="6">
        <f>COUNTIF(ParticipationJanvier1[[#This Row],[1]:[31]],code18)</f>
        <v>0</v>
      </c>
      <c r="BJ60" s="6">
        <f>COUNTIF(ParticipationJanvier1[[#This Row],[1]:[31]],code19)</f>
        <v>0</v>
      </c>
      <c r="BK60" s="6">
        <f>COUNTIF(ParticipationJanvier1[[#This Row],[1]:[31]],code20)</f>
        <v>0</v>
      </c>
      <c r="BL60" s="182">
        <f>COUNTIF(ParticipationJanvier1[[#This Row],[1]:[31]],code29)</f>
        <v>0</v>
      </c>
      <c r="BM60" s="297">
        <v>1</v>
      </c>
      <c r="BN60" s="297"/>
      <c r="BO60" s="297"/>
      <c r="BP60" s="297"/>
      <c r="BQ60" s="297"/>
      <c r="BR60" s="297"/>
      <c r="BS60" s="297"/>
      <c r="BT60" s="297"/>
      <c r="BU60" s="297"/>
      <c r="BV60" s="297"/>
      <c r="BW60" s="297"/>
      <c r="BX60" s="297"/>
      <c r="BY60" s="297"/>
      <c r="BZ60" s="297"/>
      <c r="CA60" s="297"/>
      <c r="CB60" s="297"/>
      <c r="CC60" s="297"/>
      <c r="CD60" s="297"/>
      <c r="CE60" s="297"/>
      <c r="CF60" s="297"/>
      <c r="CG60" s="297"/>
      <c r="CH60" s="297"/>
      <c r="CI60" s="297"/>
      <c r="CJ60" s="297"/>
      <c r="CK60" s="297"/>
      <c r="CL60" s="297"/>
      <c r="CM60" s="297"/>
      <c r="CN60" s="297"/>
      <c r="CO60" s="297"/>
      <c r="CP60" s="297"/>
      <c r="CQ60" s="297"/>
      <c r="CR60" s="297"/>
      <c r="CS60" s="297"/>
      <c r="CT60" s="297"/>
      <c r="CU60" s="300"/>
      <c r="CV60" s="165">
        <f t="shared" si="0"/>
        <v>0</v>
      </c>
      <c r="CW60" s="165">
        <f t="shared" si="1"/>
        <v>0</v>
      </c>
      <c r="CX60" s="249">
        <f t="shared" si="2"/>
        <v>0</v>
      </c>
      <c r="CY60" s="170"/>
    </row>
    <row r="61" spans="1:125">
      <c r="A61" s="510" t="s">
        <v>402</v>
      </c>
      <c r="B61" s="372" t="str">
        <f>IFERROR(VLOOKUP(ParticipationJanvier1[[#This Row],[Référence]],ListeÉtudiants1[],18,FALSE),"")</f>
        <v>ELIE ODILE</v>
      </c>
      <c r="C61" s="19"/>
      <c r="D61" s="19"/>
      <c r="E61" s="19"/>
      <c r="F61" s="19"/>
      <c r="G61" s="518"/>
      <c r="H61" s="19"/>
      <c r="I61" s="518"/>
      <c r="J61" s="19"/>
      <c r="K61" s="518"/>
      <c r="L61" s="19"/>
      <c r="M61" s="518"/>
      <c r="N61" s="19"/>
      <c r="O61" s="518"/>
      <c r="P61" s="19"/>
      <c r="Q61" s="518"/>
      <c r="R61" s="19"/>
      <c r="S61" s="518"/>
      <c r="T61" s="19"/>
      <c r="U61" s="518"/>
      <c r="V61" s="19"/>
      <c r="W61" s="518"/>
      <c r="X61" s="19"/>
      <c r="Y61" s="518"/>
      <c r="Z61" s="19"/>
      <c r="AA61" s="518"/>
      <c r="AB61" s="19"/>
      <c r="AC61" s="518"/>
      <c r="AD61" s="19"/>
      <c r="AE61" s="518"/>
      <c r="AF61" s="19"/>
      <c r="AG61" s="519"/>
      <c r="AH61" s="475">
        <f>COUNTIF(ParticipationJanvier1[[#This Row],[1]:[31]],Code1)</f>
        <v>0</v>
      </c>
      <c r="AI61" s="518">
        <f>COUNTIF(ParticipationJanvier1[[#This Row],[1]:[31]],code22)</f>
        <v>0</v>
      </c>
      <c r="AJ61" s="473">
        <f>COUNTIF(ParticipationJanvier1[[#This Row],[1]:[31]],Code2)</f>
        <v>0</v>
      </c>
      <c r="AK61" s="520">
        <f>COUNTIF(ParticipationJanvier1[[#This Row],[1]:[31]],Code3)</f>
        <v>0</v>
      </c>
      <c r="AL61" s="473">
        <f>COUNTIF(ParticipationJanvier1[[#This Row],[1]:[31]],Code4)</f>
        <v>0</v>
      </c>
      <c r="AM61" s="520">
        <f>COUNTIF(ParticipationJanvier1[[#This Row],[1]:[31]],Code5)</f>
        <v>0</v>
      </c>
      <c r="AN61" s="30">
        <f>COUNTIF(ParticipationJanvier1[[#This Row],[1]:[31]],Code23)</f>
        <v>0</v>
      </c>
      <c r="AO61" s="473">
        <f>COUNTIF(ParticipationJanvier1[[#This Row],[1]:[31]],Code6)</f>
        <v>0</v>
      </c>
      <c r="AP61" s="30">
        <f>COUNTIF(ParticipationJanvier1[[#This Row],[1]:[31]],Code7)</f>
        <v>0</v>
      </c>
      <c r="AQ61" s="30">
        <f>COUNTIF(ParticipationJanvier1[[#This Row],[1]:[31]],Code8)</f>
        <v>0</v>
      </c>
      <c r="AR61" s="30">
        <f>COUNTIF(ParticipationJanvier1[[#This Row],[1]:[31]],Code9)</f>
        <v>0</v>
      </c>
      <c r="AS61" s="473">
        <f>COUNTIF(ParticipationJanvier1[[#This Row],[1]:[31]],Code10)</f>
        <v>0</v>
      </c>
      <c r="AT61" s="473">
        <f>COUNTIF(ParticipationJanvier1[[#This Row],[1]:[31]],Code11)</f>
        <v>0</v>
      </c>
      <c r="AU61" s="473">
        <f>COUNTIF(ParticipationJanvier1[[#This Row],[1]:[31]],Code12)</f>
        <v>0</v>
      </c>
      <c r="AV61" s="473">
        <f>COUNTIF(ParticipationJanvier1[[#This Row],[1]:[31]],Code13)</f>
        <v>0</v>
      </c>
      <c r="AW61" s="473">
        <f>COUNTIF(ParticipationJanvier1[[#This Row],[1]:[31]],Code14)</f>
        <v>0</v>
      </c>
      <c r="AX61" s="473">
        <f>COUNTIF(ParticipationJanvier1[[#This Row],[1]:[31]],Code15)</f>
        <v>0</v>
      </c>
      <c r="AY61" s="473">
        <f>COUNTIF(ParticipationJanvier1[[#This Row],[1]:[31]],Code16)</f>
        <v>0</v>
      </c>
      <c r="AZ61" s="473">
        <f>COUNTIF(ParticipationJanvier1[[#This Row],[1]:[31]],Code17)</f>
        <v>0</v>
      </c>
      <c r="BA61" s="475">
        <f>COUNTIF(ParticipationJanvier1[[#This Row],[1]:[31]],Code25)</f>
        <v>0</v>
      </c>
      <c r="BB61" s="475">
        <f>COUNTIF(ParticipationJanvier1[[#This Row],[1]:[31]],Code26)</f>
        <v>0</v>
      </c>
      <c r="BC61" s="475">
        <f>COUNTIF(ParticipationJanvier1[[#This Row],[1]:[31]],Code27)</f>
        <v>0</v>
      </c>
      <c r="BD61" s="475">
        <f>COUNTIF(ParticipationJanvier1[[#This Row],[1]:[31]],Code28)</f>
        <v>0</v>
      </c>
      <c r="BE61" s="475">
        <f>COUNTIF(ParticipationJanvier1[[#This Row],[1]:[31]],code30)</f>
        <v>0</v>
      </c>
      <c r="BF61" s="475">
        <f>COUNTIF(ParticipationJanvier1[[#This Row],[1]:[31]],Code31)</f>
        <v>0</v>
      </c>
      <c r="BG61" s="473">
        <f>COUNTIF(ParticipationJanvier1[[#This Row],[1]:[31]],code21)</f>
        <v>0</v>
      </c>
      <c r="BH61" s="473">
        <f>COUNTIF(ParticipationJanvier1[[#This Row],[1]:[31]],Code24)</f>
        <v>0</v>
      </c>
      <c r="BI61" s="473">
        <f>COUNTIF(ParticipationJanvier1[[#This Row],[1]:[31]],code18)</f>
        <v>0</v>
      </c>
      <c r="BJ61" s="473">
        <f>COUNTIF(ParticipationJanvier1[[#This Row],[1]:[31]],code19)</f>
        <v>0</v>
      </c>
      <c r="BK61" s="473">
        <f>COUNTIF(ParticipationJanvier1[[#This Row],[1]:[31]],code20)</f>
        <v>0</v>
      </c>
      <c r="BL61" s="476">
        <f>COUNTIF(ParticipationJanvier1[[#This Row],[1]:[31]],code29)</f>
        <v>0</v>
      </c>
      <c r="BM61" s="472">
        <f>SUM((AH61*1)+(AI65*1.5)+(AJ61*2)+(AK61*3)+(AL61*4)+(AQ61*5)+(AR61*6)+(AS61*7)+(AW61*2)+(AX61*3)+(AY61*4)+(AZ61*5)+(BG61*2))</f>
        <v>0</v>
      </c>
      <c r="BN61" s="472"/>
      <c r="BO61" s="472"/>
      <c r="BP61" s="472"/>
      <c r="BQ61" s="472"/>
      <c r="BR61" s="473"/>
      <c r="BS61" s="473"/>
      <c r="BT61" s="472"/>
      <c r="BU61" s="472"/>
      <c r="BV61" s="472"/>
      <c r="BW61" s="472"/>
      <c r="BX61" s="472"/>
      <c r="BY61" s="472"/>
      <c r="BZ61" s="472"/>
      <c r="CA61" s="472"/>
      <c r="CB61" s="472"/>
      <c r="CC61" s="472"/>
      <c r="CD61" s="472"/>
      <c r="CE61" s="472"/>
      <c r="CF61" s="472"/>
      <c r="CG61" s="472"/>
      <c r="CH61" s="472"/>
      <c r="CI61" s="472"/>
      <c r="CJ61" s="472"/>
      <c r="CK61" s="472"/>
      <c r="CL61" s="472"/>
      <c r="CM61" s="472"/>
      <c r="CN61" s="472"/>
      <c r="CO61" s="472"/>
      <c r="CP61" s="472"/>
      <c r="CQ61" s="472"/>
      <c r="CR61" s="472"/>
      <c r="CS61" s="472"/>
      <c r="CT61" s="472"/>
      <c r="CU61" s="516">
        <f>SUM((AN61*1)+(AM61*2)+(AO61*3)+(AP61*4)+(AT61*5)+(AU61*7)+(AV61*7)+(AW61*7)+(AX61*4)+(AY61*3)+(BA61*2)+(BC61*4)+(BB61*1)+(BG61*2)+(AZ61*5)+(BD61*1))</f>
        <v>0</v>
      </c>
      <c r="CV61" s="521">
        <f>SUM((AH61*1)+(AI61*1.5)+(AJ61*2)+(AK61*3)+(AP61*5)+(AQ61*6)+(AR61*7)+(AU61*2)+(AX61*3)+(AY61*4)+(BA61*5)+(BB61*3)+(BC61*2)+(BG61*2)+(AZ61*2)+(BD61*2))</f>
        <v>0</v>
      </c>
      <c r="CW61" s="522">
        <f>SUM((AN61*1)+(AM61*2)+(AO61*3)+(AP61*4)+(AT61*5)+(AU61*7)+(AV61*7)+(AW61*7)+(AX61*4)+(AY61*3)+(BA61*2)+(BC61*4)+(BB61*1)+(BG61*2)+(AZ61*5)+(BD61*1))</f>
        <v>0</v>
      </c>
      <c r="CX61" s="523">
        <f>BH61*1</f>
        <v>0</v>
      </c>
      <c r="CY61" s="512"/>
    </row>
    <row r="62" spans="1:125">
      <c r="A62" s="534" t="s">
        <v>403</v>
      </c>
      <c r="B62" s="372" t="str">
        <f>IFERROR(VLOOKUP(ParticipationJanvier1[[#This Row],[Référence]],ListeÉtudiants1[],18,FALSE),"")</f>
        <v>ETIENNE MYLENE</v>
      </c>
      <c r="C62" s="19"/>
      <c r="D62" s="19"/>
      <c r="E62" s="19"/>
      <c r="F62" s="19"/>
      <c r="G62" s="518"/>
      <c r="H62" s="19"/>
      <c r="I62" s="518"/>
      <c r="J62" s="19"/>
      <c r="K62" s="518"/>
      <c r="L62" s="19"/>
      <c r="M62" s="518"/>
      <c r="N62" s="19"/>
      <c r="O62" s="518"/>
      <c r="P62" s="19"/>
      <c r="Q62" s="518"/>
      <c r="R62" s="19"/>
      <c r="S62" s="518"/>
      <c r="T62" s="19"/>
      <c r="U62" s="518"/>
      <c r="V62" s="19"/>
      <c r="W62" s="518"/>
      <c r="X62" s="19"/>
      <c r="Y62" s="518"/>
      <c r="Z62" s="19"/>
      <c r="AA62" s="518"/>
      <c r="AB62" s="19"/>
      <c r="AC62" s="518"/>
      <c r="AD62" s="19"/>
      <c r="AE62" s="518"/>
      <c r="AF62" s="19"/>
      <c r="AG62" s="519"/>
      <c r="AH62" s="475">
        <f>COUNTIF(ParticipationJanvier1[[#This Row],[1]:[31]],Code1)</f>
        <v>0</v>
      </c>
      <c r="AI62" s="518">
        <f>COUNTIF(ParticipationJanvier1[[#This Row],[1]:[31]],code22)</f>
        <v>0</v>
      </c>
      <c r="AJ62" s="473">
        <f>COUNTIF(ParticipationJanvier1[[#This Row],[1]:[31]],Code2)</f>
        <v>0</v>
      </c>
      <c r="AK62" s="520">
        <f>COUNTIF(ParticipationJanvier1[[#This Row],[1]:[31]],Code3)</f>
        <v>0</v>
      </c>
      <c r="AL62" s="473">
        <f>COUNTIF(ParticipationJanvier1[[#This Row],[1]:[31]],Code4)</f>
        <v>0</v>
      </c>
      <c r="AM62" s="520">
        <f>COUNTIF(ParticipationJanvier1[[#This Row],[1]:[31]],Code5)</f>
        <v>0</v>
      </c>
      <c r="AN62" s="30">
        <f>COUNTIF(ParticipationJanvier1[[#This Row],[1]:[31]],Code23)</f>
        <v>0</v>
      </c>
      <c r="AO62" s="473">
        <f>COUNTIF(ParticipationJanvier1[[#This Row],[1]:[31]],Code6)</f>
        <v>0</v>
      </c>
      <c r="AP62" s="30">
        <f>COUNTIF(ParticipationJanvier1[[#This Row],[1]:[31]],Code7)</f>
        <v>0</v>
      </c>
      <c r="AQ62" s="30">
        <f>COUNTIF(ParticipationJanvier1[[#This Row],[1]:[31]],Code8)</f>
        <v>0</v>
      </c>
      <c r="AR62" s="30">
        <f>COUNTIF(ParticipationJanvier1[[#This Row],[1]:[31]],Code9)</f>
        <v>0</v>
      </c>
      <c r="AS62" s="473">
        <f>COUNTIF(ParticipationJanvier1[[#This Row],[1]:[31]],Code10)</f>
        <v>0</v>
      </c>
      <c r="AT62" s="473">
        <f>COUNTIF(ParticipationJanvier1[[#This Row],[1]:[31]],Code11)</f>
        <v>0</v>
      </c>
      <c r="AU62" s="473">
        <f>COUNTIF(ParticipationJanvier1[[#This Row],[1]:[31]],Code12)</f>
        <v>0</v>
      </c>
      <c r="AV62" s="473">
        <f>COUNTIF(ParticipationJanvier1[[#This Row],[1]:[31]],Code13)</f>
        <v>0</v>
      </c>
      <c r="AW62" s="473">
        <f>COUNTIF(ParticipationJanvier1[[#This Row],[1]:[31]],Code14)</f>
        <v>0</v>
      </c>
      <c r="AX62" s="473">
        <f>COUNTIF(ParticipationJanvier1[[#This Row],[1]:[31]],Code15)</f>
        <v>0</v>
      </c>
      <c r="AY62" s="473">
        <f>COUNTIF(ParticipationJanvier1[[#This Row],[1]:[31]],Code16)</f>
        <v>0</v>
      </c>
      <c r="AZ62" s="473">
        <f>COUNTIF(ParticipationJanvier1[[#This Row],[1]:[31]],Code17)</f>
        <v>0</v>
      </c>
      <c r="BA62" s="475">
        <f>COUNTIF(ParticipationJanvier1[[#This Row],[1]:[31]],Code25)</f>
        <v>0</v>
      </c>
      <c r="BB62" s="475">
        <f>COUNTIF(ParticipationJanvier1[[#This Row],[1]:[31]],Code26)</f>
        <v>0</v>
      </c>
      <c r="BC62" s="475">
        <f>COUNTIF(ParticipationJanvier1[[#This Row],[1]:[31]],Code27)</f>
        <v>0</v>
      </c>
      <c r="BD62" s="475">
        <f>COUNTIF(ParticipationJanvier1[[#This Row],[1]:[31]],Code28)</f>
        <v>0</v>
      </c>
      <c r="BE62" s="475">
        <f>COUNTIF(ParticipationJanvier1[[#This Row],[1]:[31]],code30)</f>
        <v>0</v>
      </c>
      <c r="BF62" s="475">
        <f>COUNTIF(ParticipationJanvier1[[#This Row],[1]:[31]],Code31)</f>
        <v>0</v>
      </c>
      <c r="BG62" s="473">
        <f>COUNTIF(ParticipationJanvier1[[#This Row],[1]:[31]],code21)</f>
        <v>0</v>
      </c>
      <c r="BH62" s="473">
        <f>COUNTIF(ParticipationJanvier1[[#This Row],[1]:[31]],Code24)</f>
        <v>0</v>
      </c>
      <c r="BI62" s="473">
        <f>COUNTIF(ParticipationJanvier1[[#This Row],[1]:[31]],code18)</f>
        <v>0</v>
      </c>
      <c r="BJ62" s="473">
        <f>COUNTIF(ParticipationJanvier1[[#This Row],[1]:[31]],code19)</f>
        <v>0</v>
      </c>
      <c r="BK62" s="473">
        <f>COUNTIF(ParticipationJanvier1[[#This Row],[1]:[31]],code20)</f>
        <v>0</v>
      </c>
      <c r="BL62" s="476">
        <f>COUNTIF(ParticipationJanvier1[[#This Row],[1]:[31]],code29)</f>
        <v>0</v>
      </c>
      <c r="BM62" s="472">
        <f>SUM((AH62*1)+(AI66*1.5)+(AJ62*2)+(AK62*3)+(AL62*4)+(AQ62*5)+(AR62*6)+(AS62*7)+(AW62*2)+(AX62*3)+(AY62*4)+(AZ62*5)+(BG62*2))</f>
        <v>0</v>
      </c>
      <c r="BN62" s="472"/>
      <c r="BO62" s="472"/>
      <c r="BP62" s="472"/>
      <c r="BQ62" s="472"/>
      <c r="BR62" s="473"/>
      <c r="BS62" s="473"/>
      <c r="BT62" s="472"/>
      <c r="BU62" s="472"/>
      <c r="BV62" s="472"/>
      <c r="BW62" s="472"/>
      <c r="BX62" s="472"/>
      <c r="BY62" s="472"/>
      <c r="BZ62" s="472"/>
      <c r="CA62" s="472"/>
      <c r="CB62" s="472"/>
      <c r="CC62" s="472"/>
      <c r="CD62" s="472"/>
      <c r="CE62" s="472"/>
      <c r="CF62" s="472"/>
      <c r="CG62" s="472"/>
      <c r="CH62" s="472"/>
      <c r="CI62" s="472"/>
      <c r="CJ62" s="472"/>
      <c r="CK62" s="472"/>
      <c r="CL62" s="472"/>
      <c r="CM62" s="472"/>
      <c r="CN62" s="472"/>
      <c r="CO62" s="472"/>
      <c r="CP62" s="472"/>
      <c r="CQ62" s="472"/>
      <c r="CR62" s="472"/>
      <c r="CS62" s="472"/>
      <c r="CT62" s="472"/>
      <c r="CU62" s="516">
        <f>SUM((AN62*1)+(AM62*2)+(AO62*3)+(AP62*4)+(AT62*5)+(AU62*7)+(AV62*7)+(AW62*7)+(AX62*4)+(AY62*3)+(BA62*2)+(BC62*4)+(BB62*1)+(BG62*2)+(AZ62*5)+(BD62*1))</f>
        <v>0</v>
      </c>
      <c r="CV62" s="521">
        <f>SUM((AH62*1)+(AI62*1.5)+(AJ62*2)+(AK62*3)+(AP62*5)+(AQ62*6)+(AR62*7)+(AU62*2)+(AX62*3)+(AY62*4)+(BA62*5)+(BB62*3)+(BC62*2)+(BG62*2)+(AZ62*2)+(BD62*2))</f>
        <v>0</v>
      </c>
      <c r="CW62" s="522">
        <f>SUM((AN62*1)+(AM62*2)+(AO62*3)+(AP62*4)+(AT62*5)+(AU62*7)+(AV62*7)+(AW62*7)+(AX62*4)+(AY62*3)+(BA62*2)+(BC62*4)+(BB62*1)+(BG62*2)+(AZ62*5)+(BD62*1))</f>
        <v>0</v>
      </c>
      <c r="CX62" s="523">
        <f>BH62*1</f>
        <v>0</v>
      </c>
      <c r="CY62" s="512"/>
    </row>
    <row r="63" spans="1:125">
      <c r="A63" s="534" t="s">
        <v>404</v>
      </c>
      <c r="B63" s="372" t="str">
        <f>IFERROR(VLOOKUP(ParticipationJanvier1[[#This Row],[Référence]],ListeÉtudiants1[],18,FALSE),"")</f>
        <v>FIRPION ALLISON</v>
      </c>
      <c r="C63" s="19"/>
      <c r="D63" s="19"/>
      <c r="E63" s="19"/>
      <c r="F63" s="19"/>
      <c r="G63" s="518"/>
      <c r="H63" s="19"/>
      <c r="I63" s="518"/>
      <c r="J63" s="19"/>
      <c r="K63" s="518"/>
      <c r="L63" s="19"/>
      <c r="M63" s="518"/>
      <c r="N63" s="19"/>
      <c r="O63" s="518"/>
      <c r="P63" s="19"/>
      <c r="Q63" s="518"/>
      <c r="R63" s="19"/>
      <c r="S63" s="518"/>
      <c r="T63" s="19"/>
      <c r="U63" s="518"/>
      <c r="V63" s="19"/>
      <c r="W63" s="518"/>
      <c r="X63" s="19"/>
      <c r="Y63" s="518"/>
      <c r="Z63" s="19"/>
      <c r="AA63" s="518"/>
      <c r="AB63" s="19"/>
      <c r="AC63" s="518"/>
      <c r="AD63" s="19"/>
      <c r="AE63" s="518"/>
      <c r="AF63" s="19"/>
      <c r="AG63" s="519"/>
      <c r="AH63" s="475">
        <f>COUNTIF(ParticipationJanvier1[[#This Row],[1]:[31]],Code1)</f>
        <v>0</v>
      </c>
      <c r="AI63" s="518">
        <f>COUNTIF(ParticipationJanvier1[[#This Row],[1]:[31]],code22)</f>
        <v>0</v>
      </c>
      <c r="AJ63" s="473">
        <f>COUNTIF(ParticipationJanvier1[[#This Row],[1]:[31]],Code2)</f>
        <v>0</v>
      </c>
      <c r="AK63" s="520">
        <f>COUNTIF(ParticipationJanvier1[[#This Row],[1]:[31]],Code3)</f>
        <v>0</v>
      </c>
      <c r="AL63" s="473">
        <f>COUNTIF(ParticipationJanvier1[[#This Row],[1]:[31]],Code4)</f>
        <v>0</v>
      </c>
      <c r="AM63" s="520">
        <f>COUNTIF(ParticipationJanvier1[[#This Row],[1]:[31]],Code5)</f>
        <v>0</v>
      </c>
      <c r="AN63" s="30">
        <f>COUNTIF(ParticipationJanvier1[[#This Row],[1]:[31]],Code23)</f>
        <v>0</v>
      </c>
      <c r="AO63" s="473">
        <f>COUNTIF(ParticipationJanvier1[[#This Row],[1]:[31]],Code6)</f>
        <v>0</v>
      </c>
      <c r="AP63" s="30">
        <f>COUNTIF(ParticipationJanvier1[[#This Row],[1]:[31]],Code7)</f>
        <v>0</v>
      </c>
      <c r="AQ63" s="30">
        <f>COUNTIF(ParticipationJanvier1[[#This Row],[1]:[31]],Code8)</f>
        <v>0</v>
      </c>
      <c r="AR63" s="30">
        <f>COUNTIF(ParticipationJanvier1[[#This Row],[1]:[31]],Code9)</f>
        <v>0</v>
      </c>
      <c r="AS63" s="473">
        <f>COUNTIF(ParticipationJanvier1[[#This Row],[1]:[31]],Code10)</f>
        <v>0</v>
      </c>
      <c r="AT63" s="473">
        <f>COUNTIF(ParticipationJanvier1[[#This Row],[1]:[31]],Code11)</f>
        <v>0</v>
      </c>
      <c r="AU63" s="473">
        <f>COUNTIF(ParticipationJanvier1[[#This Row],[1]:[31]],Code12)</f>
        <v>0</v>
      </c>
      <c r="AV63" s="473">
        <f>COUNTIF(ParticipationJanvier1[[#This Row],[1]:[31]],Code13)</f>
        <v>0</v>
      </c>
      <c r="AW63" s="473">
        <f>COUNTIF(ParticipationJanvier1[[#This Row],[1]:[31]],Code14)</f>
        <v>0</v>
      </c>
      <c r="AX63" s="473">
        <f>COUNTIF(ParticipationJanvier1[[#This Row],[1]:[31]],Code15)</f>
        <v>0</v>
      </c>
      <c r="AY63" s="473">
        <f>COUNTIF(ParticipationJanvier1[[#This Row],[1]:[31]],Code16)</f>
        <v>0</v>
      </c>
      <c r="AZ63" s="473">
        <f>COUNTIF(ParticipationJanvier1[[#This Row],[1]:[31]],Code17)</f>
        <v>0</v>
      </c>
      <c r="BA63" s="475">
        <f>COUNTIF(ParticipationJanvier1[[#This Row],[1]:[31]],Code25)</f>
        <v>0</v>
      </c>
      <c r="BB63" s="475">
        <f>COUNTIF(ParticipationJanvier1[[#This Row],[1]:[31]],Code26)</f>
        <v>0</v>
      </c>
      <c r="BC63" s="475">
        <f>COUNTIF(ParticipationJanvier1[[#This Row],[1]:[31]],Code27)</f>
        <v>0</v>
      </c>
      <c r="BD63" s="475">
        <f>COUNTIF(ParticipationJanvier1[[#This Row],[1]:[31]],Code28)</f>
        <v>0</v>
      </c>
      <c r="BE63" s="475">
        <f>COUNTIF(ParticipationJanvier1[[#This Row],[1]:[31]],code30)</f>
        <v>0</v>
      </c>
      <c r="BF63" s="475">
        <f>COUNTIF(ParticipationJanvier1[[#This Row],[1]:[31]],Code31)</f>
        <v>0</v>
      </c>
      <c r="BG63" s="473">
        <f>COUNTIF(ParticipationJanvier1[[#This Row],[1]:[31]],code21)</f>
        <v>0</v>
      </c>
      <c r="BH63" s="473">
        <f>COUNTIF(ParticipationJanvier1[[#This Row],[1]:[31]],Code24)</f>
        <v>0</v>
      </c>
      <c r="BI63" s="473">
        <f>COUNTIF(ParticipationJanvier1[[#This Row],[1]:[31]],code18)</f>
        <v>0</v>
      </c>
      <c r="BJ63" s="473">
        <f>COUNTIF(ParticipationJanvier1[[#This Row],[1]:[31]],code19)</f>
        <v>0</v>
      </c>
      <c r="BK63" s="473">
        <f>COUNTIF(ParticipationJanvier1[[#This Row],[1]:[31]],code20)</f>
        <v>0</v>
      </c>
      <c r="BL63" s="476">
        <f>COUNTIF(ParticipationJanvier1[[#This Row],[1]:[31]],code29)</f>
        <v>0</v>
      </c>
      <c r="BM63" s="472">
        <f>SUM((AH63*1)+(AI67*1.5)+(AJ63*2)+(AK63*3)+(AL63*4)+(AQ63*5)+(AR63*6)+(AS63*7)+(AW63*2)+(AX63*3)+(AY63*4)+(AZ63*5)+(BG63*2))</f>
        <v>0</v>
      </c>
      <c r="BN63" s="472"/>
      <c r="BO63" s="472"/>
      <c r="BP63" s="472"/>
      <c r="BQ63" s="472"/>
      <c r="BR63" s="473"/>
      <c r="BS63" s="473"/>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c r="CP63" s="472"/>
      <c r="CQ63" s="472"/>
      <c r="CR63" s="472"/>
      <c r="CS63" s="472"/>
      <c r="CT63" s="472"/>
      <c r="CU63" s="516">
        <f>SUM((AN63*1)+(AM63*2)+(AO63*3)+(AP63*4)+(AT63*5)+(AU63*7)+(AV63*7)+(AW63*7)+(AX63*4)+(AY63*3)+(BA63*2)+(BC63*4)+(BB63*1)+(BG63*2)+(AZ63*5)+(BD63*1))</f>
        <v>0</v>
      </c>
      <c r="CV63" s="521">
        <f>SUM((AH63*1)+(AI63*1.5)+(AJ63*2)+(AK63*3)+(AP63*5)+(AQ63*6)+(AR63*7)+(AU63*2)+(AX63*3)+(AY63*4)+(BA63*5)+(BB63*3)+(BC63*2)+(BG63*2)+(AZ63*2)+(BD63*2))</f>
        <v>0</v>
      </c>
      <c r="CW63" s="522">
        <f>SUM((AN63*1)+(AM63*2)+(AO63*3)+(AP63*4)+(AT63*5)+(AU63*7)+(AV63*7)+(AW63*7)+(AX63*4)+(AY63*3)+(BA63*2)+(BC63*4)+(BB63*1)+(BG63*2)+(AZ63*5)+(BD63*1))</f>
        <v>0</v>
      </c>
      <c r="CX63" s="523">
        <f>BH63*1</f>
        <v>0</v>
      </c>
      <c r="CY63" s="512"/>
    </row>
    <row r="64" spans="1:125">
      <c r="A64" s="510" t="s">
        <v>405</v>
      </c>
      <c r="B64" s="372" t="str">
        <f>IFERROR(VLOOKUP(ParticipationJanvier1[[#This Row],[Référence]],ListeÉtudiants1[],18,FALSE),"")</f>
        <v>GARGIULO  LUCIE</v>
      </c>
      <c r="C64" s="19"/>
      <c r="D64" s="19"/>
      <c r="E64" s="19"/>
      <c r="F64" s="19"/>
      <c r="G64" s="19"/>
      <c r="H64" s="19"/>
      <c r="I64" s="19"/>
      <c r="J64" s="19"/>
      <c r="K64" s="19"/>
      <c r="L64" s="19"/>
      <c r="M64" s="19"/>
      <c r="N64" s="19" t="s">
        <v>35</v>
      </c>
      <c r="O64" s="19"/>
      <c r="P64" s="19"/>
      <c r="Q64" s="19" t="s">
        <v>490</v>
      </c>
      <c r="R64" s="19" t="s">
        <v>106</v>
      </c>
      <c r="S64" s="19"/>
      <c r="T64" s="19"/>
      <c r="U64" s="19"/>
      <c r="V64" s="19"/>
      <c r="W64" s="19"/>
      <c r="X64" s="19"/>
      <c r="Y64" s="19"/>
      <c r="Z64" s="19"/>
      <c r="AA64" s="19"/>
      <c r="AB64" s="19"/>
      <c r="AC64" s="19"/>
      <c r="AD64" s="19"/>
      <c r="AE64" s="19"/>
      <c r="AF64" s="19"/>
      <c r="AG64" s="328"/>
      <c r="AH64" s="6">
        <f>COUNTIF(ParticipationJanvier1[[#This Row],[1]:[31]],Code1)</f>
        <v>0</v>
      </c>
      <c r="AI64" s="6">
        <f>COUNTIF(ParticipationJanvier1[[#This Row],[1]:[31]],code22)</f>
        <v>0</v>
      </c>
      <c r="AJ64" s="6">
        <f>COUNTIF(ParticipationJanvier1[[#This Row],[1]:[31]],Code2)</f>
        <v>0</v>
      </c>
      <c r="AK64" s="6">
        <f>COUNTIF(ParticipationJanvier1[[#This Row],[1]:[31]],Code3)</f>
        <v>1</v>
      </c>
      <c r="AL64" s="6">
        <f>COUNTIF(ParticipationJanvier1[[#This Row],[1]:[31]],Code4)</f>
        <v>0</v>
      </c>
      <c r="AM64" s="6">
        <f>COUNTIF(ParticipationJanvier1[[#This Row],[1]:[31]],Code5)</f>
        <v>1</v>
      </c>
      <c r="AN64" s="6">
        <f>COUNTIF(ParticipationJanvier1[[#This Row],[1]:[31]],Code23)</f>
        <v>0</v>
      </c>
      <c r="AO64" s="6">
        <f>COUNTIF(ParticipationJanvier1[[#This Row],[1]:[31]],Code6)</f>
        <v>0</v>
      </c>
      <c r="AP64" s="6">
        <f>COUNTIF(ParticipationJanvier1[[#This Row],[1]:[31]],Code7)</f>
        <v>0</v>
      </c>
      <c r="AQ64" s="6">
        <f>COUNTIF(ParticipationJanvier1[[#This Row],[1]:[31]],Code8)</f>
        <v>0</v>
      </c>
      <c r="AR64" s="6">
        <f>COUNTIF(ParticipationJanvier1[[#This Row],[1]:[31]],Code9)</f>
        <v>0</v>
      </c>
      <c r="AS64" s="6">
        <f>COUNTIF(ParticipationJanvier1[[#This Row],[1]:[31]],Code10)</f>
        <v>0</v>
      </c>
      <c r="AT64" s="6">
        <f>COUNTIF(ParticipationJanvier1[[#This Row],[1]:[31]],Code11)</f>
        <v>0</v>
      </c>
      <c r="AU64" s="6">
        <f>COUNTIF(ParticipationJanvier1[[#This Row],[1]:[31]],Code12)</f>
        <v>0</v>
      </c>
      <c r="AV64" s="6">
        <f>COUNTIF(ParticipationJanvier1[[#This Row],[1]:[31]],Code13)</f>
        <v>0</v>
      </c>
      <c r="AW64" s="6">
        <f>COUNTIF(ParticipationJanvier1[[#This Row],[1]:[31]],Code14)</f>
        <v>0</v>
      </c>
      <c r="AX64" s="6">
        <f>COUNTIF(ParticipationJanvier1[[#This Row],[1]:[31]],Code15)</f>
        <v>1</v>
      </c>
      <c r="AY64" s="6">
        <f>COUNTIF(ParticipationJanvier1[[#This Row],[1]:[31]],Code16)</f>
        <v>0</v>
      </c>
      <c r="AZ64" s="6">
        <f>COUNTIF(ParticipationJanvier1[[#This Row],[1]:[31]],Code17)</f>
        <v>0</v>
      </c>
      <c r="BA64" s="6">
        <f>COUNTIF(ParticipationJanvier1[[#This Row],[1]:[31]],Code25)</f>
        <v>0</v>
      </c>
      <c r="BB64" s="6">
        <f>COUNTIF(ParticipationJanvier1[[#This Row],[1]:[31]],Code26)</f>
        <v>0</v>
      </c>
      <c r="BC64" s="6">
        <f>COUNTIF(ParticipationJanvier1[[#This Row],[1]:[31]],Code27)</f>
        <v>0</v>
      </c>
      <c r="BD64" s="6">
        <f>COUNTIF(ParticipationJanvier1[[#This Row],[1]:[31]],Code28)</f>
        <v>0</v>
      </c>
      <c r="BE64" s="6">
        <f>COUNTIF(ParticipationJanvier1[[#This Row],[1]:[31]],code30)</f>
        <v>0</v>
      </c>
      <c r="BF64" s="6">
        <f>COUNTIF(ParticipationJanvier1[[#This Row],[1]:[31]],Code31)</f>
        <v>0</v>
      </c>
      <c r="BG64" s="6">
        <f>COUNTIF(ParticipationJanvier1[[#This Row],[1]:[31]],code21)</f>
        <v>0</v>
      </c>
      <c r="BH64" s="6">
        <f>COUNTIF(ParticipationJanvier1[[#This Row],[1]:[31]],Code24)</f>
        <v>0</v>
      </c>
      <c r="BI64" s="6">
        <f>COUNTIF(ParticipationJanvier1[[#This Row],[1]:[31]],code18)</f>
        <v>0</v>
      </c>
      <c r="BJ64" s="6">
        <f>COUNTIF(ParticipationJanvier1[[#This Row],[1]:[31]],code19)</f>
        <v>0</v>
      </c>
      <c r="BK64" s="6">
        <f>COUNTIF(ParticipationJanvier1[[#This Row],[1]:[31]],code20)</f>
        <v>0</v>
      </c>
      <c r="BL64" s="182">
        <f>COUNTIF(ParticipationJanvier1[[#This Row],[1]:[31]],code29)</f>
        <v>0</v>
      </c>
      <c r="BM64" s="297">
        <v>2</v>
      </c>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0"/>
      <c r="CV64" s="165">
        <f t="shared" si="0"/>
        <v>6</v>
      </c>
      <c r="CW64" s="165">
        <f t="shared" si="1"/>
        <v>6</v>
      </c>
      <c r="CX64" s="249">
        <f t="shared" si="2"/>
        <v>0</v>
      </c>
      <c r="CY64" s="170"/>
      <c r="CZ64" s="88"/>
      <c r="DA64" s="88"/>
      <c r="DB64" s="88"/>
      <c r="DC64" s="88"/>
      <c r="DD64" s="88"/>
      <c r="DE64" s="88"/>
      <c r="DF64" s="88"/>
      <c r="DG64" s="88"/>
      <c r="DH64" s="88"/>
      <c r="DI64" s="88"/>
      <c r="DJ64" s="88"/>
      <c r="DK64" s="88"/>
      <c r="DL64" s="88"/>
      <c r="DM64" s="88"/>
      <c r="DN64" s="88"/>
      <c r="DO64" s="88"/>
      <c r="DP64" s="88"/>
      <c r="DQ64" s="88"/>
      <c r="DR64" s="88"/>
      <c r="DS64" s="88"/>
      <c r="DT64" s="88"/>
      <c r="DU64" s="88"/>
    </row>
    <row r="65" spans="1:103">
      <c r="A65" s="510" t="s">
        <v>406</v>
      </c>
      <c r="B65" s="372" t="str">
        <f>IFERROR(VLOOKUP(ParticipationJanvier1[[#This Row],[Référence]],ListeÉtudiants1[],18,FALSE),"")</f>
        <v>GASQUET ANTOINE</v>
      </c>
      <c r="G65" s="291"/>
      <c r="I65" s="291"/>
      <c r="K65" s="291"/>
      <c r="M65" s="291"/>
      <c r="N65" s="19" t="s">
        <v>507</v>
      </c>
      <c r="O65" s="19"/>
      <c r="P65" s="19"/>
      <c r="Q65" s="19" t="s">
        <v>490</v>
      </c>
      <c r="R65" s="19"/>
      <c r="S65" s="19"/>
      <c r="T65" s="19"/>
      <c r="U65" s="291"/>
      <c r="W65" s="291"/>
      <c r="Y65" s="291"/>
      <c r="AA65" s="291"/>
      <c r="AC65" s="291"/>
      <c r="AE65" s="291"/>
      <c r="AG65" s="326"/>
      <c r="AH65" s="6">
        <f>COUNTIF(ParticipationJanvier1[[#This Row],[1]:[31]],Code1)</f>
        <v>0</v>
      </c>
      <c r="AI65" s="6">
        <f>COUNTIF(ParticipationJanvier1[[#This Row],[1]:[31]],code22)</f>
        <v>0</v>
      </c>
      <c r="AJ65" s="6">
        <f>COUNTIF(ParticipationJanvier1[[#This Row],[1]:[31]],Code2)</f>
        <v>0</v>
      </c>
      <c r="AK65" s="6">
        <f>COUNTIF(ParticipationJanvier1[[#This Row],[1]:[31]],Code3)</f>
        <v>0</v>
      </c>
      <c r="AL65" s="6">
        <f>COUNTIF(ParticipationJanvier1[[#This Row],[1]:[31]],Code4)</f>
        <v>0</v>
      </c>
      <c r="AM65" s="6">
        <f>COUNTIF(ParticipationJanvier1[[#This Row],[1]:[31]],Code5)</f>
        <v>0</v>
      </c>
      <c r="AN65" s="6">
        <f>COUNTIF(ParticipationJanvier1[[#This Row],[1]:[31]],Code23)</f>
        <v>0</v>
      </c>
      <c r="AO65" s="6">
        <f>COUNTIF(ParticipationJanvier1[[#This Row],[1]:[31]],Code6)</f>
        <v>0</v>
      </c>
      <c r="AP65" s="6">
        <f>COUNTIF(ParticipationJanvier1[[#This Row],[1]:[31]],Code7)</f>
        <v>0</v>
      </c>
      <c r="AQ65" s="6">
        <f>COUNTIF(ParticipationJanvier1[[#This Row],[1]:[31]],Code8)</f>
        <v>0</v>
      </c>
      <c r="AR65" s="6">
        <f>COUNTIF(ParticipationJanvier1[[#This Row],[1]:[31]],Code9)</f>
        <v>0</v>
      </c>
      <c r="AS65" s="6">
        <f>COUNTIF(ParticipationJanvier1[[#This Row],[1]:[31]],Code10)</f>
        <v>0</v>
      </c>
      <c r="AT65" s="6">
        <f>COUNTIF(ParticipationJanvier1[[#This Row],[1]:[31]],Code11)</f>
        <v>0</v>
      </c>
      <c r="AU65" s="6">
        <f>COUNTIF(ParticipationJanvier1[[#This Row],[1]:[31]],Code12)</f>
        <v>0</v>
      </c>
      <c r="AV65" s="6">
        <f>COUNTIF(ParticipationJanvier1[[#This Row],[1]:[31]],Code13)</f>
        <v>0</v>
      </c>
      <c r="AW65" s="6">
        <f>COUNTIF(ParticipationJanvier1[[#This Row],[1]:[31]],Code14)</f>
        <v>0</v>
      </c>
      <c r="AX65" s="6">
        <f>COUNTIF(ParticipationJanvier1[[#This Row],[1]:[31]],Code15)</f>
        <v>1</v>
      </c>
      <c r="AY65" s="6">
        <f>COUNTIF(ParticipationJanvier1[[#This Row],[1]:[31]],Code16)</f>
        <v>0</v>
      </c>
      <c r="AZ65" s="6">
        <f>COUNTIF(ParticipationJanvier1[[#This Row],[1]:[31]],Code17)</f>
        <v>0</v>
      </c>
      <c r="BA65" s="6">
        <f>COUNTIF(ParticipationJanvier1[[#This Row],[1]:[31]],Code25)</f>
        <v>0</v>
      </c>
      <c r="BB65" s="6">
        <f>COUNTIF(ParticipationJanvier1[[#This Row],[1]:[31]],Code26)</f>
        <v>0</v>
      </c>
      <c r="BC65" s="6">
        <f>COUNTIF(ParticipationJanvier1[[#This Row],[1]:[31]],Code27)</f>
        <v>0</v>
      </c>
      <c r="BD65" s="6">
        <f>COUNTIF(ParticipationJanvier1[[#This Row],[1]:[31]],Code28)</f>
        <v>0</v>
      </c>
      <c r="BE65" s="6">
        <f>COUNTIF(ParticipationJanvier1[[#This Row],[1]:[31]],code30)</f>
        <v>0</v>
      </c>
      <c r="BF65" s="6">
        <f>COUNTIF(ParticipationJanvier1[[#This Row],[1]:[31]],Code31)</f>
        <v>0</v>
      </c>
      <c r="BG65" s="6">
        <f>COUNTIF(ParticipationJanvier1[[#This Row],[1]:[31]],code21)</f>
        <v>1</v>
      </c>
      <c r="BH65" s="6">
        <f>COUNTIF(ParticipationJanvier1[[#This Row],[1]:[31]],Code24)</f>
        <v>0</v>
      </c>
      <c r="BI65" s="6">
        <f>COUNTIF(ParticipationJanvier1[[#This Row],[1]:[31]],code18)</f>
        <v>0</v>
      </c>
      <c r="BJ65" s="6">
        <f>COUNTIF(ParticipationJanvier1[[#This Row],[1]:[31]],code19)</f>
        <v>0</v>
      </c>
      <c r="BK65" s="6">
        <f>COUNTIF(ParticipationJanvier1[[#This Row],[1]:[31]],code20)</f>
        <v>0</v>
      </c>
      <c r="BL65" s="182">
        <f>COUNTIF(ParticipationJanvier1[[#This Row],[1]:[31]],code29)</f>
        <v>0</v>
      </c>
      <c r="BM65" s="297">
        <v>1</v>
      </c>
      <c r="BN65" s="297"/>
      <c r="BO65" s="297"/>
      <c r="BP65" s="297"/>
      <c r="BQ65" s="297"/>
      <c r="BR65" s="307"/>
      <c r="BS65" s="297"/>
      <c r="BT65" s="297"/>
      <c r="BU65" s="297"/>
      <c r="BV65" s="297"/>
      <c r="BW65" s="297"/>
      <c r="BX65" s="297"/>
      <c r="BY65" s="297"/>
      <c r="BZ65" s="297"/>
      <c r="CA65" s="297"/>
      <c r="CB65" s="297"/>
      <c r="CC65" s="297"/>
      <c r="CD65" s="297"/>
      <c r="CE65" s="297"/>
      <c r="CF65" s="297"/>
      <c r="CG65" s="297">
        <v>1</v>
      </c>
      <c r="CH65" s="297"/>
      <c r="CI65" s="297"/>
      <c r="CJ65" s="297"/>
      <c r="CK65" s="297"/>
      <c r="CL65" s="297"/>
      <c r="CM65" s="297"/>
      <c r="CN65" s="297"/>
      <c r="CO65" s="297"/>
      <c r="CP65" s="297"/>
      <c r="CQ65" s="297"/>
      <c r="CR65" s="297"/>
      <c r="CS65" s="297"/>
      <c r="CT65" s="297"/>
      <c r="CU65" s="300"/>
      <c r="CV65" s="165">
        <f t="shared" si="0"/>
        <v>5</v>
      </c>
      <c r="CW65" s="165">
        <f t="shared" si="1"/>
        <v>6</v>
      </c>
      <c r="CX65" s="249">
        <f t="shared" si="2"/>
        <v>0</v>
      </c>
      <c r="CY65" s="170"/>
    </row>
    <row r="66" spans="1:103">
      <c r="A66" s="534" t="s">
        <v>407</v>
      </c>
      <c r="B66" s="372" t="str">
        <f>IFERROR(VLOOKUP(ParticipationJanvier1[[#This Row],[Référence]],ListeÉtudiants1[],18,FALSE),"")</f>
        <v>GATIBELZA LESLEY</v>
      </c>
      <c r="G66" s="291"/>
      <c r="I66" s="291"/>
      <c r="K66" s="291"/>
      <c r="M66" s="291"/>
      <c r="N66" s="19" t="s">
        <v>35</v>
      </c>
      <c r="O66" s="19"/>
      <c r="P66" s="19"/>
      <c r="Q66" s="19" t="s">
        <v>490</v>
      </c>
      <c r="R66" s="19" t="s">
        <v>106</v>
      </c>
      <c r="S66" s="19" t="s">
        <v>107</v>
      </c>
      <c r="T66" s="19"/>
      <c r="U66" s="291"/>
      <c r="W66" s="291"/>
      <c r="Y66" s="291"/>
      <c r="AA66" s="291"/>
      <c r="AC66" s="291"/>
      <c r="AE66" s="291"/>
      <c r="AG66" s="326"/>
      <c r="AH66" s="6">
        <f>COUNTIF(ParticipationJanvier1[[#This Row],[1]:[31]],Code1)</f>
        <v>0</v>
      </c>
      <c r="AI66" s="6">
        <f>COUNTIF(ParticipationJanvier1[[#This Row],[1]:[31]],code22)</f>
        <v>0</v>
      </c>
      <c r="AJ66" s="6">
        <f>COUNTIF(ParticipationJanvier1[[#This Row],[1]:[31]],Code2)</f>
        <v>0</v>
      </c>
      <c r="AK66" s="6">
        <f>COUNTIF(ParticipationJanvier1[[#This Row],[1]:[31]],Code3)</f>
        <v>1</v>
      </c>
      <c r="AL66" s="6">
        <f>COUNTIF(ParticipationJanvier1[[#This Row],[1]:[31]],Code4)</f>
        <v>1</v>
      </c>
      <c r="AM66" s="6">
        <f>COUNTIF(ParticipationJanvier1[[#This Row],[1]:[31]],Code5)</f>
        <v>1</v>
      </c>
      <c r="AN66" s="6">
        <f>COUNTIF(ParticipationJanvier1[[#This Row],[1]:[31]],Code23)</f>
        <v>0</v>
      </c>
      <c r="AO66" s="6">
        <f>COUNTIF(ParticipationJanvier1[[#This Row],[1]:[31]],Code6)</f>
        <v>0</v>
      </c>
      <c r="AP66" s="6">
        <f>COUNTIF(ParticipationJanvier1[[#This Row],[1]:[31]],Code7)</f>
        <v>0</v>
      </c>
      <c r="AQ66" s="6">
        <f>COUNTIF(ParticipationJanvier1[[#This Row],[1]:[31]],Code8)</f>
        <v>0</v>
      </c>
      <c r="AR66" s="6">
        <f>COUNTIF(ParticipationJanvier1[[#This Row],[1]:[31]],Code9)</f>
        <v>0</v>
      </c>
      <c r="AS66" s="6">
        <f>COUNTIF(ParticipationJanvier1[[#This Row],[1]:[31]],Code10)</f>
        <v>0</v>
      </c>
      <c r="AT66" s="6">
        <f>COUNTIF(ParticipationJanvier1[[#This Row],[1]:[31]],Code11)</f>
        <v>0</v>
      </c>
      <c r="AU66" s="6">
        <f>COUNTIF(ParticipationJanvier1[[#This Row],[1]:[31]],Code12)</f>
        <v>0</v>
      </c>
      <c r="AV66" s="6">
        <f>COUNTIF(ParticipationJanvier1[[#This Row],[1]:[31]],Code13)</f>
        <v>0</v>
      </c>
      <c r="AW66" s="6">
        <f>COUNTIF(ParticipationJanvier1[[#This Row],[1]:[31]],Code14)</f>
        <v>0</v>
      </c>
      <c r="AX66" s="6">
        <f>COUNTIF(ParticipationJanvier1[[#This Row],[1]:[31]],Code15)</f>
        <v>1</v>
      </c>
      <c r="AY66" s="6">
        <f>COUNTIF(ParticipationJanvier1[[#This Row],[1]:[31]],Code16)</f>
        <v>0</v>
      </c>
      <c r="AZ66" s="6">
        <f>COUNTIF(ParticipationJanvier1[[#This Row],[1]:[31]],Code17)</f>
        <v>0</v>
      </c>
      <c r="BA66" s="6">
        <f>COUNTIF(ParticipationJanvier1[[#This Row],[1]:[31]],Code25)</f>
        <v>0</v>
      </c>
      <c r="BB66" s="6">
        <f>COUNTIF(ParticipationJanvier1[[#This Row],[1]:[31]],Code26)</f>
        <v>0</v>
      </c>
      <c r="BC66" s="6">
        <f>COUNTIF(ParticipationJanvier1[[#This Row],[1]:[31]],Code27)</f>
        <v>0</v>
      </c>
      <c r="BD66" s="6">
        <f>COUNTIF(ParticipationJanvier1[[#This Row],[1]:[31]],Code28)</f>
        <v>0</v>
      </c>
      <c r="BE66" s="6">
        <f>COUNTIF(ParticipationJanvier1[[#This Row],[1]:[31]],code30)</f>
        <v>0</v>
      </c>
      <c r="BF66" s="6">
        <f>COUNTIF(ParticipationJanvier1[[#This Row],[1]:[31]],Code31)</f>
        <v>0</v>
      </c>
      <c r="BG66" s="6">
        <f>COUNTIF(ParticipationJanvier1[[#This Row],[1]:[31]],code21)</f>
        <v>0</v>
      </c>
      <c r="BH66" s="6">
        <f>COUNTIF(ParticipationJanvier1[[#This Row],[1]:[31]],Code24)</f>
        <v>0</v>
      </c>
      <c r="BI66" s="6">
        <f>COUNTIF(ParticipationJanvier1[[#This Row],[1]:[31]],code18)</f>
        <v>0</v>
      </c>
      <c r="BJ66" s="6">
        <f>COUNTIF(ParticipationJanvier1[[#This Row],[1]:[31]],code19)</f>
        <v>0</v>
      </c>
      <c r="BK66" s="6">
        <f>COUNTIF(ParticipationJanvier1[[#This Row],[1]:[31]],code20)</f>
        <v>0</v>
      </c>
      <c r="BL66" s="182">
        <f>COUNTIF(ParticipationJanvier1[[#This Row],[1]:[31]],code29)</f>
        <v>0</v>
      </c>
      <c r="BM66" s="297">
        <v>3</v>
      </c>
      <c r="BN66" s="297"/>
      <c r="BO66" s="297"/>
      <c r="BP66" s="297"/>
      <c r="BQ66" s="297"/>
      <c r="BR66" s="307"/>
      <c r="BS66" s="297"/>
      <c r="BT66" s="307"/>
      <c r="BU66" s="307"/>
      <c r="BV66" s="307"/>
      <c r="BW66" s="307"/>
      <c r="BX66" s="307"/>
      <c r="BY66" s="307"/>
      <c r="BZ66" s="307"/>
      <c r="CA66" s="307"/>
      <c r="CB66" s="307"/>
      <c r="CC66" s="307"/>
      <c r="CD66" s="307"/>
      <c r="CE66" s="307"/>
      <c r="CF66" s="307"/>
      <c r="CG66" s="307"/>
      <c r="CH66" s="307"/>
      <c r="CI66" s="307"/>
      <c r="CJ66" s="307"/>
      <c r="CK66" s="307"/>
      <c r="CL66" s="307"/>
      <c r="CM66" s="307"/>
      <c r="CN66" s="307"/>
      <c r="CO66" s="307"/>
      <c r="CP66" s="307"/>
      <c r="CQ66" s="307"/>
      <c r="CR66" s="307"/>
      <c r="CS66" s="307"/>
      <c r="CT66" s="307"/>
      <c r="CU66" s="300"/>
      <c r="CV66" s="165">
        <f t="shared" si="0"/>
        <v>6</v>
      </c>
      <c r="CW66" s="165">
        <f t="shared" si="1"/>
        <v>6</v>
      </c>
      <c r="CX66" s="249">
        <f t="shared" si="2"/>
        <v>0</v>
      </c>
      <c r="CY66" s="170"/>
    </row>
    <row r="67" spans="1:103">
      <c r="A67" s="534" t="s">
        <v>408</v>
      </c>
      <c r="B67" s="372" t="str">
        <f>IFERROR(VLOOKUP(ParticipationJanvier1[[#This Row],[Référence]],ListeÉtudiants1[],18,FALSE),"")</f>
        <v>GOMES SEMEDO LUCY</v>
      </c>
      <c r="G67" s="291"/>
      <c r="I67" s="291"/>
      <c r="K67" s="291"/>
      <c r="M67" s="291"/>
      <c r="N67" s="19"/>
      <c r="O67" s="19"/>
      <c r="P67" s="19"/>
      <c r="Q67" s="19" t="s">
        <v>108</v>
      </c>
      <c r="R67" s="19"/>
      <c r="S67" s="19"/>
      <c r="T67" s="19"/>
      <c r="U67" s="291"/>
      <c r="W67" s="291"/>
      <c r="Y67" s="291"/>
      <c r="AA67" s="291"/>
      <c r="AC67" s="291"/>
      <c r="AE67" s="291"/>
      <c r="AG67" s="326"/>
      <c r="AH67" s="6">
        <f>COUNTIF(ParticipationJanvier1[[#This Row],[1]:[31]],Code1)</f>
        <v>0</v>
      </c>
      <c r="AI67" s="6">
        <f>COUNTIF(ParticipationJanvier1[[#This Row],[1]:[31]],code22)</f>
        <v>0</v>
      </c>
      <c r="AJ67" s="6">
        <f>COUNTIF(ParticipationJanvier1[[#This Row],[1]:[31]],Code2)</f>
        <v>0</v>
      </c>
      <c r="AK67" s="6">
        <f>COUNTIF(ParticipationJanvier1[[#This Row],[1]:[31]],Code3)</f>
        <v>0</v>
      </c>
      <c r="AL67" s="6">
        <f>COUNTIF(ParticipationJanvier1[[#This Row],[1]:[31]],Code4)</f>
        <v>0</v>
      </c>
      <c r="AM67" s="6">
        <f>COUNTIF(ParticipationJanvier1[[#This Row],[1]:[31]],Code5)</f>
        <v>0</v>
      </c>
      <c r="AN67" s="6">
        <f>COUNTIF(ParticipationJanvier1[[#This Row],[1]:[31]],Code23)</f>
        <v>0</v>
      </c>
      <c r="AO67" s="6">
        <f>COUNTIF(ParticipationJanvier1[[#This Row],[1]:[31]],Code6)</f>
        <v>1</v>
      </c>
      <c r="AP67" s="6">
        <f>COUNTIF(ParticipationJanvier1[[#This Row],[1]:[31]],Code7)</f>
        <v>0</v>
      </c>
      <c r="AQ67" s="6">
        <f>COUNTIF(ParticipationJanvier1[[#This Row],[1]:[31]],Code8)</f>
        <v>0</v>
      </c>
      <c r="AR67" s="6">
        <f>COUNTIF(ParticipationJanvier1[[#This Row],[1]:[31]],Code9)</f>
        <v>0</v>
      </c>
      <c r="AS67" s="6">
        <f>COUNTIF(ParticipationJanvier1[[#This Row],[1]:[31]],Code10)</f>
        <v>0</v>
      </c>
      <c r="AT67" s="6">
        <f>COUNTIF(ParticipationJanvier1[[#This Row],[1]:[31]],Code11)</f>
        <v>0</v>
      </c>
      <c r="AU67" s="6">
        <f>COUNTIF(ParticipationJanvier1[[#This Row],[1]:[31]],Code12)</f>
        <v>0</v>
      </c>
      <c r="AV67" s="6">
        <f>COUNTIF(ParticipationJanvier1[[#This Row],[1]:[31]],Code13)</f>
        <v>0</v>
      </c>
      <c r="AW67" s="6">
        <f>COUNTIF(ParticipationJanvier1[[#This Row],[1]:[31]],Code14)</f>
        <v>0</v>
      </c>
      <c r="AX67" s="6">
        <f>COUNTIF(ParticipationJanvier1[[#This Row],[1]:[31]],Code15)</f>
        <v>0</v>
      </c>
      <c r="AY67" s="6">
        <f>COUNTIF(ParticipationJanvier1[[#This Row],[1]:[31]],Code16)</f>
        <v>0</v>
      </c>
      <c r="AZ67" s="6">
        <f>COUNTIF(ParticipationJanvier1[[#This Row],[1]:[31]],Code17)</f>
        <v>0</v>
      </c>
      <c r="BA67" s="6">
        <f>COUNTIF(ParticipationJanvier1[[#This Row],[1]:[31]],Code25)</f>
        <v>0</v>
      </c>
      <c r="BB67" s="6">
        <f>COUNTIF(ParticipationJanvier1[[#This Row],[1]:[31]],Code26)</f>
        <v>0</v>
      </c>
      <c r="BC67" s="6">
        <f>COUNTIF(ParticipationJanvier1[[#This Row],[1]:[31]],Code27)</f>
        <v>0</v>
      </c>
      <c r="BD67" s="6">
        <f>COUNTIF(ParticipationJanvier1[[#This Row],[1]:[31]],Code28)</f>
        <v>0</v>
      </c>
      <c r="BE67" s="6">
        <f>COUNTIF(ParticipationJanvier1[[#This Row],[1]:[31]],code30)</f>
        <v>0</v>
      </c>
      <c r="BF67" s="6">
        <f>COUNTIF(ParticipationJanvier1[[#This Row],[1]:[31]],Code31)</f>
        <v>0</v>
      </c>
      <c r="BG67" s="6">
        <f>COUNTIF(ParticipationJanvier1[[#This Row],[1]:[31]],code21)</f>
        <v>0</v>
      </c>
      <c r="BH67" s="6">
        <f>COUNTIF(ParticipationJanvier1[[#This Row],[1]:[31]],Code24)</f>
        <v>0</v>
      </c>
      <c r="BI67" s="6">
        <f>COUNTIF(ParticipationJanvier1[[#This Row],[1]:[31]],code18)</f>
        <v>0</v>
      </c>
      <c r="BJ67" s="6">
        <f>COUNTIF(ParticipationJanvier1[[#This Row],[1]:[31]],code19)</f>
        <v>0</v>
      </c>
      <c r="BK67" s="6">
        <f>COUNTIF(ParticipationJanvier1[[#This Row],[1]:[31]],code20)</f>
        <v>0</v>
      </c>
      <c r="BL67" s="182">
        <f>COUNTIF(ParticipationJanvier1[[#This Row],[1]:[31]],code29)</f>
        <v>0</v>
      </c>
      <c r="BM67" s="297"/>
      <c r="BN67" s="297"/>
      <c r="BO67" s="297"/>
      <c r="BP67" s="297"/>
      <c r="BQ67" s="297"/>
      <c r="BR67" s="307"/>
      <c r="BS67" s="307"/>
      <c r="BT67" s="297"/>
      <c r="BU67" s="297"/>
      <c r="BV67" s="297"/>
      <c r="BW67" s="297"/>
      <c r="BX67" s="297"/>
      <c r="BY67" s="297"/>
      <c r="BZ67" s="297"/>
      <c r="CA67" s="297"/>
      <c r="CB67" s="297"/>
      <c r="CC67" s="297"/>
      <c r="CD67" s="297"/>
      <c r="CE67" s="297"/>
      <c r="CF67" s="297"/>
      <c r="CG67" s="297"/>
      <c r="CH67" s="297"/>
      <c r="CI67" s="297"/>
      <c r="CJ67" s="297"/>
      <c r="CK67" s="297"/>
      <c r="CL67" s="297"/>
      <c r="CM67" s="297"/>
      <c r="CN67" s="297"/>
      <c r="CO67" s="297"/>
      <c r="CP67" s="297"/>
      <c r="CQ67" s="297"/>
      <c r="CR67" s="297"/>
      <c r="CS67" s="297"/>
      <c r="CT67" s="297"/>
      <c r="CU67" s="300"/>
      <c r="CV67" s="165">
        <f t="shared" si="0"/>
        <v>0</v>
      </c>
      <c r="CW67" s="165">
        <f t="shared" ref="CW67:CW132" si="4">SUM((AN67*1)+(AM67*2)+(AO67*3)+(AP67*4)+(AT67*5)+(AU67*7)+(AV67*7)+(AW67*7)+(AX67*4)+(AY67*3)+(BA67*2)+(BC67*4)+(BB67*1)+(BG67*2)+(AZ67*5)+(BD67*1))</f>
        <v>3</v>
      </c>
      <c r="CX67" s="249">
        <f t="shared" si="2"/>
        <v>0</v>
      </c>
      <c r="CY67" s="170"/>
    </row>
    <row r="68" spans="1:103">
      <c r="A68" s="534" t="s">
        <v>409</v>
      </c>
      <c r="B68" s="372" t="str">
        <f>IFERROR(VLOOKUP(ParticipationJanvier1[[#This Row],[Référence]],ListeÉtudiants1[],18,FALSE),"")</f>
        <v>GORDON  MAIVA</v>
      </c>
      <c r="G68" s="525"/>
      <c r="I68" s="525"/>
      <c r="K68" s="525"/>
      <c r="M68" s="525"/>
      <c r="N68" s="19"/>
      <c r="O68" s="518"/>
      <c r="P68" s="19"/>
      <c r="Q68" s="518"/>
      <c r="R68" s="19"/>
      <c r="S68" s="518"/>
      <c r="T68" s="19"/>
      <c r="U68" s="525"/>
      <c r="W68" s="525"/>
      <c r="Y68" s="525"/>
      <c r="AA68" s="525"/>
      <c r="AC68" s="525"/>
      <c r="AE68" s="525"/>
      <c r="AG68" s="519"/>
      <c r="AH68" s="475">
        <f>COUNTIF(ParticipationJanvier1[[#This Row],[1]:[31]],Code1)</f>
        <v>0</v>
      </c>
      <c r="AI68" s="518">
        <f>COUNTIF(ParticipationJanvier1[[#This Row],[1]:[31]],code22)</f>
        <v>0</v>
      </c>
      <c r="AJ68" s="473">
        <f>COUNTIF(ParticipationJanvier1[[#This Row],[1]:[31]],Code2)</f>
        <v>0</v>
      </c>
      <c r="AK68" s="520">
        <f>COUNTIF(ParticipationJanvier1[[#This Row],[1]:[31]],Code3)</f>
        <v>0</v>
      </c>
      <c r="AL68" s="473">
        <f>COUNTIF(ParticipationJanvier1[[#This Row],[1]:[31]],Code4)</f>
        <v>0</v>
      </c>
      <c r="AM68" s="520">
        <f>COUNTIF(ParticipationJanvier1[[#This Row],[1]:[31]],Code5)</f>
        <v>0</v>
      </c>
      <c r="AN68" s="30">
        <f>COUNTIF(ParticipationJanvier1[[#This Row],[1]:[31]],Code23)</f>
        <v>0</v>
      </c>
      <c r="AO68" s="473">
        <f>COUNTIF(ParticipationJanvier1[[#This Row],[1]:[31]],Code6)</f>
        <v>0</v>
      </c>
      <c r="AP68" s="30">
        <f>COUNTIF(ParticipationJanvier1[[#This Row],[1]:[31]],Code7)</f>
        <v>0</v>
      </c>
      <c r="AQ68" s="30">
        <f>COUNTIF(ParticipationJanvier1[[#This Row],[1]:[31]],Code8)</f>
        <v>0</v>
      </c>
      <c r="AR68" s="30">
        <f>COUNTIF(ParticipationJanvier1[[#This Row],[1]:[31]],Code9)</f>
        <v>0</v>
      </c>
      <c r="AS68" s="473">
        <f>COUNTIF(ParticipationJanvier1[[#This Row],[1]:[31]],Code10)</f>
        <v>0</v>
      </c>
      <c r="AT68" s="473">
        <f>COUNTIF(ParticipationJanvier1[[#This Row],[1]:[31]],Code11)</f>
        <v>0</v>
      </c>
      <c r="AU68" s="473">
        <f>COUNTIF(ParticipationJanvier1[[#This Row],[1]:[31]],Code12)</f>
        <v>0</v>
      </c>
      <c r="AV68" s="473">
        <f>COUNTIF(ParticipationJanvier1[[#This Row],[1]:[31]],Code13)</f>
        <v>0</v>
      </c>
      <c r="AW68" s="473">
        <f>COUNTIF(ParticipationJanvier1[[#This Row],[1]:[31]],Code14)</f>
        <v>0</v>
      </c>
      <c r="AX68" s="473">
        <f>COUNTIF(ParticipationJanvier1[[#This Row],[1]:[31]],Code15)</f>
        <v>0</v>
      </c>
      <c r="AY68" s="473">
        <f>COUNTIF(ParticipationJanvier1[[#This Row],[1]:[31]],Code16)</f>
        <v>0</v>
      </c>
      <c r="AZ68" s="473">
        <f>COUNTIF(ParticipationJanvier1[[#This Row],[1]:[31]],Code17)</f>
        <v>0</v>
      </c>
      <c r="BA68" s="475">
        <f>COUNTIF(ParticipationJanvier1[[#This Row],[1]:[31]],Code25)</f>
        <v>0</v>
      </c>
      <c r="BB68" s="475">
        <f>COUNTIF(ParticipationJanvier1[[#This Row],[1]:[31]],Code26)</f>
        <v>0</v>
      </c>
      <c r="BC68" s="475">
        <f>COUNTIF(ParticipationJanvier1[[#This Row],[1]:[31]],Code27)</f>
        <v>0</v>
      </c>
      <c r="BD68" s="475">
        <f>COUNTIF(ParticipationJanvier1[[#This Row],[1]:[31]],Code28)</f>
        <v>0</v>
      </c>
      <c r="BE68" s="475">
        <f>COUNTIF(ParticipationJanvier1[[#This Row],[1]:[31]],code30)</f>
        <v>0</v>
      </c>
      <c r="BF68" s="475">
        <f>COUNTIF(ParticipationJanvier1[[#This Row],[1]:[31]],Code31)</f>
        <v>0</v>
      </c>
      <c r="BG68" s="473">
        <f>COUNTIF(ParticipationJanvier1[[#This Row],[1]:[31]],code21)</f>
        <v>0</v>
      </c>
      <c r="BH68" s="473">
        <f>COUNTIF(ParticipationJanvier1[[#This Row],[1]:[31]],Code24)</f>
        <v>0</v>
      </c>
      <c r="BI68" s="473">
        <f>COUNTIF(ParticipationJanvier1[[#This Row],[1]:[31]],code18)</f>
        <v>0</v>
      </c>
      <c r="BJ68" s="473">
        <f>COUNTIF(ParticipationJanvier1[[#This Row],[1]:[31]],code19)</f>
        <v>0</v>
      </c>
      <c r="BK68" s="473">
        <f>COUNTIF(ParticipationJanvier1[[#This Row],[1]:[31]],code20)</f>
        <v>0</v>
      </c>
      <c r="BL68" s="476">
        <f>COUNTIF(ParticipationJanvier1[[#This Row],[1]:[31]],code29)</f>
        <v>0</v>
      </c>
      <c r="BM68" s="472">
        <f>SUM((AH68*1)+(AI73*1.5)+(AJ68*2)+(AK68*3)+(AL68*4)+(AQ68*5)+(AR68*6)+(AS68*7)+(AW68*2)+(AX68*3)+(AY68*4)+(AZ68*5)+(BG68*2))</f>
        <v>0</v>
      </c>
      <c r="BN68" s="472"/>
      <c r="BO68" s="472"/>
      <c r="BP68" s="472"/>
      <c r="BQ68" s="472"/>
      <c r="BR68" s="473"/>
      <c r="BS68" s="473"/>
      <c r="BT68" s="472"/>
      <c r="BU68" s="472"/>
      <c r="BV68" s="472"/>
      <c r="BW68" s="472"/>
      <c r="BX68" s="472"/>
      <c r="BY68" s="472"/>
      <c r="BZ68" s="472"/>
      <c r="CA68" s="472"/>
      <c r="CB68" s="472"/>
      <c r="CC68" s="472"/>
      <c r="CD68" s="472"/>
      <c r="CE68" s="472"/>
      <c r="CF68" s="472"/>
      <c r="CG68" s="472"/>
      <c r="CH68" s="472"/>
      <c r="CI68" s="472"/>
      <c r="CJ68" s="472"/>
      <c r="CK68" s="472"/>
      <c r="CL68" s="472"/>
      <c r="CM68" s="472"/>
      <c r="CN68" s="472"/>
      <c r="CO68" s="472"/>
      <c r="CP68" s="472"/>
      <c r="CQ68" s="472"/>
      <c r="CR68" s="472"/>
      <c r="CS68" s="472"/>
      <c r="CT68" s="472"/>
      <c r="CU68" s="516">
        <f>SUM((AN68*1)+(AM68*2)+(AO68*3)+(AP68*4)+(AT68*5)+(AU68*7)+(AV68*7)+(AW68*7)+(AX68*4)+(AY68*3)+(BA68*2)+(BC68*4)+(BB68*1)+(BG68*2)+(AZ68*5)+(BD68*1))</f>
        <v>0</v>
      </c>
      <c r="CV68" s="521">
        <f>SUM((AH68*1)+(AI68*1.5)+(AJ68*2)+(AK68*3)+(AP68*5)+(AQ68*6)+(AR68*7)+(AU68*2)+(AX68*3)+(AY68*4)+(BA68*5)+(BB68*3)+(BC68*2)+(BG68*2)+(AZ68*2)+(BD68*2))</f>
        <v>0</v>
      </c>
      <c r="CW68" s="522">
        <f>SUM((AN68*1)+(AM68*2)+(AO68*3)+(AP68*4)+(AT68*5)+(AU68*7)+(AV68*7)+(AW68*7)+(AX68*4)+(AY68*3)+(BA68*2)+(BC68*4)+(BB68*1)+(BG68*2)+(AZ68*5)+(BD68*1))</f>
        <v>0</v>
      </c>
      <c r="CX68" s="523">
        <f>BH68*1</f>
        <v>0</v>
      </c>
      <c r="CY68" s="512"/>
    </row>
    <row r="69" spans="1:103">
      <c r="A69" s="510" t="s">
        <v>410</v>
      </c>
      <c r="B69" s="372" t="str">
        <f>IFERROR(VLOOKUP(ParticipationJanvier1[[#This Row],[Référence]],ListeÉtudiants1[],18,FALSE),"")</f>
        <v>GRANCHON-RIOLZIR DOROTHEE</v>
      </c>
      <c r="G69" s="525"/>
      <c r="I69" s="525"/>
      <c r="K69" s="525"/>
      <c r="M69" s="525"/>
      <c r="N69" s="19"/>
      <c r="O69" s="518"/>
      <c r="P69" s="19"/>
      <c r="Q69" s="518"/>
      <c r="R69" s="19"/>
      <c r="S69" s="518"/>
      <c r="T69" s="19"/>
      <c r="U69" s="525"/>
      <c r="W69" s="525"/>
      <c r="Y69" s="525"/>
      <c r="AA69" s="525"/>
      <c r="AC69" s="525"/>
      <c r="AE69" s="525"/>
      <c r="AG69" s="519"/>
      <c r="AH69" s="475">
        <f>COUNTIF(ParticipationJanvier1[[#This Row],[1]:[31]],Code1)</f>
        <v>0</v>
      </c>
      <c r="AI69" s="518">
        <f>COUNTIF(ParticipationJanvier1[[#This Row],[1]:[31]],code22)</f>
        <v>0</v>
      </c>
      <c r="AJ69" s="473">
        <f>COUNTIF(ParticipationJanvier1[[#This Row],[1]:[31]],Code2)</f>
        <v>0</v>
      </c>
      <c r="AK69" s="520">
        <f>COUNTIF(ParticipationJanvier1[[#This Row],[1]:[31]],Code3)</f>
        <v>0</v>
      </c>
      <c r="AL69" s="473">
        <f>COUNTIF(ParticipationJanvier1[[#This Row],[1]:[31]],Code4)</f>
        <v>0</v>
      </c>
      <c r="AM69" s="520">
        <f>COUNTIF(ParticipationJanvier1[[#This Row],[1]:[31]],Code5)</f>
        <v>0</v>
      </c>
      <c r="AN69" s="30">
        <f>COUNTIF(ParticipationJanvier1[[#This Row],[1]:[31]],Code23)</f>
        <v>0</v>
      </c>
      <c r="AO69" s="473">
        <f>COUNTIF(ParticipationJanvier1[[#This Row],[1]:[31]],Code6)</f>
        <v>0</v>
      </c>
      <c r="AP69" s="30">
        <f>COUNTIF(ParticipationJanvier1[[#This Row],[1]:[31]],Code7)</f>
        <v>0</v>
      </c>
      <c r="AQ69" s="30">
        <f>COUNTIF(ParticipationJanvier1[[#This Row],[1]:[31]],Code8)</f>
        <v>0</v>
      </c>
      <c r="AR69" s="30">
        <f>COUNTIF(ParticipationJanvier1[[#This Row],[1]:[31]],Code9)</f>
        <v>0</v>
      </c>
      <c r="AS69" s="473">
        <f>COUNTIF(ParticipationJanvier1[[#This Row],[1]:[31]],Code10)</f>
        <v>0</v>
      </c>
      <c r="AT69" s="473">
        <f>COUNTIF(ParticipationJanvier1[[#This Row],[1]:[31]],Code11)</f>
        <v>0</v>
      </c>
      <c r="AU69" s="473">
        <f>COUNTIF(ParticipationJanvier1[[#This Row],[1]:[31]],Code12)</f>
        <v>0</v>
      </c>
      <c r="AV69" s="473">
        <f>COUNTIF(ParticipationJanvier1[[#This Row],[1]:[31]],Code13)</f>
        <v>0</v>
      </c>
      <c r="AW69" s="473">
        <f>COUNTIF(ParticipationJanvier1[[#This Row],[1]:[31]],Code14)</f>
        <v>0</v>
      </c>
      <c r="AX69" s="473">
        <f>COUNTIF(ParticipationJanvier1[[#This Row],[1]:[31]],Code15)</f>
        <v>0</v>
      </c>
      <c r="AY69" s="473">
        <f>COUNTIF(ParticipationJanvier1[[#This Row],[1]:[31]],Code16)</f>
        <v>0</v>
      </c>
      <c r="AZ69" s="473">
        <f>COUNTIF(ParticipationJanvier1[[#This Row],[1]:[31]],Code17)</f>
        <v>0</v>
      </c>
      <c r="BA69" s="475">
        <f>COUNTIF(ParticipationJanvier1[[#This Row],[1]:[31]],Code25)</f>
        <v>0</v>
      </c>
      <c r="BB69" s="475">
        <f>COUNTIF(ParticipationJanvier1[[#This Row],[1]:[31]],Code26)</f>
        <v>0</v>
      </c>
      <c r="BC69" s="475">
        <f>COUNTIF(ParticipationJanvier1[[#This Row],[1]:[31]],Code27)</f>
        <v>0</v>
      </c>
      <c r="BD69" s="475">
        <f>COUNTIF(ParticipationJanvier1[[#This Row],[1]:[31]],Code28)</f>
        <v>0</v>
      </c>
      <c r="BE69" s="475">
        <f>COUNTIF(ParticipationJanvier1[[#This Row],[1]:[31]],code30)</f>
        <v>0</v>
      </c>
      <c r="BF69" s="475">
        <f>COUNTIF(ParticipationJanvier1[[#This Row],[1]:[31]],Code31)</f>
        <v>0</v>
      </c>
      <c r="BG69" s="473">
        <f>COUNTIF(ParticipationJanvier1[[#This Row],[1]:[31]],code21)</f>
        <v>0</v>
      </c>
      <c r="BH69" s="473">
        <f>COUNTIF(ParticipationJanvier1[[#This Row],[1]:[31]],Code24)</f>
        <v>0</v>
      </c>
      <c r="BI69" s="473">
        <f>COUNTIF(ParticipationJanvier1[[#This Row],[1]:[31]],code18)</f>
        <v>0</v>
      </c>
      <c r="BJ69" s="473">
        <f>COUNTIF(ParticipationJanvier1[[#This Row],[1]:[31]],code19)</f>
        <v>0</v>
      </c>
      <c r="BK69" s="473">
        <f>COUNTIF(ParticipationJanvier1[[#This Row],[1]:[31]],code20)</f>
        <v>0</v>
      </c>
      <c r="BL69" s="476">
        <f>COUNTIF(ParticipationJanvier1[[#This Row],[1]:[31]],code29)</f>
        <v>0</v>
      </c>
      <c r="BM69" s="472">
        <f>SUM((AH69*1)+(AI74*1.5)+(AJ69*2)+(AK69*3)+(AL69*4)+(AQ69*5)+(AR69*6)+(AS69*7)+(AW69*2)+(AX69*3)+(AY69*4)+(AZ69*5)+(BG69*2))</f>
        <v>0</v>
      </c>
      <c r="BN69" s="472"/>
      <c r="BO69" s="472"/>
      <c r="BP69" s="472"/>
      <c r="BQ69" s="472"/>
      <c r="BR69" s="473"/>
      <c r="BS69" s="473"/>
      <c r="BT69" s="472"/>
      <c r="BU69" s="472"/>
      <c r="BV69" s="472"/>
      <c r="BW69" s="472"/>
      <c r="BX69" s="472"/>
      <c r="BY69" s="472"/>
      <c r="BZ69" s="472"/>
      <c r="CA69" s="472"/>
      <c r="CB69" s="472"/>
      <c r="CC69" s="472"/>
      <c r="CD69" s="472"/>
      <c r="CE69" s="472"/>
      <c r="CF69" s="472"/>
      <c r="CG69" s="472"/>
      <c r="CH69" s="472"/>
      <c r="CI69" s="472"/>
      <c r="CJ69" s="472"/>
      <c r="CK69" s="472"/>
      <c r="CL69" s="472"/>
      <c r="CM69" s="472"/>
      <c r="CN69" s="472"/>
      <c r="CO69" s="472"/>
      <c r="CP69" s="472"/>
      <c r="CQ69" s="472"/>
      <c r="CR69" s="472"/>
      <c r="CS69" s="472"/>
      <c r="CT69" s="472"/>
      <c r="CU69" s="516">
        <f>SUM((AN69*1)+(AM69*2)+(AO69*3)+(AP69*4)+(AT69*5)+(AU69*7)+(AV69*7)+(AW69*7)+(AX69*4)+(AY69*3)+(BA69*2)+(BC69*4)+(BB69*1)+(BG69*2)+(AZ69*5)+(BD69*1))</f>
        <v>0</v>
      </c>
      <c r="CV69" s="521">
        <f>SUM((AH69*1)+(AI69*1.5)+(AJ69*2)+(AK69*3)+(AP69*5)+(AQ69*6)+(AR69*7)+(AU69*2)+(AX69*3)+(AY69*4)+(BA69*5)+(BB69*3)+(BC69*2)+(BG69*2)+(AZ69*2)+(BD69*2))</f>
        <v>0</v>
      </c>
      <c r="CW69" s="522">
        <f>SUM((AN69*1)+(AM69*2)+(AO69*3)+(AP69*4)+(AT69*5)+(AU69*7)+(AV69*7)+(AW69*7)+(AX69*4)+(AY69*3)+(BA69*2)+(BC69*4)+(BB69*1)+(BG69*2)+(AZ69*5)+(BD69*1))</f>
        <v>0</v>
      </c>
      <c r="CX69" s="523">
        <f>BH69*1</f>
        <v>0</v>
      </c>
      <c r="CY69" s="512"/>
    </row>
    <row r="70" spans="1:103">
      <c r="A70" s="510" t="s">
        <v>411</v>
      </c>
      <c r="B70" s="372" t="str">
        <f>IFERROR(VLOOKUP(ParticipationJanvier1[[#This Row],[Référence]],ListeÉtudiants1[],18,FALSE),"")</f>
        <v>GROEVIUS EMILIE</v>
      </c>
      <c r="G70" s="291"/>
      <c r="I70" s="291"/>
      <c r="K70" s="291"/>
      <c r="M70" s="291"/>
      <c r="N70" s="19" t="s">
        <v>507</v>
      </c>
      <c r="O70" s="19"/>
      <c r="P70" s="19"/>
      <c r="Q70" s="19" t="s">
        <v>490</v>
      </c>
      <c r="R70" s="19"/>
      <c r="S70" s="19"/>
      <c r="T70" s="19"/>
      <c r="U70" s="291"/>
      <c r="W70" s="291"/>
      <c r="Y70" s="291"/>
      <c r="AA70" s="291"/>
      <c r="AC70" s="291"/>
      <c r="AE70" s="291"/>
      <c r="AG70" s="326"/>
      <c r="AH70" s="6">
        <f>COUNTIF(ParticipationJanvier1[[#This Row],[1]:[31]],Code1)</f>
        <v>0</v>
      </c>
      <c r="AI70" s="6">
        <f>COUNTIF(ParticipationJanvier1[[#This Row],[1]:[31]],code22)</f>
        <v>0</v>
      </c>
      <c r="AJ70" s="6">
        <f>COUNTIF(ParticipationJanvier1[[#This Row],[1]:[31]],Code2)</f>
        <v>0</v>
      </c>
      <c r="AK70" s="6">
        <f>COUNTIF(ParticipationJanvier1[[#This Row],[1]:[31]],Code3)</f>
        <v>0</v>
      </c>
      <c r="AL70" s="6">
        <f>COUNTIF(ParticipationJanvier1[[#This Row],[1]:[31]],Code4)</f>
        <v>0</v>
      </c>
      <c r="AM70" s="6">
        <f>COUNTIF(ParticipationJanvier1[[#This Row],[1]:[31]],Code5)</f>
        <v>0</v>
      </c>
      <c r="AN70" s="6">
        <f>COUNTIF(ParticipationJanvier1[[#This Row],[1]:[31]],Code23)</f>
        <v>0</v>
      </c>
      <c r="AO70" s="6">
        <f>COUNTIF(ParticipationJanvier1[[#This Row],[1]:[31]],Code6)</f>
        <v>0</v>
      </c>
      <c r="AP70" s="6">
        <f>COUNTIF(ParticipationJanvier1[[#This Row],[1]:[31]],Code7)</f>
        <v>0</v>
      </c>
      <c r="AQ70" s="6">
        <f>COUNTIF(ParticipationJanvier1[[#This Row],[1]:[31]],Code8)</f>
        <v>0</v>
      </c>
      <c r="AR70" s="6">
        <f>COUNTIF(ParticipationJanvier1[[#This Row],[1]:[31]],Code9)</f>
        <v>0</v>
      </c>
      <c r="AS70" s="6">
        <f>COUNTIF(ParticipationJanvier1[[#This Row],[1]:[31]],Code10)</f>
        <v>0</v>
      </c>
      <c r="AT70" s="6">
        <f>COUNTIF(ParticipationJanvier1[[#This Row],[1]:[31]],Code11)</f>
        <v>0</v>
      </c>
      <c r="AU70" s="6">
        <f>COUNTIF(ParticipationJanvier1[[#This Row],[1]:[31]],Code12)</f>
        <v>0</v>
      </c>
      <c r="AV70" s="6">
        <f>COUNTIF(ParticipationJanvier1[[#This Row],[1]:[31]],Code13)</f>
        <v>0</v>
      </c>
      <c r="AW70" s="6">
        <f>COUNTIF(ParticipationJanvier1[[#This Row],[1]:[31]],Code14)</f>
        <v>0</v>
      </c>
      <c r="AX70" s="6">
        <f>COUNTIF(ParticipationJanvier1[[#This Row],[1]:[31]],Code15)</f>
        <v>1</v>
      </c>
      <c r="AY70" s="6">
        <f>COUNTIF(ParticipationJanvier1[[#This Row],[1]:[31]],Code16)</f>
        <v>0</v>
      </c>
      <c r="AZ70" s="6">
        <f>COUNTIF(ParticipationJanvier1[[#This Row],[1]:[31]],Code17)</f>
        <v>0</v>
      </c>
      <c r="BA70" s="6">
        <f>COUNTIF(ParticipationJanvier1[[#This Row],[1]:[31]],Code25)</f>
        <v>0</v>
      </c>
      <c r="BB70" s="6">
        <f>COUNTIF(ParticipationJanvier1[[#This Row],[1]:[31]],Code26)</f>
        <v>0</v>
      </c>
      <c r="BC70" s="6">
        <f>COUNTIF(ParticipationJanvier1[[#This Row],[1]:[31]],Code27)</f>
        <v>0</v>
      </c>
      <c r="BD70" s="6">
        <f>COUNTIF(ParticipationJanvier1[[#This Row],[1]:[31]],Code28)</f>
        <v>0</v>
      </c>
      <c r="BE70" s="6">
        <f>COUNTIF(ParticipationJanvier1[[#This Row],[1]:[31]],code30)</f>
        <v>0</v>
      </c>
      <c r="BF70" s="6">
        <f>COUNTIF(ParticipationJanvier1[[#This Row],[1]:[31]],Code31)</f>
        <v>0</v>
      </c>
      <c r="BG70" s="6">
        <f>COUNTIF(ParticipationJanvier1[[#This Row],[1]:[31]],code21)</f>
        <v>1</v>
      </c>
      <c r="BH70" s="6">
        <f>COUNTIF(ParticipationJanvier1[[#This Row],[1]:[31]],Code24)</f>
        <v>0</v>
      </c>
      <c r="BI70" s="6">
        <f>COUNTIF(ParticipationJanvier1[[#This Row],[1]:[31]],code18)</f>
        <v>0</v>
      </c>
      <c r="BJ70" s="6">
        <f>COUNTIF(ParticipationJanvier1[[#This Row],[1]:[31]],code19)</f>
        <v>0</v>
      </c>
      <c r="BK70" s="6">
        <f>COUNTIF(ParticipationJanvier1[[#This Row],[1]:[31]],code20)</f>
        <v>0</v>
      </c>
      <c r="BL70" s="182">
        <f>COUNTIF(ParticipationJanvier1[[#This Row],[1]:[31]],code29)</f>
        <v>0</v>
      </c>
      <c r="BM70" s="297">
        <v>1</v>
      </c>
      <c r="BN70" s="297"/>
      <c r="BO70" s="297"/>
      <c r="BP70" s="297"/>
      <c r="BQ70" s="297"/>
      <c r="BR70" s="307"/>
      <c r="BS70" s="297"/>
      <c r="BT70" s="297"/>
      <c r="BU70" s="297"/>
      <c r="BV70" s="297"/>
      <c r="BW70" s="297"/>
      <c r="BX70" s="297"/>
      <c r="BY70" s="297"/>
      <c r="BZ70" s="297"/>
      <c r="CA70" s="297"/>
      <c r="CB70" s="297"/>
      <c r="CC70" s="297"/>
      <c r="CD70" s="297"/>
      <c r="CE70" s="297"/>
      <c r="CF70" s="297"/>
      <c r="CG70" s="297">
        <v>1</v>
      </c>
      <c r="CH70" s="297"/>
      <c r="CI70" s="297"/>
      <c r="CJ70" s="297"/>
      <c r="CK70" s="297"/>
      <c r="CL70" s="297"/>
      <c r="CM70" s="297"/>
      <c r="CN70" s="297"/>
      <c r="CO70" s="297"/>
      <c r="CP70" s="297"/>
      <c r="CQ70" s="297"/>
      <c r="CR70" s="297"/>
      <c r="CS70" s="297"/>
      <c r="CT70" s="297"/>
      <c r="CU70" s="300"/>
      <c r="CV70" s="165">
        <f t="shared" si="0"/>
        <v>5</v>
      </c>
      <c r="CW70" s="165">
        <f t="shared" si="4"/>
        <v>6</v>
      </c>
      <c r="CX70" s="249">
        <f t="shared" si="2"/>
        <v>0</v>
      </c>
      <c r="CY70" s="170"/>
    </row>
    <row r="71" spans="1:103">
      <c r="A71" s="534" t="s">
        <v>412</v>
      </c>
      <c r="B71" s="372" t="str">
        <f>IFERROR(VLOOKUP(ParticipationJanvier1[[#This Row],[Référence]],ListeÉtudiants1[],18,FALSE),"")</f>
        <v>GUECHI DOUNIA</v>
      </c>
      <c r="G71" s="291"/>
      <c r="I71" s="291"/>
      <c r="K71" s="291"/>
      <c r="M71" s="291"/>
      <c r="N71" s="19" t="s">
        <v>35</v>
      </c>
      <c r="O71" s="19"/>
      <c r="P71" s="19"/>
      <c r="Q71" s="19" t="s">
        <v>490</v>
      </c>
      <c r="R71" s="19" t="s">
        <v>106</v>
      </c>
      <c r="S71" s="19" t="s">
        <v>107</v>
      </c>
      <c r="T71" s="19"/>
      <c r="U71" s="291"/>
      <c r="W71" s="291"/>
      <c r="Y71" s="291"/>
      <c r="AA71" s="291"/>
      <c r="AC71" s="291"/>
      <c r="AE71" s="291"/>
      <c r="AG71" s="326"/>
      <c r="AH71" s="6">
        <f>COUNTIF(ParticipationJanvier1[[#This Row],[1]:[31]],Code1)</f>
        <v>0</v>
      </c>
      <c r="AI71" s="6">
        <f>COUNTIF(ParticipationJanvier1[[#This Row],[1]:[31]],code22)</f>
        <v>0</v>
      </c>
      <c r="AJ71" s="6">
        <f>COUNTIF(ParticipationJanvier1[[#This Row],[1]:[31]],Code2)</f>
        <v>0</v>
      </c>
      <c r="AK71" s="6">
        <f>COUNTIF(ParticipationJanvier1[[#This Row],[1]:[31]],Code3)</f>
        <v>1</v>
      </c>
      <c r="AL71" s="6">
        <f>COUNTIF(ParticipationJanvier1[[#This Row],[1]:[31]],Code4)</f>
        <v>1</v>
      </c>
      <c r="AM71" s="6">
        <f>COUNTIF(ParticipationJanvier1[[#This Row],[1]:[31]],Code5)</f>
        <v>1</v>
      </c>
      <c r="AN71" s="6">
        <f>COUNTIF(ParticipationJanvier1[[#This Row],[1]:[31]],Code23)</f>
        <v>0</v>
      </c>
      <c r="AO71" s="6">
        <f>COUNTIF(ParticipationJanvier1[[#This Row],[1]:[31]],Code6)</f>
        <v>0</v>
      </c>
      <c r="AP71" s="6">
        <f>COUNTIF(ParticipationJanvier1[[#This Row],[1]:[31]],Code7)</f>
        <v>0</v>
      </c>
      <c r="AQ71" s="6">
        <f>COUNTIF(ParticipationJanvier1[[#This Row],[1]:[31]],Code8)</f>
        <v>0</v>
      </c>
      <c r="AR71" s="6">
        <f>COUNTIF(ParticipationJanvier1[[#This Row],[1]:[31]],Code9)</f>
        <v>0</v>
      </c>
      <c r="AS71" s="6">
        <f>COUNTIF(ParticipationJanvier1[[#This Row],[1]:[31]],Code10)</f>
        <v>0</v>
      </c>
      <c r="AT71" s="6">
        <f>COUNTIF(ParticipationJanvier1[[#This Row],[1]:[31]],Code11)</f>
        <v>0</v>
      </c>
      <c r="AU71" s="6">
        <f>COUNTIF(ParticipationJanvier1[[#This Row],[1]:[31]],Code12)</f>
        <v>0</v>
      </c>
      <c r="AV71" s="6">
        <f>COUNTIF(ParticipationJanvier1[[#This Row],[1]:[31]],Code13)</f>
        <v>0</v>
      </c>
      <c r="AW71" s="6">
        <f>COUNTIF(ParticipationJanvier1[[#This Row],[1]:[31]],Code14)</f>
        <v>0</v>
      </c>
      <c r="AX71" s="6">
        <f>COUNTIF(ParticipationJanvier1[[#This Row],[1]:[31]],Code15)</f>
        <v>1</v>
      </c>
      <c r="AY71" s="6">
        <f>COUNTIF(ParticipationJanvier1[[#This Row],[1]:[31]],Code16)</f>
        <v>0</v>
      </c>
      <c r="AZ71" s="6">
        <f>COUNTIF(ParticipationJanvier1[[#This Row],[1]:[31]],Code17)</f>
        <v>0</v>
      </c>
      <c r="BA71" s="6">
        <f>COUNTIF(ParticipationJanvier1[[#This Row],[1]:[31]],Code25)</f>
        <v>0</v>
      </c>
      <c r="BB71" s="6">
        <f>COUNTIF(ParticipationJanvier1[[#This Row],[1]:[31]],Code26)</f>
        <v>0</v>
      </c>
      <c r="BC71" s="6">
        <f>COUNTIF(ParticipationJanvier1[[#This Row],[1]:[31]],Code27)</f>
        <v>0</v>
      </c>
      <c r="BD71" s="6">
        <f>COUNTIF(ParticipationJanvier1[[#This Row],[1]:[31]],Code28)</f>
        <v>0</v>
      </c>
      <c r="BE71" s="6">
        <f>COUNTIF(ParticipationJanvier1[[#This Row],[1]:[31]],code30)</f>
        <v>0</v>
      </c>
      <c r="BF71" s="6">
        <f>COUNTIF(ParticipationJanvier1[[#This Row],[1]:[31]],Code31)</f>
        <v>0</v>
      </c>
      <c r="BG71" s="6">
        <f>COUNTIF(ParticipationJanvier1[[#This Row],[1]:[31]],code21)</f>
        <v>0</v>
      </c>
      <c r="BH71" s="6">
        <f>COUNTIF(ParticipationJanvier1[[#This Row],[1]:[31]],Code24)</f>
        <v>0</v>
      </c>
      <c r="BI71" s="6">
        <f>COUNTIF(ParticipationJanvier1[[#This Row],[1]:[31]],code18)</f>
        <v>0</v>
      </c>
      <c r="BJ71" s="6">
        <f>COUNTIF(ParticipationJanvier1[[#This Row],[1]:[31]],code19)</f>
        <v>0</v>
      </c>
      <c r="BK71" s="6">
        <f>COUNTIF(ParticipationJanvier1[[#This Row],[1]:[31]],code20)</f>
        <v>0</v>
      </c>
      <c r="BL71" s="182">
        <f>COUNTIF(ParticipationJanvier1[[#This Row],[1]:[31]],code29)</f>
        <v>0</v>
      </c>
      <c r="BM71" s="297">
        <v>3</v>
      </c>
      <c r="BN71" s="297"/>
      <c r="BO71" s="297"/>
      <c r="BP71" s="297"/>
      <c r="BQ71" s="297"/>
      <c r="BR71" s="307"/>
      <c r="BS71" s="297"/>
      <c r="BT71" s="297"/>
      <c r="BU71" s="297"/>
      <c r="BV71" s="297"/>
      <c r="BW71" s="297"/>
      <c r="BX71" s="297"/>
      <c r="BY71" s="297"/>
      <c r="BZ71" s="297"/>
      <c r="CA71" s="297"/>
      <c r="CB71" s="297"/>
      <c r="CC71" s="297"/>
      <c r="CD71" s="297"/>
      <c r="CE71" s="297"/>
      <c r="CF71" s="297"/>
      <c r="CG71" s="297"/>
      <c r="CH71" s="297"/>
      <c r="CI71" s="297"/>
      <c r="CJ71" s="297"/>
      <c r="CK71" s="297"/>
      <c r="CL71" s="297"/>
      <c r="CM71" s="297"/>
      <c r="CN71" s="297"/>
      <c r="CO71" s="297"/>
      <c r="CP71" s="297"/>
      <c r="CQ71" s="297"/>
      <c r="CR71" s="297"/>
      <c r="CS71" s="297"/>
      <c r="CT71" s="297"/>
      <c r="CU71" s="300"/>
      <c r="CV71" s="165">
        <f t="shared" si="0"/>
        <v>6</v>
      </c>
      <c r="CW71" s="165">
        <f t="shared" si="4"/>
        <v>6</v>
      </c>
      <c r="CX71" s="249">
        <f t="shared" si="2"/>
        <v>0</v>
      </c>
      <c r="CY71" s="170"/>
    </row>
    <row r="72" spans="1:103">
      <c r="A72" s="534" t="s">
        <v>413</v>
      </c>
      <c r="B72" s="372" t="str">
        <f>IFERROR(VLOOKUP(ParticipationJanvier1[[#This Row],[Référence]],ListeÉtudiants1[],18,FALSE),"")</f>
        <v>HASSANI CHERINE</v>
      </c>
      <c r="G72" s="525"/>
      <c r="I72" s="525"/>
      <c r="K72" s="525"/>
      <c r="M72" s="525"/>
      <c r="N72" s="19"/>
      <c r="O72" s="518"/>
      <c r="P72" s="19"/>
      <c r="Q72" s="518"/>
      <c r="R72" s="19"/>
      <c r="S72" s="518"/>
      <c r="T72" s="19"/>
      <c r="U72" s="525"/>
      <c r="W72" s="525"/>
      <c r="Y72" s="525"/>
      <c r="AA72" s="525"/>
      <c r="AC72" s="525"/>
      <c r="AE72" s="525"/>
      <c r="AG72" s="519"/>
      <c r="AH72" s="475">
        <f>COUNTIF(ParticipationJanvier1[[#This Row],[1]:[31]],Code1)</f>
        <v>0</v>
      </c>
      <c r="AI72" s="518">
        <f>COUNTIF(ParticipationJanvier1[[#This Row],[1]:[31]],code22)</f>
        <v>0</v>
      </c>
      <c r="AJ72" s="473">
        <f>COUNTIF(ParticipationJanvier1[[#This Row],[1]:[31]],Code2)</f>
        <v>0</v>
      </c>
      <c r="AK72" s="520">
        <f>COUNTIF(ParticipationJanvier1[[#This Row],[1]:[31]],Code3)</f>
        <v>0</v>
      </c>
      <c r="AL72" s="473">
        <f>COUNTIF(ParticipationJanvier1[[#This Row],[1]:[31]],Code4)</f>
        <v>0</v>
      </c>
      <c r="AM72" s="520">
        <f>COUNTIF(ParticipationJanvier1[[#This Row],[1]:[31]],Code5)</f>
        <v>0</v>
      </c>
      <c r="AN72" s="30">
        <f>COUNTIF(ParticipationJanvier1[[#This Row],[1]:[31]],Code23)</f>
        <v>0</v>
      </c>
      <c r="AO72" s="473">
        <f>COUNTIF(ParticipationJanvier1[[#This Row],[1]:[31]],Code6)</f>
        <v>0</v>
      </c>
      <c r="AP72" s="30">
        <f>COUNTIF(ParticipationJanvier1[[#This Row],[1]:[31]],Code7)</f>
        <v>0</v>
      </c>
      <c r="AQ72" s="30">
        <f>COUNTIF(ParticipationJanvier1[[#This Row],[1]:[31]],Code8)</f>
        <v>0</v>
      </c>
      <c r="AR72" s="30">
        <f>COUNTIF(ParticipationJanvier1[[#This Row],[1]:[31]],Code9)</f>
        <v>0</v>
      </c>
      <c r="AS72" s="473">
        <f>COUNTIF(ParticipationJanvier1[[#This Row],[1]:[31]],Code10)</f>
        <v>0</v>
      </c>
      <c r="AT72" s="473">
        <f>COUNTIF(ParticipationJanvier1[[#This Row],[1]:[31]],Code11)</f>
        <v>0</v>
      </c>
      <c r="AU72" s="473">
        <f>COUNTIF(ParticipationJanvier1[[#This Row],[1]:[31]],Code12)</f>
        <v>0</v>
      </c>
      <c r="AV72" s="473">
        <f>COUNTIF(ParticipationJanvier1[[#This Row],[1]:[31]],Code13)</f>
        <v>0</v>
      </c>
      <c r="AW72" s="473">
        <f>COUNTIF(ParticipationJanvier1[[#This Row],[1]:[31]],Code14)</f>
        <v>0</v>
      </c>
      <c r="AX72" s="473">
        <f>COUNTIF(ParticipationJanvier1[[#This Row],[1]:[31]],Code15)</f>
        <v>0</v>
      </c>
      <c r="AY72" s="473">
        <f>COUNTIF(ParticipationJanvier1[[#This Row],[1]:[31]],Code16)</f>
        <v>0</v>
      </c>
      <c r="AZ72" s="473">
        <f>COUNTIF(ParticipationJanvier1[[#This Row],[1]:[31]],Code17)</f>
        <v>0</v>
      </c>
      <c r="BA72" s="475">
        <f>COUNTIF(ParticipationJanvier1[[#This Row],[1]:[31]],Code25)</f>
        <v>0</v>
      </c>
      <c r="BB72" s="475">
        <f>COUNTIF(ParticipationJanvier1[[#This Row],[1]:[31]],Code26)</f>
        <v>0</v>
      </c>
      <c r="BC72" s="475">
        <f>COUNTIF(ParticipationJanvier1[[#This Row],[1]:[31]],Code27)</f>
        <v>0</v>
      </c>
      <c r="BD72" s="475">
        <f>COUNTIF(ParticipationJanvier1[[#This Row],[1]:[31]],Code28)</f>
        <v>0</v>
      </c>
      <c r="BE72" s="475">
        <f>COUNTIF(ParticipationJanvier1[[#This Row],[1]:[31]],code30)</f>
        <v>0</v>
      </c>
      <c r="BF72" s="475">
        <f>COUNTIF(ParticipationJanvier1[[#This Row],[1]:[31]],Code31)</f>
        <v>0</v>
      </c>
      <c r="BG72" s="473">
        <f>COUNTIF(ParticipationJanvier1[[#This Row],[1]:[31]],code21)</f>
        <v>0</v>
      </c>
      <c r="BH72" s="473">
        <f>COUNTIF(ParticipationJanvier1[[#This Row],[1]:[31]],Code24)</f>
        <v>0</v>
      </c>
      <c r="BI72" s="473">
        <f>COUNTIF(ParticipationJanvier1[[#This Row],[1]:[31]],code18)</f>
        <v>0</v>
      </c>
      <c r="BJ72" s="473">
        <f>COUNTIF(ParticipationJanvier1[[#This Row],[1]:[31]],code19)</f>
        <v>0</v>
      </c>
      <c r="BK72" s="473">
        <f>COUNTIF(ParticipationJanvier1[[#This Row],[1]:[31]],code20)</f>
        <v>0</v>
      </c>
      <c r="BL72" s="476">
        <f>COUNTIF(ParticipationJanvier1[[#This Row],[1]:[31]],code29)</f>
        <v>0</v>
      </c>
      <c r="BM72" s="472">
        <f>SUM((AH72*1)+(AI78*1.5)+(AJ72*2)+(AK72*3)+(AL72*4)+(AQ72*5)+(AR72*6)+(AS72*7)+(AW72*2)+(AX72*3)+(AY72*4)+(AZ72*5)+(BG72*2))</f>
        <v>0</v>
      </c>
      <c r="BN72" s="472"/>
      <c r="BO72" s="472"/>
      <c r="BP72" s="472"/>
      <c r="BQ72" s="472"/>
      <c r="BR72" s="473"/>
      <c r="BS72" s="472"/>
      <c r="BT72" s="472"/>
      <c r="BU72" s="472"/>
      <c r="BV72" s="472"/>
      <c r="BW72" s="472"/>
      <c r="BX72" s="472"/>
      <c r="BY72" s="472"/>
      <c r="BZ72" s="472"/>
      <c r="CA72" s="472"/>
      <c r="CB72" s="472"/>
      <c r="CC72" s="472"/>
      <c r="CD72" s="472"/>
      <c r="CE72" s="472"/>
      <c r="CF72" s="472"/>
      <c r="CG72" s="472"/>
      <c r="CH72" s="472"/>
      <c r="CI72" s="472"/>
      <c r="CJ72" s="472"/>
      <c r="CK72" s="472"/>
      <c r="CL72" s="472"/>
      <c r="CM72" s="472"/>
      <c r="CN72" s="472"/>
      <c r="CO72" s="472"/>
      <c r="CP72" s="472"/>
      <c r="CQ72" s="472"/>
      <c r="CR72" s="472"/>
      <c r="CS72" s="472"/>
      <c r="CT72" s="472"/>
      <c r="CU72" s="516">
        <f>SUM((AN72*1)+(AM72*2)+(AO72*3)+(AP72*4)+(AT72*5)+(AU72*7)+(AV72*7)+(AW72*7)+(AX72*4)+(AY72*3)+(BA72*2)+(BC72*4)+(BB72*1)+(BG72*2)+(AZ72*5)+(BD72*1))</f>
        <v>0</v>
      </c>
      <c r="CV72" s="521">
        <f>SUM((AH72*1)+(AI72*1.5)+(AJ72*2)+(AK72*3)+(AP72*5)+(AQ72*6)+(AR72*7)+(AU72*2)+(AX72*3)+(AY72*4)+(BA72*5)+(BB72*3)+(BC72*2)+(BG72*2)+(AZ72*2)+(BD72*2))</f>
        <v>0</v>
      </c>
      <c r="CW72" s="522">
        <f>SUM((AN72*1)+(AM72*2)+(AO72*3)+(AP72*4)+(AT72*5)+(AU72*7)+(AV72*7)+(AW72*7)+(AX72*4)+(AY72*3)+(BA72*2)+(BC72*4)+(BB72*1)+(BG72*2)+(AZ72*5)+(BD72*1))</f>
        <v>0</v>
      </c>
      <c r="CX72" s="523">
        <f>BH72*1</f>
        <v>0</v>
      </c>
      <c r="CY72" s="512"/>
    </row>
    <row r="73" spans="1:103">
      <c r="A73" s="510" t="s">
        <v>414</v>
      </c>
      <c r="B73" s="372" t="str">
        <f>IFERROR(VLOOKUP(ParticipationJanvier1[[#This Row],[Référence]],ListeÉtudiants1[],18,FALSE),"")</f>
        <v>HERMANN-MANETTE  CORALIE</v>
      </c>
      <c r="G73" s="291"/>
      <c r="I73" s="291"/>
      <c r="K73" s="291"/>
      <c r="M73" s="291"/>
      <c r="N73" s="19" t="s">
        <v>105</v>
      </c>
      <c r="O73" s="19"/>
      <c r="P73" s="19"/>
      <c r="Q73" s="19" t="s">
        <v>490</v>
      </c>
      <c r="R73" s="19" t="s">
        <v>106</v>
      </c>
      <c r="S73" s="19" t="s">
        <v>107</v>
      </c>
      <c r="T73" s="19" t="s">
        <v>106</v>
      </c>
      <c r="U73" s="291"/>
      <c r="W73" s="291"/>
      <c r="Y73" s="291"/>
      <c r="AA73" s="291"/>
      <c r="AC73" s="291"/>
      <c r="AE73" s="291"/>
      <c r="AG73" s="326"/>
      <c r="AH73" s="6">
        <f>COUNTIF(ParticipationJanvier1[[#This Row],[1]:[31]],Code1)</f>
        <v>0</v>
      </c>
      <c r="AI73" s="6">
        <f>COUNTIF(ParticipationJanvier1[[#This Row],[1]:[31]],code22)</f>
        <v>0</v>
      </c>
      <c r="AJ73" s="6">
        <f>COUNTIF(ParticipationJanvier1[[#This Row],[1]:[31]],Code2)</f>
        <v>1</v>
      </c>
      <c r="AK73" s="6">
        <f>COUNTIF(ParticipationJanvier1[[#This Row],[1]:[31]],Code3)</f>
        <v>2</v>
      </c>
      <c r="AL73" s="6">
        <f>COUNTIF(ParticipationJanvier1[[#This Row],[1]:[31]],Code4)</f>
        <v>1</v>
      </c>
      <c r="AM73" s="6">
        <f>COUNTIF(ParticipationJanvier1[[#This Row],[1]:[31]],Code5)</f>
        <v>0</v>
      </c>
      <c r="AN73" s="6">
        <f>COUNTIF(ParticipationJanvier1[[#This Row],[1]:[31]],Code23)</f>
        <v>0</v>
      </c>
      <c r="AO73" s="6">
        <f>COUNTIF(ParticipationJanvier1[[#This Row],[1]:[31]],Code6)</f>
        <v>0</v>
      </c>
      <c r="AP73" s="6">
        <f>COUNTIF(ParticipationJanvier1[[#This Row],[1]:[31]],Code7)</f>
        <v>0</v>
      </c>
      <c r="AQ73" s="6">
        <f>COUNTIF(ParticipationJanvier1[[#This Row],[1]:[31]],Code8)</f>
        <v>0</v>
      </c>
      <c r="AR73" s="6">
        <f>COUNTIF(ParticipationJanvier1[[#This Row],[1]:[31]],Code9)</f>
        <v>0</v>
      </c>
      <c r="AS73" s="6">
        <f>COUNTIF(ParticipationJanvier1[[#This Row],[1]:[31]],Code10)</f>
        <v>0</v>
      </c>
      <c r="AT73" s="6">
        <f>COUNTIF(ParticipationJanvier1[[#This Row],[1]:[31]],Code11)</f>
        <v>0</v>
      </c>
      <c r="AU73" s="6">
        <f>COUNTIF(ParticipationJanvier1[[#This Row],[1]:[31]],Code12)</f>
        <v>0</v>
      </c>
      <c r="AV73" s="6">
        <f>COUNTIF(ParticipationJanvier1[[#This Row],[1]:[31]],Code13)</f>
        <v>0</v>
      </c>
      <c r="AW73" s="6">
        <f>COUNTIF(ParticipationJanvier1[[#This Row],[1]:[31]],Code14)</f>
        <v>0</v>
      </c>
      <c r="AX73" s="6">
        <f>COUNTIF(ParticipationJanvier1[[#This Row],[1]:[31]],Code15)</f>
        <v>1</v>
      </c>
      <c r="AY73" s="6">
        <f>COUNTIF(ParticipationJanvier1[[#This Row],[1]:[31]],Code16)</f>
        <v>0</v>
      </c>
      <c r="AZ73" s="6">
        <f>COUNTIF(ParticipationJanvier1[[#This Row],[1]:[31]],Code17)</f>
        <v>0</v>
      </c>
      <c r="BA73" s="6">
        <f>COUNTIF(ParticipationJanvier1[[#This Row],[1]:[31]],Code25)</f>
        <v>0</v>
      </c>
      <c r="BB73" s="6">
        <f>COUNTIF(ParticipationJanvier1[[#This Row],[1]:[31]],Code26)</f>
        <v>0</v>
      </c>
      <c r="BC73" s="6">
        <f>COUNTIF(ParticipationJanvier1[[#This Row],[1]:[31]],Code27)</f>
        <v>0</v>
      </c>
      <c r="BD73" s="6">
        <f>COUNTIF(ParticipationJanvier1[[#This Row],[1]:[31]],Code28)</f>
        <v>0</v>
      </c>
      <c r="BE73" s="6">
        <f>COUNTIF(ParticipationJanvier1[[#This Row],[1]:[31]],code30)</f>
        <v>0</v>
      </c>
      <c r="BF73" s="6">
        <f>COUNTIF(ParticipationJanvier1[[#This Row],[1]:[31]],Code31)</f>
        <v>0</v>
      </c>
      <c r="BG73" s="6">
        <f>COUNTIF(ParticipationJanvier1[[#This Row],[1]:[31]],code21)</f>
        <v>0</v>
      </c>
      <c r="BH73" s="6">
        <f>COUNTIF(ParticipationJanvier1[[#This Row],[1]:[31]],Code24)</f>
        <v>0</v>
      </c>
      <c r="BI73" s="6">
        <f>COUNTIF(ParticipationJanvier1[[#This Row],[1]:[31]],code18)</f>
        <v>0</v>
      </c>
      <c r="BJ73" s="6">
        <f>COUNTIF(ParticipationJanvier1[[#This Row],[1]:[31]],code19)</f>
        <v>0</v>
      </c>
      <c r="BK73" s="6">
        <f>COUNTIF(ParticipationJanvier1[[#This Row],[1]:[31]],code20)</f>
        <v>0</v>
      </c>
      <c r="BL73" s="182">
        <f>COUNTIF(ParticipationJanvier1[[#This Row],[1]:[31]],code29)</f>
        <v>0</v>
      </c>
      <c r="BM73" s="297">
        <v>3</v>
      </c>
      <c r="BN73" s="297"/>
      <c r="BO73" s="297"/>
      <c r="BP73" s="297"/>
      <c r="BQ73" s="297"/>
      <c r="BR73" s="307"/>
      <c r="BS73" s="297"/>
      <c r="BT73" s="297"/>
      <c r="BU73" s="297"/>
      <c r="BV73" s="297"/>
      <c r="BW73" s="297"/>
      <c r="BX73" s="297"/>
      <c r="BY73" s="297"/>
      <c r="BZ73" s="297"/>
      <c r="CA73" s="297"/>
      <c r="CB73" s="297"/>
      <c r="CC73" s="297"/>
      <c r="CD73" s="297"/>
      <c r="CE73" s="297"/>
      <c r="CF73" s="297"/>
      <c r="CG73" s="297">
        <v>1</v>
      </c>
      <c r="CH73" s="297"/>
      <c r="CI73" s="297"/>
      <c r="CJ73" s="297">
        <v>1</v>
      </c>
      <c r="CK73" s="297"/>
      <c r="CL73" s="297"/>
      <c r="CM73" s="297"/>
      <c r="CN73" s="297"/>
      <c r="CO73" s="297"/>
      <c r="CP73" s="297"/>
      <c r="CQ73" s="297"/>
      <c r="CR73" s="297"/>
      <c r="CS73" s="297"/>
      <c r="CT73" s="297"/>
      <c r="CU73" s="300"/>
      <c r="CV73" s="165">
        <f t="shared" si="0"/>
        <v>11</v>
      </c>
      <c r="CW73" s="165">
        <f t="shared" si="4"/>
        <v>4</v>
      </c>
      <c r="CX73" s="249">
        <f t="shared" si="2"/>
        <v>0</v>
      </c>
      <c r="CY73" s="170"/>
    </row>
    <row r="74" spans="1:103">
      <c r="A74" s="534" t="s">
        <v>415</v>
      </c>
      <c r="B74" s="372" t="str">
        <f>IFERROR(VLOOKUP(ParticipationJanvier1[[#This Row],[Référence]],ListeÉtudiants1[],18,FALSE),"")</f>
        <v>HOSTI MATHIAS</v>
      </c>
      <c r="G74" s="291"/>
      <c r="I74" s="291"/>
      <c r="K74" s="291"/>
      <c r="M74" s="291"/>
      <c r="N74" s="19" t="s">
        <v>105</v>
      </c>
      <c r="O74" s="19"/>
      <c r="P74" s="19"/>
      <c r="Q74" s="19" t="s">
        <v>109</v>
      </c>
      <c r="R74" s="19"/>
      <c r="S74" s="19"/>
      <c r="T74" s="19"/>
      <c r="U74" s="291"/>
      <c r="W74" s="291"/>
      <c r="Y74" s="291"/>
      <c r="AA74" s="291"/>
      <c r="AC74" s="291"/>
      <c r="AE74" s="291"/>
      <c r="AG74" s="326"/>
      <c r="AH74" s="6">
        <f>COUNTIF(ParticipationJanvier1[[#This Row],[1]:[31]],Code1)</f>
        <v>0</v>
      </c>
      <c r="AI74" s="6">
        <f>COUNTIF(ParticipationJanvier1[[#This Row],[1]:[31]],code22)</f>
        <v>0</v>
      </c>
      <c r="AJ74" s="6">
        <f>COUNTIF(ParticipationJanvier1[[#This Row],[1]:[31]],Code2)</f>
        <v>1</v>
      </c>
      <c r="AK74" s="6">
        <f>COUNTIF(ParticipationJanvier1[[#This Row],[1]:[31]],Code3)</f>
        <v>0</v>
      </c>
      <c r="AL74" s="6">
        <f>COUNTIF(ParticipationJanvier1[[#This Row],[1]:[31]],Code4)</f>
        <v>0</v>
      </c>
      <c r="AM74" s="6">
        <f>COUNTIF(ParticipationJanvier1[[#This Row],[1]:[31]],Code5)</f>
        <v>0</v>
      </c>
      <c r="AN74" s="6">
        <f>COUNTIF(ParticipationJanvier1[[#This Row],[1]:[31]],Code23)</f>
        <v>0</v>
      </c>
      <c r="AO74" s="6">
        <f>COUNTIF(ParticipationJanvier1[[#This Row],[1]:[31]],Code6)</f>
        <v>0</v>
      </c>
      <c r="AP74" s="6">
        <f>COUNTIF(ParticipationJanvier1[[#This Row],[1]:[31]],Code7)</f>
        <v>1</v>
      </c>
      <c r="AQ74" s="6">
        <f>COUNTIF(ParticipationJanvier1[[#This Row],[1]:[31]],Code8)</f>
        <v>0</v>
      </c>
      <c r="AR74" s="6">
        <f>COUNTIF(ParticipationJanvier1[[#This Row],[1]:[31]],Code9)</f>
        <v>0</v>
      </c>
      <c r="AS74" s="6">
        <f>COUNTIF(ParticipationJanvier1[[#This Row],[1]:[31]],Code10)</f>
        <v>0</v>
      </c>
      <c r="AT74" s="6">
        <f>COUNTIF(ParticipationJanvier1[[#This Row],[1]:[31]],Code11)</f>
        <v>0</v>
      </c>
      <c r="AU74" s="6">
        <f>COUNTIF(ParticipationJanvier1[[#This Row],[1]:[31]],Code12)</f>
        <v>0</v>
      </c>
      <c r="AV74" s="6">
        <f>COUNTIF(ParticipationJanvier1[[#This Row],[1]:[31]],Code13)</f>
        <v>0</v>
      </c>
      <c r="AW74" s="6">
        <f>COUNTIF(ParticipationJanvier1[[#This Row],[1]:[31]],Code14)</f>
        <v>0</v>
      </c>
      <c r="AX74" s="6">
        <f>COUNTIF(ParticipationJanvier1[[#This Row],[1]:[31]],Code15)</f>
        <v>0</v>
      </c>
      <c r="AY74" s="6">
        <f>COUNTIF(ParticipationJanvier1[[#This Row],[1]:[31]],Code16)</f>
        <v>0</v>
      </c>
      <c r="AZ74" s="6">
        <f>COUNTIF(ParticipationJanvier1[[#This Row],[1]:[31]],Code17)</f>
        <v>0</v>
      </c>
      <c r="BA74" s="6">
        <f>COUNTIF(ParticipationJanvier1[[#This Row],[1]:[31]],Code25)</f>
        <v>0</v>
      </c>
      <c r="BB74" s="6">
        <f>COUNTIF(ParticipationJanvier1[[#This Row],[1]:[31]],Code26)</f>
        <v>0</v>
      </c>
      <c r="BC74" s="6">
        <f>COUNTIF(ParticipationJanvier1[[#This Row],[1]:[31]],Code27)</f>
        <v>0</v>
      </c>
      <c r="BD74" s="6">
        <f>COUNTIF(ParticipationJanvier1[[#This Row],[1]:[31]],Code28)</f>
        <v>0</v>
      </c>
      <c r="BE74" s="6">
        <f>COUNTIF(ParticipationJanvier1[[#This Row],[1]:[31]],code30)</f>
        <v>0</v>
      </c>
      <c r="BF74" s="6">
        <f>COUNTIF(ParticipationJanvier1[[#This Row],[1]:[31]],Code31)</f>
        <v>0</v>
      </c>
      <c r="BG74" s="6">
        <f>COUNTIF(ParticipationJanvier1[[#This Row],[1]:[31]],code21)</f>
        <v>0</v>
      </c>
      <c r="BH74" s="6">
        <f>COUNTIF(ParticipationJanvier1[[#This Row],[1]:[31]],Code24)</f>
        <v>0</v>
      </c>
      <c r="BI74" s="6">
        <f>COUNTIF(ParticipationJanvier1[[#This Row],[1]:[31]],code18)</f>
        <v>0</v>
      </c>
      <c r="BJ74" s="6">
        <f>COUNTIF(ParticipationJanvier1[[#This Row],[1]:[31]],code19)</f>
        <v>0</v>
      </c>
      <c r="BK74" s="6">
        <f>COUNTIF(ParticipationJanvier1[[#This Row],[1]:[31]],code20)</f>
        <v>0</v>
      </c>
      <c r="BL74" s="182">
        <f>COUNTIF(ParticipationJanvier1[[#This Row],[1]:[31]],code29)</f>
        <v>0</v>
      </c>
      <c r="BM74" s="297"/>
      <c r="BN74" s="297"/>
      <c r="BO74" s="297"/>
      <c r="BP74" s="297"/>
      <c r="BQ74" s="297"/>
      <c r="BR74" s="307"/>
      <c r="BS74" s="297"/>
      <c r="BT74" s="297"/>
      <c r="BU74" s="297"/>
      <c r="BV74" s="297"/>
      <c r="BW74" s="297"/>
      <c r="BX74" s="297"/>
      <c r="BY74" s="297"/>
      <c r="BZ74" s="297"/>
      <c r="CA74" s="297"/>
      <c r="CB74" s="297"/>
      <c r="CC74" s="297"/>
      <c r="CD74" s="297"/>
      <c r="CE74" s="297"/>
      <c r="CF74" s="297"/>
      <c r="CG74" s="297">
        <v>1</v>
      </c>
      <c r="CH74" s="297"/>
      <c r="CI74" s="297"/>
      <c r="CJ74" s="297"/>
      <c r="CK74" s="297"/>
      <c r="CL74" s="297"/>
      <c r="CM74" s="297"/>
      <c r="CN74" s="297"/>
      <c r="CO74" s="297"/>
      <c r="CP74" s="297"/>
      <c r="CQ74" s="297"/>
      <c r="CR74" s="297"/>
      <c r="CS74" s="297"/>
      <c r="CT74" s="297"/>
      <c r="CU74" s="300"/>
      <c r="CV74" s="165">
        <f t="shared" si="0"/>
        <v>7</v>
      </c>
      <c r="CW74" s="165">
        <f t="shared" si="4"/>
        <v>4</v>
      </c>
      <c r="CX74" s="249">
        <f t="shared" si="2"/>
        <v>0</v>
      </c>
      <c r="CY74" s="170"/>
    </row>
    <row r="75" spans="1:103">
      <c r="A75" s="534" t="s">
        <v>416</v>
      </c>
      <c r="B75" s="372" t="str">
        <f>IFERROR(VLOOKUP(ParticipationJanvier1[[#This Row],[Référence]],ListeÉtudiants1[],18,FALSE),"")</f>
        <v>ITSOTSO MEGGIE</v>
      </c>
      <c r="G75" s="525"/>
      <c r="I75" s="525"/>
      <c r="K75" s="525"/>
      <c r="M75" s="525"/>
      <c r="N75" s="19"/>
      <c r="O75" s="518"/>
      <c r="P75" s="19"/>
      <c r="Q75" s="518"/>
      <c r="R75" s="19"/>
      <c r="S75" s="518"/>
      <c r="T75" s="19"/>
      <c r="U75" s="525"/>
      <c r="W75" s="525"/>
      <c r="Y75" s="525"/>
      <c r="AA75" s="525"/>
      <c r="AC75" s="525"/>
      <c r="AE75" s="525"/>
      <c r="AG75" s="519"/>
      <c r="AH75" s="475">
        <f>COUNTIF(ParticipationJanvier1[[#This Row],[1]:[31]],Code1)</f>
        <v>0</v>
      </c>
      <c r="AI75" s="518">
        <f>COUNTIF(ParticipationJanvier1[[#This Row],[1]:[31]],code22)</f>
        <v>0</v>
      </c>
      <c r="AJ75" s="473">
        <f>COUNTIF(ParticipationJanvier1[[#This Row],[1]:[31]],Code2)</f>
        <v>0</v>
      </c>
      <c r="AK75" s="520">
        <f>COUNTIF(ParticipationJanvier1[[#This Row],[1]:[31]],Code3)</f>
        <v>0</v>
      </c>
      <c r="AL75" s="473">
        <f>COUNTIF(ParticipationJanvier1[[#This Row],[1]:[31]],Code4)</f>
        <v>0</v>
      </c>
      <c r="AM75" s="520">
        <f>COUNTIF(ParticipationJanvier1[[#This Row],[1]:[31]],Code5)</f>
        <v>0</v>
      </c>
      <c r="AN75" s="30">
        <f>COUNTIF(ParticipationJanvier1[[#This Row],[1]:[31]],Code23)</f>
        <v>0</v>
      </c>
      <c r="AO75" s="473">
        <f>COUNTIF(ParticipationJanvier1[[#This Row],[1]:[31]],Code6)</f>
        <v>0</v>
      </c>
      <c r="AP75" s="30">
        <f>COUNTIF(ParticipationJanvier1[[#This Row],[1]:[31]],Code7)</f>
        <v>0</v>
      </c>
      <c r="AQ75" s="30">
        <f>COUNTIF(ParticipationJanvier1[[#This Row],[1]:[31]],Code8)</f>
        <v>0</v>
      </c>
      <c r="AR75" s="30">
        <f>COUNTIF(ParticipationJanvier1[[#This Row],[1]:[31]],Code9)</f>
        <v>0</v>
      </c>
      <c r="AS75" s="473">
        <f>COUNTIF(ParticipationJanvier1[[#This Row],[1]:[31]],Code10)</f>
        <v>0</v>
      </c>
      <c r="AT75" s="473">
        <f>COUNTIF(ParticipationJanvier1[[#This Row],[1]:[31]],Code11)</f>
        <v>0</v>
      </c>
      <c r="AU75" s="473">
        <f>COUNTIF(ParticipationJanvier1[[#This Row],[1]:[31]],Code12)</f>
        <v>0</v>
      </c>
      <c r="AV75" s="473">
        <f>COUNTIF(ParticipationJanvier1[[#This Row],[1]:[31]],Code13)</f>
        <v>0</v>
      </c>
      <c r="AW75" s="473">
        <f>COUNTIF(ParticipationJanvier1[[#This Row],[1]:[31]],Code14)</f>
        <v>0</v>
      </c>
      <c r="AX75" s="473">
        <f>COUNTIF(ParticipationJanvier1[[#This Row],[1]:[31]],Code15)</f>
        <v>0</v>
      </c>
      <c r="AY75" s="473">
        <f>COUNTIF(ParticipationJanvier1[[#This Row],[1]:[31]],Code16)</f>
        <v>0</v>
      </c>
      <c r="AZ75" s="473">
        <f>COUNTIF(ParticipationJanvier1[[#This Row],[1]:[31]],Code17)</f>
        <v>0</v>
      </c>
      <c r="BA75" s="475">
        <f>COUNTIF(ParticipationJanvier1[[#This Row],[1]:[31]],Code25)</f>
        <v>0</v>
      </c>
      <c r="BB75" s="475">
        <f>COUNTIF(ParticipationJanvier1[[#This Row],[1]:[31]],Code26)</f>
        <v>0</v>
      </c>
      <c r="BC75" s="475">
        <f>COUNTIF(ParticipationJanvier1[[#This Row],[1]:[31]],Code27)</f>
        <v>0</v>
      </c>
      <c r="BD75" s="475">
        <f>COUNTIF(ParticipationJanvier1[[#This Row],[1]:[31]],Code28)</f>
        <v>0</v>
      </c>
      <c r="BE75" s="475">
        <f>COUNTIF(ParticipationJanvier1[[#This Row],[1]:[31]],code30)</f>
        <v>0</v>
      </c>
      <c r="BF75" s="475">
        <f>COUNTIF(ParticipationJanvier1[[#This Row],[1]:[31]],Code31)</f>
        <v>0</v>
      </c>
      <c r="BG75" s="473">
        <f>COUNTIF(ParticipationJanvier1[[#This Row],[1]:[31]],code21)</f>
        <v>0</v>
      </c>
      <c r="BH75" s="473">
        <f>COUNTIF(ParticipationJanvier1[[#This Row],[1]:[31]],Code24)</f>
        <v>0</v>
      </c>
      <c r="BI75" s="473">
        <f>COUNTIF(ParticipationJanvier1[[#This Row],[1]:[31]],code18)</f>
        <v>0</v>
      </c>
      <c r="BJ75" s="473">
        <f>COUNTIF(ParticipationJanvier1[[#This Row],[1]:[31]],code19)</f>
        <v>0</v>
      </c>
      <c r="BK75" s="473">
        <f>COUNTIF(ParticipationJanvier1[[#This Row],[1]:[31]],code20)</f>
        <v>0</v>
      </c>
      <c r="BL75" s="476">
        <f>COUNTIF(ParticipationJanvier1[[#This Row],[1]:[31]],code29)</f>
        <v>0</v>
      </c>
      <c r="BM75" s="472">
        <f>SUM((AH75*1)+(AI78*1.5)+(AJ75*2)+(AK75*3)+(AL75*4)+(AQ75*5)+(AR75*6)+(AS75*7)+(AW75*2)+(AX75*3)+(AY75*4)+(AZ75*5)+(BG75*2))</f>
        <v>0</v>
      </c>
      <c r="BN75" s="472"/>
      <c r="BO75" s="472"/>
      <c r="BP75" s="472"/>
      <c r="BQ75" s="472"/>
      <c r="BR75" s="473"/>
      <c r="BS75" s="473"/>
      <c r="BT75" s="472"/>
      <c r="BU75" s="472"/>
      <c r="BV75" s="472"/>
      <c r="BW75" s="472"/>
      <c r="BX75" s="472"/>
      <c r="BY75" s="472"/>
      <c r="BZ75" s="472"/>
      <c r="CA75" s="472"/>
      <c r="CB75" s="472"/>
      <c r="CC75" s="472"/>
      <c r="CD75" s="472"/>
      <c r="CE75" s="472"/>
      <c r="CF75" s="472"/>
      <c r="CG75" s="472"/>
      <c r="CH75" s="472"/>
      <c r="CI75" s="472"/>
      <c r="CJ75" s="472"/>
      <c r="CK75" s="472"/>
      <c r="CL75" s="472"/>
      <c r="CM75" s="472"/>
      <c r="CN75" s="472"/>
      <c r="CO75" s="472"/>
      <c r="CP75" s="472"/>
      <c r="CQ75" s="472"/>
      <c r="CR75" s="472"/>
      <c r="CS75" s="472"/>
      <c r="CT75" s="472"/>
      <c r="CU75" s="516">
        <f>SUM((AN75*1)+(AM75*2)+(AO75*3)+(AP75*4)+(AT75*5)+(AU75*7)+(AV75*7)+(AW75*7)+(AX75*4)+(AY75*3)+(BA75*2)+(BC75*4)+(BB75*1)+(BG75*2)+(AZ75*5)+(BD75*1))</f>
        <v>0</v>
      </c>
      <c r="CV75" s="521">
        <f>SUM((AH75*1)+(AI75*1.5)+(AJ75*2)+(AK75*3)+(AP75*5)+(AQ75*6)+(AR75*7)+(AU75*2)+(AX75*3)+(AY75*4)+(BA75*5)+(BB75*3)+(BC75*2)+(BG75*2)+(AZ75*2)+(BD75*2))</f>
        <v>0</v>
      </c>
      <c r="CW75" s="522">
        <f>SUM((AN75*1)+(AM75*2)+(AO75*3)+(AP75*4)+(AT75*5)+(AU75*7)+(AV75*7)+(AW75*7)+(AX75*4)+(AY75*3)+(BA75*2)+(BC75*4)+(BB75*1)+(BG75*2)+(AZ75*5)+(BD75*1))</f>
        <v>0</v>
      </c>
      <c r="CX75" s="523">
        <f>BH75*1</f>
        <v>0</v>
      </c>
      <c r="CY75" s="512"/>
    </row>
    <row r="76" spans="1:103">
      <c r="A76" s="510" t="s">
        <v>417</v>
      </c>
      <c r="B76" s="372" t="str">
        <f>IFERROR(VLOOKUP(ParticipationJanvier1[[#This Row],[Référence]],ListeÉtudiants1[],18,FALSE),"")</f>
        <v>JACQUIN  LAURENE</v>
      </c>
      <c r="G76" s="525"/>
      <c r="I76" s="525"/>
      <c r="K76" s="525"/>
      <c r="M76" s="525"/>
      <c r="N76" s="19"/>
      <c r="O76" s="518"/>
      <c r="P76" s="19"/>
      <c r="Q76" s="518"/>
      <c r="R76" s="19"/>
      <c r="S76" s="518"/>
      <c r="T76" s="19"/>
      <c r="U76" s="525"/>
      <c r="W76" s="525"/>
      <c r="Y76" s="525"/>
      <c r="AA76" s="525"/>
      <c r="AC76" s="525"/>
      <c r="AE76" s="525"/>
      <c r="AG76" s="519"/>
      <c r="AH76" s="475">
        <f>COUNTIF(ParticipationJanvier1[[#This Row],[1]:[31]],Code1)</f>
        <v>0</v>
      </c>
      <c r="AI76" s="518">
        <f>COUNTIF(ParticipationJanvier1[[#This Row],[1]:[31]],code22)</f>
        <v>0</v>
      </c>
      <c r="AJ76" s="473">
        <f>COUNTIF(ParticipationJanvier1[[#This Row],[1]:[31]],Code2)</f>
        <v>0</v>
      </c>
      <c r="AK76" s="520">
        <f>COUNTIF(ParticipationJanvier1[[#This Row],[1]:[31]],Code3)</f>
        <v>0</v>
      </c>
      <c r="AL76" s="473">
        <f>COUNTIF(ParticipationJanvier1[[#This Row],[1]:[31]],Code4)</f>
        <v>0</v>
      </c>
      <c r="AM76" s="520">
        <f>COUNTIF(ParticipationJanvier1[[#This Row],[1]:[31]],Code5)</f>
        <v>0</v>
      </c>
      <c r="AN76" s="30">
        <f>COUNTIF(ParticipationJanvier1[[#This Row],[1]:[31]],Code23)</f>
        <v>0</v>
      </c>
      <c r="AO76" s="473">
        <f>COUNTIF(ParticipationJanvier1[[#This Row],[1]:[31]],Code6)</f>
        <v>0</v>
      </c>
      <c r="AP76" s="30">
        <f>COUNTIF(ParticipationJanvier1[[#This Row],[1]:[31]],Code7)</f>
        <v>0</v>
      </c>
      <c r="AQ76" s="30">
        <f>COUNTIF(ParticipationJanvier1[[#This Row],[1]:[31]],Code8)</f>
        <v>0</v>
      </c>
      <c r="AR76" s="30">
        <f>COUNTIF(ParticipationJanvier1[[#This Row],[1]:[31]],Code9)</f>
        <v>0</v>
      </c>
      <c r="AS76" s="473">
        <f>COUNTIF(ParticipationJanvier1[[#This Row],[1]:[31]],Code10)</f>
        <v>0</v>
      </c>
      <c r="AT76" s="473">
        <f>COUNTIF(ParticipationJanvier1[[#This Row],[1]:[31]],Code11)</f>
        <v>0</v>
      </c>
      <c r="AU76" s="473">
        <f>COUNTIF(ParticipationJanvier1[[#This Row],[1]:[31]],Code12)</f>
        <v>0</v>
      </c>
      <c r="AV76" s="473">
        <f>COUNTIF(ParticipationJanvier1[[#This Row],[1]:[31]],Code13)</f>
        <v>0</v>
      </c>
      <c r="AW76" s="473">
        <f>COUNTIF(ParticipationJanvier1[[#This Row],[1]:[31]],Code14)</f>
        <v>0</v>
      </c>
      <c r="AX76" s="473">
        <f>COUNTIF(ParticipationJanvier1[[#This Row],[1]:[31]],Code15)</f>
        <v>0</v>
      </c>
      <c r="AY76" s="473">
        <f>COUNTIF(ParticipationJanvier1[[#This Row],[1]:[31]],Code16)</f>
        <v>0</v>
      </c>
      <c r="AZ76" s="473">
        <f>COUNTIF(ParticipationJanvier1[[#This Row],[1]:[31]],Code17)</f>
        <v>0</v>
      </c>
      <c r="BA76" s="475">
        <f>COUNTIF(ParticipationJanvier1[[#This Row],[1]:[31]],Code25)</f>
        <v>0</v>
      </c>
      <c r="BB76" s="475">
        <f>COUNTIF(ParticipationJanvier1[[#This Row],[1]:[31]],Code26)</f>
        <v>0</v>
      </c>
      <c r="BC76" s="475">
        <f>COUNTIF(ParticipationJanvier1[[#This Row],[1]:[31]],Code27)</f>
        <v>0</v>
      </c>
      <c r="BD76" s="475">
        <f>COUNTIF(ParticipationJanvier1[[#This Row],[1]:[31]],Code28)</f>
        <v>0</v>
      </c>
      <c r="BE76" s="475">
        <f>COUNTIF(ParticipationJanvier1[[#This Row],[1]:[31]],code30)</f>
        <v>0</v>
      </c>
      <c r="BF76" s="475">
        <f>COUNTIF(ParticipationJanvier1[[#This Row],[1]:[31]],Code31)</f>
        <v>0</v>
      </c>
      <c r="BG76" s="473">
        <f>COUNTIF(ParticipationJanvier1[[#This Row],[1]:[31]],code21)</f>
        <v>0</v>
      </c>
      <c r="BH76" s="473">
        <f>COUNTIF(ParticipationJanvier1[[#This Row],[1]:[31]],Code24)</f>
        <v>0</v>
      </c>
      <c r="BI76" s="473">
        <f>COUNTIF(ParticipationJanvier1[[#This Row],[1]:[31]],code18)</f>
        <v>0</v>
      </c>
      <c r="BJ76" s="473">
        <f>COUNTIF(ParticipationJanvier1[[#This Row],[1]:[31]],code19)</f>
        <v>0</v>
      </c>
      <c r="BK76" s="473">
        <f>COUNTIF(ParticipationJanvier1[[#This Row],[1]:[31]],code20)</f>
        <v>0</v>
      </c>
      <c r="BL76" s="476">
        <f>COUNTIF(ParticipationJanvier1[[#This Row],[1]:[31]],code29)</f>
        <v>0</v>
      </c>
      <c r="BM76" s="472">
        <f>SUM((AH76*1)+(AI80*1.5)+(AJ76*2)+(AK76*3)+(AL76*4)+(AQ76*5)+(AR76*6)+(AS76*7)+(AW76*2)+(AX76*3)+(AY76*4)+(AZ76*5)+(BG76*2))</f>
        <v>0</v>
      </c>
      <c r="BN76" s="472"/>
      <c r="BO76" s="472"/>
      <c r="BP76" s="472"/>
      <c r="BQ76" s="472"/>
      <c r="BR76" s="473"/>
      <c r="BS76" s="473"/>
      <c r="BT76" s="472"/>
      <c r="BU76" s="472"/>
      <c r="BV76" s="472"/>
      <c r="BW76" s="472"/>
      <c r="BX76" s="472"/>
      <c r="BY76" s="472"/>
      <c r="BZ76" s="472"/>
      <c r="CA76" s="472"/>
      <c r="CB76" s="472"/>
      <c r="CC76" s="472"/>
      <c r="CD76" s="472"/>
      <c r="CE76" s="472"/>
      <c r="CF76" s="472"/>
      <c r="CG76" s="472"/>
      <c r="CH76" s="472"/>
      <c r="CI76" s="472"/>
      <c r="CJ76" s="472"/>
      <c r="CK76" s="472"/>
      <c r="CL76" s="472"/>
      <c r="CM76" s="472"/>
      <c r="CN76" s="472"/>
      <c r="CO76" s="472"/>
      <c r="CP76" s="472"/>
      <c r="CQ76" s="472"/>
      <c r="CR76" s="472"/>
      <c r="CS76" s="472"/>
      <c r="CT76" s="472"/>
      <c r="CU76" s="516">
        <f>SUM((AN76*1)+(AM76*2)+(AO76*3)+(AP76*4)+(AT76*5)+(AU76*7)+(AV76*7)+(AW76*7)+(AX76*4)+(AY76*3)+(BA76*2)+(BC76*4)+(BB76*1)+(BG76*2)+(AZ76*5)+(BD76*1))</f>
        <v>0</v>
      </c>
      <c r="CV76" s="521">
        <f>SUM((AH76*1)+(AI76*1.5)+(AJ76*2)+(AK76*3)+(AP76*5)+(AQ76*6)+(AR76*7)+(AU76*2)+(AX76*3)+(AY76*4)+(BA76*5)+(BB76*3)+(BC76*2)+(BG76*2)+(AZ76*2)+(BD76*2))</f>
        <v>0</v>
      </c>
      <c r="CW76" s="522">
        <f>SUM((AN76*1)+(AM76*2)+(AO76*3)+(AP76*4)+(AT76*5)+(AU76*7)+(AV76*7)+(AW76*7)+(AX76*4)+(AY76*3)+(BA76*2)+(BC76*4)+(BB76*1)+(BG76*2)+(AZ76*5)+(BD76*1))</f>
        <v>0</v>
      </c>
      <c r="CX76" s="523">
        <f>BH76*1</f>
        <v>0</v>
      </c>
      <c r="CY76" s="512"/>
    </row>
    <row r="77" spans="1:103">
      <c r="A77" s="534" t="s">
        <v>418</v>
      </c>
      <c r="B77" s="372" t="str">
        <f>IFERROR(VLOOKUP(ParticipationJanvier1[[#This Row],[Référence]],ListeÉtudiants1[],18,FALSE),"")</f>
        <v>JOSEPH PALOUNA</v>
      </c>
      <c r="G77" s="291"/>
      <c r="I77" s="291"/>
      <c r="K77" s="291"/>
      <c r="M77" s="291"/>
      <c r="N77" s="19"/>
      <c r="O77" s="19"/>
      <c r="P77" s="19"/>
      <c r="Q77" s="19" t="s">
        <v>108</v>
      </c>
      <c r="R77" s="19"/>
      <c r="S77" s="19"/>
      <c r="T77" s="19"/>
      <c r="U77" s="291"/>
      <c r="W77" s="291"/>
      <c r="Y77" s="291"/>
      <c r="AA77" s="291"/>
      <c r="AC77" s="291"/>
      <c r="AE77" s="291"/>
      <c r="AG77" s="326"/>
      <c r="AH77" s="6">
        <f>COUNTIF(ParticipationJanvier1[[#This Row],[1]:[31]],Code1)</f>
        <v>0</v>
      </c>
      <c r="AI77" s="6">
        <f>COUNTIF(ParticipationJanvier1[[#This Row],[1]:[31]],code22)</f>
        <v>0</v>
      </c>
      <c r="AJ77" s="6">
        <f>COUNTIF(ParticipationJanvier1[[#This Row],[1]:[31]],Code2)</f>
        <v>0</v>
      </c>
      <c r="AK77" s="6">
        <f>COUNTIF(ParticipationJanvier1[[#This Row],[1]:[31]],Code3)</f>
        <v>0</v>
      </c>
      <c r="AL77" s="6">
        <f>COUNTIF(ParticipationJanvier1[[#This Row],[1]:[31]],Code4)</f>
        <v>0</v>
      </c>
      <c r="AM77" s="6">
        <f>COUNTIF(ParticipationJanvier1[[#This Row],[1]:[31]],Code5)</f>
        <v>0</v>
      </c>
      <c r="AN77" s="6">
        <f>COUNTIF(ParticipationJanvier1[[#This Row],[1]:[31]],Code23)</f>
        <v>0</v>
      </c>
      <c r="AO77" s="6">
        <f>COUNTIF(ParticipationJanvier1[[#This Row],[1]:[31]],Code6)</f>
        <v>1</v>
      </c>
      <c r="AP77" s="6">
        <f>COUNTIF(ParticipationJanvier1[[#This Row],[1]:[31]],Code7)</f>
        <v>0</v>
      </c>
      <c r="AQ77" s="6">
        <f>COUNTIF(ParticipationJanvier1[[#This Row],[1]:[31]],Code8)</f>
        <v>0</v>
      </c>
      <c r="AR77" s="6">
        <f>COUNTIF(ParticipationJanvier1[[#This Row],[1]:[31]],Code9)</f>
        <v>0</v>
      </c>
      <c r="AS77" s="6">
        <f>COUNTIF(ParticipationJanvier1[[#This Row],[1]:[31]],Code10)</f>
        <v>0</v>
      </c>
      <c r="AT77" s="6">
        <f>COUNTIF(ParticipationJanvier1[[#This Row],[1]:[31]],Code11)</f>
        <v>0</v>
      </c>
      <c r="AU77" s="6">
        <f>COUNTIF(ParticipationJanvier1[[#This Row],[1]:[31]],Code12)</f>
        <v>0</v>
      </c>
      <c r="AV77" s="6">
        <f>COUNTIF(ParticipationJanvier1[[#This Row],[1]:[31]],Code13)</f>
        <v>0</v>
      </c>
      <c r="AW77" s="6">
        <f>COUNTIF(ParticipationJanvier1[[#This Row],[1]:[31]],Code14)</f>
        <v>0</v>
      </c>
      <c r="AX77" s="6">
        <f>COUNTIF(ParticipationJanvier1[[#This Row],[1]:[31]],Code15)</f>
        <v>0</v>
      </c>
      <c r="AY77" s="6">
        <f>COUNTIF(ParticipationJanvier1[[#This Row],[1]:[31]],Code16)</f>
        <v>0</v>
      </c>
      <c r="AZ77" s="6">
        <f>COUNTIF(ParticipationJanvier1[[#This Row],[1]:[31]],Code17)</f>
        <v>0</v>
      </c>
      <c r="BA77" s="6">
        <f>COUNTIF(ParticipationJanvier1[[#This Row],[1]:[31]],Code25)</f>
        <v>0</v>
      </c>
      <c r="BB77" s="6">
        <f>COUNTIF(ParticipationJanvier1[[#This Row],[1]:[31]],Code26)</f>
        <v>0</v>
      </c>
      <c r="BC77" s="6">
        <f>COUNTIF(ParticipationJanvier1[[#This Row],[1]:[31]],Code27)</f>
        <v>0</v>
      </c>
      <c r="BD77" s="6">
        <f>COUNTIF(ParticipationJanvier1[[#This Row],[1]:[31]],Code28)</f>
        <v>0</v>
      </c>
      <c r="BE77" s="6">
        <f>COUNTIF(ParticipationJanvier1[[#This Row],[1]:[31]],code30)</f>
        <v>0</v>
      </c>
      <c r="BF77" s="6">
        <f>COUNTIF(ParticipationJanvier1[[#This Row],[1]:[31]],Code31)</f>
        <v>0</v>
      </c>
      <c r="BG77" s="6">
        <f>COUNTIF(ParticipationJanvier1[[#This Row],[1]:[31]],code21)</f>
        <v>0</v>
      </c>
      <c r="BH77" s="6">
        <f>COUNTIF(ParticipationJanvier1[[#This Row],[1]:[31]],Code24)</f>
        <v>0</v>
      </c>
      <c r="BI77" s="6">
        <f>COUNTIF(ParticipationJanvier1[[#This Row],[1]:[31]],code18)</f>
        <v>0</v>
      </c>
      <c r="BJ77" s="6">
        <f>COUNTIF(ParticipationJanvier1[[#This Row],[1]:[31]],code19)</f>
        <v>0</v>
      </c>
      <c r="BK77" s="6">
        <f>COUNTIF(ParticipationJanvier1[[#This Row],[1]:[31]],code20)</f>
        <v>0</v>
      </c>
      <c r="BL77" s="182">
        <f>COUNTIF(ParticipationJanvier1[[#This Row],[1]:[31]],code29)</f>
        <v>0</v>
      </c>
      <c r="BM77" s="297"/>
      <c r="BN77" s="297"/>
      <c r="BO77" s="297"/>
      <c r="BP77" s="297"/>
      <c r="BQ77" s="297"/>
      <c r="BR77" s="307"/>
      <c r="BS77" s="297"/>
      <c r="BT77" s="297"/>
      <c r="BU77" s="297"/>
      <c r="BV77" s="297"/>
      <c r="BW77" s="297"/>
      <c r="BX77" s="297"/>
      <c r="BY77" s="297"/>
      <c r="BZ77" s="297"/>
      <c r="CA77" s="297"/>
      <c r="CB77" s="297"/>
      <c r="CC77" s="297"/>
      <c r="CD77" s="297"/>
      <c r="CE77" s="297"/>
      <c r="CF77" s="297"/>
      <c r="CG77" s="297"/>
      <c r="CH77" s="297"/>
      <c r="CI77" s="297"/>
      <c r="CJ77" s="297"/>
      <c r="CK77" s="297"/>
      <c r="CL77" s="297"/>
      <c r="CM77" s="297"/>
      <c r="CN77" s="297"/>
      <c r="CO77" s="297"/>
      <c r="CP77" s="297"/>
      <c r="CQ77" s="297"/>
      <c r="CR77" s="297"/>
      <c r="CS77" s="297"/>
      <c r="CT77" s="297"/>
      <c r="CU77" s="300"/>
      <c r="CV77" s="165">
        <f t="shared" si="0"/>
        <v>0</v>
      </c>
      <c r="CW77" s="165">
        <f t="shared" si="4"/>
        <v>3</v>
      </c>
      <c r="CX77" s="249">
        <f t="shared" si="2"/>
        <v>0</v>
      </c>
      <c r="CY77" s="170"/>
    </row>
    <row r="78" spans="1:103">
      <c r="A78" s="510" t="s">
        <v>419</v>
      </c>
      <c r="B78" s="372" t="str">
        <f>IFERROR(VLOOKUP(ParticipationJanvier1[[#This Row],[Référence]],ListeÉtudiants1[],18,FALSE),"")</f>
        <v>JUAN DORINE</v>
      </c>
      <c r="G78" s="291"/>
      <c r="I78" s="291"/>
      <c r="K78" s="291"/>
      <c r="M78" s="291"/>
      <c r="N78" s="19"/>
      <c r="O78" s="19"/>
      <c r="P78" s="19"/>
      <c r="Q78" s="19"/>
      <c r="R78" s="19"/>
      <c r="S78" s="19" t="s">
        <v>107</v>
      </c>
      <c r="T78" s="19"/>
      <c r="U78" s="291"/>
      <c r="W78" s="291"/>
      <c r="Y78" s="291"/>
      <c r="AA78" s="291"/>
      <c r="AC78" s="291"/>
      <c r="AE78" s="291"/>
      <c r="AG78" s="326"/>
      <c r="AH78" s="6">
        <f>COUNTIF(ParticipationJanvier1[[#This Row],[1]:[31]],Code1)</f>
        <v>0</v>
      </c>
      <c r="AI78" s="6">
        <f>COUNTIF(ParticipationJanvier1[[#This Row],[1]:[31]],code22)</f>
        <v>0</v>
      </c>
      <c r="AJ78" s="6">
        <f>COUNTIF(ParticipationJanvier1[[#This Row],[1]:[31]],Code2)</f>
        <v>0</v>
      </c>
      <c r="AK78" s="6">
        <f>COUNTIF(ParticipationJanvier1[[#This Row],[1]:[31]],Code3)</f>
        <v>0</v>
      </c>
      <c r="AL78" s="6">
        <f>COUNTIF(ParticipationJanvier1[[#This Row],[1]:[31]],Code4)</f>
        <v>1</v>
      </c>
      <c r="AM78" s="6">
        <f>COUNTIF(ParticipationJanvier1[[#This Row],[1]:[31]],Code5)</f>
        <v>0</v>
      </c>
      <c r="AN78" s="6">
        <f>COUNTIF(ParticipationJanvier1[[#This Row],[1]:[31]],Code23)</f>
        <v>0</v>
      </c>
      <c r="AO78" s="6">
        <f>COUNTIF(ParticipationJanvier1[[#This Row],[1]:[31]],Code6)</f>
        <v>0</v>
      </c>
      <c r="AP78" s="6">
        <f>COUNTIF(ParticipationJanvier1[[#This Row],[1]:[31]],Code7)</f>
        <v>0</v>
      </c>
      <c r="AQ78" s="6">
        <f>COUNTIF(ParticipationJanvier1[[#This Row],[1]:[31]],Code8)</f>
        <v>0</v>
      </c>
      <c r="AR78" s="6">
        <f>COUNTIF(ParticipationJanvier1[[#This Row],[1]:[31]],Code9)</f>
        <v>0</v>
      </c>
      <c r="AS78" s="6">
        <f>COUNTIF(ParticipationJanvier1[[#This Row],[1]:[31]],Code10)</f>
        <v>0</v>
      </c>
      <c r="AT78" s="6">
        <f>COUNTIF(ParticipationJanvier1[[#This Row],[1]:[31]],Code11)</f>
        <v>0</v>
      </c>
      <c r="AU78" s="6">
        <f>COUNTIF(ParticipationJanvier1[[#This Row],[1]:[31]],Code12)</f>
        <v>0</v>
      </c>
      <c r="AV78" s="6">
        <f>COUNTIF(ParticipationJanvier1[[#This Row],[1]:[31]],Code13)</f>
        <v>0</v>
      </c>
      <c r="AW78" s="6">
        <f>COUNTIF(ParticipationJanvier1[[#This Row],[1]:[31]],Code14)</f>
        <v>0</v>
      </c>
      <c r="AX78" s="6">
        <f>COUNTIF(ParticipationJanvier1[[#This Row],[1]:[31]],Code15)</f>
        <v>0</v>
      </c>
      <c r="AY78" s="6">
        <f>COUNTIF(ParticipationJanvier1[[#This Row],[1]:[31]],Code16)</f>
        <v>0</v>
      </c>
      <c r="AZ78" s="6">
        <f>COUNTIF(ParticipationJanvier1[[#This Row],[1]:[31]],Code17)</f>
        <v>0</v>
      </c>
      <c r="BA78" s="6">
        <f>COUNTIF(ParticipationJanvier1[[#This Row],[1]:[31]],Code25)</f>
        <v>0</v>
      </c>
      <c r="BB78" s="6">
        <f>COUNTIF(ParticipationJanvier1[[#This Row],[1]:[31]],Code26)</f>
        <v>0</v>
      </c>
      <c r="BC78" s="6">
        <f>COUNTIF(ParticipationJanvier1[[#This Row],[1]:[31]],Code27)</f>
        <v>0</v>
      </c>
      <c r="BD78" s="6">
        <f>COUNTIF(ParticipationJanvier1[[#This Row],[1]:[31]],Code28)</f>
        <v>0</v>
      </c>
      <c r="BE78" s="6">
        <f>COUNTIF(ParticipationJanvier1[[#This Row],[1]:[31]],code30)</f>
        <v>0</v>
      </c>
      <c r="BF78" s="6">
        <f>COUNTIF(ParticipationJanvier1[[#This Row],[1]:[31]],Code31)</f>
        <v>0</v>
      </c>
      <c r="BG78" s="6">
        <f>COUNTIF(ParticipationJanvier1[[#This Row],[1]:[31]],code21)</f>
        <v>0</v>
      </c>
      <c r="BH78" s="6">
        <f>COUNTIF(ParticipationJanvier1[[#This Row],[1]:[31]],Code24)</f>
        <v>0</v>
      </c>
      <c r="BI78" s="6">
        <f>COUNTIF(ParticipationJanvier1[[#This Row],[1]:[31]],code18)</f>
        <v>0</v>
      </c>
      <c r="BJ78" s="6">
        <f>COUNTIF(ParticipationJanvier1[[#This Row],[1]:[31]],code19)</f>
        <v>0</v>
      </c>
      <c r="BK78" s="6">
        <f>COUNTIF(ParticipationJanvier1[[#This Row],[1]:[31]],code20)</f>
        <v>0</v>
      </c>
      <c r="BL78" s="182">
        <f>COUNTIF(ParticipationJanvier1[[#This Row],[1]:[31]],code29)</f>
        <v>0</v>
      </c>
      <c r="BM78" s="297">
        <v>1</v>
      </c>
      <c r="BN78" s="297"/>
      <c r="BO78" s="297"/>
      <c r="BP78" s="297"/>
      <c r="BQ78" s="297"/>
      <c r="BR78" s="307"/>
      <c r="BS78" s="297"/>
      <c r="BT78" s="297"/>
      <c r="BU78" s="297"/>
      <c r="BV78" s="297"/>
      <c r="BW78" s="297"/>
      <c r="BX78" s="297"/>
      <c r="BY78" s="297"/>
      <c r="BZ78" s="297"/>
      <c r="CA78" s="297"/>
      <c r="CB78" s="297"/>
      <c r="CC78" s="297"/>
      <c r="CD78" s="297"/>
      <c r="CE78" s="297"/>
      <c r="CF78" s="297"/>
      <c r="CG78" s="297"/>
      <c r="CH78" s="297"/>
      <c r="CI78" s="297"/>
      <c r="CJ78" s="297"/>
      <c r="CK78" s="297"/>
      <c r="CL78" s="297"/>
      <c r="CM78" s="297"/>
      <c r="CN78" s="297"/>
      <c r="CO78" s="297"/>
      <c r="CP78" s="297"/>
      <c r="CQ78" s="297"/>
      <c r="CR78" s="297"/>
      <c r="CS78" s="297"/>
      <c r="CT78" s="297"/>
      <c r="CU78" s="300"/>
      <c r="CV78" s="165">
        <f t="shared" si="0"/>
        <v>0</v>
      </c>
      <c r="CW78" s="165">
        <f t="shared" si="4"/>
        <v>0</v>
      </c>
      <c r="CX78" s="249">
        <f t="shared" si="2"/>
        <v>0</v>
      </c>
      <c r="CY78" s="170"/>
    </row>
    <row r="79" spans="1:103">
      <c r="A79" s="534" t="s">
        <v>420</v>
      </c>
      <c r="B79" s="372" t="str">
        <f>IFERROR(VLOOKUP(ParticipationJanvier1[[#This Row],[Référence]],ListeÉtudiants1[],18,FALSE),"")</f>
        <v>KABOL HELENA</v>
      </c>
      <c r="G79" s="525"/>
      <c r="I79" s="525"/>
      <c r="K79" s="525"/>
      <c r="M79" s="525"/>
      <c r="N79" s="19"/>
      <c r="O79" s="518"/>
      <c r="P79" s="19"/>
      <c r="Q79" s="518"/>
      <c r="R79" s="19"/>
      <c r="S79" s="518"/>
      <c r="T79" s="19"/>
      <c r="U79" s="525"/>
      <c r="W79" s="525"/>
      <c r="Y79" s="525"/>
      <c r="AA79" s="525"/>
      <c r="AC79" s="525"/>
      <c r="AE79" s="525"/>
      <c r="AG79" s="519"/>
      <c r="AH79" s="475">
        <f>COUNTIF(ParticipationJanvier1[[#This Row],[1]:[31]],Code1)</f>
        <v>0</v>
      </c>
      <c r="AI79" s="518">
        <f>COUNTIF(ParticipationJanvier1[[#This Row],[1]:[31]],code22)</f>
        <v>0</v>
      </c>
      <c r="AJ79" s="473">
        <f>COUNTIF(ParticipationJanvier1[[#This Row],[1]:[31]],Code2)</f>
        <v>0</v>
      </c>
      <c r="AK79" s="520">
        <f>COUNTIF(ParticipationJanvier1[[#This Row],[1]:[31]],Code3)</f>
        <v>0</v>
      </c>
      <c r="AL79" s="473">
        <f>COUNTIF(ParticipationJanvier1[[#This Row],[1]:[31]],Code4)</f>
        <v>0</v>
      </c>
      <c r="AM79" s="520">
        <f>COUNTIF(ParticipationJanvier1[[#This Row],[1]:[31]],Code5)</f>
        <v>0</v>
      </c>
      <c r="AN79" s="30">
        <f>COUNTIF(ParticipationJanvier1[[#This Row],[1]:[31]],Code23)</f>
        <v>0</v>
      </c>
      <c r="AO79" s="473">
        <f>COUNTIF(ParticipationJanvier1[[#This Row],[1]:[31]],Code6)</f>
        <v>0</v>
      </c>
      <c r="AP79" s="30">
        <f>COUNTIF(ParticipationJanvier1[[#This Row],[1]:[31]],Code7)</f>
        <v>0</v>
      </c>
      <c r="AQ79" s="30">
        <f>COUNTIF(ParticipationJanvier1[[#This Row],[1]:[31]],Code8)</f>
        <v>0</v>
      </c>
      <c r="AR79" s="30">
        <f>COUNTIF(ParticipationJanvier1[[#This Row],[1]:[31]],Code9)</f>
        <v>0</v>
      </c>
      <c r="AS79" s="473">
        <f>COUNTIF(ParticipationJanvier1[[#This Row],[1]:[31]],Code10)</f>
        <v>0</v>
      </c>
      <c r="AT79" s="473">
        <f>COUNTIF(ParticipationJanvier1[[#This Row],[1]:[31]],Code11)</f>
        <v>0</v>
      </c>
      <c r="AU79" s="473">
        <f>COUNTIF(ParticipationJanvier1[[#This Row],[1]:[31]],Code12)</f>
        <v>0</v>
      </c>
      <c r="AV79" s="473">
        <f>COUNTIF(ParticipationJanvier1[[#This Row],[1]:[31]],Code13)</f>
        <v>0</v>
      </c>
      <c r="AW79" s="473">
        <f>COUNTIF(ParticipationJanvier1[[#This Row],[1]:[31]],Code14)</f>
        <v>0</v>
      </c>
      <c r="AX79" s="473">
        <f>COUNTIF(ParticipationJanvier1[[#This Row],[1]:[31]],Code15)</f>
        <v>0</v>
      </c>
      <c r="AY79" s="473">
        <f>COUNTIF(ParticipationJanvier1[[#This Row],[1]:[31]],Code16)</f>
        <v>0</v>
      </c>
      <c r="AZ79" s="473">
        <f>COUNTIF(ParticipationJanvier1[[#This Row],[1]:[31]],Code17)</f>
        <v>0</v>
      </c>
      <c r="BA79" s="475">
        <f>COUNTIF(ParticipationJanvier1[[#This Row],[1]:[31]],Code25)</f>
        <v>0</v>
      </c>
      <c r="BB79" s="475">
        <f>COUNTIF(ParticipationJanvier1[[#This Row],[1]:[31]],Code26)</f>
        <v>0</v>
      </c>
      <c r="BC79" s="475">
        <f>COUNTIF(ParticipationJanvier1[[#This Row],[1]:[31]],Code27)</f>
        <v>0</v>
      </c>
      <c r="BD79" s="475">
        <f>COUNTIF(ParticipationJanvier1[[#This Row],[1]:[31]],Code28)</f>
        <v>0</v>
      </c>
      <c r="BE79" s="475">
        <f>COUNTIF(ParticipationJanvier1[[#This Row],[1]:[31]],code30)</f>
        <v>0</v>
      </c>
      <c r="BF79" s="475">
        <f>COUNTIF(ParticipationJanvier1[[#This Row],[1]:[31]],Code31)</f>
        <v>0</v>
      </c>
      <c r="BG79" s="473">
        <f>COUNTIF(ParticipationJanvier1[[#This Row],[1]:[31]],code21)</f>
        <v>0</v>
      </c>
      <c r="BH79" s="473">
        <f>COUNTIF(ParticipationJanvier1[[#This Row],[1]:[31]],Code24)</f>
        <v>0</v>
      </c>
      <c r="BI79" s="473">
        <f>COUNTIF(ParticipationJanvier1[[#This Row],[1]:[31]],code18)</f>
        <v>0</v>
      </c>
      <c r="BJ79" s="473">
        <f>COUNTIF(ParticipationJanvier1[[#This Row],[1]:[31]],code19)</f>
        <v>0</v>
      </c>
      <c r="BK79" s="473">
        <f>COUNTIF(ParticipationJanvier1[[#This Row],[1]:[31]],code20)</f>
        <v>0</v>
      </c>
      <c r="BL79" s="476">
        <f>COUNTIF(ParticipationJanvier1[[#This Row],[1]:[31]],code29)</f>
        <v>0</v>
      </c>
      <c r="BM79" s="472">
        <f>SUM((AH79*1)+(AI87*1.5)+(AJ79*2)+(AK79*3)+(AL79*4)+(AQ79*5)+(AR79*6)+(AS79*7)+(AW79*2)+(AX79*3)+(AY79*4)+(AZ79*5)+(BG79*2))</f>
        <v>0</v>
      </c>
      <c r="BN79" s="472"/>
      <c r="BO79" s="472"/>
      <c r="BP79" s="472"/>
      <c r="BQ79" s="472"/>
      <c r="BR79" s="473"/>
      <c r="BS79" s="473"/>
      <c r="BT79" s="472"/>
      <c r="BU79" s="472"/>
      <c r="BV79" s="472"/>
      <c r="BW79" s="472"/>
      <c r="BX79" s="472"/>
      <c r="BY79" s="472"/>
      <c r="BZ79" s="472"/>
      <c r="CA79" s="472"/>
      <c r="CB79" s="472"/>
      <c r="CC79" s="472"/>
      <c r="CD79" s="472"/>
      <c r="CE79" s="472"/>
      <c r="CF79" s="472"/>
      <c r="CG79" s="472"/>
      <c r="CH79" s="472"/>
      <c r="CI79" s="472"/>
      <c r="CJ79" s="472"/>
      <c r="CK79" s="472"/>
      <c r="CL79" s="472"/>
      <c r="CM79" s="472"/>
      <c r="CN79" s="472"/>
      <c r="CO79" s="472"/>
      <c r="CP79" s="472"/>
      <c r="CQ79" s="472"/>
      <c r="CR79" s="472"/>
      <c r="CS79" s="472"/>
      <c r="CT79" s="472"/>
      <c r="CU79" s="516">
        <f>SUM((AN79*1)+(AM79*2)+(AO79*3)+(AP79*4)+(AT79*5)+(AU79*7)+(AV79*7)+(AW79*7)+(AX79*4)+(AY79*3)+(BA79*2)+(BC79*4)+(BB79*1)+(BG79*2)+(AZ79*5)+(BD79*1))</f>
        <v>0</v>
      </c>
      <c r="CV79" s="521">
        <f>SUM((AH79*1)+(AI79*1.5)+(AJ79*2)+(AK79*3)+(AP79*5)+(AQ79*6)+(AR79*7)+(AU79*2)+(AX79*3)+(AY79*4)+(BA79*5)+(BB79*3)+(BC79*2)+(BG79*2)+(AZ79*2)+(BD79*2))</f>
        <v>0</v>
      </c>
      <c r="CW79" s="522">
        <f>SUM((AN79*1)+(AM79*2)+(AO79*3)+(AP79*4)+(AT79*5)+(AU79*7)+(AV79*7)+(AW79*7)+(AX79*4)+(AY79*3)+(BA79*2)+(BC79*4)+(BB79*1)+(BG79*2)+(AZ79*5)+(BD79*1))</f>
        <v>0</v>
      </c>
      <c r="CX79" s="523">
        <f>BH79*1</f>
        <v>0</v>
      </c>
      <c r="CY79" s="512"/>
    </row>
    <row r="80" spans="1:103">
      <c r="A80" s="534" t="s">
        <v>421</v>
      </c>
      <c r="B80" s="372" t="str">
        <f>IFERROR(VLOOKUP(ParticipationJanvier1[[#This Row],[Référence]],ListeÉtudiants1[],18,FALSE),"")</f>
        <v>KANTE TIGUIDA</v>
      </c>
      <c r="G80" s="291"/>
      <c r="I80" s="291"/>
      <c r="K80" s="291"/>
      <c r="M80" s="291"/>
      <c r="N80" s="19" t="s">
        <v>35</v>
      </c>
      <c r="O80" s="19"/>
      <c r="P80" s="19"/>
      <c r="Q80" s="19" t="s">
        <v>490</v>
      </c>
      <c r="R80" s="19" t="s">
        <v>106</v>
      </c>
      <c r="S80" s="19"/>
      <c r="T80" s="19"/>
      <c r="U80" s="291"/>
      <c r="W80" s="291"/>
      <c r="Y80" s="291"/>
      <c r="AA80" s="291"/>
      <c r="AC80" s="291"/>
      <c r="AE80" s="291"/>
      <c r="AG80" s="326"/>
      <c r="AH80" s="6">
        <f>COUNTIF(ParticipationJanvier1[[#This Row],[1]:[31]],Code1)</f>
        <v>0</v>
      </c>
      <c r="AI80" s="6">
        <f>COUNTIF(ParticipationJanvier1[[#This Row],[1]:[31]],code22)</f>
        <v>0</v>
      </c>
      <c r="AJ80" s="6">
        <f>COUNTIF(ParticipationJanvier1[[#This Row],[1]:[31]],Code2)</f>
        <v>0</v>
      </c>
      <c r="AK80" s="6">
        <f>COUNTIF(ParticipationJanvier1[[#This Row],[1]:[31]],Code3)</f>
        <v>1</v>
      </c>
      <c r="AL80" s="6">
        <f>COUNTIF(ParticipationJanvier1[[#This Row],[1]:[31]],Code4)</f>
        <v>0</v>
      </c>
      <c r="AM80" s="6">
        <f>COUNTIF(ParticipationJanvier1[[#This Row],[1]:[31]],Code5)</f>
        <v>1</v>
      </c>
      <c r="AN80" s="6">
        <f>COUNTIF(ParticipationJanvier1[[#This Row],[1]:[31]],Code23)</f>
        <v>0</v>
      </c>
      <c r="AO80" s="6">
        <f>COUNTIF(ParticipationJanvier1[[#This Row],[1]:[31]],Code6)</f>
        <v>0</v>
      </c>
      <c r="AP80" s="6">
        <f>COUNTIF(ParticipationJanvier1[[#This Row],[1]:[31]],Code7)</f>
        <v>0</v>
      </c>
      <c r="AQ80" s="6">
        <f>COUNTIF(ParticipationJanvier1[[#This Row],[1]:[31]],Code8)</f>
        <v>0</v>
      </c>
      <c r="AR80" s="6">
        <f>COUNTIF(ParticipationJanvier1[[#This Row],[1]:[31]],Code9)</f>
        <v>0</v>
      </c>
      <c r="AS80" s="6">
        <f>COUNTIF(ParticipationJanvier1[[#This Row],[1]:[31]],Code10)</f>
        <v>0</v>
      </c>
      <c r="AT80" s="6">
        <f>COUNTIF(ParticipationJanvier1[[#This Row],[1]:[31]],Code11)</f>
        <v>0</v>
      </c>
      <c r="AU80" s="6">
        <f>COUNTIF(ParticipationJanvier1[[#This Row],[1]:[31]],Code12)</f>
        <v>0</v>
      </c>
      <c r="AV80" s="6">
        <f>COUNTIF(ParticipationJanvier1[[#This Row],[1]:[31]],Code13)</f>
        <v>0</v>
      </c>
      <c r="AW80" s="6">
        <f>COUNTIF(ParticipationJanvier1[[#This Row],[1]:[31]],Code14)</f>
        <v>0</v>
      </c>
      <c r="AX80" s="6">
        <f>COUNTIF(ParticipationJanvier1[[#This Row],[1]:[31]],Code15)</f>
        <v>1</v>
      </c>
      <c r="AY80" s="6">
        <f>COUNTIF(ParticipationJanvier1[[#This Row],[1]:[31]],Code16)</f>
        <v>0</v>
      </c>
      <c r="AZ80" s="6">
        <f>COUNTIF(ParticipationJanvier1[[#This Row],[1]:[31]],Code17)</f>
        <v>0</v>
      </c>
      <c r="BA80" s="6">
        <f>COUNTIF(ParticipationJanvier1[[#This Row],[1]:[31]],Code25)</f>
        <v>0</v>
      </c>
      <c r="BB80" s="6">
        <f>COUNTIF(ParticipationJanvier1[[#This Row],[1]:[31]],Code26)</f>
        <v>0</v>
      </c>
      <c r="BC80" s="6">
        <f>COUNTIF(ParticipationJanvier1[[#This Row],[1]:[31]],Code27)</f>
        <v>0</v>
      </c>
      <c r="BD80" s="6">
        <f>COUNTIF(ParticipationJanvier1[[#This Row],[1]:[31]],Code28)</f>
        <v>0</v>
      </c>
      <c r="BE80" s="6">
        <f>COUNTIF(ParticipationJanvier1[[#This Row],[1]:[31]],code30)</f>
        <v>0</v>
      </c>
      <c r="BF80" s="6">
        <f>COUNTIF(ParticipationJanvier1[[#This Row],[1]:[31]],Code31)</f>
        <v>0</v>
      </c>
      <c r="BG80" s="6">
        <f>COUNTIF(ParticipationJanvier1[[#This Row],[1]:[31]],code21)</f>
        <v>0</v>
      </c>
      <c r="BH80" s="6">
        <f>COUNTIF(ParticipationJanvier1[[#This Row],[1]:[31]],Code24)</f>
        <v>0</v>
      </c>
      <c r="BI80" s="6">
        <f>COUNTIF(ParticipationJanvier1[[#This Row],[1]:[31]],code18)</f>
        <v>0</v>
      </c>
      <c r="BJ80" s="6">
        <f>COUNTIF(ParticipationJanvier1[[#This Row],[1]:[31]],code19)</f>
        <v>0</v>
      </c>
      <c r="BK80" s="6">
        <f>COUNTIF(ParticipationJanvier1[[#This Row],[1]:[31]],code20)</f>
        <v>0</v>
      </c>
      <c r="BL80" s="182">
        <f>COUNTIF(ParticipationJanvier1[[#This Row],[1]:[31]],code29)</f>
        <v>0</v>
      </c>
      <c r="BM80" s="297">
        <v>2</v>
      </c>
      <c r="BN80" s="297"/>
      <c r="BO80" s="297"/>
      <c r="BP80" s="297"/>
      <c r="BQ80" s="297"/>
      <c r="BR80" s="307"/>
      <c r="BS80" s="297"/>
      <c r="BT80" s="297"/>
      <c r="BU80" s="297"/>
      <c r="BV80" s="297"/>
      <c r="BW80" s="297"/>
      <c r="BX80" s="297"/>
      <c r="BY80" s="297"/>
      <c r="BZ80" s="297"/>
      <c r="CA80" s="297"/>
      <c r="CB80" s="297"/>
      <c r="CC80" s="297"/>
      <c r="CD80" s="297"/>
      <c r="CE80" s="297"/>
      <c r="CF80" s="297"/>
      <c r="CG80" s="297"/>
      <c r="CH80" s="297"/>
      <c r="CI80" s="297"/>
      <c r="CJ80" s="297"/>
      <c r="CK80" s="297"/>
      <c r="CL80" s="297"/>
      <c r="CM80" s="297"/>
      <c r="CN80" s="297"/>
      <c r="CO80" s="297"/>
      <c r="CP80" s="297"/>
      <c r="CQ80" s="297"/>
      <c r="CR80" s="297"/>
      <c r="CS80" s="297"/>
      <c r="CT80" s="297"/>
      <c r="CU80" s="300"/>
      <c r="CV80" s="165">
        <f t="shared" si="0"/>
        <v>6</v>
      </c>
      <c r="CW80" s="165">
        <f t="shared" si="4"/>
        <v>6</v>
      </c>
      <c r="CX80" s="249">
        <f t="shared" si="2"/>
        <v>0</v>
      </c>
      <c r="CY80" s="170"/>
    </row>
    <row r="81" spans="1:103">
      <c r="A81" s="510" t="s">
        <v>422</v>
      </c>
      <c r="B81" s="372" t="str">
        <f>IFERROR(VLOOKUP(ParticipationJanvier1[[#This Row],[Référence]],ListeÉtudiants1[],18,FALSE),"")</f>
        <v>KERMESH NELLY</v>
      </c>
      <c r="G81" s="525"/>
      <c r="I81" s="525"/>
      <c r="K81" s="525"/>
      <c r="M81" s="525"/>
      <c r="N81" s="19"/>
      <c r="O81" s="518"/>
      <c r="P81" s="19"/>
      <c r="Q81" s="518"/>
      <c r="R81" s="19"/>
      <c r="S81" s="518"/>
      <c r="T81" s="19"/>
      <c r="U81" s="525"/>
      <c r="W81" s="525"/>
      <c r="Y81" s="525"/>
      <c r="AA81" s="525"/>
      <c r="AC81" s="525"/>
      <c r="AE81" s="525"/>
      <c r="AG81" s="519"/>
      <c r="AH81" s="475">
        <f>COUNTIF(ParticipationJanvier1[[#This Row],[1]:[31]],Code1)</f>
        <v>0</v>
      </c>
      <c r="AI81" s="518">
        <f>COUNTIF(ParticipationJanvier1[[#This Row],[1]:[31]],code22)</f>
        <v>0</v>
      </c>
      <c r="AJ81" s="473">
        <f>COUNTIF(ParticipationJanvier1[[#This Row],[1]:[31]],Code2)</f>
        <v>0</v>
      </c>
      <c r="AK81" s="520">
        <f>COUNTIF(ParticipationJanvier1[[#This Row],[1]:[31]],Code3)</f>
        <v>0</v>
      </c>
      <c r="AL81" s="473">
        <f>COUNTIF(ParticipationJanvier1[[#This Row],[1]:[31]],Code4)</f>
        <v>0</v>
      </c>
      <c r="AM81" s="520">
        <f>COUNTIF(ParticipationJanvier1[[#This Row],[1]:[31]],Code5)</f>
        <v>0</v>
      </c>
      <c r="AN81" s="30">
        <f>COUNTIF(ParticipationJanvier1[[#This Row],[1]:[31]],Code23)</f>
        <v>0</v>
      </c>
      <c r="AO81" s="473">
        <f>COUNTIF(ParticipationJanvier1[[#This Row],[1]:[31]],Code6)</f>
        <v>0</v>
      </c>
      <c r="AP81" s="30">
        <f>COUNTIF(ParticipationJanvier1[[#This Row],[1]:[31]],Code7)</f>
        <v>0</v>
      </c>
      <c r="AQ81" s="30">
        <f>COUNTIF(ParticipationJanvier1[[#This Row],[1]:[31]],Code8)</f>
        <v>0</v>
      </c>
      <c r="AR81" s="30">
        <f>COUNTIF(ParticipationJanvier1[[#This Row],[1]:[31]],Code9)</f>
        <v>0</v>
      </c>
      <c r="AS81" s="473">
        <f>COUNTIF(ParticipationJanvier1[[#This Row],[1]:[31]],Code10)</f>
        <v>0</v>
      </c>
      <c r="AT81" s="473">
        <f>COUNTIF(ParticipationJanvier1[[#This Row],[1]:[31]],Code11)</f>
        <v>0</v>
      </c>
      <c r="AU81" s="473">
        <f>COUNTIF(ParticipationJanvier1[[#This Row],[1]:[31]],Code12)</f>
        <v>0</v>
      </c>
      <c r="AV81" s="473">
        <f>COUNTIF(ParticipationJanvier1[[#This Row],[1]:[31]],Code13)</f>
        <v>0</v>
      </c>
      <c r="AW81" s="473">
        <f>COUNTIF(ParticipationJanvier1[[#This Row],[1]:[31]],Code14)</f>
        <v>0</v>
      </c>
      <c r="AX81" s="473">
        <f>COUNTIF(ParticipationJanvier1[[#This Row],[1]:[31]],Code15)</f>
        <v>0</v>
      </c>
      <c r="AY81" s="473">
        <f>COUNTIF(ParticipationJanvier1[[#This Row],[1]:[31]],Code16)</f>
        <v>0</v>
      </c>
      <c r="AZ81" s="473">
        <f>COUNTIF(ParticipationJanvier1[[#This Row],[1]:[31]],Code17)</f>
        <v>0</v>
      </c>
      <c r="BA81" s="475">
        <f>COUNTIF(ParticipationJanvier1[[#This Row],[1]:[31]],Code25)</f>
        <v>0</v>
      </c>
      <c r="BB81" s="475">
        <f>COUNTIF(ParticipationJanvier1[[#This Row],[1]:[31]],Code26)</f>
        <v>0</v>
      </c>
      <c r="BC81" s="475">
        <f>COUNTIF(ParticipationJanvier1[[#This Row],[1]:[31]],Code27)</f>
        <v>0</v>
      </c>
      <c r="BD81" s="475">
        <f>COUNTIF(ParticipationJanvier1[[#This Row],[1]:[31]],Code28)</f>
        <v>0</v>
      </c>
      <c r="BE81" s="475">
        <f>COUNTIF(ParticipationJanvier1[[#This Row],[1]:[31]],code30)</f>
        <v>0</v>
      </c>
      <c r="BF81" s="475">
        <f>COUNTIF(ParticipationJanvier1[[#This Row],[1]:[31]],Code31)</f>
        <v>0</v>
      </c>
      <c r="BG81" s="473">
        <f>COUNTIF(ParticipationJanvier1[[#This Row],[1]:[31]],code21)</f>
        <v>0</v>
      </c>
      <c r="BH81" s="473">
        <f>COUNTIF(ParticipationJanvier1[[#This Row],[1]:[31]],Code24)</f>
        <v>0</v>
      </c>
      <c r="BI81" s="473">
        <f>COUNTIF(ParticipationJanvier1[[#This Row],[1]:[31]],code18)</f>
        <v>0</v>
      </c>
      <c r="BJ81" s="473">
        <f>COUNTIF(ParticipationJanvier1[[#This Row],[1]:[31]],code19)</f>
        <v>0</v>
      </c>
      <c r="BK81" s="473">
        <f>COUNTIF(ParticipationJanvier1[[#This Row],[1]:[31]],code20)</f>
        <v>0</v>
      </c>
      <c r="BL81" s="476">
        <f>COUNTIF(ParticipationJanvier1[[#This Row],[1]:[31]],code29)</f>
        <v>0</v>
      </c>
      <c r="BM81" s="472">
        <f>SUM((AH81*1)+(AI89*1.5)+(AJ81*2)+(AK81*3)+(AL81*4)+(AQ81*5)+(AR81*6)+(AS81*7)+(AW81*2)+(AX81*3)+(AY81*4)+(AZ81*5)+(BG81*2))</f>
        <v>0</v>
      </c>
      <c r="BN81" s="472"/>
      <c r="BO81" s="472"/>
      <c r="BP81" s="472"/>
      <c r="BQ81" s="472"/>
      <c r="BR81" s="473"/>
      <c r="BS81" s="473"/>
      <c r="BT81" s="472"/>
      <c r="BU81" s="472"/>
      <c r="BV81" s="472"/>
      <c r="BW81" s="472"/>
      <c r="BX81" s="472"/>
      <c r="BY81" s="472"/>
      <c r="BZ81" s="472"/>
      <c r="CA81" s="472"/>
      <c r="CB81" s="472"/>
      <c r="CC81" s="472"/>
      <c r="CD81" s="472"/>
      <c r="CE81" s="472"/>
      <c r="CF81" s="472"/>
      <c r="CG81" s="472"/>
      <c r="CH81" s="472"/>
      <c r="CI81" s="472"/>
      <c r="CJ81" s="472"/>
      <c r="CK81" s="472"/>
      <c r="CL81" s="472"/>
      <c r="CM81" s="472"/>
      <c r="CN81" s="472"/>
      <c r="CO81" s="472"/>
      <c r="CP81" s="472"/>
      <c r="CQ81" s="472"/>
      <c r="CR81" s="472"/>
      <c r="CS81" s="472"/>
      <c r="CT81" s="472"/>
      <c r="CU81" s="516">
        <f>SUM((AN81*1)+(AM81*2)+(AO81*3)+(AP81*4)+(AT81*5)+(AU81*7)+(AV81*7)+(AW81*7)+(AX81*4)+(AY81*3)+(BA81*2)+(BC81*4)+(BB81*1)+(BG81*2)+(AZ81*5)+(BD81*1))</f>
        <v>0</v>
      </c>
      <c r="CV81" s="521">
        <f>SUM((AH81*1)+(AI81*1.5)+(AJ81*2)+(AK81*3)+(AP81*5)+(AQ81*6)+(AR81*7)+(AU81*2)+(AX81*3)+(AY81*4)+(BA81*5)+(BB81*3)+(BC81*2)+(BG81*2)+(AZ81*2)+(BD81*2))</f>
        <v>0</v>
      </c>
      <c r="CW81" s="522">
        <f>SUM((AN81*1)+(AM81*2)+(AO81*3)+(AP81*4)+(AT81*5)+(AU81*7)+(AV81*7)+(AW81*7)+(AX81*4)+(AY81*3)+(BA81*2)+(BC81*4)+(BB81*1)+(BG81*2)+(AZ81*5)+(BD81*1))</f>
        <v>0</v>
      </c>
      <c r="CX81" s="523">
        <f>BH81*1</f>
        <v>0</v>
      </c>
      <c r="CY81" s="512"/>
    </row>
    <row r="82" spans="1:103">
      <c r="A82" s="534" t="s">
        <v>423</v>
      </c>
      <c r="B82" s="372" t="str">
        <f>IFERROR(VLOOKUP(ParticipationJanvier1[[#This Row],[Référence]],ListeÉtudiants1[],18,FALSE),"")</f>
        <v>KESSIE INES</v>
      </c>
      <c r="G82" s="291"/>
      <c r="I82" s="291"/>
      <c r="K82" s="291"/>
      <c r="M82" s="291"/>
      <c r="N82" s="19" t="s">
        <v>507</v>
      </c>
      <c r="O82" s="19"/>
      <c r="P82" s="19"/>
      <c r="Q82" s="19" t="s">
        <v>490</v>
      </c>
      <c r="R82" s="19" t="s">
        <v>106</v>
      </c>
      <c r="S82" s="19" t="s">
        <v>107</v>
      </c>
      <c r="T82" s="19"/>
      <c r="U82" s="291"/>
      <c r="W82" s="291"/>
      <c r="Y82" s="291"/>
      <c r="AA82" s="291"/>
      <c r="AC82" s="291"/>
      <c r="AE82" s="291"/>
      <c r="AG82" s="326"/>
      <c r="AH82" s="6">
        <f>COUNTIF(ParticipationJanvier1[[#This Row],[1]:[31]],Code1)</f>
        <v>0</v>
      </c>
      <c r="AI82" s="6">
        <f>COUNTIF(ParticipationJanvier1[[#This Row],[1]:[31]],code22)</f>
        <v>0</v>
      </c>
      <c r="AJ82" s="6">
        <f>COUNTIF(ParticipationJanvier1[[#This Row],[1]:[31]],Code2)</f>
        <v>0</v>
      </c>
      <c r="AK82" s="6">
        <f>COUNTIF(ParticipationJanvier1[[#This Row],[1]:[31]],Code3)</f>
        <v>1</v>
      </c>
      <c r="AL82" s="6">
        <f>COUNTIF(ParticipationJanvier1[[#This Row],[1]:[31]],Code4)</f>
        <v>1</v>
      </c>
      <c r="AM82" s="6">
        <f>COUNTIF(ParticipationJanvier1[[#This Row],[1]:[31]],Code5)</f>
        <v>0</v>
      </c>
      <c r="AN82" s="6">
        <f>COUNTIF(ParticipationJanvier1[[#This Row],[1]:[31]],Code23)</f>
        <v>0</v>
      </c>
      <c r="AO82" s="6">
        <f>COUNTIF(ParticipationJanvier1[[#This Row],[1]:[31]],Code6)</f>
        <v>0</v>
      </c>
      <c r="AP82" s="6">
        <f>COUNTIF(ParticipationJanvier1[[#This Row],[1]:[31]],Code7)</f>
        <v>0</v>
      </c>
      <c r="AQ82" s="6">
        <f>COUNTIF(ParticipationJanvier1[[#This Row],[1]:[31]],Code8)</f>
        <v>0</v>
      </c>
      <c r="AR82" s="6">
        <f>COUNTIF(ParticipationJanvier1[[#This Row],[1]:[31]],Code9)</f>
        <v>0</v>
      </c>
      <c r="AS82" s="6">
        <f>COUNTIF(ParticipationJanvier1[[#This Row],[1]:[31]],Code10)</f>
        <v>0</v>
      </c>
      <c r="AT82" s="6">
        <f>COUNTIF(ParticipationJanvier1[[#This Row],[1]:[31]],Code11)</f>
        <v>0</v>
      </c>
      <c r="AU82" s="6">
        <f>COUNTIF(ParticipationJanvier1[[#This Row],[1]:[31]],Code12)</f>
        <v>0</v>
      </c>
      <c r="AV82" s="6">
        <f>COUNTIF(ParticipationJanvier1[[#This Row],[1]:[31]],Code13)</f>
        <v>0</v>
      </c>
      <c r="AW82" s="6">
        <f>COUNTIF(ParticipationJanvier1[[#This Row],[1]:[31]],Code14)</f>
        <v>0</v>
      </c>
      <c r="AX82" s="6">
        <f>COUNTIF(ParticipationJanvier1[[#This Row],[1]:[31]],Code15)</f>
        <v>1</v>
      </c>
      <c r="AY82" s="6">
        <f>COUNTIF(ParticipationJanvier1[[#This Row],[1]:[31]],Code16)</f>
        <v>0</v>
      </c>
      <c r="AZ82" s="6">
        <f>COUNTIF(ParticipationJanvier1[[#This Row],[1]:[31]],Code17)</f>
        <v>0</v>
      </c>
      <c r="BA82" s="6">
        <f>COUNTIF(ParticipationJanvier1[[#This Row],[1]:[31]],Code25)</f>
        <v>0</v>
      </c>
      <c r="BB82" s="6">
        <f>COUNTIF(ParticipationJanvier1[[#This Row],[1]:[31]],Code26)</f>
        <v>0</v>
      </c>
      <c r="BC82" s="6">
        <f>COUNTIF(ParticipationJanvier1[[#This Row],[1]:[31]],Code27)</f>
        <v>0</v>
      </c>
      <c r="BD82" s="6">
        <f>COUNTIF(ParticipationJanvier1[[#This Row],[1]:[31]],Code28)</f>
        <v>0</v>
      </c>
      <c r="BE82" s="6">
        <f>COUNTIF(ParticipationJanvier1[[#This Row],[1]:[31]],code30)</f>
        <v>0</v>
      </c>
      <c r="BF82" s="6">
        <f>COUNTIF(ParticipationJanvier1[[#This Row],[1]:[31]],Code31)</f>
        <v>0</v>
      </c>
      <c r="BG82" s="6">
        <f>COUNTIF(ParticipationJanvier1[[#This Row],[1]:[31]],code21)</f>
        <v>1</v>
      </c>
      <c r="BH82" s="6">
        <f>COUNTIF(ParticipationJanvier1[[#This Row],[1]:[31]],Code24)</f>
        <v>0</v>
      </c>
      <c r="BI82" s="6">
        <f>COUNTIF(ParticipationJanvier1[[#This Row],[1]:[31]],code18)</f>
        <v>0</v>
      </c>
      <c r="BJ82" s="6">
        <f>COUNTIF(ParticipationJanvier1[[#This Row],[1]:[31]],code19)</f>
        <v>0</v>
      </c>
      <c r="BK82" s="6">
        <f>COUNTIF(ParticipationJanvier1[[#This Row],[1]:[31]],code20)</f>
        <v>0</v>
      </c>
      <c r="BL82" s="182">
        <f>COUNTIF(ParticipationJanvier1[[#This Row],[1]:[31]],code29)</f>
        <v>0</v>
      </c>
      <c r="BM82" s="297">
        <v>3</v>
      </c>
      <c r="BN82" s="297"/>
      <c r="BO82" s="297"/>
      <c r="BP82" s="297"/>
      <c r="BQ82" s="297"/>
      <c r="BR82" s="307"/>
      <c r="BS82" s="297"/>
      <c r="BT82" s="297"/>
      <c r="BU82" s="297"/>
      <c r="BV82" s="297"/>
      <c r="BW82" s="297"/>
      <c r="BX82" s="297"/>
      <c r="BY82" s="297"/>
      <c r="BZ82" s="297"/>
      <c r="CA82" s="297"/>
      <c r="CB82" s="297"/>
      <c r="CC82" s="297"/>
      <c r="CD82" s="297"/>
      <c r="CE82" s="297"/>
      <c r="CF82" s="297"/>
      <c r="CG82" s="297">
        <v>1</v>
      </c>
      <c r="CH82" s="297"/>
      <c r="CI82" s="297"/>
      <c r="CJ82" s="297"/>
      <c r="CK82" s="297"/>
      <c r="CL82" s="297"/>
      <c r="CM82" s="297"/>
      <c r="CN82" s="297"/>
      <c r="CO82" s="297"/>
      <c r="CP82" s="297"/>
      <c r="CQ82" s="297"/>
      <c r="CR82" s="297"/>
      <c r="CS82" s="297"/>
      <c r="CT82" s="297"/>
      <c r="CU82" s="300"/>
      <c r="CV82" s="165">
        <f t="shared" si="0"/>
        <v>8</v>
      </c>
      <c r="CW82" s="165">
        <f t="shared" si="4"/>
        <v>6</v>
      </c>
      <c r="CX82" s="249">
        <f t="shared" si="2"/>
        <v>0</v>
      </c>
      <c r="CY82" s="170"/>
    </row>
    <row r="83" spans="1:103">
      <c r="A83" s="534" t="s">
        <v>424</v>
      </c>
      <c r="B83" s="372" t="str">
        <f>IFERROR(VLOOKUP(ParticipationJanvier1[[#This Row],[Référence]],ListeÉtudiants1[],18,FALSE),"")</f>
        <v>KIFIA ALI HILDA</v>
      </c>
      <c r="G83" s="525"/>
      <c r="I83" s="525"/>
      <c r="K83" s="525"/>
      <c r="M83" s="525"/>
      <c r="N83" s="19"/>
      <c r="O83" s="518"/>
      <c r="P83" s="19"/>
      <c r="Q83" s="518"/>
      <c r="R83" s="19"/>
      <c r="S83" s="518"/>
      <c r="T83" s="19"/>
      <c r="U83" s="525"/>
      <c r="W83" s="525"/>
      <c r="Y83" s="525"/>
      <c r="AA83" s="525"/>
      <c r="AC83" s="525"/>
      <c r="AE83" s="525"/>
      <c r="AG83" s="519"/>
      <c r="AH83" s="475">
        <f>COUNTIF(ParticipationJanvier1[[#This Row],[1]:[31]],Code1)</f>
        <v>0</v>
      </c>
      <c r="AI83" s="518">
        <f>COUNTIF(ParticipationJanvier1[[#This Row],[1]:[31]],code22)</f>
        <v>0</v>
      </c>
      <c r="AJ83" s="473">
        <f>COUNTIF(ParticipationJanvier1[[#This Row],[1]:[31]],Code2)</f>
        <v>0</v>
      </c>
      <c r="AK83" s="520">
        <f>COUNTIF(ParticipationJanvier1[[#This Row],[1]:[31]],Code3)</f>
        <v>0</v>
      </c>
      <c r="AL83" s="473">
        <f>COUNTIF(ParticipationJanvier1[[#This Row],[1]:[31]],Code4)</f>
        <v>0</v>
      </c>
      <c r="AM83" s="520">
        <f>COUNTIF(ParticipationJanvier1[[#This Row],[1]:[31]],Code5)</f>
        <v>0</v>
      </c>
      <c r="AN83" s="30">
        <f>COUNTIF(ParticipationJanvier1[[#This Row],[1]:[31]],Code23)</f>
        <v>0</v>
      </c>
      <c r="AO83" s="473">
        <f>COUNTIF(ParticipationJanvier1[[#This Row],[1]:[31]],Code6)</f>
        <v>0</v>
      </c>
      <c r="AP83" s="30">
        <f>COUNTIF(ParticipationJanvier1[[#This Row],[1]:[31]],Code7)</f>
        <v>0</v>
      </c>
      <c r="AQ83" s="30">
        <f>COUNTIF(ParticipationJanvier1[[#This Row],[1]:[31]],Code8)</f>
        <v>0</v>
      </c>
      <c r="AR83" s="30">
        <f>COUNTIF(ParticipationJanvier1[[#This Row],[1]:[31]],Code9)</f>
        <v>0</v>
      </c>
      <c r="AS83" s="473">
        <f>COUNTIF(ParticipationJanvier1[[#This Row],[1]:[31]],Code10)</f>
        <v>0</v>
      </c>
      <c r="AT83" s="473">
        <f>COUNTIF(ParticipationJanvier1[[#This Row],[1]:[31]],Code11)</f>
        <v>0</v>
      </c>
      <c r="AU83" s="473">
        <f>COUNTIF(ParticipationJanvier1[[#This Row],[1]:[31]],Code12)</f>
        <v>0</v>
      </c>
      <c r="AV83" s="473">
        <f>COUNTIF(ParticipationJanvier1[[#This Row],[1]:[31]],Code13)</f>
        <v>0</v>
      </c>
      <c r="AW83" s="473">
        <f>COUNTIF(ParticipationJanvier1[[#This Row],[1]:[31]],Code14)</f>
        <v>0</v>
      </c>
      <c r="AX83" s="473">
        <f>COUNTIF(ParticipationJanvier1[[#This Row],[1]:[31]],Code15)</f>
        <v>0</v>
      </c>
      <c r="AY83" s="473">
        <f>COUNTIF(ParticipationJanvier1[[#This Row],[1]:[31]],Code16)</f>
        <v>0</v>
      </c>
      <c r="AZ83" s="473">
        <f>COUNTIF(ParticipationJanvier1[[#This Row],[1]:[31]],Code17)</f>
        <v>0</v>
      </c>
      <c r="BA83" s="475">
        <f>COUNTIF(ParticipationJanvier1[[#This Row],[1]:[31]],Code25)</f>
        <v>0</v>
      </c>
      <c r="BB83" s="475">
        <f>COUNTIF(ParticipationJanvier1[[#This Row],[1]:[31]],Code26)</f>
        <v>0</v>
      </c>
      <c r="BC83" s="475">
        <f>COUNTIF(ParticipationJanvier1[[#This Row],[1]:[31]],Code27)</f>
        <v>0</v>
      </c>
      <c r="BD83" s="475">
        <f>COUNTIF(ParticipationJanvier1[[#This Row],[1]:[31]],Code28)</f>
        <v>0</v>
      </c>
      <c r="BE83" s="475">
        <f>COUNTIF(ParticipationJanvier1[[#This Row],[1]:[31]],code30)</f>
        <v>0</v>
      </c>
      <c r="BF83" s="475">
        <f>COUNTIF(ParticipationJanvier1[[#This Row],[1]:[31]],Code31)</f>
        <v>0</v>
      </c>
      <c r="BG83" s="473">
        <f>COUNTIF(ParticipationJanvier1[[#This Row],[1]:[31]],code21)</f>
        <v>0</v>
      </c>
      <c r="BH83" s="473">
        <f>COUNTIF(ParticipationJanvier1[[#This Row],[1]:[31]],Code24)</f>
        <v>0</v>
      </c>
      <c r="BI83" s="473">
        <f>COUNTIF(ParticipationJanvier1[[#This Row],[1]:[31]],code18)</f>
        <v>0</v>
      </c>
      <c r="BJ83" s="473">
        <f>COUNTIF(ParticipationJanvier1[[#This Row],[1]:[31]],code19)</f>
        <v>0</v>
      </c>
      <c r="BK83" s="473">
        <f>COUNTIF(ParticipationJanvier1[[#This Row],[1]:[31]],code20)</f>
        <v>0</v>
      </c>
      <c r="BL83" s="476">
        <f>COUNTIF(ParticipationJanvier1[[#This Row],[1]:[31]],code29)</f>
        <v>0</v>
      </c>
      <c r="BM83" s="472">
        <f>SUM((AH83*1)+(AI87*1.5)+(AJ83*2)+(AK83*3)+(AL83*4)+(AQ83*5)+(AR83*6)+(AS83*7)+(AW83*2)+(AX83*3)+(AY83*4)+(AZ83*5)+(BG83*2))</f>
        <v>0</v>
      </c>
      <c r="BN83" s="472"/>
      <c r="BO83" s="472"/>
      <c r="BP83" s="472"/>
      <c r="BQ83" s="472"/>
      <c r="BR83" s="473"/>
      <c r="BS83" s="473"/>
      <c r="BT83" s="472"/>
      <c r="BU83" s="472"/>
      <c r="BV83" s="472"/>
      <c r="BW83" s="472"/>
      <c r="BX83" s="472"/>
      <c r="BY83" s="472"/>
      <c r="BZ83" s="472"/>
      <c r="CA83" s="472"/>
      <c r="CB83" s="472"/>
      <c r="CC83" s="472"/>
      <c r="CD83" s="472"/>
      <c r="CE83" s="472"/>
      <c r="CF83" s="472"/>
      <c r="CG83" s="472"/>
      <c r="CH83" s="472"/>
      <c r="CI83" s="472"/>
      <c r="CJ83" s="472"/>
      <c r="CK83" s="472"/>
      <c r="CL83" s="472"/>
      <c r="CM83" s="472"/>
      <c r="CN83" s="472"/>
      <c r="CO83" s="472"/>
      <c r="CP83" s="472"/>
      <c r="CQ83" s="472"/>
      <c r="CR83" s="472"/>
      <c r="CS83" s="472"/>
      <c r="CT83" s="472"/>
      <c r="CU83" s="516">
        <f>SUM((AN83*1)+(AM83*2)+(AO83*3)+(AP83*4)+(AT83*5)+(AU83*7)+(AV83*7)+(AW83*7)+(AX83*4)+(AY83*3)+(BA83*2)+(BC83*4)+(BB83*1)+(BG83*2)+(AZ83*5)+(BD83*1))</f>
        <v>0</v>
      </c>
      <c r="CV83" s="521">
        <f>SUM((AH83*1)+(AI83*1.5)+(AJ83*2)+(AK83*3)+(AP83*5)+(AQ83*6)+(AR83*7)+(AU83*2)+(AX83*3)+(AY83*4)+(BA83*5)+(BB83*3)+(BC83*2)+(BG83*2)+(AZ83*2)+(BD83*2))</f>
        <v>0</v>
      </c>
      <c r="CW83" s="522">
        <f>SUM((AN83*1)+(AM83*2)+(AO83*3)+(AP83*4)+(AT83*5)+(AU83*7)+(AV83*7)+(AW83*7)+(AX83*4)+(AY83*3)+(BA83*2)+(BC83*4)+(BB83*1)+(BG83*2)+(AZ83*5)+(BD83*1))</f>
        <v>0</v>
      </c>
      <c r="CX83" s="523">
        <f>BH83*1</f>
        <v>0</v>
      </c>
      <c r="CY83" s="512"/>
    </row>
    <row r="84" spans="1:103">
      <c r="A84" s="534" t="s">
        <v>425</v>
      </c>
      <c r="B84" s="372" t="str">
        <f>IFERROR(VLOOKUP(ParticipationJanvier1[[#This Row],[Référence]],ListeÉtudiants1[],18,FALSE),"")</f>
        <v>KONATE FATOUMATA</v>
      </c>
      <c r="G84" s="525"/>
      <c r="I84" s="525"/>
      <c r="K84" s="525"/>
      <c r="M84" s="525"/>
      <c r="N84" s="19"/>
      <c r="O84" s="518"/>
      <c r="P84" s="19"/>
      <c r="Q84" s="518"/>
      <c r="R84" s="19"/>
      <c r="S84" s="518"/>
      <c r="T84" s="19"/>
      <c r="U84" s="525"/>
      <c r="W84" s="525"/>
      <c r="Y84" s="525"/>
      <c r="AA84" s="525"/>
      <c r="AC84" s="525"/>
      <c r="AE84" s="525"/>
      <c r="AG84" s="519"/>
      <c r="AH84" s="475">
        <f>COUNTIF(ParticipationJanvier1[[#This Row],[1]:[31]],Code1)</f>
        <v>0</v>
      </c>
      <c r="AI84" s="518">
        <f>COUNTIF(ParticipationJanvier1[[#This Row],[1]:[31]],code22)</f>
        <v>0</v>
      </c>
      <c r="AJ84" s="473">
        <f>COUNTIF(ParticipationJanvier1[[#This Row],[1]:[31]],Code2)</f>
        <v>0</v>
      </c>
      <c r="AK84" s="520">
        <f>COUNTIF(ParticipationJanvier1[[#This Row],[1]:[31]],Code3)</f>
        <v>0</v>
      </c>
      <c r="AL84" s="473">
        <f>COUNTIF(ParticipationJanvier1[[#This Row],[1]:[31]],Code4)</f>
        <v>0</v>
      </c>
      <c r="AM84" s="520">
        <f>COUNTIF(ParticipationJanvier1[[#This Row],[1]:[31]],Code5)</f>
        <v>0</v>
      </c>
      <c r="AN84" s="30">
        <f>COUNTIF(ParticipationJanvier1[[#This Row],[1]:[31]],Code23)</f>
        <v>0</v>
      </c>
      <c r="AO84" s="473">
        <f>COUNTIF(ParticipationJanvier1[[#This Row],[1]:[31]],Code6)</f>
        <v>0</v>
      </c>
      <c r="AP84" s="30">
        <f>COUNTIF(ParticipationJanvier1[[#This Row],[1]:[31]],Code7)</f>
        <v>0</v>
      </c>
      <c r="AQ84" s="30">
        <f>COUNTIF(ParticipationJanvier1[[#This Row],[1]:[31]],Code8)</f>
        <v>0</v>
      </c>
      <c r="AR84" s="30">
        <f>COUNTIF(ParticipationJanvier1[[#This Row],[1]:[31]],Code9)</f>
        <v>0</v>
      </c>
      <c r="AS84" s="473">
        <f>COUNTIF(ParticipationJanvier1[[#This Row],[1]:[31]],Code10)</f>
        <v>0</v>
      </c>
      <c r="AT84" s="473">
        <f>COUNTIF(ParticipationJanvier1[[#This Row],[1]:[31]],Code11)</f>
        <v>0</v>
      </c>
      <c r="AU84" s="473">
        <f>COUNTIF(ParticipationJanvier1[[#This Row],[1]:[31]],Code12)</f>
        <v>0</v>
      </c>
      <c r="AV84" s="473">
        <f>COUNTIF(ParticipationJanvier1[[#This Row],[1]:[31]],Code13)</f>
        <v>0</v>
      </c>
      <c r="AW84" s="473">
        <f>COUNTIF(ParticipationJanvier1[[#This Row],[1]:[31]],Code14)</f>
        <v>0</v>
      </c>
      <c r="AX84" s="473">
        <f>COUNTIF(ParticipationJanvier1[[#This Row],[1]:[31]],Code15)</f>
        <v>0</v>
      </c>
      <c r="AY84" s="473">
        <f>COUNTIF(ParticipationJanvier1[[#This Row],[1]:[31]],Code16)</f>
        <v>0</v>
      </c>
      <c r="AZ84" s="473">
        <f>COUNTIF(ParticipationJanvier1[[#This Row],[1]:[31]],Code17)</f>
        <v>0</v>
      </c>
      <c r="BA84" s="475">
        <f>COUNTIF(ParticipationJanvier1[[#This Row],[1]:[31]],Code25)</f>
        <v>0</v>
      </c>
      <c r="BB84" s="475">
        <f>COUNTIF(ParticipationJanvier1[[#This Row],[1]:[31]],Code26)</f>
        <v>0</v>
      </c>
      <c r="BC84" s="475">
        <f>COUNTIF(ParticipationJanvier1[[#This Row],[1]:[31]],Code27)</f>
        <v>0</v>
      </c>
      <c r="BD84" s="475">
        <f>COUNTIF(ParticipationJanvier1[[#This Row],[1]:[31]],Code28)</f>
        <v>0</v>
      </c>
      <c r="BE84" s="475">
        <f>COUNTIF(ParticipationJanvier1[[#This Row],[1]:[31]],code30)</f>
        <v>0</v>
      </c>
      <c r="BF84" s="475">
        <f>COUNTIF(ParticipationJanvier1[[#This Row],[1]:[31]],Code31)</f>
        <v>0</v>
      </c>
      <c r="BG84" s="473">
        <f>COUNTIF(ParticipationJanvier1[[#This Row],[1]:[31]],code21)</f>
        <v>0</v>
      </c>
      <c r="BH84" s="473">
        <f>COUNTIF(ParticipationJanvier1[[#This Row],[1]:[31]],Code24)</f>
        <v>0</v>
      </c>
      <c r="BI84" s="473">
        <f>COUNTIF(ParticipationJanvier1[[#This Row],[1]:[31]],code18)</f>
        <v>0</v>
      </c>
      <c r="BJ84" s="473">
        <f>COUNTIF(ParticipationJanvier1[[#This Row],[1]:[31]],code19)</f>
        <v>0</v>
      </c>
      <c r="BK84" s="473">
        <f>COUNTIF(ParticipationJanvier1[[#This Row],[1]:[31]],code20)</f>
        <v>0</v>
      </c>
      <c r="BL84" s="476">
        <f>COUNTIF(ParticipationJanvier1[[#This Row],[1]:[31]],code29)</f>
        <v>0</v>
      </c>
      <c r="BM84" s="472">
        <f>SUM((AH84*1)+(AI89*1.5)+(AJ84*2)+(AK84*3)+(AL84*4)+(AQ84*5)+(AR84*6)+(AS84*7)+(AW84*2)+(AX84*3)+(AY84*4)+(AZ84*5)+(BG84*2))</f>
        <v>0</v>
      </c>
      <c r="BN84" s="472"/>
      <c r="BO84" s="472"/>
      <c r="BP84" s="472"/>
      <c r="BQ84" s="472"/>
      <c r="BR84" s="473"/>
      <c r="BS84" s="473"/>
      <c r="BT84" s="472"/>
      <c r="BU84" s="472"/>
      <c r="BV84" s="472"/>
      <c r="BW84" s="472"/>
      <c r="BX84" s="472"/>
      <c r="BY84" s="472"/>
      <c r="BZ84" s="472"/>
      <c r="CA84" s="472"/>
      <c r="CB84" s="472"/>
      <c r="CC84" s="472"/>
      <c r="CD84" s="472"/>
      <c r="CE84" s="472"/>
      <c r="CF84" s="472"/>
      <c r="CG84" s="472"/>
      <c r="CH84" s="472"/>
      <c r="CI84" s="472"/>
      <c r="CJ84" s="472"/>
      <c r="CK84" s="472"/>
      <c r="CL84" s="472"/>
      <c r="CM84" s="472"/>
      <c r="CN84" s="472"/>
      <c r="CO84" s="472"/>
      <c r="CP84" s="472"/>
      <c r="CQ84" s="472"/>
      <c r="CR84" s="472"/>
      <c r="CS84" s="472"/>
      <c r="CT84" s="472"/>
      <c r="CU84" s="516">
        <f>SUM((AN84*1)+(AM84*2)+(AO84*3)+(AP84*4)+(AT84*5)+(AU84*7)+(AV84*7)+(AW84*7)+(AX84*4)+(AY84*3)+(BA84*2)+(BC84*4)+(BB84*1)+(BG84*2)+(AZ84*5)+(BD84*1))</f>
        <v>0</v>
      </c>
      <c r="CV84" s="521">
        <f>SUM((AH84*1)+(AI84*1.5)+(AJ84*2)+(AK84*3)+(AP84*5)+(AQ84*6)+(AR84*7)+(AU84*2)+(AX84*3)+(AY84*4)+(BA84*5)+(BB84*3)+(BC84*2)+(BG84*2)+(AZ84*2)+(BD84*2))</f>
        <v>0</v>
      </c>
      <c r="CW84" s="522">
        <f>SUM((AN84*1)+(AM84*2)+(AO84*3)+(AP84*4)+(AT84*5)+(AU84*7)+(AV84*7)+(AW84*7)+(AX84*4)+(AY84*3)+(BA84*2)+(BC84*4)+(BB84*1)+(BG84*2)+(AZ84*5)+(BD84*1))</f>
        <v>0</v>
      </c>
      <c r="CX84" s="523">
        <f>BH84*1</f>
        <v>0</v>
      </c>
      <c r="CY84" s="512"/>
    </row>
    <row r="85" spans="1:103">
      <c r="A85" s="510" t="s">
        <v>426</v>
      </c>
      <c r="B85" s="372" t="str">
        <f>IFERROR(VLOOKUP(ParticipationJanvier1[[#This Row],[Référence]],ListeÉtudiants1[],18,FALSE),"")</f>
        <v>KRIR DINA</v>
      </c>
      <c r="G85" s="525"/>
      <c r="I85" s="525"/>
      <c r="K85" s="525"/>
      <c r="M85" s="525"/>
      <c r="N85" s="19"/>
      <c r="O85" s="518"/>
      <c r="P85" s="19"/>
      <c r="Q85" s="518"/>
      <c r="R85" s="19"/>
      <c r="S85" s="518"/>
      <c r="T85" s="19"/>
      <c r="U85" s="525"/>
      <c r="W85" s="525"/>
      <c r="Y85" s="525"/>
      <c r="AA85" s="525"/>
      <c r="AC85" s="525"/>
      <c r="AE85" s="525"/>
      <c r="AG85" s="519"/>
      <c r="AH85" s="475">
        <f>COUNTIF(ParticipationJanvier1[[#This Row],[1]:[31]],Code1)</f>
        <v>0</v>
      </c>
      <c r="AI85" s="518">
        <f>COUNTIF(ParticipationJanvier1[[#This Row],[1]:[31]],code22)</f>
        <v>0</v>
      </c>
      <c r="AJ85" s="473">
        <f>COUNTIF(ParticipationJanvier1[[#This Row],[1]:[31]],Code2)</f>
        <v>0</v>
      </c>
      <c r="AK85" s="520">
        <f>COUNTIF(ParticipationJanvier1[[#This Row],[1]:[31]],Code3)</f>
        <v>0</v>
      </c>
      <c r="AL85" s="473">
        <f>COUNTIF(ParticipationJanvier1[[#This Row],[1]:[31]],Code4)</f>
        <v>0</v>
      </c>
      <c r="AM85" s="520">
        <f>COUNTIF(ParticipationJanvier1[[#This Row],[1]:[31]],Code5)</f>
        <v>0</v>
      </c>
      <c r="AN85" s="30">
        <f>COUNTIF(ParticipationJanvier1[[#This Row],[1]:[31]],Code23)</f>
        <v>0</v>
      </c>
      <c r="AO85" s="473">
        <f>COUNTIF(ParticipationJanvier1[[#This Row],[1]:[31]],Code6)</f>
        <v>0</v>
      </c>
      <c r="AP85" s="30">
        <f>COUNTIF(ParticipationJanvier1[[#This Row],[1]:[31]],Code7)</f>
        <v>0</v>
      </c>
      <c r="AQ85" s="30">
        <f>COUNTIF(ParticipationJanvier1[[#This Row],[1]:[31]],Code8)</f>
        <v>0</v>
      </c>
      <c r="AR85" s="30">
        <f>COUNTIF(ParticipationJanvier1[[#This Row],[1]:[31]],Code9)</f>
        <v>0</v>
      </c>
      <c r="AS85" s="473">
        <f>COUNTIF(ParticipationJanvier1[[#This Row],[1]:[31]],Code10)</f>
        <v>0</v>
      </c>
      <c r="AT85" s="473">
        <f>COUNTIF(ParticipationJanvier1[[#This Row],[1]:[31]],Code11)</f>
        <v>0</v>
      </c>
      <c r="AU85" s="473">
        <f>COUNTIF(ParticipationJanvier1[[#This Row],[1]:[31]],Code12)</f>
        <v>0</v>
      </c>
      <c r="AV85" s="473">
        <f>COUNTIF(ParticipationJanvier1[[#This Row],[1]:[31]],Code13)</f>
        <v>0</v>
      </c>
      <c r="AW85" s="473">
        <f>COUNTIF(ParticipationJanvier1[[#This Row],[1]:[31]],Code14)</f>
        <v>0</v>
      </c>
      <c r="AX85" s="473">
        <f>COUNTIF(ParticipationJanvier1[[#This Row],[1]:[31]],Code15)</f>
        <v>0</v>
      </c>
      <c r="AY85" s="473">
        <f>COUNTIF(ParticipationJanvier1[[#This Row],[1]:[31]],Code16)</f>
        <v>0</v>
      </c>
      <c r="AZ85" s="473">
        <f>COUNTIF(ParticipationJanvier1[[#This Row],[1]:[31]],Code17)</f>
        <v>0</v>
      </c>
      <c r="BA85" s="475">
        <f>COUNTIF(ParticipationJanvier1[[#This Row],[1]:[31]],Code25)</f>
        <v>0</v>
      </c>
      <c r="BB85" s="475">
        <f>COUNTIF(ParticipationJanvier1[[#This Row],[1]:[31]],Code26)</f>
        <v>0</v>
      </c>
      <c r="BC85" s="475">
        <f>COUNTIF(ParticipationJanvier1[[#This Row],[1]:[31]],Code27)</f>
        <v>0</v>
      </c>
      <c r="BD85" s="475">
        <f>COUNTIF(ParticipationJanvier1[[#This Row],[1]:[31]],Code28)</f>
        <v>0</v>
      </c>
      <c r="BE85" s="475">
        <f>COUNTIF(ParticipationJanvier1[[#This Row],[1]:[31]],code30)</f>
        <v>0</v>
      </c>
      <c r="BF85" s="475">
        <f>COUNTIF(ParticipationJanvier1[[#This Row],[1]:[31]],Code31)</f>
        <v>0</v>
      </c>
      <c r="BG85" s="473">
        <f>COUNTIF(ParticipationJanvier1[[#This Row],[1]:[31]],code21)</f>
        <v>0</v>
      </c>
      <c r="BH85" s="473">
        <f>COUNTIF(ParticipationJanvier1[[#This Row],[1]:[31]],Code24)</f>
        <v>0</v>
      </c>
      <c r="BI85" s="473">
        <f>COUNTIF(ParticipationJanvier1[[#This Row],[1]:[31]],code18)</f>
        <v>0</v>
      </c>
      <c r="BJ85" s="473">
        <f>COUNTIF(ParticipationJanvier1[[#This Row],[1]:[31]],code19)</f>
        <v>0</v>
      </c>
      <c r="BK85" s="473">
        <f>COUNTIF(ParticipationJanvier1[[#This Row],[1]:[31]],code20)</f>
        <v>0</v>
      </c>
      <c r="BL85" s="476">
        <f>COUNTIF(ParticipationJanvier1[[#This Row],[1]:[31]],code29)</f>
        <v>0</v>
      </c>
      <c r="BM85" s="472">
        <f>SUM((AH85*1)+(AI90*1.5)+(AJ85*2)+(AK85*3)+(AL85*4)+(AQ85*5)+(AR85*6)+(AS85*7)+(AW85*2)+(AX85*3)+(AY85*4)+(AZ85*5)+(BG85*2))</f>
        <v>0</v>
      </c>
      <c r="BN85" s="472"/>
      <c r="BO85" s="472"/>
      <c r="BP85" s="472"/>
      <c r="BQ85" s="472"/>
      <c r="BR85" s="473"/>
      <c r="BS85" s="472"/>
      <c r="BT85" s="472"/>
      <c r="BU85" s="472"/>
      <c r="BV85" s="472"/>
      <c r="BW85" s="472"/>
      <c r="BX85" s="472"/>
      <c r="BY85" s="472"/>
      <c r="BZ85" s="472"/>
      <c r="CA85" s="472"/>
      <c r="CB85" s="472"/>
      <c r="CC85" s="472"/>
      <c r="CD85" s="472"/>
      <c r="CE85" s="472"/>
      <c r="CF85" s="472"/>
      <c r="CG85" s="472"/>
      <c r="CH85" s="472"/>
      <c r="CI85" s="472"/>
      <c r="CJ85" s="472"/>
      <c r="CK85" s="472"/>
      <c r="CL85" s="472"/>
      <c r="CM85" s="472"/>
      <c r="CN85" s="472"/>
      <c r="CO85" s="472"/>
      <c r="CP85" s="472"/>
      <c r="CQ85" s="472"/>
      <c r="CR85" s="472"/>
      <c r="CS85" s="472"/>
      <c r="CT85" s="472"/>
      <c r="CU85" s="516">
        <f>SUM((AN85*1)+(AM85*2)+(AO85*3)+(AP85*4)+(AT85*5)+(AU85*7)+(AV85*7)+(AW85*7)+(AX85*4)+(AY85*3)+(BA85*2)+(BC85*4)+(BB85*1)+(BG85*2)+(AZ85*5)+(BD85*1))</f>
        <v>0</v>
      </c>
      <c r="CV85" s="521">
        <f>SUM((AH85*1)+(AI85*1.5)+(AJ85*2)+(AK85*3)+(AP85*5)+(AQ85*6)+(AR85*7)+(AU85*2)+(AX85*3)+(AY85*4)+(BA85*5)+(BB85*3)+(BC85*2)+(BG85*2)+(AZ85*2)+(BD85*2))</f>
        <v>0</v>
      </c>
      <c r="CW85" s="522">
        <f>SUM((AN85*1)+(AM85*2)+(AO85*3)+(AP85*4)+(AT85*5)+(AU85*7)+(AV85*7)+(AW85*7)+(AX85*4)+(AY85*3)+(BA85*2)+(BC85*4)+(BB85*1)+(BG85*2)+(AZ85*5)+(BD85*1))</f>
        <v>0</v>
      </c>
      <c r="CX85" s="523">
        <f>BH85*1</f>
        <v>0</v>
      </c>
      <c r="CY85" s="512"/>
    </row>
    <row r="86" spans="1:103">
      <c r="A86" s="510" t="s">
        <v>427</v>
      </c>
      <c r="B86" s="372" t="s">
        <v>643</v>
      </c>
      <c r="G86" s="291"/>
      <c r="I86" s="291"/>
      <c r="K86" s="291"/>
      <c r="M86" s="291"/>
      <c r="N86" s="19"/>
      <c r="O86" s="19"/>
      <c r="P86" s="19"/>
      <c r="Q86" s="19"/>
      <c r="R86" s="19"/>
      <c r="S86" s="19"/>
      <c r="T86" s="19" t="s">
        <v>106</v>
      </c>
      <c r="U86" s="291"/>
      <c r="W86" s="291"/>
      <c r="Y86" s="291"/>
      <c r="AA86" s="291"/>
      <c r="AC86" s="291"/>
      <c r="AE86" s="291"/>
      <c r="AG86" s="326"/>
      <c r="AH86" s="6">
        <f>COUNTIF(ParticipationJanvier1[[#This Row],[1]:[31]],Code1)</f>
        <v>0</v>
      </c>
      <c r="AI86" s="6">
        <f>COUNTIF(ParticipationJanvier1[[#This Row],[1]:[31]],code22)</f>
        <v>0</v>
      </c>
      <c r="AJ86" s="6">
        <f>COUNTIF(ParticipationJanvier1[[#This Row],[1]:[31]],Code2)</f>
        <v>0</v>
      </c>
      <c r="AK86" s="6">
        <f>COUNTIF(ParticipationJanvier1[[#This Row],[1]:[31]],Code3)</f>
        <v>1</v>
      </c>
      <c r="AL86" s="6">
        <f>COUNTIF(ParticipationJanvier1[[#This Row],[1]:[31]],Code4)</f>
        <v>0</v>
      </c>
      <c r="AM86" s="6">
        <f>COUNTIF(ParticipationJanvier1[[#This Row],[1]:[31]],Code5)</f>
        <v>0</v>
      </c>
      <c r="AN86" s="6">
        <f>COUNTIF(ParticipationJanvier1[[#This Row],[1]:[31]],Code23)</f>
        <v>0</v>
      </c>
      <c r="AO86" s="6">
        <f>COUNTIF(ParticipationJanvier1[[#This Row],[1]:[31]],Code6)</f>
        <v>0</v>
      </c>
      <c r="AP86" s="6">
        <f>COUNTIF(ParticipationJanvier1[[#This Row],[1]:[31]],Code7)</f>
        <v>0</v>
      </c>
      <c r="AQ86" s="6">
        <f>COUNTIF(ParticipationJanvier1[[#This Row],[1]:[31]],Code8)</f>
        <v>0</v>
      </c>
      <c r="AR86" s="6">
        <f>COUNTIF(ParticipationJanvier1[[#This Row],[1]:[31]],Code9)</f>
        <v>0</v>
      </c>
      <c r="AS86" s="6">
        <f>COUNTIF(ParticipationJanvier1[[#This Row],[1]:[31]],Code10)</f>
        <v>0</v>
      </c>
      <c r="AT86" s="6">
        <f>COUNTIF(ParticipationJanvier1[[#This Row],[1]:[31]],Code11)</f>
        <v>0</v>
      </c>
      <c r="AU86" s="6">
        <f>COUNTIF(ParticipationJanvier1[[#This Row],[1]:[31]],Code12)</f>
        <v>0</v>
      </c>
      <c r="AV86" s="6">
        <f>COUNTIF(ParticipationJanvier1[[#This Row],[1]:[31]],Code13)</f>
        <v>0</v>
      </c>
      <c r="AW86" s="6">
        <f>COUNTIF(ParticipationJanvier1[[#This Row],[1]:[31]],Code14)</f>
        <v>0</v>
      </c>
      <c r="AX86" s="6">
        <f>COUNTIF(ParticipationJanvier1[[#This Row],[1]:[31]],Code15)</f>
        <v>0</v>
      </c>
      <c r="AY86" s="6">
        <f>COUNTIF(ParticipationJanvier1[[#This Row],[1]:[31]],Code16)</f>
        <v>0</v>
      </c>
      <c r="AZ86" s="6">
        <f>COUNTIF(ParticipationJanvier1[[#This Row],[1]:[31]],Code17)</f>
        <v>0</v>
      </c>
      <c r="BA86" s="6">
        <f>COUNTIF(ParticipationJanvier1[[#This Row],[1]:[31]],Code25)</f>
        <v>0</v>
      </c>
      <c r="BB86" s="6">
        <f>COUNTIF(ParticipationJanvier1[[#This Row],[1]:[31]],Code26)</f>
        <v>0</v>
      </c>
      <c r="BC86" s="6">
        <f>COUNTIF(ParticipationJanvier1[[#This Row],[1]:[31]],Code27)</f>
        <v>0</v>
      </c>
      <c r="BD86" s="6">
        <f>COUNTIF(ParticipationJanvier1[[#This Row],[1]:[31]],Code28)</f>
        <v>0</v>
      </c>
      <c r="BE86" s="6">
        <f>COUNTIF(ParticipationJanvier1[[#This Row],[1]:[31]],code30)</f>
        <v>0</v>
      </c>
      <c r="BF86" s="6">
        <f>COUNTIF(ParticipationJanvier1[[#This Row],[1]:[31]],Code31)</f>
        <v>0</v>
      </c>
      <c r="BG86" s="6">
        <f>COUNTIF(ParticipationJanvier1[[#This Row],[1]:[31]],code21)</f>
        <v>0</v>
      </c>
      <c r="BH86" s="6">
        <f>COUNTIF(ParticipationJanvier1[[#This Row],[1]:[31]],Code24)</f>
        <v>0</v>
      </c>
      <c r="BI86" s="6">
        <f>COUNTIF(ParticipationJanvier1[[#This Row],[1]:[31]],code18)</f>
        <v>0</v>
      </c>
      <c r="BJ86" s="6">
        <f>COUNTIF(ParticipationJanvier1[[#This Row],[1]:[31]],code19)</f>
        <v>0</v>
      </c>
      <c r="BK86" s="6">
        <f>COUNTIF(ParticipationJanvier1[[#This Row],[1]:[31]],code20)</f>
        <v>0</v>
      </c>
      <c r="BL86" s="182">
        <f>COUNTIF(ParticipationJanvier1[[#This Row],[1]:[31]],code29)</f>
        <v>0</v>
      </c>
      <c r="BM86" s="297"/>
      <c r="BN86" s="297"/>
      <c r="BO86" s="297"/>
      <c r="BP86" s="297"/>
      <c r="BQ86" s="297"/>
      <c r="BR86" s="307"/>
      <c r="BS86" s="297"/>
      <c r="BT86" s="297"/>
      <c r="BU86" s="297"/>
      <c r="BV86" s="297"/>
      <c r="BW86" s="297"/>
      <c r="BX86" s="297"/>
      <c r="BY86" s="297"/>
      <c r="BZ86" s="297"/>
      <c r="CA86" s="297"/>
      <c r="CB86" s="297"/>
      <c r="CC86" s="297"/>
      <c r="CD86" s="297"/>
      <c r="CE86" s="297"/>
      <c r="CF86" s="297"/>
      <c r="CG86" s="297"/>
      <c r="CH86" s="297"/>
      <c r="CI86" s="297"/>
      <c r="CJ86" s="297">
        <v>1</v>
      </c>
      <c r="CK86" s="297"/>
      <c r="CL86" s="297"/>
      <c r="CM86" s="297"/>
      <c r="CN86" s="297"/>
      <c r="CO86" s="297"/>
      <c r="CP86" s="297"/>
      <c r="CQ86" s="297"/>
      <c r="CR86" s="297"/>
      <c r="CS86" s="297"/>
      <c r="CT86" s="297"/>
      <c r="CU86" s="300"/>
      <c r="CV86" s="165">
        <f t="shared" si="0"/>
        <v>3</v>
      </c>
      <c r="CW86" s="165">
        <f t="shared" si="4"/>
        <v>0</v>
      </c>
      <c r="CX86" s="249">
        <f t="shared" si="2"/>
        <v>0</v>
      </c>
      <c r="CY86" s="170"/>
    </row>
    <row r="87" spans="1:103">
      <c r="A87" s="534" t="s">
        <v>428</v>
      </c>
      <c r="B87" s="372" t="str">
        <f>IFERROR(VLOOKUP(ParticipationJanvier1[[#This Row],[Référence]],ListeÉtudiants1[],18,FALSE),"")</f>
        <v>LADERVAL TATIANA</v>
      </c>
      <c r="G87" s="291"/>
      <c r="I87" s="291"/>
      <c r="K87" s="291"/>
      <c r="M87" s="291"/>
      <c r="N87" s="19"/>
      <c r="O87" s="19"/>
      <c r="P87" s="19"/>
      <c r="Q87" s="19" t="s">
        <v>108</v>
      </c>
      <c r="R87" s="19"/>
      <c r="S87" s="19"/>
      <c r="T87" s="19"/>
      <c r="U87" s="291"/>
      <c r="W87" s="291"/>
      <c r="Y87" s="291"/>
      <c r="AA87" s="291"/>
      <c r="AC87" s="291"/>
      <c r="AE87" s="291"/>
      <c r="AG87" s="326"/>
      <c r="AH87" s="6">
        <f>COUNTIF(ParticipationJanvier1[[#This Row],[1]:[31]],Code1)</f>
        <v>0</v>
      </c>
      <c r="AI87" s="6">
        <f>COUNTIF(ParticipationJanvier1[[#This Row],[1]:[31]],code22)</f>
        <v>0</v>
      </c>
      <c r="AJ87" s="6">
        <f>COUNTIF(ParticipationJanvier1[[#This Row],[1]:[31]],Code2)</f>
        <v>0</v>
      </c>
      <c r="AK87" s="6">
        <f>COUNTIF(ParticipationJanvier1[[#This Row],[1]:[31]],Code3)</f>
        <v>0</v>
      </c>
      <c r="AL87" s="6">
        <f>COUNTIF(ParticipationJanvier1[[#This Row],[1]:[31]],Code4)</f>
        <v>0</v>
      </c>
      <c r="AM87" s="6">
        <f>COUNTIF(ParticipationJanvier1[[#This Row],[1]:[31]],Code5)</f>
        <v>0</v>
      </c>
      <c r="AN87" s="6">
        <f>COUNTIF(ParticipationJanvier1[[#This Row],[1]:[31]],Code23)</f>
        <v>0</v>
      </c>
      <c r="AO87" s="6">
        <f>COUNTIF(ParticipationJanvier1[[#This Row],[1]:[31]],Code6)</f>
        <v>1</v>
      </c>
      <c r="AP87" s="6">
        <f>COUNTIF(ParticipationJanvier1[[#This Row],[1]:[31]],Code7)</f>
        <v>0</v>
      </c>
      <c r="AQ87" s="6">
        <f>COUNTIF(ParticipationJanvier1[[#This Row],[1]:[31]],Code8)</f>
        <v>0</v>
      </c>
      <c r="AR87" s="6">
        <f>COUNTIF(ParticipationJanvier1[[#This Row],[1]:[31]],Code9)</f>
        <v>0</v>
      </c>
      <c r="AS87" s="6">
        <f>COUNTIF(ParticipationJanvier1[[#This Row],[1]:[31]],Code10)</f>
        <v>0</v>
      </c>
      <c r="AT87" s="6">
        <f>COUNTIF(ParticipationJanvier1[[#This Row],[1]:[31]],Code11)</f>
        <v>0</v>
      </c>
      <c r="AU87" s="6">
        <f>COUNTIF(ParticipationJanvier1[[#This Row],[1]:[31]],Code12)</f>
        <v>0</v>
      </c>
      <c r="AV87" s="6">
        <f>COUNTIF(ParticipationJanvier1[[#This Row],[1]:[31]],Code13)</f>
        <v>0</v>
      </c>
      <c r="AW87" s="6">
        <f>COUNTIF(ParticipationJanvier1[[#This Row],[1]:[31]],Code14)</f>
        <v>0</v>
      </c>
      <c r="AX87" s="6">
        <f>COUNTIF(ParticipationJanvier1[[#This Row],[1]:[31]],Code15)</f>
        <v>0</v>
      </c>
      <c r="AY87" s="6">
        <f>COUNTIF(ParticipationJanvier1[[#This Row],[1]:[31]],Code16)</f>
        <v>0</v>
      </c>
      <c r="AZ87" s="6">
        <f>COUNTIF(ParticipationJanvier1[[#This Row],[1]:[31]],Code17)</f>
        <v>0</v>
      </c>
      <c r="BA87" s="6">
        <f>COUNTIF(ParticipationJanvier1[[#This Row],[1]:[31]],Code25)</f>
        <v>0</v>
      </c>
      <c r="BB87" s="6">
        <f>COUNTIF(ParticipationJanvier1[[#This Row],[1]:[31]],Code26)</f>
        <v>0</v>
      </c>
      <c r="BC87" s="6">
        <f>COUNTIF(ParticipationJanvier1[[#This Row],[1]:[31]],Code27)</f>
        <v>0</v>
      </c>
      <c r="BD87" s="6">
        <f>COUNTIF(ParticipationJanvier1[[#This Row],[1]:[31]],Code28)</f>
        <v>0</v>
      </c>
      <c r="BE87" s="6">
        <f>COUNTIF(ParticipationJanvier1[[#This Row],[1]:[31]],code30)</f>
        <v>0</v>
      </c>
      <c r="BF87" s="6">
        <f>COUNTIF(ParticipationJanvier1[[#This Row],[1]:[31]],Code31)</f>
        <v>0</v>
      </c>
      <c r="BG87" s="6">
        <f>COUNTIF(ParticipationJanvier1[[#This Row],[1]:[31]],code21)</f>
        <v>0</v>
      </c>
      <c r="BH87" s="6">
        <f>COUNTIF(ParticipationJanvier1[[#This Row],[1]:[31]],Code24)</f>
        <v>0</v>
      </c>
      <c r="BI87" s="6">
        <f>COUNTIF(ParticipationJanvier1[[#This Row],[1]:[31]],code18)</f>
        <v>0</v>
      </c>
      <c r="BJ87" s="6">
        <f>COUNTIF(ParticipationJanvier1[[#This Row],[1]:[31]],code19)</f>
        <v>0</v>
      </c>
      <c r="BK87" s="6">
        <f>COUNTIF(ParticipationJanvier1[[#This Row],[1]:[31]],code20)</f>
        <v>0</v>
      </c>
      <c r="BL87" s="182">
        <f>COUNTIF(ParticipationJanvier1[[#This Row],[1]:[31]],code29)</f>
        <v>0</v>
      </c>
      <c r="BM87" s="297"/>
      <c r="BN87" s="297"/>
      <c r="BO87" s="297"/>
      <c r="BP87" s="297"/>
      <c r="BQ87" s="297"/>
      <c r="BR87" s="307"/>
      <c r="BS87" s="297"/>
      <c r="BT87" s="297"/>
      <c r="BU87" s="297"/>
      <c r="BV87" s="297"/>
      <c r="BW87" s="297"/>
      <c r="BX87" s="297"/>
      <c r="BY87" s="297"/>
      <c r="BZ87" s="297"/>
      <c r="CA87" s="297"/>
      <c r="CB87" s="297"/>
      <c r="CC87" s="297"/>
      <c r="CD87" s="297"/>
      <c r="CE87" s="297"/>
      <c r="CF87" s="297"/>
      <c r="CG87" s="297"/>
      <c r="CH87" s="297"/>
      <c r="CI87" s="297"/>
      <c r="CJ87" s="297"/>
      <c r="CK87" s="297"/>
      <c r="CL87" s="297"/>
      <c r="CM87" s="297"/>
      <c r="CN87" s="297"/>
      <c r="CO87" s="297"/>
      <c r="CP87" s="297"/>
      <c r="CQ87" s="297"/>
      <c r="CR87" s="297"/>
      <c r="CS87" s="297"/>
      <c r="CT87" s="297"/>
      <c r="CU87" s="300"/>
      <c r="CV87" s="165">
        <f t="shared" si="0"/>
        <v>0</v>
      </c>
      <c r="CW87" s="165">
        <f t="shared" si="4"/>
        <v>3</v>
      </c>
      <c r="CX87" s="249">
        <f t="shared" si="2"/>
        <v>0</v>
      </c>
      <c r="CY87" s="170"/>
    </row>
    <row r="88" spans="1:103">
      <c r="A88" s="510" t="s">
        <v>429</v>
      </c>
      <c r="B88" s="372" t="str">
        <f>IFERROR(VLOOKUP(ParticipationJanvier1[[#This Row],[Référence]],ListeÉtudiants1[],18,FALSE),"")</f>
        <v>LALARDIE EMMANUELLE</v>
      </c>
      <c r="G88" s="525"/>
      <c r="I88" s="525"/>
      <c r="K88" s="525"/>
      <c r="M88" s="525"/>
      <c r="N88" s="19"/>
      <c r="O88" s="518"/>
      <c r="P88" s="19"/>
      <c r="Q88" s="518"/>
      <c r="R88" s="19"/>
      <c r="S88" s="518"/>
      <c r="T88" s="19"/>
      <c r="U88" s="525"/>
      <c r="W88" s="525"/>
      <c r="Y88" s="525"/>
      <c r="AA88" s="525"/>
      <c r="AC88" s="525"/>
      <c r="AE88" s="525"/>
      <c r="AG88" s="519"/>
      <c r="AH88" s="475">
        <f>COUNTIF(ParticipationJanvier1[[#This Row],[1]:[31]],Code1)</f>
        <v>0</v>
      </c>
      <c r="AI88" s="518">
        <f>COUNTIF(ParticipationJanvier1[[#This Row],[1]:[31]],code22)</f>
        <v>0</v>
      </c>
      <c r="AJ88" s="473">
        <f>COUNTIF(ParticipationJanvier1[[#This Row],[1]:[31]],Code2)</f>
        <v>0</v>
      </c>
      <c r="AK88" s="520">
        <f>COUNTIF(ParticipationJanvier1[[#This Row],[1]:[31]],Code3)</f>
        <v>0</v>
      </c>
      <c r="AL88" s="473">
        <f>COUNTIF(ParticipationJanvier1[[#This Row],[1]:[31]],Code4)</f>
        <v>0</v>
      </c>
      <c r="AM88" s="520">
        <f>COUNTIF(ParticipationJanvier1[[#This Row],[1]:[31]],Code5)</f>
        <v>0</v>
      </c>
      <c r="AN88" s="30">
        <f>COUNTIF(ParticipationJanvier1[[#This Row],[1]:[31]],Code23)</f>
        <v>0</v>
      </c>
      <c r="AO88" s="473">
        <f>COUNTIF(ParticipationJanvier1[[#This Row],[1]:[31]],Code6)</f>
        <v>0</v>
      </c>
      <c r="AP88" s="30">
        <f>COUNTIF(ParticipationJanvier1[[#This Row],[1]:[31]],Code7)</f>
        <v>0</v>
      </c>
      <c r="AQ88" s="30">
        <f>COUNTIF(ParticipationJanvier1[[#This Row],[1]:[31]],Code8)</f>
        <v>0</v>
      </c>
      <c r="AR88" s="30">
        <f>COUNTIF(ParticipationJanvier1[[#This Row],[1]:[31]],Code9)</f>
        <v>0</v>
      </c>
      <c r="AS88" s="473">
        <f>COUNTIF(ParticipationJanvier1[[#This Row],[1]:[31]],Code10)</f>
        <v>0</v>
      </c>
      <c r="AT88" s="473">
        <f>COUNTIF(ParticipationJanvier1[[#This Row],[1]:[31]],Code11)</f>
        <v>0</v>
      </c>
      <c r="AU88" s="473">
        <f>COUNTIF(ParticipationJanvier1[[#This Row],[1]:[31]],Code12)</f>
        <v>0</v>
      </c>
      <c r="AV88" s="473">
        <f>COUNTIF(ParticipationJanvier1[[#This Row],[1]:[31]],Code13)</f>
        <v>0</v>
      </c>
      <c r="AW88" s="473">
        <f>COUNTIF(ParticipationJanvier1[[#This Row],[1]:[31]],Code14)</f>
        <v>0</v>
      </c>
      <c r="AX88" s="473">
        <f>COUNTIF(ParticipationJanvier1[[#This Row],[1]:[31]],Code15)</f>
        <v>0</v>
      </c>
      <c r="AY88" s="473">
        <f>COUNTIF(ParticipationJanvier1[[#This Row],[1]:[31]],Code16)</f>
        <v>0</v>
      </c>
      <c r="AZ88" s="473">
        <f>COUNTIF(ParticipationJanvier1[[#This Row],[1]:[31]],Code17)</f>
        <v>0</v>
      </c>
      <c r="BA88" s="475">
        <f>COUNTIF(ParticipationJanvier1[[#This Row],[1]:[31]],Code25)</f>
        <v>0</v>
      </c>
      <c r="BB88" s="475">
        <f>COUNTIF(ParticipationJanvier1[[#This Row],[1]:[31]],Code26)</f>
        <v>0</v>
      </c>
      <c r="BC88" s="475">
        <f>COUNTIF(ParticipationJanvier1[[#This Row],[1]:[31]],Code27)</f>
        <v>0</v>
      </c>
      <c r="BD88" s="475">
        <f>COUNTIF(ParticipationJanvier1[[#This Row],[1]:[31]],Code28)</f>
        <v>0</v>
      </c>
      <c r="BE88" s="475">
        <f>COUNTIF(ParticipationJanvier1[[#This Row],[1]:[31]],code30)</f>
        <v>0</v>
      </c>
      <c r="BF88" s="475">
        <f>COUNTIF(ParticipationJanvier1[[#This Row],[1]:[31]],Code31)</f>
        <v>0</v>
      </c>
      <c r="BG88" s="473">
        <f>COUNTIF(ParticipationJanvier1[[#This Row],[1]:[31]],code21)</f>
        <v>0</v>
      </c>
      <c r="BH88" s="473">
        <f>COUNTIF(ParticipationJanvier1[[#This Row],[1]:[31]],Code24)</f>
        <v>0</v>
      </c>
      <c r="BI88" s="473">
        <f>COUNTIF(ParticipationJanvier1[[#This Row],[1]:[31]],code18)</f>
        <v>0</v>
      </c>
      <c r="BJ88" s="473">
        <f>COUNTIF(ParticipationJanvier1[[#This Row],[1]:[31]],code19)</f>
        <v>0</v>
      </c>
      <c r="BK88" s="473">
        <f>COUNTIF(ParticipationJanvier1[[#This Row],[1]:[31]],code20)</f>
        <v>0</v>
      </c>
      <c r="BL88" s="476">
        <f>COUNTIF(ParticipationJanvier1[[#This Row],[1]:[31]],code29)</f>
        <v>0</v>
      </c>
      <c r="BM88" s="472">
        <f>SUM((AH88*1)+(AI96*1.5)+(AJ88*2)+(AK88*3)+(AL88*4)+(AQ88*5)+(AR88*6)+(AS88*7)+(AW88*2)+(AX88*3)+(AY88*4)+(AZ88*5)+(BG88*2))</f>
        <v>0</v>
      </c>
      <c r="BN88" s="472"/>
      <c r="BO88" s="472"/>
      <c r="BP88" s="472"/>
      <c r="BQ88" s="472"/>
      <c r="BR88" s="473"/>
      <c r="BS88" s="472"/>
      <c r="BT88" s="472"/>
      <c r="BU88" s="472"/>
      <c r="BV88" s="472"/>
      <c r="BW88" s="472"/>
      <c r="BX88" s="472"/>
      <c r="BY88" s="472"/>
      <c r="BZ88" s="472"/>
      <c r="CA88" s="472"/>
      <c r="CB88" s="472"/>
      <c r="CC88" s="472"/>
      <c r="CD88" s="472"/>
      <c r="CE88" s="472"/>
      <c r="CF88" s="472"/>
      <c r="CG88" s="472"/>
      <c r="CH88" s="472"/>
      <c r="CI88" s="472"/>
      <c r="CJ88" s="472"/>
      <c r="CK88" s="472"/>
      <c r="CL88" s="472"/>
      <c r="CM88" s="472"/>
      <c r="CN88" s="472"/>
      <c r="CO88" s="472"/>
      <c r="CP88" s="472"/>
      <c r="CQ88" s="472"/>
      <c r="CR88" s="472"/>
      <c r="CS88" s="472"/>
      <c r="CT88" s="472"/>
      <c r="CU88" s="516">
        <f>SUM((AN88*1)+(AM88*2)+(AO88*3)+(AP88*4)+(AT88*5)+(AU88*7)+(AV88*7)+(AW88*7)+(AX88*4)+(AY88*3)+(BA88*2)+(BC88*4)+(BB88*1)+(BG88*2)+(AZ88*5)+(BD88*1))</f>
        <v>0</v>
      </c>
      <c r="CV88" s="521">
        <f>SUM((AH88*1)+(AI88*1.5)+(AJ88*2)+(AK88*3)+(AP88*5)+(AQ88*6)+(AR88*7)+(AU88*2)+(AX88*3)+(AY88*4)+(BA88*5)+(BB88*3)+(BC88*2)+(BG88*2)+(AZ88*2)+(BD88*2))</f>
        <v>0</v>
      </c>
      <c r="CW88" s="522">
        <f>SUM((AN88*1)+(AM88*2)+(AO88*3)+(AP88*4)+(AT88*5)+(AU88*7)+(AV88*7)+(AW88*7)+(AX88*4)+(AY88*3)+(BA88*2)+(BC88*4)+(BB88*1)+(BG88*2)+(AZ88*5)+(BD88*1))</f>
        <v>0</v>
      </c>
      <c r="CX88" s="523">
        <f>BH88*1</f>
        <v>0</v>
      </c>
      <c r="CY88" s="512"/>
    </row>
    <row r="89" spans="1:103">
      <c r="A89" s="535" t="s">
        <v>430</v>
      </c>
      <c r="B89" s="372" t="str">
        <f>IFERROR(VLOOKUP(ParticipationJanvier1[[#This Row],[Référence]],ListeÉtudiants1[],18,FALSE),"")</f>
        <v/>
      </c>
      <c r="G89" s="291"/>
      <c r="I89" s="291"/>
      <c r="K89" s="291"/>
      <c r="M89" s="291"/>
      <c r="N89" s="19"/>
      <c r="O89" s="19"/>
      <c r="P89" s="19"/>
      <c r="Q89" s="19" t="s">
        <v>108</v>
      </c>
      <c r="R89" s="19"/>
      <c r="S89" s="19"/>
      <c r="T89" s="19"/>
      <c r="U89" s="291"/>
      <c r="W89" s="291"/>
      <c r="Y89" s="291"/>
      <c r="AA89" s="291"/>
      <c r="AC89" s="291"/>
      <c r="AE89" s="291"/>
      <c r="AG89" s="326"/>
      <c r="AH89" s="6">
        <f>COUNTIF(ParticipationJanvier1[[#This Row],[1]:[31]],Code1)</f>
        <v>0</v>
      </c>
      <c r="AI89" s="6">
        <f>COUNTIF(ParticipationJanvier1[[#This Row],[1]:[31]],code22)</f>
        <v>0</v>
      </c>
      <c r="AJ89" s="6">
        <f>COUNTIF(ParticipationJanvier1[[#This Row],[1]:[31]],Code2)</f>
        <v>0</v>
      </c>
      <c r="AK89" s="6">
        <f>COUNTIF(ParticipationJanvier1[[#This Row],[1]:[31]],Code3)</f>
        <v>0</v>
      </c>
      <c r="AL89" s="6">
        <f>COUNTIF(ParticipationJanvier1[[#This Row],[1]:[31]],Code4)</f>
        <v>0</v>
      </c>
      <c r="AM89" s="6">
        <f>COUNTIF(ParticipationJanvier1[[#This Row],[1]:[31]],Code5)</f>
        <v>0</v>
      </c>
      <c r="AN89" s="6">
        <f>COUNTIF(ParticipationJanvier1[[#This Row],[1]:[31]],Code23)</f>
        <v>0</v>
      </c>
      <c r="AO89" s="6">
        <f>COUNTIF(ParticipationJanvier1[[#This Row],[1]:[31]],Code6)</f>
        <v>1</v>
      </c>
      <c r="AP89" s="6">
        <f>COUNTIF(ParticipationJanvier1[[#This Row],[1]:[31]],Code7)</f>
        <v>0</v>
      </c>
      <c r="AQ89" s="6">
        <f>COUNTIF(ParticipationJanvier1[[#This Row],[1]:[31]],Code8)</f>
        <v>0</v>
      </c>
      <c r="AR89" s="6">
        <f>COUNTIF(ParticipationJanvier1[[#This Row],[1]:[31]],Code9)</f>
        <v>0</v>
      </c>
      <c r="AS89" s="6">
        <f>COUNTIF(ParticipationJanvier1[[#This Row],[1]:[31]],Code10)</f>
        <v>0</v>
      </c>
      <c r="AT89" s="6">
        <f>COUNTIF(ParticipationJanvier1[[#This Row],[1]:[31]],Code11)</f>
        <v>0</v>
      </c>
      <c r="AU89" s="6">
        <f>COUNTIF(ParticipationJanvier1[[#This Row],[1]:[31]],Code12)</f>
        <v>0</v>
      </c>
      <c r="AV89" s="6">
        <f>COUNTIF(ParticipationJanvier1[[#This Row],[1]:[31]],Code13)</f>
        <v>0</v>
      </c>
      <c r="AW89" s="6">
        <f>COUNTIF(ParticipationJanvier1[[#This Row],[1]:[31]],Code14)</f>
        <v>0</v>
      </c>
      <c r="AX89" s="6">
        <f>COUNTIF(ParticipationJanvier1[[#This Row],[1]:[31]],Code15)</f>
        <v>0</v>
      </c>
      <c r="AY89" s="6">
        <f>COUNTIF(ParticipationJanvier1[[#This Row],[1]:[31]],Code16)</f>
        <v>0</v>
      </c>
      <c r="AZ89" s="6">
        <f>COUNTIF(ParticipationJanvier1[[#This Row],[1]:[31]],Code17)</f>
        <v>0</v>
      </c>
      <c r="BA89" s="6">
        <f>COUNTIF(ParticipationJanvier1[[#This Row],[1]:[31]],Code25)</f>
        <v>0</v>
      </c>
      <c r="BB89" s="6">
        <f>COUNTIF(ParticipationJanvier1[[#This Row],[1]:[31]],Code26)</f>
        <v>0</v>
      </c>
      <c r="BC89" s="6">
        <f>COUNTIF(ParticipationJanvier1[[#This Row],[1]:[31]],Code27)</f>
        <v>0</v>
      </c>
      <c r="BD89" s="6">
        <f>COUNTIF(ParticipationJanvier1[[#This Row],[1]:[31]],Code28)</f>
        <v>0</v>
      </c>
      <c r="BE89" s="6">
        <f>COUNTIF(ParticipationJanvier1[[#This Row],[1]:[31]],code30)</f>
        <v>0</v>
      </c>
      <c r="BF89" s="6">
        <f>COUNTIF(ParticipationJanvier1[[#This Row],[1]:[31]],Code31)</f>
        <v>0</v>
      </c>
      <c r="BG89" s="6">
        <f>COUNTIF(ParticipationJanvier1[[#This Row],[1]:[31]],code21)</f>
        <v>0</v>
      </c>
      <c r="BH89" s="6">
        <f>COUNTIF(ParticipationJanvier1[[#This Row],[1]:[31]],Code24)</f>
        <v>0</v>
      </c>
      <c r="BI89" s="6">
        <f>COUNTIF(ParticipationJanvier1[[#This Row],[1]:[31]],code18)</f>
        <v>0</v>
      </c>
      <c r="BJ89" s="6">
        <f>COUNTIF(ParticipationJanvier1[[#This Row],[1]:[31]],code19)</f>
        <v>0</v>
      </c>
      <c r="BK89" s="6">
        <f>COUNTIF(ParticipationJanvier1[[#This Row],[1]:[31]],code20)</f>
        <v>0</v>
      </c>
      <c r="BL89" s="182">
        <f>COUNTIF(ParticipationJanvier1[[#This Row],[1]:[31]],code29)</f>
        <v>0</v>
      </c>
      <c r="BM89" s="297"/>
      <c r="BN89" s="297"/>
      <c r="BO89" s="297"/>
      <c r="BP89" s="297"/>
      <c r="BQ89" s="297"/>
      <c r="BR89" s="307"/>
      <c r="BS89" s="297"/>
      <c r="BT89" s="297"/>
      <c r="BU89" s="297"/>
      <c r="BV89" s="297"/>
      <c r="BW89" s="297"/>
      <c r="BX89" s="297"/>
      <c r="BY89" s="297"/>
      <c r="BZ89" s="297"/>
      <c r="CA89" s="297"/>
      <c r="CB89" s="297"/>
      <c r="CC89" s="297"/>
      <c r="CD89" s="297"/>
      <c r="CE89" s="297"/>
      <c r="CF89" s="297"/>
      <c r="CG89" s="297"/>
      <c r="CH89" s="297"/>
      <c r="CI89" s="297"/>
      <c r="CJ89" s="297"/>
      <c r="CK89" s="297"/>
      <c r="CL89" s="297"/>
      <c r="CM89" s="297"/>
      <c r="CN89" s="297"/>
      <c r="CO89" s="297"/>
      <c r="CP89" s="297"/>
      <c r="CQ89" s="297"/>
      <c r="CR89" s="297"/>
      <c r="CS89" s="297"/>
      <c r="CT89" s="297"/>
      <c r="CU89" s="300"/>
      <c r="CV89" s="165">
        <f t="shared" si="0"/>
        <v>0</v>
      </c>
      <c r="CW89" s="165">
        <f t="shared" si="4"/>
        <v>3</v>
      </c>
      <c r="CX89" s="249">
        <f t="shared" si="2"/>
        <v>0</v>
      </c>
      <c r="CY89" s="170"/>
    </row>
    <row r="90" spans="1:103">
      <c r="A90" s="510" t="s">
        <v>431</v>
      </c>
      <c r="B90" s="372" t="str">
        <f>IFERROR(VLOOKUP(ParticipationJanvier1[[#This Row],[Référence]],ListeÉtudiants1[],18,FALSE),"")</f>
        <v>LAMETTE JENNYFER</v>
      </c>
      <c r="G90" s="291"/>
      <c r="I90" s="291"/>
      <c r="K90" s="291"/>
      <c r="M90" s="291"/>
      <c r="N90" s="19"/>
      <c r="O90" s="19"/>
      <c r="P90" s="19"/>
      <c r="Q90" s="19"/>
      <c r="R90" s="19"/>
      <c r="S90" s="19" t="s">
        <v>107</v>
      </c>
      <c r="T90" s="19"/>
      <c r="U90" s="291"/>
      <c r="W90" s="291"/>
      <c r="Y90" s="291"/>
      <c r="AA90" s="291"/>
      <c r="AC90" s="291"/>
      <c r="AE90" s="291"/>
      <c r="AG90" s="326"/>
      <c r="AH90" s="6">
        <f>COUNTIF(ParticipationJanvier1[[#This Row],[1]:[31]],Code1)</f>
        <v>0</v>
      </c>
      <c r="AI90" s="6">
        <f>COUNTIF(ParticipationJanvier1[[#This Row],[1]:[31]],code22)</f>
        <v>0</v>
      </c>
      <c r="AJ90" s="6">
        <f>COUNTIF(ParticipationJanvier1[[#This Row],[1]:[31]],Code2)</f>
        <v>0</v>
      </c>
      <c r="AK90" s="6">
        <f>COUNTIF(ParticipationJanvier1[[#This Row],[1]:[31]],Code3)</f>
        <v>0</v>
      </c>
      <c r="AL90" s="6">
        <f>COUNTIF(ParticipationJanvier1[[#This Row],[1]:[31]],Code4)</f>
        <v>1</v>
      </c>
      <c r="AM90" s="6">
        <f>COUNTIF(ParticipationJanvier1[[#This Row],[1]:[31]],Code5)</f>
        <v>0</v>
      </c>
      <c r="AN90" s="6">
        <f>COUNTIF(ParticipationJanvier1[[#This Row],[1]:[31]],Code23)</f>
        <v>0</v>
      </c>
      <c r="AO90" s="6">
        <f>COUNTIF(ParticipationJanvier1[[#This Row],[1]:[31]],Code6)</f>
        <v>0</v>
      </c>
      <c r="AP90" s="6">
        <f>COUNTIF(ParticipationJanvier1[[#This Row],[1]:[31]],Code7)</f>
        <v>0</v>
      </c>
      <c r="AQ90" s="6">
        <f>COUNTIF(ParticipationJanvier1[[#This Row],[1]:[31]],Code8)</f>
        <v>0</v>
      </c>
      <c r="AR90" s="6">
        <f>COUNTIF(ParticipationJanvier1[[#This Row],[1]:[31]],Code9)</f>
        <v>0</v>
      </c>
      <c r="AS90" s="6">
        <f>COUNTIF(ParticipationJanvier1[[#This Row],[1]:[31]],Code10)</f>
        <v>0</v>
      </c>
      <c r="AT90" s="6">
        <f>COUNTIF(ParticipationJanvier1[[#This Row],[1]:[31]],Code11)</f>
        <v>0</v>
      </c>
      <c r="AU90" s="6">
        <f>COUNTIF(ParticipationJanvier1[[#This Row],[1]:[31]],Code12)</f>
        <v>0</v>
      </c>
      <c r="AV90" s="6">
        <f>COUNTIF(ParticipationJanvier1[[#This Row],[1]:[31]],Code13)</f>
        <v>0</v>
      </c>
      <c r="AW90" s="6">
        <f>COUNTIF(ParticipationJanvier1[[#This Row],[1]:[31]],Code14)</f>
        <v>0</v>
      </c>
      <c r="AX90" s="6">
        <f>COUNTIF(ParticipationJanvier1[[#This Row],[1]:[31]],Code15)</f>
        <v>0</v>
      </c>
      <c r="AY90" s="6">
        <f>COUNTIF(ParticipationJanvier1[[#This Row],[1]:[31]],Code16)</f>
        <v>0</v>
      </c>
      <c r="AZ90" s="6">
        <f>COUNTIF(ParticipationJanvier1[[#This Row],[1]:[31]],Code17)</f>
        <v>0</v>
      </c>
      <c r="BA90" s="6">
        <f>COUNTIF(ParticipationJanvier1[[#This Row],[1]:[31]],Code25)</f>
        <v>0</v>
      </c>
      <c r="BB90" s="6">
        <f>COUNTIF(ParticipationJanvier1[[#This Row],[1]:[31]],Code26)</f>
        <v>0</v>
      </c>
      <c r="BC90" s="6">
        <f>COUNTIF(ParticipationJanvier1[[#This Row],[1]:[31]],Code27)</f>
        <v>0</v>
      </c>
      <c r="BD90" s="6">
        <f>COUNTIF(ParticipationJanvier1[[#This Row],[1]:[31]],Code28)</f>
        <v>0</v>
      </c>
      <c r="BE90" s="6">
        <f>COUNTIF(ParticipationJanvier1[[#This Row],[1]:[31]],code30)</f>
        <v>0</v>
      </c>
      <c r="BF90" s="6">
        <f>COUNTIF(ParticipationJanvier1[[#This Row],[1]:[31]],Code31)</f>
        <v>0</v>
      </c>
      <c r="BG90" s="6">
        <f>COUNTIF(ParticipationJanvier1[[#This Row],[1]:[31]],code21)</f>
        <v>0</v>
      </c>
      <c r="BH90" s="6">
        <f>COUNTIF(ParticipationJanvier1[[#This Row],[1]:[31]],Code24)</f>
        <v>0</v>
      </c>
      <c r="BI90" s="6">
        <f>COUNTIF(ParticipationJanvier1[[#This Row],[1]:[31]],code18)</f>
        <v>0</v>
      </c>
      <c r="BJ90" s="6">
        <f>COUNTIF(ParticipationJanvier1[[#This Row],[1]:[31]],code19)</f>
        <v>0</v>
      </c>
      <c r="BK90" s="6">
        <f>COUNTIF(ParticipationJanvier1[[#This Row],[1]:[31]],code20)</f>
        <v>0</v>
      </c>
      <c r="BL90" s="182">
        <f>COUNTIF(ParticipationJanvier1[[#This Row],[1]:[31]],code29)</f>
        <v>0</v>
      </c>
      <c r="BM90" s="297">
        <v>1</v>
      </c>
      <c r="BN90" s="297"/>
      <c r="BO90" s="297"/>
      <c r="BP90" s="297"/>
      <c r="BQ90" s="297"/>
      <c r="BR90" s="307"/>
      <c r="BS90" s="297"/>
      <c r="BT90" s="297"/>
      <c r="BU90" s="297"/>
      <c r="BV90" s="297"/>
      <c r="BW90" s="297"/>
      <c r="BX90" s="297"/>
      <c r="BY90" s="297"/>
      <c r="BZ90" s="297"/>
      <c r="CA90" s="297"/>
      <c r="CB90" s="297"/>
      <c r="CC90" s="297"/>
      <c r="CD90" s="297"/>
      <c r="CE90" s="297"/>
      <c r="CF90" s="297"/>
      <c r="CG90" s="297"/>
      <c r="CH90" s="297"/>
      <c r="CI90" s="297"/>
      <c r="CJ90" s="297"/>
      <c r="CK90" s="297"/>
      <c r="CL90" s="297"/>
      <c r="CM90" s="297"/>
      <c r="CN90" s="297"/>
      <c r="CO90" s="297"/>
      <c r="CP90" s="297"/>
      <c r="CQ90" s="297"/>
      <c r="CR90" s="297"/>
      <c r="CS90" s="297"/>
      <c r="CT90" s="297"/>
      <c r="CU90" s="300"/>
      <c r="CV90" s="165">
        <f t="shared" si="0"/>
        <v>0</v>
      </c>
      <c r="CW90" s="165">
        <f t="shared" si="4"/>
        <v>0</v>
      </c>
      <c r="CX90" s="249">
        <f t="shared" si="2"/>
        <v>0</v>
      </c>
      <c r="CY90" s="170"/>
    </row>
    <row r="91" spans="1:103">
      <c r="A91" s="534" t="s">
        <v>432</v>
      </c>
      <c r="B91" s="372" t="str">
        <f>IFERROR(VLOOKUP(ParticipationJanvier1[[#This Row],[Référence]],ListeÉtudiants1[],18,FALSE),"")</f>
        <v>LAMGHARI / DAHAN BOUCHRA</v>
      </c>
      <c r="G91" s="525"/>
      <c r="I91" s="525"/>
      <c r="K91" s="525"/>
      <c r="M91" s="525"/>
      <c r="N91" s="19"/>
      <c r="O91" s="518"/>
      <c r="P91" s="19"/>
      <c r="Q91" s="518"/>
      <c r="R91" s="19"/>
      <c r="S91" s="518"/>
      <c r="T91" s="19"/>
      <c r="U91" s="525"/>
      <c r="W91" s="525"/>
      <c r="Y91" s="525"/>
      <c r="AA91" s="525"/>
      <c r="AC91" s="525"/>
      <c r="AE91" s="525"/>
      <c r="AG91" s="519"/>
      <c r="AH91" s="475">
        <f>COUNTIF(ParticipationJanvier1[[#This Row],[1]:[31]],Code1)</f>
        <v>0</v>
      </c>
      <c r="AI91" s="518">
        <f>COUNTIF(ParticipationJanvier1[[#This Row],[1]:[31]],code22)</f>
        <v>0</v>
      </c>
      <c r="AJ91" s="473">
        <f>COUNTIF(ParticipationJanvier1[[#This Row],[1]:[31]],Code2)</f>
        <v>0</v>
      </c>
      <c r="AK91" s="520">
        <f>COUNTIF(ParticipationJanvier1[[#This Row],[1]:[31]],Code3)</f>
        <v>0</v>
      </c>
      <c r="AL91" s="473">
        <f>COUNTIF(ParticipationJanvier1[[#This Row],[1]:[31]],Code4)</f>
        <v>0</v>
      </c>
      <c r="AM91" s="520">
        <f>COUNTIF(ParticipationJanvier1[[#This Row],[1]:[31]],Code5)</f>
        <v>0</v>
      </c>
      <c r="AN91" s="30">
        <f>COUNTIF(ParticipationJanvier1[[#This Row],[1]:[31]],Code23)</f>
        <v>0</v>
      </c>
      <c r="AO91" s="473">
        <f>COUNTIF(ParticipationJanvier1[[#This Row],[1]:[31]],Code6)</f>
        <v>0</v>
      </c>
      <c r="AP91" s="30">
        <f>COUNTIF(ParticipationJanvier1[[#This Row],[1]:[31]],Code7)</f>
        <v>0</v>
      </c>
      <c r="AQ91" s="30">
        <f>COUNTIF(ParticipationJanvier1[[#This Row],[1]:[31]],Code8)</f>
        <v>0</v>
      </c>
      <c r="AR91" s="30">
        <f>COUNTIF(ParticipationJanvier1[[#This Row],[1]:[31]],Code9)</f>
        <v>0</v>
      </c>
      <c r="AS91" s="473">
        <f>COUNTIF(ParticipationJanvier1[[#This Row],[1]:[31]],Code10)</f>
        <v>0</v>
      </c>
      <c r="AT91" s="473">
        <f>COUNTIF(ParticipationJanvier1[[#This Row],[1]:[31]],Code11)</f>
        <v>0</v>
      </c>
      <c r="AU91" s="473">
        <f>COUNTIF(ParticipationJanvier1[[#This Row],[1]:[31]],Code12)</f>
        <v>0</v>
      </c>
      <c r="AV91" s="473">
        <f>COUNTIF(ParticipationJanvier1[[#This Row],[1]:[31]],Code13)</f>
        <v>0</v>
      </c>
      <c r="AW91" s="473">
        <f>COUNTIF(ParticipationJanvier1[[#This Row],[1]:[31]],Code14)</f>
        <v>0</v>
      </c>
      <c r="AX91" s="473">
        <f>COUNTIF(ParticipationJanvier1[[#This Row],[1]:[31]],Code15)</f>
        <v>0</v>
      </c>
      <c r="AY91" s="473">
        <f>COUNTIF(ParticipationJanvier1[[#This Row],[1]:[31]],Code16)</f>
        <v>0</v>
      </c>
      <c r="AZ91" s="473">
        <f>COUNTIF(ParticipationJanvier1[[#This Row],[1]:[31]],Code17)</f>
        <v>0</v>
      </c>
      <c r="BA91" s="475">
        <f>COUNTIF(ParticipationJanvier1[[#This Row],[1]:[31]],Code25)</f>
        <v>0</v>
      </c>
      <c r="BB91" s="475">
        <f>COUNTIF(ParticipationJanvier1[[#This Row],[1]:[31]],Code26)</f>
        <v>0</v>
      </c>
      <c r="BC91" s="475">
        <f>COUNTIF(ParticipationJanvier1[[#This Row],[1]:[31]],Code27)</f>
        <v>0</v>
      </c>
      <c r="BD91" s="475">
        <f>COUNTIF(ParticipationJanvier1[[#This Row],[1]:[31]],Code28)</f>
        <v>0</v>
      </c>
      <c r="BE91" s="475">
        <f>COUNTIF(ParticipationJanvier1[[#This Row],[1]:[31]],code30)</f>
        <v>0</v>
      </c>
      <c r="BF91" s="475">
        <f>COUNTIF(ParticipationJanvier1[[#This Row],[1]:[31]],Code31)</f>
        <v>0</v>
      </c>
      <c r="BG91" s="473">
        <f>COUNTIF(ParticipationJanvier1[[#This Row],[1]:[31]],code21)</f>
        <v>0</v>
      </c>
      <c r="BH91" s="473">
        <f>COUNTIF(ParticipationJanvier1[[#This Row],[1]:[31]],Code24)</f>
        <v>0</v>
      </c>
      <c r="BI91" s="473">
        <f>COUNTIF(ParticipationJanvier1[[#This Row],[1]:[31]],code18)</f>
        <v>0</v>
      </c>
      <c r="BJ91" s="473">
        <f>COUNTIF(ParticipationJanvier1[[#This Row],[1]:[31]],code19)</f>
        <v>0</v>
      </c>
      <c r="BK91" s="473">
        <f>COUNTIF(ParticipationJanvier1[[#This Row],[1]:[31]],code20)</f>
        <v>0</v>
      </c>
      <c r="BL91" s="476">
        <f>COUNTIF(ParticipationJanvier1[[#This Row],[1]:[31]],code29)</f>
        <v>0</v>
      </c>
      <c r="BM91" s="472">
        <f>SUM((AH91*1)+(AI97*1.5)+(AJ91*2)+(AK91*3)+(AL91*4)+(AQ91*5)+(AR91*6)+(AS91*7)+(AW91*2)+(AX91*3)+(AY91*4)+(AZ91*5)+(BG91*2))</f>
        <v>0</v>
      </c>
      <c r="BN91" s="472"/>
      <c r="BO91" s="472"/>
      <c r="BP91" s="472"/>
      <c r="BQ91" s="472"/>
      <c r="BR91" s="473"/>
      <c r="BS91" s="472"/>
      <c r="BT91" s="472"/>
      <c r="BU91" s="472"/>
      <c r="BV91" s="472"/>
      <c r="BW91" s="472"/>
      <c r="BX91" s="472"/>
      <c r="BY91" s="472"/>
      <c r="BZ91" s="472"/>
      <c r="CA91" s="472"/>
      <c r="CB91" s="472"/>
      <c r="CC91" s="472"/>
      <c r="CD91" s="472"/>
      <c r="CE91" s="472"/>
      <c r="CF91" s="472"/>
      <c r="CG91" s="472"/>
      <c r="CH91" s="472"/>
      <c r="CI91" s="472"/>
      <c r="CJ91" s="472"/>
      <c r="CK91" s="472"/>
      <c r="CL91" s="472"/>
      <c r="CM91" s="472"/>
      <c r="CN91" s="472"/>
      <c r="CO91" s="472"/>
      <c r="CP91" s="472"/>
      <c r="CQ91" s="472"/>
      <c r="CR91" s="472"/>
      <c r="CS91" s="472"/>
      <c r="CT91" s="472"/>
      <c r="CU91" s="516">
        <f>SUM((AN91*1)+(AM91*2)+(AO91*3)+(AP91*4)+(AT91*5)+(AU91*7)+(AV91*7)+(AW91*7)+(AX91*4)+(AY91*3)+(BA91*2)+(BC91*4)+(BB91*1)+(BG91*2)+(AZ91*5)+(BD91*1))</f>
        <v>0</v>
      </c>
      <c r="CV91" s="521">
        <f>SUM((AH91*1)+(AI91*1.5)+(AJ91*2)+(AK91*3)+(AP91*5)+(AQ91*6)+(AR91*7)+(AU91*2)+(AX91*3)+(AY91*4)+(BA91*5)+(BB91*3)+(BC91*2)+(BG91*2)+(AZ91*2)+(BD91*2))</f>
        <v>0</v>
      </c>
      <c r="CW91" s="522">
        <f>SUM((AN91*1)+(AM91*2)+(AO91*3)+(AP91*4)+(AT91*5)+(AU91*7)+(AV91*7)+(AW91*7)+(AX91*4)+(AY91*3)+(BA91*2)+(BC91*4)+(BB91*1)+(BG91*2)+(AZ91*5)+(BD91*1))</f>
        <v>0</v>
      </c>
      <c r="CX91" s="523">
        <f>BH91*1</f>
        <v>0</v>
      </c>
      <c r="CY91" s="512"/>
    </row>
    <row r="92" spans="1:103">
      <c r="A92" s="510" t="s">
        <v>433</v>
      </c>
      <c r="B92" s="372" t="str">
        <f>IFERROR(VLOOKUP(ParticipationJanvier1[[#This Row],[Référence]],ListeÉtudiants1[],18,FALSE),"")</f>
        <v>LAURENT GUILLAUME</v>
      </c>
      <c r="G92" s="525"/>
      <c r="I92" s="525"/>
      <c r="K92" s="525"/>
      <c r="M92" s="525"/>
      <c r="N92" s="19"/>
      <c r="O92" s="518"/>
      <c r="P92" s="19"/>
      <c r="Q92" s="518"/>
      <c r="R92" s="19"/>
      <c r="S92" s="518"/>
      <c r="T92" s="19"/>
      <c r="U92" s="525"/>
      <c r="W92" s="525"/>
      <c r="Y92" s="525"/>
      <c r="AA92" s="525"/>
      <c r="AC92" s="525"/>
      <c r="AE92" s="525"/>
      <c r="AG92" s="519"/>
      <c r="AH92" s="475">
        <f>COUNTIF(ParticipationJanvier1[[#This Row],[1]:[31]],Code1)</f>
        <v>0</v>
      </c>
      <c r="AI92" s="518">
        <f>COUNTIF(ParticipationJanvier1[[#This Row],[1]:[31]],code22)</f>
        <v>0</v>
      </c>
      <c r="AJ92" s="473">
        <f>COUNTIF(ParticipationJanvier1[[#This Row],[1]:[31]],Code2)</f>
        <v>0</v>
      </c>
      <c r="AK92" s="520">
        <f>COUNTIF(ParticipationJanvier1[[#This Row],[1]:[31]],Code3)</f>
        <v>0</v>
      </c>
      <c r="AL92" s="473">
        <f>COUNTIF(ParticipationJanvier1[[#This Row],[1]:[31]],Code4)</f>
        <v>0</v>
      </c>
      <c r="AM92" s="520">
        <f>COUNTIF(ParticipationJanvier1[[#This Row],[1]:[31]],Code5)</f>
        <v>0</v>
      </c>
      <c r="AN92" s="30">
        <f>COUNTIF(ParticipationJanvier1[[#This Row],[1]:[31]],Code23)</f>
        <v>0</v>
      </c>
      <c r="AO92" s="473">
        <f>COUNTIF(ParticipationJanvier1[[#This Row],[1]:[31]],Code6)</f>
        <v>0</v>
      </c>
      <c r="AP92" s="30">
        <f>COUNTIF(ParticipationJanvier1[[#This Row],[1]:[31]],Code7)</f>
        <v>0</v>
      </c>
      <c r="AQ92" s="30">
        <f>COUNTIF(ParticipationJanvier1[[#This Row],[1]:[31]],Code8)</f>
        <v>0</v>
      </c>
      <c r="AR92" s="30">
        <f>COUNTIF(ParticipationJanvier1[[#This Row],[1]:[31]],Code9)</f>
        <v>0</v>
      </c>
      <c r="AS92" s="473">
        <f>COUNTIF(ParticipationJanvier1[[#This Row],[1]:[31]],Code10)</f>
        <v>0</v>
      </c>
      <c r="AT92" s="473">
        <f>COUNTIF(ParticipationJanvier1[[#This Row],[1]:[31]],Code11)</f>
        <v>0</v>
      </c>
      <c r="AU92" s="473">
        <f>COUNTIF(ParticipationJanvier1[[#This Row],[1]:[31]],Code12)</f>
        <v>0</v>
      </c>
      <c r="AV92" s="473">
        <f>COUNTIF(ParticipationJanvier1[[#This Row],[1]:[31]],Code13)</f>
        <v>0</v>
      </c>
      <c r="AW92" s="473">
        <f>COUNTIF(ParticipationJanvier1[[#This Row],[1]:[31]],Code14)</f>
        <v>0</v>
      </c>
      <c r="AX92" s="473">
        <f>COUNTIF(ParticipationJanvier1[[#This Row],[1]:[31]],Code15)</f>
        <v>0</v>
      </c>
      <c r="AY92" s="473">
        <f>COUNTIF(ParticipationJanvier1[[#This Row],[1]:[31]],Code16)</f>
        <v>0</v>
      </c>
      <c r="AZ92" s="473">
        <f>COUNTIF(ParticipationJanvier1[[#This Row],[1]:[31]],Code17)</f>
        <v>0</v>
      </c>
      <c r="BA92" s="475">
        <f>COUNTIF(ParticipationJanvier1[[#This Row],[1]:[31]],Code25)</f>
        <v>0</v>
      </c>
      <c r="BB92" s="475">
        <f>COUNTIF(ParticipationJanvier1[[#This Row],[1]:[31]],Code26)</f>
        <v>0</v>
      </c>
      <c r="BC92" s="475">
        <f>COUNTIF(ParticipationJanvier1[[#This Row],[1]:[31]],Code27)</f>
        <v>0</v>
      </c>
      <c r="BD92" s="475">
        <f>COUNTIF(ParticipationJanvier1[[#This Row],[1]:[31]],Code28)</f>
        <v>0</v>
      </c>
      <c r="BE92" s="475">
        <f>COUNTIF(ParticipationJanvier1[[#This Row],[1]:[31]],code30)</f>
        <v>0</v>
      </c>
      <c r="BF92" s="475">
        <f>COUNTIF(ParticipationJanvier1[[#This Row],[1]:[31]],Code31)</f>
        <v>0</v>
      </c>
      <c r="BG92" s="473">
        <f>COUNTIF(ParticipationJanvier1[[#This Row],[1]:[31]],code21)</f>
        <v>0</v>
      </c>
      <c r="BH92" s="473">
        <f>COUNTIF(ParticipationJanvier1[[#This Row],[1]:[31]],Code24)</f>
        <v>0</v>
      </c>
      <c r="BI92" s="473">
        <f>COUNTIF(ParticipationJanvier1[[#This Row],[1]:[31]],code18)</f>
        <v>0</v>
      </c>
      <c r="BJ92" s="473">
        <f>COUNTIF(ParticipationJanvier1[[#This Row],[1]:[31]],code19)</f>
        <v>0</v>
      </c>
      <c r="BK92" s="473">
        <f>COUNTIF(ParticipationJanvier1[[#This Row],[1]:[31]],code20)</f>
        <v>0</v>
      </c>
      <c r="BL92" s="476">
        <f>COUNTIF(ParticipationJanvier1[[#This Row],[1]:[31]],code29)</f>
        <v>0</v>
      </c>
      <c r="BM92" s="472">
        <f>SUM((AH92*1)+(AI99*1.5)+(AJ92*2)+(AK92*3)+(AL92*4)+(AQ92*5)+(AR92*6)+(AS92*7)+(AW92*2)+(AX92*3)+(AY92*4)+(AZ92*5)+(BG92*2))</f>
        <v>0</v>
      </c>
      <c r="BN92" s="472"/>
      <c r="BO92" s="472"/>
      <c r="BP92" s="472"/>
      <c r="BQ92" s="472"/>
      <c r="BR92" s="473"/>
      <c r="BS92" s="472"/>
      <c r="BT92" s="472"/>
      <c r="BU92" s="472"/>
      <c r="BV92" s="472"/>
      <c r="BW92" s="472"/>
      <c r="BX92" s="472"/>
      <c r="BY92" s="472"/>
      <c r="BZ92" s="472"/>
      <c r="CA92" s="472"/>
      <c r="CB92" s="472"/>
      <c r="CC92" s="472"/>
      <c r="CD92" s="472"/>
      <c r="CE92" s="472"/>
      <c r="CF92" s="472"/>
      <c r="CG92" s="472"/>
      <c r="CH92" s="472"/>
      <c r="CI92" s="472"/>
      <c r="CJ92" s="472"/>
      <c r="CK92" s="472"/>
      <c r="CL92" s="472"/>
      <c r="CM92" s="472"/>
      <c r="CN92" s="472"/>
      <c r="CO92" s="472"/>
      <c r="CP92" s="472"/>
      <c r="CQ92" s="472"/>
      <c r="CR92" s="472"/>
      <c r="CS92" s="472"/>
      <c r="CT92" s="472"/>
      <c r="CU92" s="516">
        <f>SUM((AN92*1)+(AM92*2)+(AO92*3)+(AP92*4)+(AT92*5)+(AU92*7)+(AV92*7)+(AW92*7)+(AX92*4)+(AY92*3)+(BA92*2)+(BC92*4)+(BB92*1)+(BG92*2)+(AZ92*5)+(BD92*1))</f>
        <v>0</v>
      </c>
      <c r="CV92" s="521">
        <f>SUM((AH92*1)+(AI92*1.5)+(AJ92*2)+(AK92*3)+(AP92*5)+(AQ92*6)+(AR92*7)+(AU92*2)+(AX92*3)+(AY92*4)+(BA92*5)+(BB92*3)+(BC92*2)+(BG92*2)+(AZ92*2)+(BD92*2))</f>
        <v>0</v>
      </c>
      <c r="CW92" s="522">
        <f>SUM((AN92*1)+(AM92*2)+(AO92*3)+(AP92*4)+(AT92*5)+(AU92*7)+(AV92*7)+(AW92*7)+(AX92*4)+(AY92*3)+(BA92*2)+(BC92*4)+(BB92*1)+(BG92*2)+(AZ92*5)+(BD92*1))</f>
        <v>0</v>
      </c>
      <c r="CX92" s="523">
        <f>BH92*1</f>
        <v>0</v>
      </c>
      <c r="CY92" s="512"/>
    </row>
    <row r="93" spans="1:103">
      <c r="A93" s="510" t="s">
        <v>434</v>
      </c>
      <c r="B93" s="372" t="str">
        <f>IFERROR(VLOOKUP(ParticipationJanvier1[[#This Row],[Référence]],ListeÉtudiants1[],18,FALSE),"")</f>
        <v>LEMAIRE SHANONE</v>
      </c>
      <c r="G93" s="291"/>
      <c r="I93" s="291"/>
      <c r="K93" s="291"/>
      <c r="M93" s="291"/>
      <c r="N93" s="19"/>
      <c r="O93" s="19"/>
      <c r="P93" s="19"/>
      <c r="Q93" s="19"/>
      <c r="R93" s="19" t="s">
        <v>106</v>
      </c>
      <c r="S93" s="19"/>
      <c r="T93" s="19"/>
      <c r="U93" s="291"/>
      <c r="W93" s="291"/>
      <c r="Y93" s="291"/>
      <c r="AA93" s="291"/>
      <c r="AC93" s="291"/>
      <c r="AE93" s="291"/>
      <c r="AG93" s="326"/>
      <c r="AH93" s="6">
        <f>COUNTIF(ParticipationJanvier1[[#This Row],[1]:[31]],Code1)</f>
        <v>0</v>
      </c>
      <c r="AI93" s="6">
        <f>COUNTIF(ParticipationJanvier1[[#This Row],[1]:[31]],code22)</f>
        <v>0</v>
      </c>
      <c r="AJ93" s="6">
        <f>COUNTIF(ParticipationJanvier1[[#This Row],[1]:[31]],Code2)</f>
        <v>0</v>
      </c>
      <c r="AK93" s="6">
        <f>COUNTIF(ParticipationJanvier1[[#This Row],[1]:[31]],Code3)</f>
        <v>1</v>
      </c>
      <c r="AL93" s="6">
        <f>COUNTIF(ParticipationJanvier1[[#This Row],[1]:[31]],Code4)</f>
        <v>0</v>
      </c>
      <c r="AM93" s="6">
        <f>COUNTIF(ParticipationJanvier1[[#This Row],[1]:[31]],Code5)</f>
        <v>0</v>
      </c>
      <c r="AN93" s="6">
        <f>COUNTIF(ParticipationJanvier1[[#This Row],[1]:[31]],Code23)</f>
        <v>0</v>
      </c>
      <c r="AO93" s="6">
        <f>COUNTIF(ParticipationJanvier1[[#This Row],[1]:[31]],Code6)</f>
        <v>0</v>
      </c>
      <c r="AP93" s="6">
        <f>COUNTIF(ParticipationJanvier1[[#This Row],[1]:[31]],Code7)</f>
        <v>0</v>
      </c>
      <c r="AQ93" s="6">
        <f>COUNTIF(ParticipationJanvier1[[#This Row],[1]:[31]],Code8)</f>
        <v>0</v>
      </c>
      <c r="AR93" s="6">
        <f>COUNTIF(ParticipationJanvier1[[#This Row],[1]:[31]],Code9)</f>
        <v>0</v>
      </c>
      <c r="AS93" s="6">
        <f>COUNTIF(ParticipationJanvier1[[#This Row],[1]:[31]],Code10)</f>
        <v>0</v>
      </c>
      <c r="AT93" s="6">
        <f>COUNTIF(ParticipationJanvier1[[#This Row],[1]:[31]],Code11)</f>
        <v>0</v>
      </c>
      <c r="AU93" s="6">
        <f>COUNTIF(ParticipationJanvier1[[#This Row],[1]:[31]],Code12)</f>
        <v>0</v>
      </c>
      <c r="AV93" s="6">
        <f>COUNTIF(ParticipationJanvier1[[#This Row],[1]:[31]],Code13)</f>
        <v>0</v>
      </c>
      <c r="AW93" s="6">
        <f>COUNTIF(ParticipationJanvier1[[#This Row],[1]:[31]],Code14)</f>
        <v>0</v>
      </c>
      <c r="AX93" s="6">
        <f>COUNTIF(ParticipationJanvier1[[#This Row],[1]:[31]],Code15)</f>
        <v>0</v>
      </c>
      <c r="AY93" s="6">
        <f>COUNTIF(ParticipationJanvier1[[#This Row],[1]:[31]],Code16)</f>
        <v>0</v>
      </c>
      <c r="AZ93" s="6">
        <f>COUNTIF(ParticipationJanvier1[[#This Row],[1]:[31]],Code17)</f>
        <v>0</v>
      </c>
      <c r="BA93" s="6">
        <f>COUNTIF(ParticipationJanvier1[[#This Row],[1]:[31]],Code25)</f>
        <v>0</v>
      </c>
      <c r="BB93" s="6">
        <f>COUNTIF(ParticipationJanvier1[[#This Row],[1]:[31]],Code26)</f>
        <v>0</v>
      </c>
      <c r="BC93" s="6">
        <f>COUNTIF(ParticipationJanvier1[[#This Row],[1]:[31]],Code27)</f>
        <v>0</v>
      </c>
      <c r="BD93" s="6">
        <f>COUNTIF(ParticipationJanvier1[[#This Row],[1]:[31]],Code28)</f>
        <v>0</v>
      </c>
      <c r="BE93" s="6">
        <f>COUNTIF(ParticipationJanvier1[[#This Row],[1]:[31]],code30)</f>
        <v>0</v>
      </c>
      <c r="BF93" s="6">
        <f>COUNTIF(ParticipationJanvier1[[#This Row],[1]:[31]],Code31)</f>
        <v>0</v>
      </c>
      <c r="BG93" s="6">
        <f>COUNTIF(ParticipationJanvier1[[#This Row],[1]:[31]],code21)</f>
        <v>0</v>
      </c>
      <c r="BH93" s="6">
        <f>COUNTIF(ParticipationJanvier1[[#This Row],[1]:[31]],Code24)</f>
        <v>0</v>
      </c>
      <c r="BI93" s="6">
        <f>COUNTIF(ParticipationJanvier1[[#This Row],[1]:[31]],code18)</f>
        <v>0</v>
      </c>
      <c r="BJ93" s="6">
        <f>COUNTIF(ParticipationJanvier1[[#This Row],[1]:[31]],code19)</f>
        <v>0</v>
      </c>
      <c r="BK93" s="6">
        <f>COUNTIF(ParticipationJanvier1[[#This Row],[1]:[31]],code20)</f>
        <v>0</v>
      </c>
      <c r="BL93" s="182">
        <f>COUNTIF(ParticipationJanvier1[[#This Row],[1]:[31]],code29)</f>
        <v>0</v>
      </c>
      <c r="BM93" s="297">
        <v>1</v>
      </c>
      <c r="BN93" s="297"/>
      <c r="BO93" s="297"/>
      <c r="BP93" s="297"/>
      <c r="BQ93" s="297"/>
      <c r="BR93" s="307"/>
      <c r="BS93" s="297"/>
      <c r="BT93" s="297"/>
      <c r="BU93" s="297"/>
      <c r="BV93" s="297"/>
      <c r="BW93" s="297"/>
      <c r="BX93" s="297"/>
      <c r="BY93" s="297"/>
      <c r="BZ93" s="297"/>
      <c r="CA93" s="297"/>
      <c r="CB93" s="297"/>
      <c r="CC93" s="297"/>
      <c r="CD93" s="297"/>
      <c r="CE93" s="297"/>
      <c r="CF93" s="297"/>
      <c r="CG93" s="297"/>
      <c r="CH93" s="297"/>
      <c r="CI93" s="297"/>
      <c r="CJ93" s="297"/>
      <c r="CK93" s="297"/>
      <c r="CL93" s="297"/>
      <c r="CM93" s="297"/>
      <c r="CN93" s="297"/>
      <c r="CO93" s="297"/>
      <c r="CP93" s="297"/>
      <c r="CQ93" s="297"/>
      <c r="CR93" s="297"/>
      <c r="CS93" s="297"/>
      <c r="CT93" s="297"/>
      <c r="CU93" s="300"/>
      <c r="CV93" s="165">
        <f t="shared" si="0"/>
        <v>3</v>
      </c>
      <c r="CW93" s="165">
        <f t="shared" si="4"/>
        <v>0</v>
      </c>
      <c r="CX93" s="249">
        <f t="shared" si="2"/>
        <v>0</v>
      </c>
      <c r="CY93" s="170"/>
    </row>
    <row r="94" spans="1:103">
      <c r="A94" s="510" t="s">
        <v>435</v>
      </c>
      <c r="B94" s="372" t="str">
        <f>IFERROR(VLOOKUP(ParticipationJanvier1[[#This Row],[Référence]],ListeÉtudiants1[],18,FALSE),"")</f>
        <v>L'HERMITTE ROMAIN</v>
      </c>
      <c r="G94" s="525"/>
      <c r="I94" s="525"/>
      <c r="K94" s="525"/>
      <c r="M94" s="525"/>
      <c r="N94" s="19"/>
      <c r="O94" s="518"/>
      <c r="P94" s="19"/>
      <c r="Q94" s="518"/>
      <c r="R94" s="19"/>
      <c r="S94" s="518"/>
      <c r="T94" s="19"/>
      <c r="U94" s="525"/>
      <c r="W94" s="525"/>
      <c r="Y94" s="525"/>
      <c r="AA94" s="525"/>
      <c r="AC94" s="525"/>
      <c r="AE94" s="525"/>
      <c r="AG94" s="519"/>
      <c r="AH94" s="475">
        <f>COUNTIF(ParticipationJanvier1[[#This Row],[1]:[31]],Code1)</f>
        <v>0</v>
      </c>
      <c r="AI94" s="518">
        <f>COUNTIF(ParticipationJanvier1[[#This Row],[1]:[31]],code22)</f>
        <v>0</v>
      </c>
      <c r="AJ94" s="473">
        <f>COUNTIF(ParticipationJanvier1[[#This Row],[1]:[31]],Code2)</f>
        <v>0</v>
      </c>
      <c r="AK94" s="520">
        <f>COUNTIF(ParticipationJanvier1[[#This Row],[1]:[31]],Code3)</f>
        <v>0</v>
      </c>
      <c r="AL94" s="473">
        <f>COUNTIF(ParticipationJanvier1[[#This Row],[1]:[31]],Code4)</f>
        <v>0</v>
      </c>
      <c r="AM94" s="520">
        <f>COUNTIF(ParticipationJanvier1[[#This Row],[1]:[31]],Code5)</f>
        <v>0</v>
      </c>
      <c r="AN94" s="30">
        <f>COUNTIF(ParticipationJanvier1[[#This Row],[1]:[31]],Code23)</f>
        <v>0</v>
      </c>
      <c r="AO94" s="473">
        <f>COUNTIF(ParticipationJanvier1[[#This Row],[1]:[31]],Code6)</f>
        <v>0</v>
      </c>
      <c r="AP94" s="30">
        <f>COUNTIF(ParticipationJanvier1[[#This Row],[1]:[31]],Code7)</f>
        <v>0</v>
      </c>
      <c r="AQ94" s="30">
        <f>COUNTIF(ParticipationJanvier1[[#This Row],[1]:[31]],Code8)</f>
        <v>0</v>
      </c>
      <c r="AR94" s="30">
        <f>COUNTIF(ParticipationJanvier1[[#This Row],[1]:[31]],Code9)</f>
        <v>0</v>
      </c>
      <c r="AS94" s="473">
        <f>COUNTIF(ParticipationJanvier1[[#This Row],[1]:[31]],Code10)</f>
        <v>0</v>
      </c>
      <c r="AT94" s="473">
        <f>COUNTIF(ParticipationJanvier1[[#This Row],[1]:[31]],Code11)</f>
        <v>0</v>
      </c>
      <c r="AU94" s="473">
        <f>COUNTIF(ParticipationJanvier1[[#This Row],[1]:[31]],Code12)</f>
        <v>0</v>
      </c>
      <c r="AV94" s="473">
        <f>COUNTIF(ParticipationJanvier1[[#This Row],[1]:[31]],Code13)</f>
        <v>0</v>
      </c>
      <c r="AW94" s="473">
        <f>COUNTIF(ParticipationJanvier1[[#This Row],[1]:[31]],Code14)</f>
        <v>0</v>
      </c>
      <c r="AX94" s="473">
        <f>COUNTIF(ParticipationJanvier1[[#This Row],[1]:[31]],Code15)</f>
        <v>0</v>
      </c>
      <c r="AY94" s="473">
        <f>COUNTIF(ParticipationJanvier1[[#This Row],[1]:[31]],Code16)</f>
        <v>0</v>
      </c>
      <c r="AZ94" s="473">
        <f>COUNTIF(ParticipationJanvier1[[#This Row],[1]:[31]],Code17)</f>
        <v>0</v>
      </c>
      <c r="BA94" s="475">
        <f>COUNTIF(ParticipationJanvier1[[#This Row],[1]:[31]],Code25)</f>
        <v>0</v>
      </c>
      <c r="BB94" s="475">
        <f>COUNTIF(ParticipationJanvier1[[#This Row],[1]:[31]],Code26)</f>
        <v>0</v>
      </c>
      <c r="BC94" s="475">
        <f>COUNTIF(ParticipationJanvier1[[#This Row],[1]:[31]],Code27)</f>
        <v>0</v>
      </c>
      <c r="BD94" s="475">
        <f>COUNTIF(ParticipationJanvier1[[#This Row],[1]:[31]],Code28)</f>
        <v>0</v>
      </c>
      <c r="BE94" s="475">
        <f>COUNTIF(ParticipationJanvier1[[#This Row],[1]:[31]],code30)</f>
        <v>0</v>
      </c>
      <c r="BF94" s="475">
        <f>COUNTIF(ParticipationJanvier1[[#This Row],[1]:[31]],Code31)</f>
        <v>0</v>
      </c>
      <c r="BG94" s="473">
        <f>COUNTIF(ParticipationJanvier1[[#This Row],[1]:[31]],code21)</f>
        <v>0</v>
      </c>
      <c r="BH94" s="473">
        <f>COUNTIF(ParticipationJanvier1[[#This Row],[1]:[31]],Code24)</f>
        <v>0</v>
      </c>
      <c r="BI94" s="473">
        <f>COUNTIF(ParticipationJanvier1[[#This Row],[1]:[31]],code18)</f>
        <v>0</v>
      </c>
      <c r="BJ94" s="473">
        <f>COUNTIF(ParticipationJanvier1[[#This Row],[1]:[31]],code19)</f>
        <v>0</v>
      </c>
      <c r="BK94" s="473">
        <f>COUNTIF(ParticipationJanvier1[[#This Row],[1]:[31]],code20)</f>
        <v>0</v>
      </c>
      <c r="BL94" s="476">
        <f>COUNTIF(ParticipationJanvier1[[#This Row],[1]:[31]],code29)</f>
        <v>0</v>
      </c>
      <c r="BM94" s="472">
        <f>SUM((AH94*1)+(AI99*1.5)+(AJ94*2)+(AK94*3)+(AL94*4)+(AQ94*5)+(AR94*6)+(AS94*7)+(AW94*2)+(AX94*3)+(AY94*4)+(AZ94*5)+(BG94*2))</f>
        <v>0</v>
      </c>
      <c r="BN94" s="472"/>
      <c r="BO94" s="472"/>
      <c r="BP94" s="472"/>
      <c r="BQ94" s="472"/>
      <c r="BR94" s="473"/>
      <c r="BS94" s="472"/>
      <c r="BT94" s="472"/>
      <c r="BU94" s="472"/>
      <c r="BV94" s="472"/>
      <c r="BW94" s="472"/>
      <c r="BX94" s="472"/>
      <c r="BY94" s="472"/>
      <c r="BZ94" s="472"/>
      <c r="CA94" s="472"/>
      <c r="CB94" s="472"/>
      <c r="CC94" s="472"/>
      <c r="CD94" s="472"/>
      <c r="CE94" s="472"/>
      <c r="CF94" s="472"/>
      <c r="CG94" s="472"/>
      <c r="CH94" s="472"/>
      <c r="CI94" s="472"/>
      <c r="CJ94" s="472"/>
      <c r="CK94" s="472"/>
      <c r="CL94" s="472"/>
      <c r="CM94" s="472"/>
      <c r="CN94" s="472"/>
      <c r="CO94" s="472"/>
      <c r="CP94" s="472"/>
      <c r="CQ94" s="472"/>
      <c r="CR94" s="472"/>
      <c r="CS94" s="472"/>
      <c r="CT94" s="472"/>
      <c r="CU94" s="516">
        <f>SUM((AN94*1)+(AM94*2)+(AO94*3)+(AP94*4)+(AT94*5)+(AU94*7)+(AV94*7)+(AW94*7)+(AX94*4)+(AY94*3)+(BA94*2)+(BC94*4)+(BB94*1)+(BG94*2)+(AZ94*5)+(BD94*1))</f>
        <v>0</v>
      </c>
      <c r="CV94" s="521">
        <f>SUM((AH94*1)+(AI94*1.5)+(AJ94*2)+(AK94*3)+(AP94*5)+(AQ94*6)+(AR94*7)+(AU94*2)+(AX94*3)+(AY94*4)+(BA94*5)+(BB94*3)+(BC94*2)+(BG94*2)+(AZ94*2)+(BD94*2))</f>
        <v>0</v>
      </c>
      <c r="CW94" s="522">
        <f>SUM((AN94*1)+(AM94*2)+(AO94*3)+(AP94*4)+(AT94*5)+(AU94*7)+(AV94*7)+(AW94*7)+(AX94*4)+(AY94*3)+(BA94*2)+(BC94*4)+(BB94*1)+(BG94*2)+(AZ94*5)+(BD94*1))</f>
        <v>0</v>
      </c>
      <c r="CX94" s="523">
        <f>BH94*1</f>
        <v>0</v>
      </c>
      <c r="CY94" s="512"/>
    </row>
    <row r="95" spans="1:103">
      <c r="A95" s="534" t="s">
        <v>436</v>
      </c>
      <c r="B95" s="372" t="str">
        <f>IFERROR(VLOOKUP(ParticipationJanvier1[[#This Row],[Référence]],ListeÉtudiants1[],18,FALSE),"")</f>
        <v>LIBON ADRIANA</v>
      </c>
      <c r="G95" s="525"/>
      <c r="I95" s="525"/>
      <c r="K95" s="525"/>
      <c r="M95" s="525"/>
      <c r="N95" s="19"/>
      <c r="O95" s="518"/>
      <c r="P95" s="19"/>
      <c r="Q95" s="518"/>
      <c r="R95" s="19"/>
      <c r="S95" s="518"/>
      <c r="T95" s="19"/>
      <c r="U95" s="525"/>
      <c r="W95" s="525"/>
      <c r="Y95" s="525"/>
      <c r="AA95" s="525"/>
      <c r="AC95" s="525"/>
      <c r="AE95" s="525"/>
      <c r="AG95" s="519"/>
      <c r="AH95" s="475">
        <f>COUNTIF(ParticipationJanvier1[[#This Row],[1]:[31]],Code1)</f>
        <v>0</v>
      </c>
      <c r="AI95" s="518">
        <f>COUNTIF(ParticipationJanvier1[[#This Row],[1]:[31]],code22)</f>
        <v>0</v>
      </c>
      <c r="AJ95" s="473">
        <f>COUNTIF(ParticipationJanvier1[[#This Row],[1]:[31]],Code2)</f>
        <v>0</v>
      </c>
      <c r="AK95" s="520">
        <f>COUNTIF(ParticipationJanvier1[[#This Row],[1]:[31]],Code3)</f>
        <v>0</v>
      </c>
      <c r="AL95" s="473">
        <f>COUNTIF(ParticipationJanvier1[[#This Row],[1]:[31]],Code4)</f>
        <v>0</v>
      </c>
      <c r="AM95" s="520">
        <f>COUNTIF(ParticipationJanvier1[[#This Row],[1]:[31]],Code5)</f>
        <v>0</v>
      </c>
      <c r="AN95" s="30">
        <f>COUNTIF(ParticipationJanvier1[[#This Row],[1]:[31]],Code23)</f>
        <v>0</v>
      </c>
      <c r="AO95" s="473">
        <f>COUNTIF(ParticipationJanvier1[[#This Row],[1]:[31]],Code6)</f>
        <v>0</v>
      </c>
      <c r="AP95" s="30">
        <f>COUNTIF(ParticipationJanvier1[[#This Row],[1]:[31]],Code7)</f>
        <v>0</v>
      </c>
      <c r="AQ95" s="30">
        <f>COUNTIF(ParticipationJanvier1[[#This Row],[1]:[31]],Code8)</f>
        <v>0</v>
      </c>
      <c r="AR95" s="30">
        <f>COUNTIF(ParticipationJanvier1[[#This Row],[1]:[31]],Code9)</f>
        <v>0</v>
      </c>
      <c r="AS95" s="473">
        <f>COUNTIF(ParticipationJanvier1[[#This Row],[1]:[31]],Code10)</f>
        <v>0</v>
      </c>
      <c r="AT95" s="473">
        <f>COUNTIF(ParticipationJanvier1[[#This Row],[1]:[31]],Code11)</f>
        <v>0</v>
      </c>
      <c r="AU95" s="473">
        <f>COUNTIF(ParticipationJanvier1[[#This Row],[1]:[31]],Code12)</f>
        <v>0</v>
      </c>
      <c r="AV95" s="473">
        <f>COUNTIF(ParticipationJanvier1[[#This Row],[1]:[31]],Code13)</f>
        <v>0</v>
      </c>
      <c r="AW95" s="473">
        <f>COUNTIF(ParticipationJanvier1[[#This Row],[1]:[31]],Code14)</f>
        <v>0</v>
      </c>
      <c r="AX95" s="473">
        <f>COUNTIF(ParticipationJanvier1[[#This Row],[1]:[31]],Code15)</f>
        <v>0</v>
      </c>
      <c r="AY95" s="473">
        <f>COUNTIF(ParticipationJanvier1[[#This Row],[1]:[31]],Code16)</f>
        <v>0</v>
      </c>
      <c r="AZ95" s="473">
        <f>COUNTIF(ParticipationJanvier1[[#This Row],[1]:[31]],Code17)</f>
        <v>0</v>
      </c>
      <c r="BA95" s="475">
        <f>COUNTIF(ParticipationJanvier1[[#This Row],[1]:[31]],Code25)</f>
        <v>0</v>
      </c>
      <c r="BB95" s="475">
        <f>COUNTIF(ParticipationJanvier1[[#This Row],[1]:[31]],Code26)</f>
        <v>0</v>
      </c>
      <c r="BC95" s="475">
        <f>COUNTIF(ParticipationJanvier1[[#This Row],[1]:[31]],Code27)</f>
        <v>0</v>
      </c>
      <c r="BD95" s="475">
        <f>COUNTIF(ParticipationJanvier1[[#This Row],[1]:[31]],Code28)</f>
        <v>0</v>
      </c>
      <c r="BE95" s="475">
        <f>COUNTIF(ParticipationJanvier1[[#This Row],[1]:[31]],code30)</f>
        <v>0</v>
      </c>
      <c r="BF95" s="475">
        <f>COUNTIF(ParticipationJanvier1[[#This Row],[1]:[31]],Code31)</f>
        <v>0</v>
      </c>
      <c r="BG95" s="473">
        <f>COUNTIF(ParticipationJanvier1[[#This Row],[1]:[31]],code21)</f>
        <v>0</v>
      </c>
      <c r="BH95" s="473">
        <f>COUNTIF(ParticipationJanvier1[[#This Row],[1]:[31]],Code24)</f>
        <v>0</v>
      </c>
      <c r="BI95" s="473">
        <f>COUNTIF(ParticipationJanvier1[[#This Row],[1]:[31]],code18)</f>
        <v>0</v>
      </c>
      <c r="BJ95" s="473">
        <f>COUNTIF(ParticipationJanvier1[[#This Row],[1]:[31]],code19)</f>
        <v>0</v>
      </c>
      <c r="BK95" s="473">
        <f>COUNTIF(ParticipationJanvier1[[#This Row],[1]:[31]],code20)</f>
        <v>0</v>
      </c>
      <c r="BL95" s="476">
        <f>COUNTIF(ParticipationJanvier1[[#This Row],[1]:[31]],code29)</f>
        <v>0</v>
      </c>
      <c r="BM95" s="472">
        <f>SUM((AH95*1)+(AI101*1.5)+(AJ95*2)+(AK95*3)+(AL95*4)+(AQ95*5)+(AR95*6)+(AS95*7)+(AW95*2)+(AX95*3)+(AY95*4)+(AZ95*5)+(BG95*2))</f>
        <v>0</v>
      </c>
      <c r="BN95" s="472"/>
      <c r="BO95" s="472"/>
      <c r="BP95" s="472"/>
      <c r="BQ95" s="472"/>
      <c r="BR95" s="473"/>
      <c r="BS95" s="472"/>
      <c r="BT95" s="472"/>
      <c r="BU95" s="472"/>
      <c r="BV95" s="472"/>
      <c r="BW95" s="472"/>
      <c r="BX95" s="472"/>
      <c r="BY95" s="472"/>
      <c r="BZ95" s="472"/>
      <c r="CA95" s="472"/>
      <c r="CB95" s="472"/>
      <c r="CC95" s="472"/>
      <c r="CD95" s="472"/>
      <c r="CE95" s="472"/>
      <c r="CF95" s="472"/>
      <c r="CG95" s="472"/>
      <c r="CH95" s="472"/>
      <c r="CI95" s="472"/>
      <c r="CJ95" s="472"/>
      <c r="CK95" s="472"/>
      <c r="CL95" s="472"/>
      <c r="CM95" s="472"/>
      <c r="CN95" s="472"/>
      <c r="CO95" s="472"/>
      <c r="CP95" s="472"/>
      <c r="CQ95" s="472"/>
      <c r="CR95" s="472"/>
      <c r="CS95" s="472"/>
      <c r="CT95" s="472"/>
      <c r="CU95" s="516">
        <f>SUM((AN95*1)+(AM95*2)+(AO95*3)+(AP95*4)+(AT95*5)+(AU95*7)+(AV95*7)+(AW95*7)+(AX95*4)+(AY95*3)+(BA95*2)+(BC95*4)+(BB95*1)+(BG95*2)+(AZ95*5)+(BD95*1))</f>
        <v>0</v>
      </c>
      <c r="CV95" s="521">
        <f>SUM((AH95*1)+(AI95*1.5)+(AJ95*2)+(AK95*3)+(AP95*5)+(AQ95*6)+(AR95*7)+(AU95*2)+(AX95*3)+(AY95*4)+(BA95*5)+(BB95*3)+(BC95*2)+(BG95*2)+(AZ95*2)+(BD95*2))</f>
        <v>0</v>
      </c>
      <c r="CW95" s="522">
        <f>SUM((AN95*1)+(AM95*2)+(AO95*3)+(AP95*4)+(AT95*5)+(AU95*7)+(AV95*7)+(AW95*7)+(AX95*4)+(AY95*3)+(BA95*2)+(BC95*4)+(BB95*1)+(BG95*2)+(AZ95*5)+(BD95*1))</f>
        <v>0</v>
      </c>
      <c r="CX95" s="523">
        <f>BH95*1</f>
        <v>0</v>
      </c>
      <c r="CY95" s="512"/>
    </row>
    <row r="96" spans="1:103">
      <c r="A96" s="534" t="s">
        <v>437</v>
      </c>
      <c r="B96" s="372" t="str">
        <f>IFERROR(VLOOKUP(ParticipationJanvier1[[#This Row],[Référence]],ListeÉtudiants1[],18,FALSE),"")</f>
        <v>LIGER MARION</v>
      </c>
      <c r="G96" s="291"/>
      <c r="I96" s="291"/>
      <c r="K96" s="291"/>
      <c r="M96" s="291"/>
      <c r="N96" s="19" t="s">
        <v>35</v>
      </c>
      <c r="O96" s="19"/>
      <c r="P96" s="19"/>
      <c r="Q96" s="19" t="s">
        <v>490</v>
      </c>
      <c r="R96" s="19" t="s">
        <v>106</v>
      </c>
      <c r="S96" s="19" t="s">
        <v>107</v>
      </c>
      <c r="T96" s="19"/>
      <c r="U96" s="291"/>
      <c r="W96" s="291"/>
      <c r="Y96" s="291"/>
      <c r="AA96" s="291"/>
      <c r="AC96" s="291"/>
      <c r="AE96" s="291"/>
      <c r="AG96" s="326"/>
      <c r="AH96" s="6">
        <f>COUNTIF(ParticipationJanvier1[[#This Row],[1]:[31]],Code1)</f>
        <v>0</v>
      </c>
      <c r="AI96" s="6">
        <f>COUNTIF(ParticipationJanvier1[[#This Row],[1]:[31]],code22)</f>
        <v>0</v>
      </c>
      <c r="AJ96" s="6">
        <f>COUNTIF(ParticipationJanvier1[[#This Row],[1]:[31]],Code2)</f>
        <v>0</v>
      </c>
      <c r="AK96" s="6">
        <f>COUNTIF(ParticipationJanvier1[[#This Row],[1]:[31]],Code3)</f>
        <v>1</v>
      </c>
      <c r="AL96" s="6">
        <f>COUNTIF(ParticipationJanvier1[[#This Row],[1]:[31]],Code4)</f>
        <v>1</v>
      </c>
      <c r="AM96" s="6">
        <f>COUNTIF(ParticipationJanvier1[[#This Row],[1]:[31]],Code5)</f>
        <v>1</v>
      </c>
      <c r="AN96" s="6">
        <f>COUNTIF(ParticipationJanvier1[[#This Row],[1]:[31]],Code23)</f>
        <v>0</v>
      </c>
      <c r="AO96" s="6">
        <f>COUNTIF(ParticipationJanvier1[[#This Row],[1]:[31]],Code6)</f>
        <v>0</v>
      </c>
      <c r="AP96" s="6">
        <f>COUNTIF(ParticipationJanvier1[[#This Row],[1]:[31]],Code7)</f>
        <v>0</v>
      </c>
      <c r="AQ96" s="6">
        <f>COUNTIF(ParticipationJanvier1[[#This Row],[1]:[31]],Code8)</f>
        <v>0</v>
      </c>
      <c r="AR96" s="6">
        <f>COUNTIF(ParticipationJanvier1[[#This Row],[1]:[31]],Code9)</f>
        <v>0</v>
      </c>
      <c r="AS96" s="6">
        <f>COUNTIF(ParticipationJanvier1[[#This Row],[1]:[31]],Code10)</f>
        <v>0</v>
      </c>
      <c r="AT96" s="6">
        <f>COUNTIF(ParticipationJanvier1[[#This Row],[1]:[31]],Code11)</f>
        <v>0</v>
      </c>
      <c r="AU96" s="6">
        <f>COUNTIF(ParticipationJanvier1[[#This Row],[1]:[31]],Code12)</f>
        <v>0</v>
      </c>
      <c r="AV96" s="6">
        <f>COUNTIF(ParticipationJanvier1[[#This Row],[1]:[31]],Code13)</f>
        <v>0</v>
      </c>
      <c r="AW96" s="6">
        <f>COUNTIF(ParticipationJanvier1[[#This Row],[1]:[31]],Code14)</f>
        <v>0</v>
      </c>
      <c r="AX96" s="6">
        <f>COUNTIF(ParticipationJanvier1[[#This Row],[1]:[31]],Code15)</f>
        <v>1</v>
      </c>
      <c r="AY96" s="6">
        <f>COUNTIF(ParticipationJanvier1[[#This Row],[1]:[31]],Code16)</f>
        <v>0</v>
      </c>
      <c r="AZ96" s="6">
        <f>COUNTIF(ParticipationJanvier1[[#This Row],[1]:[31]],Code17)</f>
        <v>0</v>
      </c>
      <c r="BA96" s="6">
        <f>COUNTIF(ParticipationJanvier1[[#This Row],[1]:[31]],Code25)</f>
        <v>0</v>
      </c>
      <c r="BB96" s="6">
        <f>COUNTIF(ParticipationJanvier1[[#This Row],[1]:[31]],Code26)</f>
        <v>0</v>
      </c>
      <c r="BC96" s="6">
        <f>COUNTIF(ParticipationJanvier1[[#This Row],[1]:[31]],Code27)</f>
        <v>0</v>
      </c>
      <c r="BD96" s="6">
        <f>COUNTIF(ParticipationJanvier1[[#This Row],[1]:[31]],Code28)</f>
        <v>0</v>
      </c>
      <c r="BE96" s="6">
        <f>COUNTIF(ParticipationJanvier1[[#This Row],[1]:[31]],code30)</f>
        <v>0</v>
      </c>
      <c r="BF96" s="6">
        <f>COUNTIF(ParticipationJanvier1[[#This Row],[1]:[31]],Code31)</f>
        <v>0</v>
      </c>
      <c r="BG96" s="6">
        <f>COUNTIF(ParticipationJanvier1[[#This Row],[1]:[31]],code21)</f>
        <v>0</v>
      </c>
      <c r="BH96" s="6">
        <f>COUNTIF(ParticipationJanvier1[[#This Row],[1]:[31]],Code24)</f>
        <v>0</v>
      </c>
      <c r="BI96" s="6">
        <f>COUNTIF(ParticipationJanvier1[[#This Row],[1]:[31]],code18)</f>
        <v>0</v>
      </c>
      <c r="BJ96" s="6">
        <f>COUNTIF(ParticipationJanvier1[[#This Row],[1]:[31]],code19)</f>
        <v>0</v>
      </c>
      <c r="BK96" s="6">
        <f>COUNTIF(ParticipationJanvier1[[#This Row],[1]:[31]],code20)</f>
        <v>0</v>
      </c>
      <c r="BL96" s="182">
        <f>COUNTIF(ParticipationJanvier1[[#This Row],[1]:[31]],code29)</f>
        <v>0</v>
      </c>
      <c r="BM96" s="297">
        <v>3</v>
      </c>
      <c r="BN96" s="297"/>
      <c r="BO96" s="297"/>
      <c r="BP96" s="297"/>
      <c r="BQ96" s="297"/>
      <c r="BR96" s="307"/>
      <c r="BS96" s="297"/>
      <c r="BT96" s="297"/>
      <c r="BU96" s="297"/>
      <c r="BV96" s="297"/>
      <c r="BW96" s="297"/>
      <c r="BX96" s="297"/>
      <c r="BY96" s="297"/>
      <c r="BZ96" s="297"/>
      <c r="CA96" s="297"/>
      <c r="CB96" s="297"/>
      <c r="CC96" s="297"/>
      <c r="CD96" s="297"/>
      <c r="CE96" s="297"/>
      <c r="CF96" s="297"/>
      <c r="CG96" s="297"/>
      <c r="CH96" s="297"/>
      <c r="CI96" s="297"/>
      <c r="CJ96" s="297"/>
      <c r="CK96" s="297"/>
      <c r="CL96" s="297"/>
      <c r="CM96" s="297"/>
      <c r="CN96" s="297"/>
      <c r="CO96" s="297"/>
      <c r="CP96" s="297"/>
      <c r="CQ96" s="297"/>
      <c r="CR96" s="297"/>
      <c r="CS96" s="297"/>
      <c r="CT96" s="297"/>
      <c r="CU96" s="300"/>
      <c r="CV96" s="165">
        <f t="shared" si="0"/>
        <v>6</v>
      </c>
      <c r="CW96" s="165">
        <f t="shared" si="4"/>
        <v>6</v>
      </c>
      <c r="CX96" s="249">
        <f t="shared" si="2"/>
        <v>0</v>
      </c>
      <c r="CY96" s="170"/>
    </row>
    <row r="97" spans="1:103">
      <c r="A97" s="534" t="s">
        <v>438</v>
      </c>
      <c r="B97" s="372" t="str">
        <f>IFERROR(VLOOKUP(ParticipationJanvier1[[#This Row],[Référence]],ListeÉtudiants1[],18,FALSE),"")</f>
        <v>MARCHAL RAPHAEL</v>
      </c>
      <c r="G97" s="291"/>
      <c r="I97" s="291"/>
      <c r="K97" s="291"/>
      <c r="M97" s="291"/>
      <c r="N97" s="19" t="s">
        <v>507</v>
      </c>
      <c r="O97" s="19"/>
      <c r="P97" s="19"/>
      <c r="Q97" s="19" t="s">
        <v>490</v>
      </c>
      <c r="R97" s="19" t="s">
        <v>106</v>
      </c>
      <c r="S97" s="19" t="s">
        <v>107</v>
      </c>
      <c r="T97" s="19" t="s">
        <v>106</v>
      </c>
      <c r="U97" s="291"/>
      <c r="W97" s="291"/>
      <c r="Y97" s="291"/>
      <c r="AA97" s="291"/>
      <c r="AC97" s="291"/>
      <c r="AE97" s="291"/>
      <c r="AG97" s="326"/>
      <c r="AH97" s="6">
        <f>COUNTIF(ParticipationJanvier1[[#This Row],[1]:[31]],Code1)</f>
        <v>0</v>
      </c>
      <c r="AI97" s="6">
        <f>COUNTIF(ParticipationJanvier1[[#This Row],[1]:[31]],code22)</f>
        <v>0</v>
      </c>
      <c r="AJ97" s="6">
        <f>COUNTIF(ParticipationJanvier1[[#This Row],[1]:[31]],Code2)</f>
        <v>0</v>
      </c>
      <c r="AK97" s="6">
        <f>COUNTIF(ParticipationJanvier1[[#This Row],[1]:[31]],Code3)</f>
        <v>2</v>
      </c>
      <c r="AL97" s="6">
        <f>COUNTIF(ParticipationJanvier1[[#This Row],[1]:[31]],Code4)</f>
        <v>1</v>
      </c>
      <c r="AM97" s="6">
        <f>COUNTIF(ParticipationJanvier1[[#This Row],[1]:[31]],Code5)</f>
        <v>0</v>
      </c>
      <c r="AN97" s="6">
        <f>COUNTIF(ParticipationJanvier1[[#This Row],[1]:[31]],Code23)</f>
        <v>0</v>
      </c>
      <c r="AO97" s="6">
        <f>COUNTIF(ParticipationJanvier1[[#This Row],[1]:[31]],Code6)</f>
        <v>0</v>
      </c>
      <c r="AP97" s="6">
        <f>COUNTIF(ParticipationJanvier1[[#This Row],[1]:[31]],Code7)</f>
        <v>0</v>
      </c>
      <c r="AQ97" s="6">
        <f>COUNTIF(ParticipationJanvier1[[#This Row],[1]:[31]],Code8)</f>
        <v>0</v>
      </c>
      <c r="AR97" s="6">
        <f>COUNTIF(ParticipationJanvier1[[#This Row],[1]:[31]],Code9)</f>
        <v>0</v>
      </c>
      <c r="AS97" s="6">
        <f>COUNTIF(ParticipationJanvier1[[#This Row],[1]:[31]],Code10)</f>
        <v>0</v>
      </c>
      <c r="AT97" s="6">
        <f>COUNTIF(ParticipationJanvier1[[#This Row],[1]:[31]],Code11)</f>
        <v>0</v>
      </c>
      <c r="AU97" s="6">
        <f>COUNTIF(ParticipationJanvier1[[#This Row],[1]:[31]],Code12)</f>
        <v>0</v>
      </c>
      <c r="AV97" s="6">
        <f>COUNTIF(ParticipationJanvier1[[#This Row],[1]:[31]],Code13)</f>
        <v>0</v>
      </c>
      <c r="AW97" s="6">
        <f>COUNTIF(ParticipationJanvier1[[#This Row],[1]:[31]],Code14)</f>
        <v>0</v>
      </c>
      <c r="AX97" s="6">
        <f>COUNTIF(ParticipationJanvier1[[#This Row],[1]:[31]],Code15)</f>
        <v>1</v>
      </c>
      <c r="AY97" s="6">
        <f>COUNTIF(ParticipationJanvier1[[#This Row],[1]:[31]],Code16)</f>
        <v>0</v>
      </c>
      <c r="AZ97" s="6">
        <f>COUNTIF(ParticipationJanvier1[[#This Row],[1]:[31]],Code17)</f>
        <v>0</v>
      </c>
      <c r="BA97" s="6">
        <f>COUNTIF(ParticipationJanvier1[[#This Row],[1]:[31]],Code25)</f>
        <v>0</v>
      </c>
      <c r="BB97" s="6">
        <f>COUNTIF(ParticipationJanvier1[[#This Row],[1]:[31]],Code26)</f>
        <v>0</v>
      </c>
      <c r="BC97" s="6">
        <f>COUNTIF(ParticipationJanvier1[[#This Row],[1]:[31]],Code27)</f>
        <v>0</v>
      </c>
      <c r="BD97" s="6">
        <f>COUNTIF(ParticipationJanvier1[[#This Row],[1]:[31]],Code28)</f>
        <v>0</v>
      </c>
      <c r="BE97" s="6">
        <f>COUNTIF(ParticipationJanvier1[[#This Row],[1]:[31]],code30)</f>
        <v>0</v>
      </c>
      <c r="BF97" s="6">
        <f>COUNTIF(ParticipationJanvier1[[#This Row],[1]:[31]],Code31)</f>
        <v>0</v>
      </c>
      <c r="BG97" s="6">
        <f>COUNTIF(ParticipationJanvier1[[#This Row],[1]:[31]],code21)</f>
        <v>1</v>
      </c>
      <c r="BH97" s="6">
        <f>COUNTIF(ParticipationJanvier1[[#This Row],[1]:[31]],Code24)</f>
        <v>0</v>
      </c>
      <c r="BI97" s="6">
        <f>COUNTIF(ParticipationJanvier1[[#This Row],[1]:[31]],code18)</f>
        <v>0</v>
      </c>
      <c r="BJ97" s="6">
        <f>COUNTIF(ParticipationJanvier1[[#This Row],[1]:[31]],code19)</f>
        <v>0</v>
      </c>
      <c r="BK97" s="6">
        <f>COUNTIF(ParticipationJanvier1[[#This Row],[1]:[31]],code20)</f>
        <v>0</v>
      </c>
      <c r="BL97" s="182">
        <f>COUNTIF(ParticipationJanvier1[[#This Row],[1]:[31]],code29)</f>
        <v>0</v>
      </c>
      <c r="BM97" s="297">
        <v>3</v>
      </c>
      <c r="BN97" s="297"/>
      <c r="BO97" s="297"/>
      <c r="BP97" s="297"/>
      <c r="BQ97" s="297"/>
      <c r="BR97" s="307"/>
      <c r="BS97" s="297"/>
      <c r="BT97" s="297"/>
      <c r="BU97" s="297"/>
      <c r="BV97" s="297"/>
      <c r="BW97" s="297"/>
      <c r="BX97" s="297"/>
      <c r="BY97" s="297"/>
      <c r="BZ97" s="297"/>
      <c r="CA97" s="297"/>
      <c r="CB97" s="297"/>
      <c r="CC97" s="297"/>
      <c r="CD97" s="297"/>
      <c r="CE97" s="297"/>
      <c r="CF97" s="297"/>
      <c r="CG97" s="297">
        <v>1</v>
      </c>
      <c r="CH97" s="297"/>
      <c r="CI97" s="297"/>
      <c r="CJ97" s="297">
        <v>1</v>
      </c>
      <c r="CK97" s="297"/>
      <c r="CL97" s="297"/>
      <c r="CM97" s="297"/>
      <c r="CN97" s="297"/>
      <c r="CO97" s="297"/>
      <c r="CP97" s="297"/>
      <c r="CQ97" s="297"/>
      <c r="CR97" s="297"/>
      <c r="CS97" s="297"/>
      <c r="CT97" s="297"/>
      <c r="CU97" s="300"/>
      <c r="CV97" s="165">
        <f t="shared" si="0"/>
        <v>11</v>
      </c>
      <c r="CW97" s="165">
        <f t="shared" si="4"/>
        <v>6</v>
      </c>
      <c r="CX97" s="249">
        <f t="shared" si="2"/>
        <v>0</v>
      </c>
      <c r="CY97" s="170"/>
    </row>
    <row r="98" spans="1:103">
      <c r="A98" s="510" t="s">
        <v>439</v>
      </c>
      <c r="B98" s="372" t="str">
        <f>IFERROR(VLOOKUP(ParticipationJanvier1[[#This Row],[Référence]],ListeÉtudiants1[],18,FALSE),"")</f>
        <v>MARIE-ANAIS OLIVIER</v>
      </c>
      <c r="G98" s="525"/>
      <c r="I98" s="525"/>
      <c r="K98" s="525"/>
      <c r="M98" s="525"/>
      <c r="N98" s="19"/>
      <c r="O98" s="518"/>
      <c r="P98" s="19"/>
      <c r="Q98" s="518"/>
      <c r="R98" s="19"/>
      <c r="S98" s="518"/>
      <c r="T98" s="19"/>
      <c r="U98" s="525"/>
      <c r="W98" s="525"/>
      <c r="Y98" s="525"/>
      <c r="AA98" s="525"/>
      <c r="AC98" s="525"/>
      <c r="AE98" s="525"/>
      <c r="AG98" s="519"/>
      <c r="AH98" s="475">
        <f>COUNTIF(ParticipationJanvier1[[#This Row],[1]:[31]],Code1)</f>
        <v>0</v>
      </c>
      <c r="AI98" s="518">
        <f>COUNTIF(ParticipationJanvier1[[#This Row],[1]:[31]],code22)</f>
        <v>0</v>
      </c>
      <c r="AJ98" s="473">
        <f>COUNTIF(ParticipationJanvier1[[#This Row],[1]:[31]],Code2)</f>
        <v>0</v>
      </c>
      <c r="AK98" s="520">
        <f>COUNTIF(ParticipationJanvier1[[#This Row],[1]:[31]],Code3)</f>
        <v>0</v>
      </c>
      <c r="AL98" s="473">
        <f>COUNTIF(ParticipationJanvier1[[#This Row],[1]:[31]],Code4)</f>
        <v>0</v>
      </c>
      <c r="AM98" s="520">
        <f>COUNTIF(ParticipationJanvier1[[#This Row],[1]:[31]],Code5)</f>
        <v>0</v>
      </c>
      <c r="AN98" s="30">
        <f>COUNTIF(ParticipationJanvier1[[#This Row],[1]:[31]],Code23)</f>
        <v>0</v>
      </c>
      <c r="AO98" s="473">
        <f>COUNTIF(ParticipationJanvier1[[#This Row],[1]:[31]],Code6)</f>
        <v>0</v>
      </c>
      <c r="AP98" s="30">
        <f>COUNTIF(ParticipationJanvier1[[#This Row],[1]:[31]],Code7)</f>
        <v>0</v>
      </c>
      <c r="AQ98" s="30">
        <f>COUNTIF(ParticipationJanvier1[[#This Row],[1]:[31]],Code8)</f>
        <v>0</v>
      </c>
      <c r="AR98" s="30">
        <f>COUNTIF(ParticipationJanvier1[[#This Row],[1]:[31]],Code9)</f>
        <v>0</v>
      </c>
      <c r="AS98" s="473">
        <f>COUNTIF(ParticipationJanvier1[[#This Row],[1]:[31]],Code10)</f>
        <v>0</v>
      </c>
      <c r="AT98" s="473">
        <f>COUNTIF(ParticipationJanvier1[[#This Row],[1]:[31]],Code11)</f>
        <v>0</v>
      </c>
      <c r="AU98" s="473">
        <f>COUNTIF(ParticipationJanvier1[[#This Row],[1]:[31]],Code12)</f>
        <v>0</v>
      </c>
      <c r="AV98" s="473">
        <f>COUNTIF(ParticipationJanvier1[[#This Row],[1]:[31]],Code13)</f>
        <v>0</v>
      </c>
      <c r="AW98" s="473">
        <f>COUNTIF(ParticipationJanvier1[[#This Row],[1]:[31]],Code14)</f>
        <v>0</v>
      </c>
      <c r="AX98" s="473">
        <f>COUNTIF(ParticipationJanvier1[[#This Row],[1]:[31]],Code15)</f>
        <v>0</v>
      </c>
      <c r="AY98" s="473">
        <f>COUNTIF(ParticipationJanvier1[[#This Row],[1]:[31]],Code16)</f>
        <v>0</v>
      </c>
      <c r="AZ98" s="473">
        <f>COUNTIF(ParticipationJanvier1[[#This Row],[1]:[31]],Code17)</f>
        <v>0</v>
      </c>
      <c r="BA98" s="475">
        <f>COUNTIF(ParticipationJanvier1[[#This Row],[1]:[31]],Code25)</f>
        <v>0</v>
      </c>
      <c r="BB98" s="475">
        <f>COUNTIF(ParticipationJanvier1[[#This Row],[1]:[31]],Code26)</f>
        <v>0</v>
      </c>
      <c r="BC98" s="475">
        <f>COUNTIF(ParticipationJanvier1[[#This Row],[1]:[31]],Code27)</f>
        <v>0</v>
      </c>
      <c r="BD98" s="475">
        <f>COUNTIF(ParticipationJanvier1[[#This Row],[1]:[31]],Code28)</f>
        <v>0</v>
      </c>
      <c r="BE98" s="475">
        <f>COUNTIF(ParticipationJanvier1[[#This Row],[1]:[31]],code30)</f>
        <v>0</v>
      </c>
      <c r="BF98" s="475">
        <f>COUNTIF(ParticipationJanvier1[[#This Row],[1]:[31]],Code31)</f>
        <v>0</v>
      </c>
      <c r="BG98" s="473">
        <f>COUNTIF(ParticipationJanvier1[[#This Row],[1]:[31]],code21)</f>
        <v>0</v>
      </c>
      <c r="BH98" s="473">
        <f>COUNTIF(ParticipationJanvier1[[#This Row],[1]:[31]],Code24)</f>
        <v>0</v>
      </c>
      <c r="BI98" s="473">
        <f>COUNTIF(ParticipationJanvier1[[#This Row],[1]:[31]],code18)</f>
        <v>0</v>
      </c>
      <c r="BJ98" s="473">
        <f>COUNTIF(ParticipationJanvier1[[#This Row],[1]:[31]],code19)</f>
        <v>0</v>
      </c>
      <c r="BK98" s="473">
        <f>COUNTIF(ParticipationJanvier1[[#This Row],[1]:[31]],code20)</f>
        <v>0</v>
      </c>
      <c r="BL98" s="476">
        <f>COUNTIF(ParticipationJanvier1[[#This Row],[1]:[31]],code29)</f>
        <v>0</v>
      </c>
      <c r="BM98" s="472">
        <f>SUM((AH98*1)+(AI105*1.5)+(AJ98*2)+(AK98*3)+(AL98*4)+(AQ98*5)+(AR98*6)+(AS98*7)+(AW98*2)+(AX98*3)+(AY98*4)+(AZ98*5)+(BG98*2))</f>
        <v>0</v>
      </c>
      <c r="BN98" s="472"/>
      <c r="BO98" s="472"/>
      <c r="BP98" s="472"/>
      <c r="BQ98" s="472"/>
      <c r="BR98" s="473"/>
      <c r="BS98" s="472"/>
      <c r="BT98" s="472"/>
      <c r="BU98" s="472"/>
      <c r="BV98" s="472"/>
      <c r="BW98" s="472"/>
      <c r="BX98" s="472"/>
      <c r="BY98" s="472"/>
      <c r="BZ98" s="472"/>
      <c r="CA98" s="472"/>
      <c r="CB98" s="472"/>
      <c r="CC98" s="472"/>
      <c r="CD98" s="472"/>
      <c r="CE98" s="472"/>
      <c r="CF98" s="472"/>
      <c r="CG98" s="472"/>
      <c r="CH98" s="472"/>
      <c r="CI98" s="472"/>
      <c r="CJ98" s="472"/>
      <c r="CK98" s="472"/>
      <c r="CL98" s="472"/>
      <c r="CM98" s="472"/>
      <c r="CN98" s="472"/>
      <c r="CO98" s="472"/>
      <c r="CP98" s="472"/>
      <c r="CQ98" s="472"/>
      <c r="CR98" s="472"/>
      <c r="CS98" s="472"/>
      <c r="CT98" s="472"/>
      <c r="CU98" s="516">
        <f>SUM((AN98*1)+(AM98*2)+(AO98*3)+(AP98*4)+(AT98*5)+(AU98*7)+(AV98*7)+(AW98*7)+(AX98*4)+(AY98*3)+(BA98*2)+(BC98*4)+(BB98*1)+(BG98*2)+(AZ98*5)+(BD98*1))</f>
        <v>0</v>
      </c>
      <c r="CV98" s="521">
        <f>SUM((AH98*1)+(AI98*1.5)+(AJ98*2)+(AK98*3)+(AP98*5)+(AQ98*6)+(AR98*7)+(AU98*2)+(AX98*3)+(AY98*4)+(BA98*5)+(BB98*3)+(BC98*2)+(BG98*2)+(AZ98*2)+(BD98*2))</f>
        <v>0</v>
      </c>
      <c r="CW98" s="522">
        <f>SUM((AN98*1)+(AM98*2)+(AO98*3)+(AP98*4)+(AT98*5)+(AU98*7)+(AV98*7)+(AW98*7)+(AX98*4)+(AY98*3)+(BA98*2)+(BC98*4)+(BB98*1)+(BG98*2)+(AZ98*5)+(BD98*1))</f>
        <v>0</v>
      </c>
      <c r="CX98" s="523">
        <f>BH98*1</f>
        <v>0</v>
      </c>
      <c r="CY98" s="512"/>
    </row>
    <row r="99" spans="1:103">
      <c r="A99" s="510" t="s">
        <v>440</v>
      </c>
      <c r="B99" s="372" t="str">
        <f>IFERROR(VLOOKUP(ParticipationJanvier1[[#This Row],[Référence]],ListeÉtudiants1[],18,FALSE),"")</f>
        <v>MATEUS ANDREA</v>
      </c>
      <c r="G99" s="291"/>
      <c r="I99" s="291"/>
      <c r="K99" s="291"/>
      <c r="M99" s="291"/>
      <c r="N99" s="19" t="s">
        <v>507</v>
      </c>
      <c r="O99" s="19"/>
      <c r="P99" s="19"/>
      <c r="Q99" s="19" t="s">
        <v>490</v>
      </c>
      <c r="R99" s="19" t="s">
        <v>106</v>
      </c>
      <c r="S99" s="19" t="s">
        <v>107</v>
      </c>
      <c r="T99" s="19"/>
      <c r="U99" s="291"/>
      <c r="W99" s="291"/>
      <c r="Y99" s="291"/>
      <c r="AA99" s="291"/>
      <c r="AC99" s="291"/>
      <c r="AE99" s="291"/>
      <c r="AG99" s="326"/>
      <c r="AH99" s="6">
        <f>COUNTIF(ParticipationJanvier1[[#This Row],[1]:[31]],Code1)</f>
        <v>0</v>
      </c>
      <c r="AI99" s="6">
        <f>COUNTIF(ParticipationJanvier1[[#This Row],[1]:[31]],code22)</f>
        <v>0</v>
      </c>
      <c r="AJ99" s="6">
        <f>COUNTIF(ParticipationJanvier1[[#This Row],[1]:[31]],Code2)</f>
        <v>0</v>
      </c>
      <c r="AK99" s="6">
        <f>COUNTIF(ParticipationJanvier1[[#This Row],[1]:[31]],Code3)</f>
        <v>1</v>
      </c>
      <c r="AL99" s="6">
        <f>COUNTIF(ParticipationJanvier1[[#This Row],[1]:[31]],Code4)</f>
        <v>1</v>
      </c>
      <c r="AM99" s="6">
        <f>COUNTIF(ParticipationJanvier1[[#This Row],[1]:[31]],Code5)</f>
        <v>0</v>
      </c>
      <c r="AN99" s="6">
        <f>COUNTIF(ParticipationJanvier1[[#This Row],[1]:[31]],Code23)</f>
        <v>0</v>
      </c>
      <c r="AO99" s="6">
        <f>COUNTIF(ParticipationJanvier1[[#This Row],[1]:[31]],Code6)</f>
        <v>0</v>
      </c>
      <c r="AP99" s="6">
        <f>COUNTIF(ParticipationJanvier1[[#This Row],[1]:[31]],Code7)</f>
        <v>0</v>
      </c>
      <c r="AQ99" s="6">
        <f>COUNTIF(ParticipationJanvier1[[#This Row],[1]:[31]],Code8)</f>
        <v>0</v>
      </c>
      <c r="AR99" s="6">
        <f>COUNTIF(ParticipationJanvier1[[#This Row],[1]:[31]],Code9)</f>
        <v>0</v>
      </c>
      <c r="AS99" s="6">
        <f>COUNTIF(ParticipationJanvier1[[#This Row],[1]:[31]],Code10)</f>
        <v>0</v>
      </c>
      <c r="AT99" s="6">
        <f>COUNTIF(ParticipationJanvier1[[#This Row],[1]:[31]],Code11)</f>
        <v>0</v>
      </c>
      <c r="AU99" s="6">
        <f>COUNTIF(ParticipationJanvier1[[#This Row],[1]:[31]],Code12)</f>
        <v>0</v>
      </c>
      <c r="AV99" s="6">
        <f>COUNTIF(ParticipationJanvier1[[#This Row],[1]:[31]],Code13)</f>
        <v>0</v>
      </c>
      <c r="AW99" s="6">
        <f>COUNTIF(ParticipationJanvier1[[#This Row],[1]:[31]],Code14)</f>
        <v>0</v>
      </c>
      <c r="AX99" s="6">
        <f>COUNTIF(ParticipationJanvier1[[#This Row],[1]:[31]],Code15)</f>
        <v>1</v>
      </c>
      <c r="AY99" s="6">
        <f>COUNTIF(ParticipationJanvier1[[#This Row],[1]:[31]],Code16)</f>
        <v>0</v>
      </c>
      <c r="AZ99" s="6">
        <f>COUNTIF(ParticipationJanvier1[[#This Row],[1]:[31]],Code17)</f>
        <v>0</v>
      </c>
      <c r="BA99" s="6">
        <f>COUNTIF(ParticipationJanvier1[[#This Row],[1]:[31]],Code25)</f>
        <v>0</v>
      </c>
      <c r="BB99" s="6">
        <f>COUNTIF(ParticipationJanvier1[[#This Row],[1]:[31]],Code26)</f>
        <v>0</v>
      </c>
      <c r="BC99" s="6">
        <f>COUNTIF(ParticipationJanvier1[[#This Row],[1]:[31]],Code27)</f>
        <v>0</v>
      </c>
      <c r="BD99" s="6">
        <f>COUNTIF(ParticipationJanvier1[[#This Row],[1]:[31]],Code28)</f>
        <v>0</v>
      </c>
      <c r="BE99" s="6">
        <f>COUNTIF(ParticipationJanvier1[[#This Row],[1]:[31]],code30)</f>
        <v>0</v>
      </c>
      <c r="BF99" s="6">
        <f>COUNTIF(ParticipationJanvier1[[#This Row],[1]:[31]],Code31)</f>
        <v>0</v>
      </c>
      <c r="BG99" s="6">
        <f>COUNTIF(ParticipationJanvier1[[#This Row],[1]:[31]],code21)</f>
        <v>1</v>
      </c>
      <c r="BH99" s="6">
        <f>COUNTIF(ParticipationJanvier1[[#This Row],[1]:[31]],Code24)</f>
        <v>0</v>
      </c>
      <c r="BI99" s="6">
        <f>COUNTIF(ParticipationJanvier1[[#This Row],[1]:[31]],code18)</f>
        <v>0</v>
      </c>
      <c r="BJ99" s="6">
        <f>COUNTIF(ParticipationJanvier1[[#This Row],[1]:[31]],code19)</f>
        <v>0</v>
      </c>
      <c r="BK99" s="6">
        <f>COUNTIF(ParticipationJanvier1[[#This Row],[1]:[31]],code20)</f>
        <v>0</v>
      </c>
      <c r="BL99" s="182">
        <f>COUNTIF(ParticipationJanvier1[[#This Row],[1]:[31]],code29)</f>
        <v>0</v>
      </c>
      <c r="BM99" s="297">
        <v>3</v>
      </c>
      <c r="BN99" s="297"/>
      <c r="BO99" s="297"/>
      <c r="BP99" s="297"/>
      <c r="BQ99" s="297"/>
      <c r="BR99" s="307"/>
      <c r="BS99" s="297"/>
      <c r="BT99" s="297"/>
      <c r="BU99" s="297"/>
      <c r="BV99" s="297"/>
      <c r="BW99" s="297"/>
      <c r="BX99" s="297"/>
      <c r="BY99" s="297"/>
      <c r="BZ99" s="297"/>
      <c r="CA99" s="297"/>
      <c r="CB99" s="297"/>
      <c r="CC99" s="297"/>
      <c r="CD99" s="297"/>
      <c r="CE99" s="297"/>
      <c r="CF99" s="297"/>
      <c r="CG99" s="297">
        <v>1</v>
      </c>
      <c r="CH99" s="297"/>
      <c r="CI99" s="297"/>
      <c r="CJ99" s="297"/>
      <c r="CK99" s="297"/>
      <c r="CL99" s="297"/>
      <c r="CM99" s="297"/>
      <c r="CN99" s="297"/>
      <c r="CO99" s="297"/>
      <c r="CP99" s="297"/>
      <c r="CQ99" s="297"/>
      <c r="CR99" s="297"/>
      <c r="CS99" s="297"/>
      <c r="CT99" s="297"/>
      <c r="CU99" s="300"/>
      <c r="CV99" s="165">
        <f t="shared" si="0"/>
        <v>8</v>
      </c>
      <c r="CW99" s="165">
        <f t="shared" si="4"/>
        <v>6</v>
      </c>
      <c r="CX99" s="249">
        <f t="shared" si="2"/>
        <v>0</v>
      </c>
      <c r="CY99" s="170"/>
    </row>
    <row r="100" spans="1:103">
      <c r="A100" s="534" t="s">
        <v>441</v>
      </c>
      <c r="B100" s="372" t="str">
        <f>IFERROR(VLOOKUP(ParticipationJanvier1[[#This Row],[Référence]],ListeÉtudiants1[],18,FALSE),"")</f>
        <v>MAWETE  JESSICA</v>
      </c>
      <c r="G100" s="525"/>
      <c r="I100" s="525"/>
      <c r="K100" s="525"/>
      <c r="M100" s="525"/>
      <c r="N100" s="19"/>
      <c r="O100" s="518"/>
      <c r="P100" s="19"/>
      <c r="Q100" s="518"/>
      <c r="R100" s="19"/>
      <c r="S100" s="518"/>
      <c r="T100" s="19"/>
      <c r="U100" s="525"/>
      <c r="W100" s="525"/>
      <c r="Y100" s="525"/>
      <c r="AA100" s="525"/>
      <c r="AC100" s="525"/>
      <c r="AE100" s="525"/>
      <c r="AG100" s="519"/>
      <c r="AH100" s="475">
        <f>COUNTIF(ParticipationJanvier1[[#This Row],[1]:[31]],Code1)</f>
        <v>0</v>
      </c>
      <c r="AI100" s="518">
        <f>COUNTIF(ParticipationJanvier1[[#This Row],[1]:[31]],code22)</f>
        <v>0</v>
      </c>
      <c r="AJ100" s="473">
        <f>COUNTIF(ParticipationJanvier1[[#This Row],[1]:[31]],Code2)</f>
        <v>0</v>
      </c>
      <c r="AK100" s="520">
        <f>COUNTIF(ParticipationJanvier1[[#This Row],[1]:[31]],Code3)</f>
        <v>0</v>
      </c>
      <c r="AL100" s="473">
        <f>COUNTIF(ParticipationJanvier1[[#This Row],[1]:[31]],Code4)</f>
        <v>0</v>
      </c>
      <c r="AM100" s="520">
        <f>COUNTIF(ParticipationJanvier1[[#This Row],[1]:[31]],Code5)</f>
        <v>0</v>
      </c>
      <c r="AN100" s="30">
        <f>COUNTIF(ParticipationJanvier1[[#This Row],[1]:[31]],Code23)</f>
        <v>0</v>
      </c>
      <c r="AO100" s="473">
        <f>COUNTIF(ParticipationJanvier1[[#This Row],[1]:[31]],Code6)</f>
        <v>0</v>
      </c>
      <c r="AP100" s="30">
        <f>COUNTIF(ParticipationJanvier1[[#This Row],[1]:[31]],Code7)</f>
        <v>0</v>
      </c>
      <c r="AQ100" s="30">
        <f>COUNTIF(ParticipationJanvier1[[#This Row],[1]:[31]],Code8)</f>
        <v>0</v>
      </c>
      <c r="AR100" s="30">
        <f>COUNTIF(ParticipationJanvier1[[#This Row],[1]:[31]],Code9)</f>
        <v>0</v>
      </c>
      <c r="AS100" s="473">
        <f>COUNTIF(ParticipationJanvier1[[#This Row],[1]:[31]],Code10)</f>
        <v>0</v>
      </c>
      <c r="AT100" s="473">
        <f>COUNTIF(ParticipationJanvier1[[#This Row],[1]:[31]],Code11)</f>
        <v>0</v>
      </c>
      <c r="AU100" s="473">
        <f>COUNTIF(ParticipationJanvier1[[#This Row],[1]:[31]],Code12)</f>
        <v>0</v>
      </c>
      <c r="AV100" s="473">
        <f>COUNTIF(ParticipationJanvier1[[#This Row],[1]:[31]],Code13)</f>
        <v>0</v>
      </c>
      <c r="AW100" s="473">
        <f>COUNTIF(ParticipationJanvier1[[#This Row],[1]:[31]],Code14)</f>
        <v>0</v>
      </c>
      <c r="AX100" s="473">
        <f>COUNTIF(ParticipationJanvier1[[#This Row],[1]:[31]],Code15)</f>
        <v>0</v>
      </c>
      <c r="AY100" s="473">
        <f>COUNTIF(ParticipationJanvier1[[#This Row],[1]:[31]],Code16)</f>
        <v>0</v>
      </c>
      <c r="AZ100" s="473">
        <f>COUNTIF(ParticipationJanvier1[[#This Row],[1]:[31]],Code17)</f>
        <v>0</v>
      </c>
      <c r="BA100" s="475">
        <f>COUNTIF(ParticipationJanvier1[[#This Row],[1]:[31]],Code25)</f>
        <v>0</v>
      </c>
      <c r="BB100" s="475">
        <f>COUNTIF(ParticipationJanvier1[[#This Row],[1]:[31]],Code26)</f>
        <v>0</v>
      </c>
      <c r="BC100" s="475">
        <f>COUNTIF(ParticipationJanvier1[[#This Row],[1]:[31]],Code27)</f>
        <v>0</v>
      </c>
      <c r="BD100" s="475">
        <f>COUNTIF(ParticipationJanvier1[[#This Row],[1]:[31]],Code28)</f>
        <v>0</v>
      </c>
      <c r="BE100" s="475">
        <f>COUNTIF(ParticipationJanvier1[[#This Row],[1]:[31]],code30)</f>
        <v>0</v>
      </c>
      <c r="BF100" s="475">
        <f>COUNTIF(ParticipationJanvier1[[#This Row],[1]:[31]],Code31)</f>
        <v>0</v>
      </c>
      <c r="BG100" s="473">
        <f>COUNTIF(ParticipationJanvier1[[#This Row],[1]:[31]],code21)</f>
        <v>0</v>
      </c>
      <c r="BH100" s="473">
        <f>COUNTIF(ParticipationJanvier1[[#This Row],[1]:[31]],Code24)</f>
        <v>0</v>
      </c>
      <c r="BI100" s="473">
        <f>COUNTIF(ParticipationJanvier1[[#This Row],[1]:[31]],code18)</f>
        <v>0</v>
      </c>
      <c r="BJ100" s="473">
        <f>COUNTIF(ParticipationJanvier1[[#This Row],[1]:[31]],code19)</f>
        <v>0</v>
      </c>
      <c r="BK100" s="473">
        <f>COUNTIF(ParticipationJanvier1[[#This Row],[1]:[31]],code20)</f>
        <v>0</v>
      </c>
      <c r="BL100" s="476">
        <f>COUNTIF(ParticipationJanvier1[[#This Row],[1]:[31]],code29)</f>
        <v>0</v>
      </c>
      <c r="BM100" s="472">
        <f>SUM((AH100*1)+(AI106*1.5)+(AJ100*2)+(AK100*3)+(AL100*4)+(AQ100*5)+(AR100*6)+(AS100*7)+(AW100*2)+(AX100*3)+(AY100*4)+(AZ100*5)+(BG100*2))</f>
        <v>0</v>
      </c>
      <c r="BN100" s="472"/>
      <c r="BO100" s="472"/>
      <c r="BP100" s="472"/>
      <c r="BQ100" s="472"/>
      <c r="BR100" s="473"/>
      <c r="BS100" s="472"/>
      <c r="BT100" s="472"/>
      <c r="BU100" s="472"/>
      <c r="BV100" s="472"/>
      <c r="BW100" s="472"/>
      <c r="BX100" s="472"/>
      <c r="BY100" s="472"/>
      <c r="BZ100" s="472"/>
      <c r="CA100" s="472"/>
      <c r="CB100" s="472"/>
      <c r="CC100" s="472"/>
      <c r="CD100" s="472"/>
      <c r="CE100" s="472"/>
      <c r="CF100" s="472"/>
      <c r="CG100" s="472"/>
      <c r="CH100" s="472"/>
      <c r="CI100" s="472"/>
      <c r="CJ100" s="472"/>
      <c r="CK100" s="472"/>
      <c r="CL100" s="472"/>
      <c r="CM100" s="472"/>
      <c r="CN100" s="472"/>
      <c r="CO100" s="472"/>
      <c r="CP100" s="472"/>
      <c r="CQ100" s="472"/>
      <c r="CR100" s="472"/>
      <c r="CS100" s="472"/>
      <c r="CT100" s="472"/>
      <c r="CU100" s="516">
        <f>SUM((AN100*1)+(AM100*2)+(AO100*3)+(AP100*4)+(AT100*5)+(AU100*7)+(AV100*7)+(AW100*7)+(AX100*4)+(AY100*3)+(BA100*2)+(BC100*4)+(BB100*1)+(BG100*2)+(AZ100*5)+(BD100*1))</f>
        <v>0</v>
      </c>
      <c r="CV100" s="521">
        <f>SUM((AH100*1)+(AI100*1.5)+(AJ100*2)+(AK100*3)+(AP100*5)+(AQ100*6)+(AR100*7)+(AU100*2)+(AX100*3)+(AY100*4)+(BA100*5)+(BB100*3)+(BC100*2)+(BG100*2)+(AZ100*2)+(BD100*2))</f>
        <v>0</v>
      </c>
      <c r="CW100" s="522">
        <f>SUM((AN100*1)+(AM100*2)+(AO100*3)+(AP100*4)+(AT100*5)+(AU100*7)+(AV100*7)+(AW100*7)+(AX100*4)+(AY100*3)+(BA100*2)+(BC100*4)+(BB100*1)+(BG100*2)+(AZ100*5)+(BD100*1))</f>
        <v>0</v>
      </c>
      <c r="CX100" s="523">
        <f>BH100*1</f>
        <v>0</v>
      </c>
      <c r="CY100" s="512"/>
    </row>
    <row r="101" spans="1:103">
      <c r="A101" s="510" t="s">
        <v>442</v>
      </c>
      <c r="B101" s="372" t="str">
        <f>IFERROR(VLOOKUP(ParticipationJanvier1[[#This Row],[Référence]],ListeÉtudiants1[],18,FALSE),"")</f>
        <v>MAZIERS LAURENCE</v>
      </c>
      <c r="G101" s="291"/>
      <c r="I101" s="291"/>
      <c r="K101" s="291"/>
      <c r="M101" s="291"/>
      <c r="N101" s="19" t="s">
        <v>105</v>
      </c>
      <c r="O101" s="19"/>
      <c r="P101" s="19"/>
      <c r="Q101" s="19" t="s">
        <v>490</v>
      </c>
      <c r="R101" s="19" t="s">
        <v>106</v>
      </c>
      <c r="S101" s="19" t="s">
        <v>107</v>
      </c>
      <c r="T101" s="19" t="s">
        <v>106</v>
      </c>
      <c r="U101" s="291"/>
      <c r="W101" s="291"/>
      <c r="Y101" s="291"/>
      <c r="AA101" s="291"/>
      <c r="AC101" s="291"/>
      <c r="AE101" s="291"/>
      <c r="AG101" s="326"/>
      <c r="AH101" s="6">
        <f>COUNTIF(ParticipationJanvier1[[#This Row],[1]:[31]],Code1)</f>
        <v>0</v>
      </c>
      <c r="AI101" s="6">
        <f>COUNTIF(ParticipationJanvier1[[#This Row],[1]:[31]],code22)</f>
        <v>0</v>
      </c>
      <c r="AJ101" s="6">
        <f>COUNTIF(ParticipationJanvier1[[#This Row],[1]:[31]],Code2)</f>
        <v>1</v>
      </c>
      <c r="AK101" s="6">
        <f>COUNTIF(ParticipationJanvier1[[#This Row],[1]:[31]],Code3)</f>
        <v>2</v>
      </c>
      <c r="AL101" s="6">
        <f>COUNTIF(ParticipationJanvier1[[#This Row],[1]:[31]],Code4)</f>
        <v>1</v>
      </c>
      <c r="AM101" s="6">
        <f>COUNTIF(ParticipationJanvier1[[#This Row],[1]:[31]],Code5)</f>
        <v>0</v>
      </c>
      <c r="AN101" s="6">
        <f>COUNTIF(ParticipationJanvier1[[#This Row],[1]:[31]],Code23)</f>
        <v>0</v>
      </c>
      <c r="AO101" s="6">
        <f>COUNTIF(ParticipationJanvier1[[#This Row],[1]:[31]],Code6)</f>
        <v>0</v>
      </c>
      <c r="AP101" s="6">
        <f>COUNTIF(ParticipationJanvier1[[#This Row],[1]:[31]],Code7)</f>
        <v>0</v>
      </c>
      <c r="AQ101" s="6">
        <f>COUNTIF(ParticipationJanvier1[[#This Row],[1]:[31]],Code8)</f>
        <v>0</v>
      </c>
      <c r="AR101" s="6">
        <f>COUNTIF(ParticipationJanvier1[[#This Row],[1]:[31]],Code9)</f>
        <v>0</v>
      </c>
      <c r="AS101" s="6">
        <f>COUNTIF(ParticipationJanvier1[[#This Row],[1]:[31]],Code10)</f>
        <v>0</v>
      </c>
      <c r="AT101" s="6">
        <f>COUNTIF(ParticipationJanvier1[[#This Row],[1]:[31]],Code11)</f>
        <v>0</v>
      </c>
      <c r="AU101" s="6">
        <f>COUNTIF(ParticipationJanvier1[[#This Row],[1]:[31]],Code12)</f>
        <v>0</v>
      </c>
      <c r="AV101" s="6">
        <f>COUNTIF(ParticipationJanvier1[[#This Row],[1]:[31]],Code13)</f>
        <v>0</v>
      </c>
      <c r="AW101" s="6">
        <f>COUNTIF(ParticipationJanvier1[[#This Row],[1]:[31]],Code14)</f>
        <v>0</v>
      </c>
      <c r="AX101" s="6">
        <f>COUNTIF(ParticipationJanvier1[[#This Row],[1]:[31]],Code15)</f>
        <v>1</v>
      </c>
      <c r="AY101" s="6">
        <f>COUNTIF(ParticipationJanvier1[[#This Row],[1]:[31]],Code16)</f>
        <v>0</v>
      </c>
      <c r="AZ101" s="6">
        <f>COUNTIF(ParticipationJanvier1[[#This Row],[1]:[31]],Code17)</f>
        <v>0</v>
      </c>
      <c r="BA101" s="6">
        <f>COUNTIF(ParticipationJanvier1[[#This Row],[1]:[31]],Code25)</f>
        <v>0</v>
      </c>
      <c r="BB101" s="6">
        <f>COUNTIF(ParticipationJanvier1[[#This Row],[1]:[31]],Code26)</f>
        <v>0</v>
      </c>
      <c r="BC101" s="6">
        <f>COUNTIF(ParticipationJanvier1[[#This Row],[1]:[31]],Code27)</f>
        <v>0</v>
      </c>
      <c r="BD101" s="6">
        <f>COUNTIF(ParticipationJanvier1[[#This Row],[1]:[31]],Code28)</f>
        <v>0</v>
      </c>
      <c r="BE101" s="6">
        <f>COUNTIF(ParticipationJanvier1[[#This Row],[1]:[31]],code30)</f>
        <v>0</v>
      </c>
      <c r="BF101" s="6">
        <f>COUNTIF(ParticipationJanvier1[[#This Row],[1]:[31]],Code31)</f>
        <v>0</v>
      </c>
      <c r="BG101" s="6">
        <f>COUNTIF(ParticipationJanvier1[[#This Row],[1]:[31]],code21)</f>
        <v>0</v>
      </c>
      <c r="BH101" s="6">
        <f>COUNTIF(ParticipationJanvier1[[#This Row],[1]:[31]],Code24)</f>
        <v>0</v>
      </c>
      <c r="BI101" s="6">
        <f>COUNTIF(ParticipationJanvier1[[#This Row],[1]:[31]],code18)</f>
        <v>0</v>
      </c>
      <c r="BJ101" s="6">
        <f>COUNTIF(ParticipationJanvier1[[#This Row],[1]:[31]],code19)</f>
        <v>0</v>
      </c>
      <c r="BK101" s="6">
        <f>COUNTIF(ParticipationJanvier1[[#This Row],[1]:[31]],code20)</f>
        <v>0</v>
      </c>
      <c r="BL101" s="182">
        <f>COUNTIF(ParticipationJanvier1[[#This Row],[1]:[31]],code29)</f>
        <v>0</v>
      </c>
      <c r="BM101" s="297">
        <v>3</v>
      </c>
      <c r="BN101" s="297"/>
      <c r="BO101" s="297"/>
      <c r="BP101" s="297"/>
      <c r="BQ101" s="297"/>
      <c r="BR101" s="307"/>
      <c r="BS101" s="297"/>
      <c r="BT101" s="297"/>
      <c r="BU101" s="297"/>
      <c r="BV101" s="297"/>
      <c r="BW101" s="297"/>
      <c r="BX101" s="297"/>
      <c r="BY101" s="297"/>
      <c r="BZ101" s="297"/>
      <c r="CA101" s="297"/>
      <c r="CB101" s="297"/>
      <c r="CC101" s="297"/>
      <c r="CD101" s="297"/>
      <c r="CE101" s="297"/>
      <c r="CF101" s="297"/>
      <c r="CG101" s="297">
        <v>1</v>
      </c>
      <c r="CH101" s="297"/>
      <c r="CI101" s="297"/>
      <c r="CJ101" s="297">
        <v>1</v>
      </c>
      <c r="CK101" s="297"/>
      <c r="CL101" s="297"/>
      <c r="CM101" s="297"/>
      <c r="CN101" s="297"/>
      <c r="CO101" s="297"/>
      <c r="CP101" s="297"/>
      <c r="CQ101" s="297"/>
      <c r="CR101" s="297"/>
      <c r="CS101" s="297"/>
      <c r="CT101" s="297"/>
      <c r="CU101" s="300"/>
      <c r="CV101" s="165">
        <f t="shared" si="0"/>
        <v>11</v>
      </c>
      <c r="CW101" s="165">
        <f t="shared" si="4"/>
        <v>4</v>
      </c>
      <c r="CX101" s="249">
        <f t="shared" si="2"/>
        <v>0</v>
      </c>
      <c r="CY101" s="170"/>
    </row>
    <row r="102" spans="1:103">
      <c r="A102" s="510" t="s">
        <v>443</v>
      </c>
      <c r="B102" s="372" t="str">
        <f>IFERROR(VLOOKUP(ParticipationJanvier1[[#This Row],[Référence]],ListeÉtudiants1[],18,FALSE),"")</f>
        <v>MENDES CORREIA GLADYS</v>
      </c>
      <c r="G102" s="525"/>
      <c r="I102" s="525"/>
      <c r="K102" s="525"/>
      <c r="M102" s="525"/>
      <c r="N102" s="19"/>
      <c r="O102" s="518"/>
      <c r="P102" s="19"/>
      <c r="Q102" s="518"/>
      <c r="R102" s="19"/>
      <c r="S102" s="518"/>
      <c r="T102" s="19"/>
      <c r="U102" s="525"/>
      <c r="W102" s="525"/>
      <c r="Y102" s="525"/>
      <c r="AA102" s="525"/>
      <c r="AC102" s="525"/>
      <c r="AE102" s="525"/>
      <c r="AG102" s="519"/>
      <c r="AH102" s="475">
        <f>COUNTIF(ParticipationJanvier1[[#This Row],[1]:[31]],Code1)</f>
        <v>0</v>
      </c>
      <c r="AI102" s="518">
        <f>COUNTIF(ParticipationJanvier1[[#This Row],[1]:[31]],code22)</f>
        <v>0</v>
      </c>
      <c r="AJ102" s="473">
        <f>COUNTIF(ParticipationJanvier1[[#This Row],[1]:[31]],Code2)</f>
        <v>0</v>
      </c>
      <c r="AK102" s="520">
        <f>COUNTIF(ParticipationJanvier1[[#This Row],[1]:[31]],Code3)</f>
        <v>0</v>
      </c>
      <c r="AL102" s="473">
        <f>COUNTIF(ParticipationJanvier1[[#This Row],[1]:[31]],Code4)</f>
        <v>0</v>
      </c>
      <c r="AM102" s="520">
        <f>COUNTIF(ParticipationJanvier1[[#This Row],[1]:[31]],Code5)</f>
        <v>0</v>
      </c>
      <c r="AN102" s="30">
        <f>COUNTIF(ParticipationJanvier1[[#This Row],[1]:[31]],Code23)</f>
        <v>0</v>
      </c>
      <c r="AO102" s="473">
        <f>COUNTIF(ParticipationJanvier1[[#This Row],[1]:[31]],Code6)</f>
        <v>0</v>
      </c>
      <c r="AP102" s="30">
        <f>COUNTIF(ParticipationJanvier1[[#This Row],[1]:[31]],Code7)</f>
        <v>0</v>
      </c>
      <c r="AQ102" s="30">
        <f>COUNTIF(ParticipationJanvier1[[#This Row],[1]:[31]],Code8)</f>
        <v>0</v>
      </c>
      <c r="AR102" s="30">
        <f>COUNTIF(ParticipationJanvier1[[#This Row],[1]:[31]],Code9)</f>
        <v>0</v>
      </c>
      <c r="AS102" s="473">
        <f>COUNTIF(ParticipationJanvier1[[#This Row],[1]:[31]],Code10)</f>
        <v>0</v>
      </c>
      <c r="AT102" s="473">
        <f>COUNTIF(ParticipationJanvier1[[#This Row],[1]:[31]],Code11)</f>
        <v>0</v>
      </c>
      <c r="AU102" s="473">
        <f>COUNTIF(ParticipationJanvier1[[#This Row],[1]:[31]],Code12)</f>
        <v>0</v>
      </c>
      <c r="AV102" s="473">
        <f>COUNTIF(ParticipationJanvier1[[#This Row],[1]:[31]],Code13)</f>
        <v>0</v>
      </c>
      <c r="AW102" s="473">
        <f>COUNTIF(ParticipationJanvier1[[#This Row],[1]:[31]],Code14)</f>
        <v>0</v>
      </c>
      <c r="AX102" s="473">
        <f>COUNTIF(ParticipationJanvier1[[#This Row],[1]:[31]],Code15)</f>
        <v>0</v>
      </c>
      <c r="AY102" s="473">
        <f>COUNTIF(ParticipationJanvier1[[#This Row],[1]:[31]],Code16)</f>
        <v>0</v>
      </c>
      <c r="AZ102" s="473">
        <f>COUNTIF(ParticipationJanvier1[[#This Row],[1]:[31]],Code17)</f>
        <v>0</v>
      </c>
      <c r="BA102" s="475">
        <f>COUNTIF(ParticipationJanvier1[[#This Row],[1]:[31]],Code25)</f>
        <v>0</v>
      </c>
      <c r="BB102" s="475">
        <f>COUNTIF(ParticipationJanvier1[[#This Row],[1]:[31]],Code26)</f>
        <v>0</v>
      </c>
      <c r="BC102" s="475">
        <f>COUNTIF(ParticipationJanvier1[[#This Row],[1]:[31]],Code27)</f>
        <v>0</v>
      </c>
      <c r="BD102" s="475">
        <f>COUNTIF(ParticipationJanvier1[[#This Row],[1]:[31]],Code28)</f>
        <v>0</v>
      </c>
      <c r="BE102" s="475">
        <f>COUNTIF(ParticipationJanvier1[[#This Row],[1]:[31]],code30)</f>
        <v>0</v>
      </c>
      <c r="BF102" s="475">
        <f>COUNTIF(ParticipationJanvier1[[#This Row],[1]:[31]],Code31)</f>
        <v>0</v>
      </c>
      <c r="BG102" s="473">
        <f>COUNTIF(ParticipationJanvier1[[#This Row],[1]:[31]],code21)</f>
        <v>0</v>
      </c>
      <c r="BH102" s="473">
        <f>COUNTIF(ParticipationJanvier1[[#This Row],[1]:[31]],Code24)</f>
        <v>0</v>
      </c>
      <c r="BI102" s="473">
        <f>COUNTIF(ParticipationJanvier1[[#This Row],[1]:[31]],code18)</f>
        <v>0</v>
      </c>
      <c r="BJ102" s="473">
        <f>COUNTIF(ParticipationJanvier1[[#This Row],[1]:[31]],code19)</f>
        <v>0</v>
      </c>
      <c r="BK102" s="473">
        <f>COUNTIF(ParticipationJanvier1[[#This Row],[1]:[31]],code20)</f>
        <v>0</v>
      </c>
      <c r="BL102" s="476">
        <f>COUNTIF(ParticipationJanvier1[[#This Row],[1]:[31]],code29)</f>
        <v>0</v>
      </c>
      <c r="BM102" s="472">
        <f>SUM((AH102*1)+(AI107*1.5)+(AJ102*2)+(AK102*3)+(AL102*4)+(AQ102*5)+(AR102*6)+(AS102*7)+(AW102*2)+(AX102*3)+(AY102*4)+(AZ102*5)+(BG102*2))</f>
        <v>0</v>
      </c>
      <c r="BN102" s="472"/>
      <c r="BO102" s="472"/>
      <c r="BP102" s="472"/>
      <c r="BQ102" s="472"/>
      <c r="BR102" s="473"/>
      <c r="BS102" s="472"/>
      <c r="BT102" s="472"/>
      <c r="BU102" s="472"/>
      <c r="BV102" s="472"/>
      <c r="BW102" s="472"/>
      <c r="BX102" s="472"/>
      <c r="BY102" s="472"/>
      <c r="BZ102" s="472"/>
      <c r="CA102" s="472"/>
      <c r="CB102" s="472"/>
      <c r="CC102" s="472"/>
      <c r="CD102" s="472"/>
      <c r="CE102" s="472"/>
      <c r="CF102" s="472"/>
      <c r="CG102" s="472"/>
      <c r="CH102" s="472"/>
      <c r="CI102" s="472"/>
      <c r="CJ102" s="472"/>
      <c r="CK102" s="472"/>
      <c r="CL102" s="472"/>
      <c r="CM102" s="472"/>
      <c r="CN102" s="472"/>
      <c r="CO102" s="472"/>
      <c r="CP102" s="472"/>
      <c r="CQ102" s="472"/>
      <c r="CR102" s="472"/>
      <c r="CS102" s="472"/>
      <c r="CT102" s="472"/>
      <c r="CU102" s="516">
        <f>SUM((AN102*1)+(AM102*2)+(AO102*3)+(AP102*4)+(AT102*5)+(AU102*7)+(AV102*7)+(AW102*7)+(AX102*4)+(AY102*3)+(BA102*2)+(BC102*4)+(BB102*1)+(BG102*2)+(AZ102*5)+(BD102*1))</f>
        <v>0</v>
      </c>
      <c r="CV102" s="521">
        <f>SUM((AH102*1)+(AI102*1.5)+(AJ102*2)+(AK102*3)+(AP102*5)+(AQ102*6)+(AR102*7)+(AU102*2)+(AX102*3)+(AY102*4)+(BA102*5)+(BB102*3)+(BC102*2)+(BG102*2)+(AZ102*2)+(BD102*2))</f>
        <v>0</v>
      </c>
      <c r="CW102" s="522">
        <f>SUM((AN102*1)+(AM102*2)+(AO102*3)+(AP102*4)+(AT102*5)+(AU102*7)+(AV102*7)+(AW102*7)+(AX102*4)+(AY102*3)+(BA102*2)+(BC102*4)+(BB102*1)+(BG102*2)+(AZ102*5)+(BD102*1))</f>
        <v>0</v>
      </c>
      <c r="CX102" s="523">
        <f>BH102*1</f>
        <v>0</v>
      </c>
      <c r="CY102" s="512"/>
    </row>
    <row r="103" spans="1:103">
      <c r="A103" s="534" t="s">
        <v>444</v>
      </c>
      <c r="B103" s="372" t="str">
        <f>IFERROR(VLOOKUP(ParticipationJanvier1[[#This Row],[Référence]],ListeÉtudiants1[],18,FALSE),"")</f>
        <v>MITRAN IONELA</v>
      </c>
      <c r="G103" s="291"/>
      <c r="I103" s="291"/>
      <c r="K103" s="291"/>
      <c r="M103" s="291"/>
      <c r="N103" s="19"/>
      <c r="O103" s="19"/>
      <c r="P103" s="19"/>
      <c r="Q103" s="19"/>
      <c r="R103" s="19"/>
      <c r="S103" s="19"/>
      <c r="T103" s="19" t="s">
        <v>106</v>
      </c>
      <c r="U103" s="291"/>
      <c r="W103" s="291"/>
      <c r="Y103" s="291"/>
      <c r="AA103" s="291"/>
      <c r="AC103" s="291"/>
      <c r="AE103" s="291"/>
      <c r="AG103" s="326"/>
      <c r="AH103" s="6">
        <f>COUNTIF(ParticipationJanvier1[[#This Row],[1]:[31]],Code1)</f>
        <v>0</v>
      </c>
      <c r="AI103" s="6">
        <f>COUNTIF(ParticipationJanvier1[[#This Row],[1]:[31]],code22)</f>
        <v>0</v>
      </c>
      <c r="AJ103" s="6">
        <f>COUNTIF(ParticipationJanvier1[[#This Row],[1]:[31]],Code2)</f>
        <v>0</v>
      </c>
      <c r="AK103" s="6">
        <f>COUNTIF(ParticipationJanvier1[[#This Row],[1]:[31]],Code3)</f>
        <v>1</v>
      </c>
      <c r="AL103" s="6">
        <f>COUNTIF(ParticipationJanvier1[[#This Row],[1]:[31]],Code4)</f>
        <v>0</v>
      </c>
      <c r="AM103" s="6">
        <f>COUNTIF(ParticipationJanvier1[[#This Row],[1]:[31]],Code5)</f>
        <v>0</v>
      </c>
      <c r="AN103" s="6">
        <f>COUNTIF(ParticipationJanvier1[[#This Row],[1]:[31]],Code23)</f>
        <v>0</v>
      </c>
      <c r="AO103" s="6">
        <f>COUNTIF(ParticipationJanvier1[[#This Row],[1]:[31]],Code6)</f>
        <v>0</v>
      </c>
      <c r="AP103" s="6">
        <f>COUNTIF(ParticipationJanvier1[[#This Row],[1]:[31]],Code7)</f>
        <v>0</v>
      </c>
      <c r="AQ103" s="6">
        <f>COUNTIF(ParticipationJanvier1[[#This Row],[1]:[31]],Code8)</f>
        <v>0</v>
      </c>
      <c r="AR103" s="6">
        <f>COUNTIF(ParticipationJanvier1[[#This Row],[1]:[31]],Code9)</f>
        <v>0</v>
      </c>
      <c r="AS103" s="6">
        <f>COUNTIF(ParticipationJanvier1[[#This Row],[1]:[31]],Code10)</f>
        <v>0</v>
      </c>
      <c r="AT103" s="6">
        <f>COUNTIF(ParticipationJanvier1[[#This Row],[1]:[31]],Code11)</f>
        <v>0</v>
      </c>
      <c r="AU103" s="6">
        <f>COUNTIF(ParticipationJanvier1[[#This Row],[1]:[31]],Code12)</f>
        <v>0</v>
      </c>
      <c r="AV103" s="6">
        <f>COUNTIF(ParticipationJanvier1[[#This Row],[1]:[31]],Code13)</f>
        <v>0</v>
      </c>
      <c r="AW103" s="6">
        <f>COUNTIF(ParticipationJanvier1[[#This Row],[1]:[31]],Code14)</f>
        <v>0</v>
      </c>
      <c r="AX103" s="6">
        <f>COUNTIF(ParticipationJanvier1[[#This Row],[1]:[31]],Code15)</f>
        <v>0</v>
      </c>
      <c r="AY103" s="6">
        <f>COUNTIF(ParticipationJanvier1[[#This Row],[1]:[31]],Code16)</f>
        <v>0</v>
      </c>
      <c r="AZ103" s="6">
        <f>COUNTIF(ParticipationJanvier1[[#This Row],[1]:[31]],Code17)</f>
        <v>0</v>
      </c>
      <c r="BA103" s="6">
        <f>COUNTIF(ParticipationJanvier1[[#This Row],[1]:[31]],Code25)</f>
        <v>0</v>
      </c>
      <c r="BB103" s="6">
        <f>COUNTIF(ParticipationJanvier1[[#This Row],[1]:[31]],Code26)</f>
        <v>0</v>
      </c>
      <c r="BC103" s="6">
        <f>COUNTIF(ParticipationJanvier1[[#This Row],[1]:[31]],Code27)</f>
        <v>0</v>
      </c>
      <c r="BD103" s="6">
        <f>COUNTIF(ParticipationJanvier1[[#This Row],[1]:[31]],Code28)</f>
        <v>0</v>
      </c>
      <c r="BE103" s="6">
        <f>COUNTIF(ParticipationJanvier1[[#This Row],[1]:[31]],code30)</f>
        <v>0</v>
      </c>
      <c r="BF103" s="6">
        <f>COUNTIF(ParticipationJanvier1[[#This Row],[1]:[31]],Code31)</f>
        <v>0</v>
      </c>
      <c r="BG103" s="6">
        <f>COUNTIF(ParticipationJanvier1[[#This Row],[1]:[31]],code21)</f>
        <v>0</v>
      </c>
      <c r="BH103" s="6">
        <f>COUNTIF(ParticipationJanvier1[[#This Row],[1]:[31]],Code24)</f>
        <v>0</v>
      </c>
      <c r="BI103" s="6">
        <f>COUNTIF(ParticipationJanvier1[[#This Row],[1]:[31]],code18)</f>
        <v>0</v>
      </c>
      <c r="BJ103" s="6">
        <f>COUNTIF(ParticipationJanvier1[[#This Row],[1]:[31]],code19)</f>
        <v>0</v>
      </c>
      <c r="BK103" s="6">
        <f>COUNTIF(ParticipationJanvier1[[#This Row],[1]:[31]],code20)</f>
        <v>0</v>
      </c>
      <c r="BL103" s="182">
        <f>COUNTIF(ParticipationJanvier1[[#This Row],[1]:[31]],code29)</f>
        <v>0</v>
      </c>
      <c r="BM103" s="297"/>
      <c r="BN103" s="297"/>
      <c r="BO103" s="297"/>
      <c r="BP103" s="297"/>
      <c r="BQ103" s="297"/>
      <c r="BR103" s="307"/>
      <c r="BS103" s="297"/>
      <c r="BT103" s="297"/>
      <c r="BU103" s="297"/>
      <c r="BV103" s="297"/>
      <c r="BW103" s="297"/>
      <c r="BX103" s="297"/>
      <c r="BY103" s="297"/>
      <c r="BZ103" s="297"/>
      <c r="CA103" s="297"/>
      <c r="CB103" s="297"/>
      <c r="CC103" s="297"/>
      <c r="CD103" s="297"/>
      <c r="CE103" s="297"/>
      <c r="CF103" s="297"/>
      <c r="CG103" s="297"/>
      <c r="CH103" s="297"/>
      <c r="CI103" s="297"/>
      <c r="CJ103" s="297">
        <v>1</v>
      </c>
      <c r="CK103" s="297"/>
      <c r="CL103" s="297"/>
      <c r="CM103" s="297"/>
      <c r="CN103" s="297"/>
      <c r="CO103" s="297"/>
      <c r="CP103" s="297"/>
      <c r="CQ103" s="297"/>
      <c r="CR103" s="297"/>
      <c r="CS103" s="297"/>
      <c r="CT103" s="297"/>
      <c r="CU103" s="300"/>
      <c r="CV103" s="165">
        <f t="shared" si="0"/>
        <v>3</v>
      </c>
      <c r="CW103" s="165">
        <f t="shared" si="4"/>
        <v>0</v>
      </c>
      <c r="CX103" s="249">
        <f t="shared" si="2"/>
        <v>0</v>
      </c>
      <c r="CY103" s="170"/>
    </row>
    <row r="104" spans="1:103">
      <c r="A104" s="510" t="s">
        <v>445</v>
      </c>
      <c r="B104" s="372" t="str">
        <f>IFERROR(VLOOKUP(ParticipationJanvier1[[#This Row],[Référence]],ListeÉtudiants1[],18,FALSE),"")</f>
        <v>MOREAU NOEMIE</v>
      </c>
      <c r="G104" s="525"/>
      <c r="I104" s="525"/>
      <c r="K104" s="525"/>
      <c r="M104" s="525"/>
      <c r="N104" s="19"/>
      <c r="O104" s="518"/>
      <c r="P104" s="19"/>
      <c r="Q104" s="518"/>
      <c r="R104" s="19"/>
      <c r="S104" s="518"/>
      <c r="T104" s="19"/>
      <c r="U104" s="525"/>
      <c r="W104" s="525"/>
      <c r="Y104" s="525"/>
      <c r="AA104" s="525"/>
      <c r="AC104" s="525"/>
      <c r="AE104" s="525"/>
      <c r="AG104" s="519"/>
      <c r="AH104" s="475">
        <f>COUNTIF(ParticipationJanvier1[[#This Row],[1]:[31]],Code1)</f>
        <v>0</v>
      </c>
      <c r="AI104" s="518">
        <f>COUNTIF(ParticipationJanvier1[[#This Row],[1]:[31]],code22)</f>
        <v>0</v>
      </c>
      <c r="AJ104" s="473">
        <f>COUNTIF(ParticipationJanvier1[[#This Row],[1]:[31]],Code2)</f>
        <v>0</v>
      </c>
      <c r="AK104" s="520">
        <f>COUNTIF(ParticipationJanvier1[[#This Row],[1]:[31]],Code3)</f>
        <v>0</v>
      </c>
      <c r="AL104" s="473">
        <f>COUNTIF(ParticipationJanvier1[[#This Row],[1]:[31]],Code4)</f>
        <v>0</v>
      </c>
      <c r="AM104" s="520">
        <f>COUNTIF(ParticipationJanvier1[[#This Row],[1]:[31]],Code5)</f>
        <v>0</v>
      </c>
      <c r="AN104" s="30">
        <f>COUNTIF(ParticipationJanvier1[[#This Row],[1]:[31]],Code23)</f>
        <v>0</v>
      </c>
      <c r="AO104" s="473">
        <f>COUNTIF(ParticipationJanvier1[[#This Row],[1]:[31]],Code6)</f>
        <v>0</v>
      </c>
      <c r="AP104" s="30">
        <f>COUNTIF(ParticipationJanvier1[[#This Row],[1]:[31]],Code7)</f>
        <v>0</v>
      </c>
      <c r="AQ104" s="30">
        <f>COUNTIF(ParticipationJanvier1[[#This Row],[1]:[31]],Code8)</f>
        <v>0</v>
      </c>
      <c r="AR104" s="30">
        <f>COUNTIF(ParticipationJanvier1[[#This Row],[1]:[31]],Code9)</f>
        <v>0</v>
      </c>
      <c r="AS104" s="473">
        <f>COUNTIF(ParticipationJanvier1[[#This Row],[1]:[31]],Code10)</f>
        <v>0</v>
      </c>
      <c r="AT104" s="473">
        <f>COUNTIF(ParticipationJanvier1[[#This Row],[1]:[31]],Code11)</f>
        <v>0</v>
      </c>
      <c r="AU104" s="473">
        <f>COUNTIF(ParticipationJanvier1[[#This Row],[1]:[31]],Code12)</f>
        <v>0</v>
      </c>
      <c r="AV104" s="473">
        <f>COUNTIF(ParticipationJanvier1[[#This Row],[1]:[31]],Code13)</f>
        <v>0</v>
      </c>
      <c r="AW104" s="473">
        <f>COUNTIF(ParticipationJanvier1[[#This Row],[1]:[31]],Code14)</f>
        <v>0</v>
      </c>
      <c r="AX104" s="473">
        <f>COUNTIF(ParticipationJanvier1[[#This Row],[1]:[31]],Code15)</f>
        <v>0</v>
      </c>
      <c r="AY104" s="473">
        <f>COUNTIF(ParticipationJanvier1[[#This Row],[1]:[31]],Code16)</f>
        <v>0</v>
      </c>
      <c r="AZ104" s="473">
        <f>COUNTIF(ParticipationJanvier1[[#This Row],[1]:[31]],Code17)</f>
        <v>0</v>
      </c>
      <c r="BA104" s="475">
        <f>COUNTIF(ParticipationJanvier1[[#This Row],[1]:[31]],Code25)</f>
        <v>0</v>
      </c>
      <c r="BB104" s="475">
        <f>COUNTIF(ParticipationJanvier1[[#This Row],[1]:[31]],Code26)</f>
        <v>0</v>
      </c>
      <c r="BC104" s="475">
        <f>COUNTIF(ParticipationJanvier1[[#This Row],[1]:[31]],Code27)</f>
        <v>0</v>
      </c>
      <c r="BD104" s="475">
        <f>COUNTIF(ParticipationJanvier1[[#This Row],[1]:[31]],Code28)</f>
        <v>0</v>
      </c>
      <c r="BE104" s="475">
        <f>COUNTIF(ParticipationJanvier1[[#This Row],[1]:[31]],code30)</f>
        <v>0</v>
      </c>
      <c r="BF104" s="475">
        <f>COUNTIF(ParticipationJanvier1[[#This Row],[1]:[31]],Code31)</f>
        <v>0</v>
      </c>
      <c r="BG104" s="473">
        <f>COUNTIF(ParticipationJanvier1[[#This Row],[1]:[31]],code21)</f>
        <v>0</v>
      </c>
      <c r="BH104" s="473">
        <f>COUNTIF(ParticipationJanvier1[[#This Row],[1]:[31]],Code24)</f>
        <v>0</v>
      </c>
      <c r="BI104" s="473">
        <f>COUNTIF(ParticipationJanvier1[[#This Row],[1]:[31]],code18)</f>
        <v>0</v>
      </c>
      <c r="BJ104" s="473">
        <f>COUNTIF(ParticipationJanvier1[[#This Row],[1]:[31]],code19)</f>
        <v>0</v>
      </c>
      <c r="BK104" s="473">
        <f>COUNTIF(ParticipationJanvier1[[#This Row],[1]:[31]],code20)</f>
        <v>0</v>
      </c>
      <c r="BL104" s="476">
        <f>COUNTIF(ParticipationJanvier1[[#This Row],[1]:[31]],code29)</f>
        <v>0</v>
      </c>
      <c r="BM104" s="472">
        <f>SUM((AH104*1)+(AI108*1.5)+(AJ104*2)+(AK104*3)+(AL104*4)+(AQ104*5)+(AR104*6)+(AS104*7)+(AW104*2)+(AX104*3)+(AY104*4)+(AZ104*5)+(BG104*2))</f>
        <v>0</v>
      </c>
      <c r="BN104" s="472"/>
      <c r="BO104" s="472"/>
      <c r="BP104" s="472"/>
      <c r="BQ104" s="472"/>
      <c r="BR104" s="473"/>
      <c r="BS104" s="472"/>
      <c r="BT104" s="472"/>
      <c r="BU104" s="472"/>
      <c r="BV104" s="472"/>
      <c r="BW104" s="472"/>
      <c r="BX104" s="472"/>
      <c r="BY104" s="472"/>
      <c r="BZ104" s="472"/>
      <c r="CA104" s="472"/>
      <c r="CB104" s="472"/>
      <c r="CC104" s="472"/>
      <c r="CD104" s="472"/>
      <c r="CE104" s="472"/>
      <c r="CF104" s="472"/>
      <c r="CG104" s="472"/>
      <c r="CH104" s="472"/>
      <c r="CI104" s="472"/>
      <c r="CJ104" s="472"/>
      <c r="CK104" s="472"/>
      <c r="CL104" s="472"/>
      <c r="CM104" s="472"/>
      <c r="CN104" s="472"/>
      <c r="CO104" s="472"/>
      <c r="CP104" s="472"/>
      <c r="CQ104" s="472"/>
      <c r="CR104" s="472"/>
      <c r="CS104" s="472"/>
      <c r="CT104" s="472"/>
      <c r="CU104" s="516">
        <f>SUM((AN104*1)+(AM104*2)+(AO104*3)+(AP104*4)+(AT104*5)+(AU104*7)+(AV104*7)+(AW104*7)+(AX104*4)+(AY104*3)+(BA104*2)+(BC104*4)+(BB104*1)+(BG104*2)+(AZ104*5)+(BD104*1))</f>
        <v>0</v>
      </c>
      <c r="CV104" s="521">
        <f>SUM((AH104*1)+(AI104*1.5)+(AJ104*2)+(AK104*3)+(AP104*5)+(AQ104*6)+(AR104*7)+(AU104*2)+(AX104*3)+(AY104*4)+(BA104*5)+(BB104*3)+(BC104*2)+(BG104*2)+(AZ104*2)+(BD104*2))</f>
        <v>0</v>
      </c>
      <c r="CW104" s="522">
        <f>SUM((AN104*1)+(AM104*2)+(AO104*3)+(AP104*4)+(AT104*5)+(AU104*7)+(AV104*7)+(AW104*7)+(AX104*4)+(AY104*3)+(BA104*2)+(BC104*4)+(BB104*1)+(BG104*2)+(AZ104*5)+(BD104*1))</f>
        <v>0</v>
      </c>
      <c r="CX104" s="523">
        <f>BH104*1</f>
        <v>0</v>
      </c>
      <c r="CY104" s="512"/>
    </row>
    <row r="105" spans="1:103">
      <c r="A105" s="534" t="s">
        <v>446</v>
      </c>
      <c r="B105" s="372" t="str">
        <f>IFERROR(VLOOKUP(ParticipationJanvier1[[#This Row],[Référence]],ListeÉtudiants1[],18,FALSE),"")</f>
        <v>MOUNIER JEANNE</v>
      </c>
      <c r="G105" s="291"/>
      <c r="I105" s="291"/>
      <c r="K105" s="291"/>
      <c r="M105" s="291"/>
      <c r="N105" s="19"/>
      <c r="O105" s="19"/>
      <c r="P105" s="19"/>
      <c r="Q105" s="19" t="s">
        <v>529</v>
      </c>
      <c r="R105" s="19"/>
      <c r="S105" s="19"/>
      <c r="T105" s="19"/>
      <c r="U105" s="291"/>
      <c r="W105" s="291"/>
      <c r="Y105" s="291"/>
      <c r="AA105" s="291"/>
      <c r="AC105" s="291"/>
      <c r="AE105" s="291"/>
      <c r="AG105" s="326"/>
      <c r="AH105" s="6">
        <f>COUNTIF(ParticipationJanvier1[[#This Row],[1]:[31]],Code1)</f>
        <v>0</v>
      </c>
      <c r="AI105" s="6">
        <f>COUNTIF(ParticipationJanvier1[[#This Row],[1]:[31]],code22)</f>
        <v>0</v>
      </c>
      <c r="AJ105" s="6">
        <f>COUNTIF(ParticipationJanvier1[[#This Row],[1]:[31]],Code2)</f>
        <v>0</v>
      </c>
      <c r="AK105" s="6">
        <f>COUNTIF(ParticipationJanvier1[[#This Row],[1]:[31]],Code3)</f>
        <v>0</v>
      </c>
      <c r="AL105" s="6">
        <f>COUNTIF(ParticipationJanvier1[[#This Row],[1]:[31]],Code4)</f>
        <v>0</v>
      </c>
      <c r="AM105" s="6">
        <f>COUNTIF(ParticipationJanvier1[[#This Row],[1]:[31]],Code5)</f>
        <v>0</v>
      </c>
      <c r="AN105" s="6">
        <f>COUNTIF(ParticipationJanvier1[[#This Row],[1]:[31]],Code23)</f>
        <v>1</v>
      </c>
      <c r="AO105" s="6">
        <f>COUNTIF(ParticipationJanvier1[[#This Row],[1]:[31]],Code6)</f>
        <v>0</v>
      </c>
      <c r="AP105" s="6">
        <f>COUNTIF(ParticipationJanvier1[[#This Row],[1]:[31]],Code7)</f>
        <v>0</v>
      </c>
      <c r="AQ105" s="6">
        <f>COUNTIF(ParticipationJanvier1[[#This Row],[1]:[31]],Code8)</f>
        <v>0</v>
      </c>
      <c r="AR105" s="6">
        <f>COUNTIF(ParticipationJanvier1[[#This Row],[1]:[31]],Code9)</f>
        <v>0</v>
      </c>
      <c r="AS105" s="6">
        <f>COUNTIF(ParticipationJanvier1[[#This Row],[1]:[31]],Code10)</f>
        <v>0</v>
      </c>
      <c r="AT105" s="6">
        <f>COUNTIF(ParticipationJanvier1[[#This Row],[1]:[31]],Code11)</f>
        <v>0</v>
      </c>
      <c r="AU105" s="6">
        <f>COUNTIF(ParticipationJanvier1[[#This Row],[1]:[31]],Code12)</f>
        <v>0</v>
      </c>
      <c r="AV105" s="6">
        <f>COUNTIF(ParticipationJanvier1[[#This Row],[1]:[31]],Code13)</f>
        <v>0</v>
      </c>
      <c r="AW105" s="6">
        <f>COUNTIF(ParticipationJanvier1[[#This Row],[1]:[31]],Code14)</f>
        <v>0</v>
      </c>
      <c r="AX105" s="6">
        <f>COUNTIF(ParticipationJanvier1[[#This Row],[1]:[31]],Code15)</f>
        <v>0</v>
      </c>
      <c r="AY105" s="6">
        <f>COUNTIF(ParticipationJanvier1[[#This Row],[1]:[31]],Code16)</f>
        <v>0</v>
      </c>
      <c r="AZ105" s="6">
        <f>COUNTIF(ParticipationJanvier1[[#This Row],[1]:[31]],Code17)</f>
        <v>0</v>
      </c>
      <c r="BA105" s="6">
        <f>COUNTIF(ParticipationJanvier1[[#This Row],[1]:[31]],Code25)</f>
        <v>0</v>
      </c>
      <c r="BB105" s="6">
        <f>COUNTIF(ParticipationJanvier1[[#This Row],[1]:[31]],Code26)</f>
        <v>0</v>
      </c>
      <c r="BC105" s="6">
        <f>COUNTIF(ParticipationJanvier1[[#This Row],[1]:[31]],Code27)</f>
        <v>0</v>
      </c>
      <c r="BD105" s="6">
        <f>COUNTIF(ParticipationJanvier1[[#This Row],[1]:[31]],Code28)</f>
        <v>0</v>
      </c>
      <c r="BE105" s="6">
        <f>COUNTIF(ParticipationJanvier1[[#This Row],[1]:[31]],code30)</f>
        <v>0</v>
      </c>
      <c r="BF105" s="6">
        <f>COUNTIF(ParticipationJanvier1[[#This Row],[1]:[31]],Code31)</f>
        <v>0</v>
      </c>
      <c r="BG105" s="6">
        <f>COUNTIF(ParticipationJanvier1[[#This Row],[1]:[31]],code21)</f>
        <v>0</v>
      </c>
      <c r="BH105" s="6">
        <f>COUNTIF(ParticipationJanvier1[[#This Row],[1]:[31]],Code24)</f>
        <v>0</v>
      </c>
      <c r="BI105" s="6">
        <f>COUNTIF(ParticipationJanvier1[[#This Row],[1]:[31]],code18)</f>
        <v>0</v>
      </c>
      <c r="BJ105" s="6">
        <f>COUNTIF(ParticipationJanvier1[[#This Row],[1]:[31]],code19)</f>
        <v>0</v>
      </c>
      <c r="BK105" s="6">
        <f>COUNTIF(ParticipationJanvier1[[#This Row],[1]:[31]],code20)</f>
        <v>0</v>
      </c>
      <c r="BL105" s="182">
        <f>COUNTIF(ParticipationJanvier1[[#This Row],[1]:[31]],code29)</f>
        <v>0</v>
      </c>
      <c r="BM105" s="297"/>
      <c r="BN105" s="297"/>
      <c r="BO105" s="297"/>
      <c r="BP105" s="297"/>
      <c r="BQ105" s="297"/>
      <c r="BR105" s="307"/>
      <c r="BS105" s="297"/>
      <c r="BT105" s="297"/>
      <c r="BU105" s="297"/>
      <c r="BV105" s="297"/>
      <c r="BW105" s="297"/>
      <c r="BX105" s="297"/>
      <c r="BY105" s="297"/>
      <c r="BZ105" s="297"/>
      <c r="CA105" s="297"/>
      <c r="CB105" s="297"/>
      <c r="CC105" s="297"/>
      <c r="CD105" s="297"/>
      <c r="CE105" s="297"/>
      <c r="CF105" s="297"/>
      <c r="CG105" s="297"/>
      <c r="CH105" s="297"/>
      <c r="CI105" s="297"/>
      <c r="CJ105" s="297"/>
      <c r="CK105" s="297"/>
      <c r="CL105" s="297"/>
      <c r="CM105" s="297"/>
      <c r="CN105" s="297"/>
      <c r="CO105" s="297"/>
      <c r="CP105" s="297"/>
      <c r="CQ105" s="297"/>
      <c r="CR105" s="297"/>
      <c r="CS105" s="297"/>
      <c r="CT105" s="297"/>
      <c r="CU105" s="300"/>
      <c r="CV105" s="165">
        <f t="shared" si="0"/>
        <v>0</v>
      </c>
      <c r="CW105" s="165">
        <f t="shared" si="4"/>
        <v>1</v>
      </c>
      <c r="CX105" s="249">
        <f t="shared" si="2"/>
        <v>0</v>
      </c>
      <c r="CY105" s="170"/>
    </row>
    <row r="106" spans="1:103">
      <c r="A106" s="510" t="s">
        <v>447</v>
      </c>
      <c r="B106" s="372" t="str">
        <f>IFERROR(VLOOKUP(ParticipationJanvier1[[#This Row],[Référence]],ListeÉtudiants1[],18,FALSE),"")</f>
        <v>NGAMFULANGOMA ALEXANDRINE</v>
      </c>
      <c r="G106" s="291"/>
      <c r="I106" s="291"/>
      <c r="K106" s="291"/>
      <c r="M106" s="291"/>
      <c r="N106" s="19" t="s">
        <v>35</v>
      </c>
      <c r="O106" s="19"/>
      <c r="P106" s="19"/>
      <c r="Q106" s="19"/>
      <c r="R106" s="19"/>
      <c r="S106" s="19"/>
      <c r="T106" s="19"/>
      <c r="U106" s="291"/>
      <c r="W106" s="291"/>
      <c r="Y106" s="291"/>
      <c r="AA106" s="291"/>
      <c r="AC106" s="291"/>
      <c r="AE106" s="291"/>
      <c r="AG106" s="326"/>
      <c r="AH106" s="6">
        <f>COUNTIF(ParticipationJanvier1[[#This Row],[1]:[31]],Code1)</f>
        <v>0</v>
      </c>
      <c r="AI106" s="6">
        <f>COUNTIF(ParticipationJanvier1[[#This Row],[1]:[31]],code22)</f>
        <v>0</v>
      </c>
      <c r="AJ106" s="6">
        <f>COUNTIF(ParticipationJanvier1[[#This Row],[1]:[31]],Code2)</f>
        <v>0</v>
      </c>
      <c r="AK106" s="6">
        <f>COUNTIF(ParticipationJanvier1[[#This Row],[1]:[31]],Code3)</f>
        <v>0</v>
      </c>
      <c r="AL106" s="6">
        <f>COUNTIF(ParticipationJanvier1[[#This Row],[1]:[31]],Code4)</f>
        <v>0</v>
      </c>
      <c r="AM106" s="6">
        <f>COUNTIF(ParticipationJanvier1[[#This Row],[1]:[31]],Code5)</f>
        <v>1</v>
      </c>
      <c r="AN106" s="6">
        <f>COUNTIF(ParticipationJanvier1[[#This Row],[1]:[31]],Code23)</f>
        <v>0</v>
      </c>
      <c r="AO106" s="6">
        <f>COUNTIF(ParticipationJanvier1[[#This Row],[1]:[31]],Code6)</f>
        <v>0</v>
      </c>
      <c r="AP106" s="6">
        <f>COUNTIF(ParticipationJanvier1[[#This Row],[1]:[31]],Code7)</f>
        <v>0</v>
      </c>
      <c r="AQ106" s="6">
        <f>COUNTIF(ParticipationJanvier1[[#This Row],[1]:[31]],Code8)</f>
        <v>0</v>
      </c>
      <c r="AR106" s="6">
        <f>COUNTIF(ParticipationJanvier1[[#This Row],[1]:[31]],Code9)</f>
        <v>0</v>
      </c>
      <c r="AS106" s="6">
        <f>COUNTIF(ParticipationJanvier1[[#This Row],[1]:[31]],Code10)</f>
        <v>0</v>
      </c>
      <c r="AT106" s="6">
        <f>COUNTIF(ParticipationJanvier1[[#This Row],[1]:[31]],Code11)</f>
        <v>0</v>
      </c>
      <c r="AU106" s="6">
        <f>COUNTIF(ParticipationJanvier1[[#This Row],[1]:[31]],Code12)</f>
        <v>0</v>
      </c>
      <c r="AV106" s="6">
        <f>COUNTIF(ParticipationJanvier1[[#This Row],[1]:[31]],Code13)</f>
        <v>0</v>
      </c>
      <c r="AW106" s="6">
        <f>COUNTIF(ParticipationJanvier1[[#This Row],[1]:[31]],Code14)</f>
        <v>0</v>
      </c>
      <c r="AX106" s="6">
        <f>COUNTIF(ParticipationJanvier1[[#This Row],[1]:[31]],Code15)</f>
        <v>0</v>
      </c>
      <c r="AY106" s="6">
        <f>COUNTIF(ParticipationJanvier1[[#This Row],[1]:[31]],Code16)</f>
        <v>0</v>
      </c>
      <c r="AZ106" s="6">
        <f>COUNTIF(ParticipationJanvier1[[#This Row],[1]:[31]],Code17)</f>
        <v>0</v>
      </c>
      <c r="BA106" s="6">
        <f>COUNTIF(ParticipationJanvier1[[#This Row],[1]:[31]],Code25)</f>
        <v>0</v>
      </c>
      <c r="BB106" s="6">
        <f>COUNTIF(ParticipationJanvier1[[#This Row],[1]:[31]],Code26)</f>
        <v>0</v>
      </c>
      <c r="BC106" s="6">
        <f>COUNTIF(ParticipationJanvier1[[#This Row],[1]:[31]],Code27)</f>
        <v>0</v>
      </c>
      <c r="BD106" s="6">
        <f>COUNTIF(ParticipationJanvier1[[#This Row],[1]:[31]],Code28)</f>
        <v>0</v>
      </c>
      <c r="BE106" s="6">
        <f>COUNTIF(ParticipationJanvier1[[#This Row],[1]:[31]],code30)</f>
        <v>0</v>
      </c>
      <c r="BF106" s="6">
        <f>COUNTIF(ParticipationJanvier1[[#This Row],[1]:[31]],Code31)</f>
        <v>0</v>
      </c>
      <c r="BG106" s="6">
        <f>COUNTIF(ParticipationJanvier1[[#This Row],[1]:[31]],code21)</f>
        <v>0</v>
      </c>
      <c r="BH106" s="6">
        <f>COUNTIF(ParticipationJanvier1[[#This Row],[1]:[31]],Code24)</f>
        <v>0</v>
      </c>
      <c r="BI106" s="6">
        <f>COUNTIF(ParticipationJanvier1[[#This Row],[1]:[31]],code18)</f>
        <v>0</v>
      </c>
      <c r="BJ106" s="6">
        <f>COUNTIF(ParticipationJanvier1[[#This Row],[1]:[31]],code19)</f>
        <v>0</v>
      </c>
      <c r="BK106" s="6">
        <f>COUNTIF(ParticipationJanvier1[[#This Row],[1]:[31]],code20)</f>
        <v>0</v>
      </c>
      <c r="BL106" s="182">
        <f>COUNTIF(ParticipationJanvier1[[#This Row],[1]:[31]],code29)</f>
        <v>0</v>
      </c>
      <c r="BM106" s="297"/>
      <c r="BN106" s="297"/>
      <c r="BO106" s="297"/>
      <c r="BP106" s="297"/>
      <c r="BQ106" s="297"/>
      <c r="BR106" s="307"/>
      <c r="BS106" s="297"/>
      <c r="BT106" s="297"/>
      <c r="BU106" s="297"/>
      <c r="BV106" s="297"/>
      <c r="BW106" s="297"/>
      <c r="BX106" s="297"/>
      <c r="BY106" s="297"/>
      <c r="BZ106" s="297"/>
      <c r="CA106" s="297"/>
      <c r="CB106" s="297"/>
      <c r="CC106" s="297"/>
      <c r="CD106" s="297"/>
      <c r="CE106" s="297"/>
      <c r="CF106" s="297"/>
      <c r="CG106" s="297"/>
      <c r="CH106" s="297"/>
      <c r="CI106" s="297"/>
      <c r="CJ106" s="297"/>
      <c r="CK106" s="297"/>
      <c r="CL106" s="297"/>
      <c r="CM106" s="297"/>
      <c r="CN106" s="297"/>
      <c r="CO106" s="297"/>
      <c r="CP106" s="297"/>
      <c r="CQ106" s="297"/>
      <c r="CR106" s="297"/>
      <c r="CS106" s="297"/>
      <c r="CT106" s="297"/>
      <c r="CU106" s="300"/>
      <c r="CV106" s="165">
        <f t="shared" si="0"/>
        <v>0</v>
      </c>
      <c r="CW106" s="165">
        <f t="shared" si="4"/>
        <v>2</v>
      </c>
      <c r="CX106" s="249">
        <f t="shared" si="2"/>
        <v>0</v>
      </c>
      <c r="CY106" s="170"/>
    </row>
    <row r="107" spans="1:103">
      <c r="A107" s="510" t="s">
        <v>448</v>
      </c>
      <c r="B107" s="372" t="str">
        <f>IFERROR(VLOOKUP(ParticipationJanvier1[[#This Row],[Référence]],ListeÉtudiants1[],18,FALSE),"")</f>
        <v>NGO BONJE ERNESTINE</v>
      </c>
      <c r="G107" s="291"/>
      <c r="I107" s="291"/>
      <c r="K107" s="291"/>
      <c r="M107" s="291"/>
      <c r="N107" s="19"/>
      <c r="O107" s="19"/>
      <c r="P107" s="19"/>
      <c r="Q107" s="19"/>
      <c r="R107" s="19"/>
      <c r="S107" s="19" t="s">
        <v>107</v>
      </c>
      <c r="T107" s="19"/>
      <c r="U107" s="291"/>
      <c r="W107" s="291"/>
      <c r="Y107" s="291"/>
      <c r="AA107" s="291"/>
      <c r="AC107" s="291"/>
      <c r="AE107" s="291"/>
      <c r="AG107" s="326"/>
      <c r="AH107" s="6">
        <f>COUNTIF(ParticipationJanvier1[[#This Row],[1]:[31]],Code1)</f>
        <v>0</v>
      </c>
      <c r="AI107" s="6">
        <f>COUNTIF(ParticipationJanvier1[[#This Row],[1]:[31]],code22)</f>
        <v>0</v>
      </c>
      <c r="AJ107" s="6">
        <f>COUNTIF(ParticipationJanvier1[[#This Row],[1]:[31]],Code2)</f>
        <v>0</v>
      </c>
      <c r="AK107" s="6">
        <f>COUNTIF(ParticipationJanvier1[[#This Row],[1]:[31]],Code3)</f>
        <v>0</v>
      </c>
      <c r="AL107" s="6">
        <f>COUNTIF(ParticipationJanvier1[[#This Row],[1]:[31]],Code4)</f>
        <v>1</v>
      </c>
      <c r="AM107" s="6">
        <f>COUNTIF(ParticipationJanvier1[[#This Row],[1]:[31]],Code5)</f>
        <v>0</v>
      </c>
      <c r="AN107" s="6">
        <f>COUNTIF(ParticipationJanvier1[[#This Row],[1]:[31]],Code23)</f>
        <v>0</v>
      </c>
      <c r="AO107" s="6">
        <f>COUNTIF(ParticipationJanvier1[[#This Row],[1]:[31]],Code6)</f>
        <v>0</v>
      </c>
      <c r="AP107" s="6">
        <f>COUNTIF(ParticipationJanvier1[[#This Row],[1]:[31]],Code7)</f>
        <v>0</v>
      </c>
      <c r="AQ107" s="6">
        <f>COUNTIF(ParticipationJanvier1[[#This Row],[1]:[31]],Code8)</f>
        <v>0</v>
      </c>
      <c r="AR107" s="6">
        <f>COUNTIF(ParticipationJanvier1[[#This Row],[1]:[31]],Code9)</f>
        <v>0</v>
      </c>
      <c r="AS107" s="6">
        <f>COUNTIF(ParticipationJanvier1[[#This Row],[1]:[31]],Code10)</f>
        <v>0</v>
      </c>
      <c r="AT107" s="6">
        <f>COUNTIF(ParticipationJanvier1[[#This Row],[1]:[31]],Code11)</f>
        <v>0</v>
      </c>
      <c r="AU107" s="6">
        <f>COUNTIF(ParticipationJanvier1[[#This Row],[1]:[31]],Code12)</f>
        <v>0</v>
      </c>
      <c r="AV107" s="6">
        <f>COUNTIF(ParticipationJanvier1[[#This Row],[1]:[31]],Code13)</f>
        <v>0</v>
      </c>
      <c r="AW107" s="6">
        <f>COUNTIF(ParticipationJanvier1[[#This Row],[1]:[31]],Code14)</f>
        <v>0</v>
      </c>
      <c r="AX107" s="6">
        <f>COUNTIF(ParticipationJanvier1[[#This Row],[1]:[31]],Code15)</f>
        <v>0</v>
      </c>
      <c r="AY107" s="6">
        <f>COUNTIF(ParticipationJanvier1[[#This Row],[1]:[31]],Code16)</f>
        <v>0</v>
      </c>
      <c r="AZ107" s="6">
        <f>COUNTIF(ParticipationJanvier1[[#This Row],[1]:[31]],Code17)</f>
        <v>0</v>
      </c>
      <c r="BA107" s="6">
        <f>COUNTIF(ParticipationJanvier1[[#This Row],[1]:[31]],Code25)</f>
        <v>0</v>
      </c>
      <c r="BB107" s="6">
        <f>COUNTIF(ParticipationJanvier1[[#This Row],[1]:[31]],Code26)</f>
        <v>0</v>
      </c>
      <c r="BC107" s="6">
        <f>COUNTIF(ParticipationJanvier1[[#This Row],[1]:[31]],Code27)</f>
        <v>0</v>
      </c>
      <c r="BD107" s="6">
        <f>COUNTIF(ParticipationJanvier1[[#This Row],[1]:[31]],Code28)</f>
        <v>0</v>
      </c>
      <c r="BE107" s="6">
        <f>COUNTIF(ParticipationJanvier1[[#This Row],[1]:[31]],code30)</f>
        <v>0</v>
      </c>
      <c r="BF107" s="6">
        <f>COUNTIF(ParticipationJanvier1[[#This Row],[1]:[31]],Code31)</f>
        <v>0</v>
      </c>
      <c r="BG107" s="6">
        <f>COUNTIF(ParticipationJanvier1[[#This Row],[1]:[31]],code21)</f>
        <v>0</v>
      </c>
      <c r="BH107" s="6">
        <f>COUNTIF(ParticipationJanvier1[[#This Row],[1]:[31]],Code24)</f>
        <v>0</v>
      </c>
      <c r="BI107" s="6">
        <f>COUNTIF(ParticipationJanvier1[[#This Row],[1]:[31]],code18)</f>
        <v>0</v>
      </c>
      <c r="BJ107" s="6">
        <f>COUNTIF(ParticipationJanvier1[[#This Row],[1]:[31]],code19)</f>
        <v>0</v>
      </c>
      <c r="BK107" s="6">
        <f>COUNTIF(ParticipationJanvier1[[#This Row],[1]:[31]],code20)</f>
        <v>0</v>
      </c>
      <c r="BL107" s="182">
        <f>COUNTIF(ParticipationJanvier1[[#This Row],[1]:[31]],code29)</f>
        <v>0</v>
      </c>
      <c r="BM107" s="297">
        <v>1</v>
      </c>
      <c r="BN107" s="297"/>
      <c r="BO107" s="297"/>
      <c r="BP107" s="297"/>
      <c r="BQ107" s="297"/>
      <c r="BR107" s="307"/>
      <c r="BS107" s="297"/>
      <c r="BT107" s="297"/>
      <c r="BU107" s="297"/>
      <c r="BV107" s="297"/>
      <c r="BW107" s="297"/>
      <c r="BX107" s="297"/>
      <c r="BY107" s="297"/>
      <c r="BZ107" s="297"/>
      <c r="CA107" s="297"/>
      <c r="CB107" s="297"/>
      <c r="CC107" s="297"/>
      <c r="CD107" s="297"/>
      <c r="CE107" s="297"/>
      <c r="CF107" s="297"/>
      <c r="CG107" s="297"/>
      <c r="CH107" s="297"/>
      <c r="CI107" s="297"/>
      <c r="CJ107" s="297"/>
      <c r="CK107" s="297"/>
      <c r="CL107" s="297"/>
      <c r="CM107" s="297"/>
      <c r="CN107" s="297"/>
      <c r="CO107" s="297"/>
      <c r="CP107" s="297"/>
      <c r="CQ107" s="297"/>
      <c r="CR107" s="297"/>
      <c r="CS107" s="297"/>
      <c r="CT107" s="297"/>
      <c r="CU107" s="300"/>
      <c r="CV107" s="165">
        <f t="shared" si="0"/>
        <v>0</v>
      </c>
      <c r="CW107" s="165">
        <f t="shared" si="4"/>
        <v>0</v>
      </c>
      <c r="CX107" s="249">
        <f t="shared" si="2"/>
        <v>0</v>
      </c>
      <c r="CY107" s="170"/>
    </row>
    <row r="108" spans="1:103">
      <c r="A108" s="510" t="s">
        <v>449</v>
      </c>
      <c r="B108" s="372" t="str">
        <f>IFERROR(VLOOKUP(ParticipationJanvier1[[#This Row],[Référence]],ListeÉtudiants1[],18,FALSE),"")</f>
        <v>NIRDE NICOLAS</v>
      </c>
      <c r="G108" s="291"/>
      <c r="I108" s="291"/>
      <c r="K108" s="291"/>
      <c r="M108" s="291"/>
      <c r="N108" s="19"/>
      <c r="O108" s="19"/>
      <c r="P108" s="19"/>
      <c r="Q108" s="19" t="s">
        <v>108</v>
      </c>
      <c r="R108" s="19"/>
      <c r="S108" s="19"/>
      <c r="T108" s="19"/>
      <c r="U108" s="291"/>
      <c r="W108" s="291"/>
      <c r="Y108" s="291"/>
      <c r="AA108" s="291"/>
      <c r="AC108" s="291"/>
      <c r="AE108" s="291"/>
      <c r="AG108" s="326"/>
      <c r="AH108" s="6">
        <f>COUNTIF(ParticipationJanvier1[[#This Row],[1]:[31]],Code1)</f>
        <v>0</v>
      </c>
      <c r="AI108" s="6">
        <f>COUNTIF(ParticipationJanvier1[[#This Row],[1]:[31]],code22)</f>
        <v>0</v>
      </c>
      <c r="AJ108" s="6">
        <f>COUNTIF(ParticipationJanvier1[[#This Row],[1]:[31]],Code2)</f>
        <v>0</v>
      </c>
      <c r="AK108" s="6">
        <f>COUNTIF(ParticipationJanvier1[[#This Row],[1]:[31]],Code3)</f>
        <v>0</v>
      </c>
      <c r="AL108" s="6">
        <f>COUNTIF(ParticipationJanvier1[[#This Row],[1]:[31]],Code4)</f>
        <v>0</v>
      </c>
      <c r="AM108" s="6">
        <f>COUNTIF(ParticipationJanvier1[[#This Row],[1]:[31]],Code5)</f>
        <v>0</v>
      </c>
      <c r="AN108" s="6">
        <f>COUNTIF(ParticipationJanvier1[[#This Row],[1]:[31]],Code23)</f>
        <v>0</v>
      </c>
      <c r="AO108" s="6">
        <f>COUNTIF(ParticipationJanvier1[[#This Row],[1]:[31]],Code6)</f>
        <v>1</v>
      </c>
      <c r="AP108" s="6">
        <f>COUNTIF(ParticipationJanvier1[[#This Row],[1]:[31]],Code7)</f>
        <v>0</v>
      </c>
      <c r="AQ108" s="6">
        <f>COUNTIF(ParticipationJanvier1[[#This Row],[1]:[31]],Code8)</f>
        <v>0</v>
      </c>
      <c r="AR108" s="6">
        <f>COUNTIF(ParticipationJanvier1[[#This Row],[1]:[31]],Code9)</f>
        <v>0</v>
      </c>
      <c r="AS108" s="6">
        <f>COUNTIF(ParticipationJanvier1[[#This Row],[1]:[31]],Code10)</f>
        <v>0</v>
      </c>
      <c r="AT108" s="6">
        <f>COUNTIF(ParticipationJanvier1[[#This Row],[1]:[31]],Code11)</f>
        <v>0</v>
      </c>
      <c r="AU108" s="6">
        <f>COUNTIF(ParticipationJanvier1[[#This Row],[1]:[31]],Code12)</f>
        <v>0</v>
      </c>
      <c r="AV108" s="6">
        <f>COUNTIF(ParticipationJanvier1[[#This Row],[1]:[31]],Code13)</f>
        <v>0</v>
      </c>
      <c r="AW108" s="6">
        <f>COUNTIF(ParticipationJanvier1[[#This Row],[1]:[31]],Code14)</f>
        <v>0</v>
      </c>
      <c r="AX108" s="6">
        <f>COUNTIF(ParticipationJanvier1[[#This Row],[1]:[31]],Code15)</f>
        <v>0</v>
      </c>
      <c r="AY108" s="6">
        <f>COUNTIF(ParticipationJanvier1[[#This Row],[1]:[31]],Code16)</f>
        <v>0</v>
      </c>
      <c r="AZ108" s="6">
        <f>COUNTIF(ParticipationJanvier1[[#This Row],[1]:[31]],Code17)</f>
        <v>0</v>
      </c>
      <c r="BA108" s="6">
        <f>COUNTIF(ParticipationJanvier1[[#This Row],[1]:[31]],Code25)</f>
        <v>0</v>
      </c>
      <c r="BB108" s="6">
        <f>COUNTIF(ParticipationJanvier1[[#This Row],[1]:[31]],Code26)</f>
        <v>0</v>
      </c>
      <c r="BC108" s="6">
        <f>COUNTIF(ParticipationJanvier1[[#This Row],[1]:[31]],Code27)</f>
        <v>0</v>
      </c>
      <c r="BD108" s="6">
        <f>COUNTIF(ParticipationJanvier1[[#This Row],[1]:[31]],Code28)</f>
        <v>0</v>
      </c>
      <c r="BE108" s="6">
        <f>COUNTIF(ParticipationJanvier1[[#This Row],[1]:[31]],code30)</f>
        <v>0</v>
      </c>
      <c r="BF108" s="6">
        <f>COUNTIF(ParticipationJanvier1[[#This Row],[1]:[31]],Code31)</f>
        <v>0</v>
      </c>
      <c r="BG108" s="6">
        <f>COUNTIF(ParticipationJanvier1[[#This Row],[1]:[31]],code21)</f>
        <v>0</v>
      </c>
      <c r="BH108" s="6">
        <f>COUNTIF(ParticipationJanvier1[[#This Row],[1]:[31]],Code24)</f>
        <v>0</v>
      </c>
      <c r="BI108" s="6">
        <f>COUNTIF(ParticipationJanvier1[[#This Row],[1]:[31]],code18)</f>
        <v>0</v>
      </c>
      <c r="BJ108" s="6">
        <f>COUNTIF(ParticipationJanvier1[[#This Row],[1]:[31]],code19)</f>
        <v>0</v>
      </c>
      <c r="BK108" s="6">
        <f>COUNTIF(ParticipationJanvier1[[#This Row],[1]:[31]],code20)</f>
        <v>0</v>
      </c>
      <c r="BL108" s="182">
        <f>COUNTIF(ParticipationJanvier1[[#This Row],[1]:[31]],code29)</f>
        <v>0</v>
      </c>
      <c r="BM108" s="297"/>
      <c r="BN108" s="297"/>
      <c r="BO108" s="297"/>
      <c r="BP108" s="297"/>
      <c r="BQ108" s="297"/>
      <c r="BR108" s="307"/>
      <c r="BS108" s="297"/>
      <c r="BT108" s="297"/>
      <c r="BU108" s="297"/>
      <c r="BV108" s="297"/>
      <c r="BW108" s="297"/>
      <c r="BX108" s="297"/>
      <c r="BY108" s="297"/>
      <c r="BZ108" s="297"/>
      <c r="CA108" s="297"/>
      <c r="CB108" s="297"/>
      <c r="CC108" s="297"/>
      <c r="CD108" s="297"/>
      <c r="CE108" s="297"/>
      <c r="CF108" s="297"/>
      <c r="CG108" s="297"/>
      <c r="CH108" s="297"/>
      <c r="CI108" s="297"/>
      <c r="CJ108" s="297"/>
      <c r="CK108" s="297"/>
      <c r="CL108" s="297"/>
      <c r="CM108" s="297"/>
      <c r="CN108" s="297"/>
      <c r="CO108" s="297"/>
      <c r="CP108" s="297"/>
      <c r="CQ108" s="297"/>
      <c r="CR108" s="297"/>
      <c r="CS108" s="297"/>
      <c r="CT108" s="297"/>
      <c r="CU108" s="300"/>
      <c r="CV108" s="165">
        <f t="shared" si="0"/>
        <v>0</v>
      </c>
      <c r="CW108" s="165">
        <f t="shared" si="4"/>
        <v>3</v>
      </c>
      <c r="CX108" s="249">
        <f t="shared" si="2"/>
        <v>0</v>
      </c>
      <c r="CY108" s="170"/>
    </row>
    <row r="109" spans="1:103">
      <c r="A109" s="510" t="s">
        <v>450</v>
      </c>
      <c r="B109" s="372" t="str">
        <f>IFERROR(VLOOKUP(ParticipationJanvier1[[#This Row],[Référence]],ListeÉtudiants1[],18,FALSE),"")</f>
        <v>NOBIAL FABIENNE</v>
      </c>
      <c r="G109" s="291"/>
      <c r="I109" s="291"/>
      <c r="K109" s="291"/>
      <c r="M109" s="291"/>
      <c r="N109" s="19"/>
      <c r="O109" s="19"/>
      <c r="P109" s="19"/>
      <c r="Q109" s="19" t="s">
        <v>529</v>
      </c>
      <c r="R109" s="19"/>
      <c r="S109" s="19"/>
      <c r="T109" s="19"/>
      <c r="U109" s="291"/>
      <c r="W109" s="291"/>
      <c r="Y109" s="291"/>
      <c r="AA109" s="291"/>
      <c r="AC109" s="291"/>
      <c r="AE109" s="291"/>
      <c r="AG109" s="326"/>
      <c r="AH109" s="6">
        <f>COUNTIF(ParticipationJanvier1[[#This Row],[1]:[31]],Code1)</f>
        <v>0</v>
      </c>
      <c r="AI109" s="6">
        <f>COUNTIF(ParticipationJanvier1[[#This Row],[1]:[31]],code22)</f>
        <v>0</v>
      </c>
      <c r="AJ109" s="6">
        <f>COUNTIF(ParticipationJanvier1[[#This Row],[1]:[31]],Code2)</f>
        <v>0</v>
      </c>
      <c r="AK109" s="6">
        <f>COUNTIF(ParticipationJanvier1[[#This Row],[1]:[31]],Code3)</f>
        <v>0</v>
      </c>
      <c r="AL109" s="6">
        <f>COUNTIF(ParticipationJanvier1[[#This Row],[1]:[31]],Code4)</f>
        <v>0</v>
      </c>
      <c r="AM109" s="6">
        <f>COUNTIF(ParticipationJanvier1[[#This Row],[1]:[31]],Code5)</f>
        <v>0</v>
      </c>
      <c r="AN109" s="6">
        <f>COUNTIF(ParticipationJanvier1[[#This Row],[1]:[31]],Code23)</f>
        <v>1</v>
      </c>
      <c r="AO109" s="6">
        <f>COUNTIF(ParticipationJanvier1[[#This Row],[1]:[31]],Code6)</f>
        <v>0</v>
      </c>
      <c r="AP109" s="6">
        <f>COUNTIF(ParticipationJanvier1[[#This Row],[1]:[31]],Code7)</f>
        <v>0</v>
      </c>
      <c r="AQ109" s="6">
        <f>COUNTIF(ParticipationJanvier1[[#This Row],[1]:[31]],Code8)</f>
        <v>0</v>
      </c>
      <c r="AR109" s="6">
        <f>COUNTIF(ParticipationJanvier1[[#This Row],[1]:[31]],Code9)</f>
        <v>0</v>
      </c>
      <c r="AS109" s="6">
        <f>COUNTIF(ParticipationJanvier1[[#This Row],[1]:[31]],Code10)</f>
        <v>0</v>
      </c>
      <c r="AT109" s="6">
        <f>COUNTIF(ParticipationJanvier1[[#This Row],[1]:[31]],Code11)</f>
        <v>0</v>
      </c>
      <c r="AU109" s="6">
        <f>COUNTIF(ParticipationJanvier1[[#This Row],[1]:[31]],Code12)</f>
        <v>0</v>
      </c>
      <c r="AV109" s="6">
        <f>COUNTIF(ParticipationJanvier1[[#This Row],[1]:[31]],Code13)</f>
        <v>0</v>
      </c>
      <c r="AW109" s="6">
        <f>COUNTIF(ParticipationJanvier1[[#This Row],[1]:[31]],Code14)</f>
        <v>0</v>
      </c>
      <c r="AX109" s="6">
        <f>COUNTIF(ParticipationJanvier1[[#This Row],[1]:[31]],Code15)</f>
        <v>0</v>
      </c>
      <c r="AY109" s="6">
        <f>COUNTIF(ParticipationJanvier1[[#This Row],[1]:[31]],Code16)</f>
        <v>0</v>
      </c>
      <c r="AZ109" s="6">
        <f>COUNTIF(ParticipationJanvier1[[#This Row],[1]:[31]],Code17)</f>
        <v>0</v>
      </c>
      <c r="BA109" s="6">
        <f>COUNTIF(ParticipationJanvier1[[#This Row],[1]:[31]],Code25)</f>
        <v>0</v>
      </c>
      <c r="BB109" s="6">
        <f>COUNTIF(ParticipationJanvier1[[#This Row],[1]:[31]],Code26)</f>
        <v>0</v>
      </c>
      <c r="BC109" s="6">
        <f>COUNTIF(ParticipationJanvier1[[#This Row],[1]:[31]],Code27)</f>
        <v>0</v>
      </c>
      <c r="BD109" s="6">
        <f>COUNTIF(ParticipationJanvier1[[#This Row],[1]:[31]],Code28)</f>
        <v>0</v>
      </c>
      <c r="BE109" s="6">
        <f>COUNTIF(ParticipationJanvier1[[#This Row],[1]:[31]],code30)</f>
        <v>0</v>
      </c>
      <c r="BF109" s="6">
        <f>COUNTIF(ParticipationJanvier1[[#This Row],[1]:[31]],Code31)</f>
        <v>0</v>
      </c>
      <c r="BG109" s="6">
        <f>COUNTIF(ParticipationJanvier1[[#This Row],[1]:[31]],code21)</f>
        <v>0</v>
      </c>
      <c r="BH109" s="6">
        <f>COUNTIF(ParticipationJanvier1[[#This Row],[1]:[31]],Code24)</f>
        <v>0</v>
      </c>
      <c r="BI109" s="6">
        <f>COUNTIF(ParticipationJanvier1[[#This Row],[1]:[31]],code18)</f>
        <v>0</v>
      </c>
      <c r="BJ109" s="6">
        <f>COUNTIF(ParticipationJanvier1[[#This Row],[1]:[31]],code19)</f>
        <v>0</v>
      </c>
      <c r="BK109" s="6">
        <f>COUNTIF(ParticipationJanvier1[[#This Row],[1]:[31]],code20)</f>
        <v>0</v>
      </c>
      <c r="BL109" s="182">
        <f>COUNTIF(ParticipationJanvier1[[#This Row],[1]:[31]],code29)</f>
        <v>0</v>
      </c>
      <c r="BM109" s="297"/>
      <c r="BN109" s="297"/>
      <c r="BO109" s="297"/>
      <c r="BP109" s="297"/>
      <c r="BQ109" s="297"/>
      <c r="BR109" s="307"/>
      <c r="BS109" s="297"/>
      <c r="BT109" s="297"/>
      <c r="BU109" s="297"/>
      <c r="BV109" s="297"/>
      <c r="BW109" s="297"/>
      <c r="BX109" s="297"/>
      <c r="BY109" s="297"/>
      <c r="BZ109" s="297"/>
      <c r="CA109" s="297"/>
      <c r="CB109" s="297"/>
      <c r="CC109" s="297"/>
      <c r="CD109" s="297"/>
      <c r="CE109" s="297"/>
      <c r="CF109" s="297"/>
      <c r="CG109" s="297"/>
      <c r="CH109" s="297"/>
      <c r="CI109" s="297"/>
      <c r="CJ109" s="297"/>
      <c r="CK109" s="297"/>
      <c r="CL109" s="297"/>
      <c r="CM109" s="297"/>
      <c r="CN109" s="297"/>
      <c r="CO109" s="297"/>
      <c r="CP109" s="297"/>
      <c r="CQ109" s="297"/>
      <c r="CR109" s="297"/>
      <c r="CS109" s="297"/>
      <c r="CT109" s="297"/>
      <c r="CU109" s="300"/>
      <c r="CV109" s="165">
        <f t="shared" si="0"/>
        <v>0</v>
      </c>
      <c r="CW109" s="165">
        <f t="shared" si="4"/>
        <v>1</v>
      </c>
      <c r="CX109" s="249">
        <f t="shared" si="2"/>
        <v>0</v>
      </c>
      <c r="CY109" s="170"/>
    </row>
    <row r="110" spans="1:103">
      <c r="A110" s="534" t="s">
        <v>451</v>
      </c>
      <c r="B110" s="372" t="str">
        <f>IFERROR(VLOOKUP(ParticipationJanvier1[[#This Row],[Référence]],ListeÉtudiants1[],18,FALSE),"")</f>
        <v>OUSSENI-COMBO ROMINAH</v>
      </c>
      <c r="G110" s="525"/>
      <c r="I110" s="525"/>
      <c r="K110" s="525"/>
      <c r="M110" s="525"/>
      <c r="N110" s="19"/>
      <c r="O110" s="518"/>
      <c r="P110" s="19"/>
      <c r="Q110" s="518"/>
      <c r="R110" s="19"/>
      <c r="S110" s="518"/>
      <c r="T110" s="19"/>
      <c r="U110" s="525"/>
      <c r="W110" s="525"/>
      <c r="Y110" s="525"/>
      <c r="AA110" s="525"/>
      <c r="AC110" s="525"/>
      <c r="AE110" s="525"/>
      <c r="AG110" s="519"/>
      <c r="AH110" s="475">
        <f>COUNTIF(ParticipationJanvier1[[#This Row],[1]:[31]],Code1)</f>
        <v>0</v>
      </c>
      <c r="AI110" s="518">
        <f>COUNTIF(ParticipationJanvier1[[#This Row],[1]:[31]],code22)</f>
        <v>0</v>
      </c>
      <c r="AJ110" s="473">
        <f>COUNTIF(ParticipationJanvier1[[#This Row],[1]:[31]],Code2)</f>
        <v>0</v>
      </c>
      <c r="AK110" s="520">
        <f>COUNTIF(ParticipationJanvier1[[#This Row],[1]:[31]],Code3)</f>
        <v>0</v>
      </c>
      <c r="AL110" s="473">
        <f>COUNTIF(ParticipationJanvier1[[#This Row],[1]:[31]],Code4)</f>
        <v>0</v>
      </c>
      <c r="AM110" s="520">
        <f>COUNTIF(ParticipationJanvier1[[#This Row],[1]:[31]],Code5)</f>
        <v>0</v>
      </c>
      <c r="AN110" s="30">
        <f>COUNTIF(ParticipationJanvier1[[#This Row],[1]:[31]],Code23)</f>
        <v>0</v>
      </c>
      <c r="AO110" s="473">
        <f>COUNTIF(ParticipationJanvier1[[#This Row],[1]:[31]],Code6)</f>
        <v>0</v>
      </c>
      <c r="AP110" s="30">
        <f>COUNTIF(ParticipationJanvier1[[#This Row],[1]:[31]],Code7)</f>
        <v>0</v>
      </c>
      <c r="AQ110" s="30">
        <f>COUNTIF(ParticipationJanvier1[[#This Row],[1]:[31]],Code8)</f>
        <v>0</v>
      </c>
      <c r="AR110" s="30">
        <f>COUNTIF(ParticipationJanvier1[[#This Row],[1]:[31]],Code9)</f>
        <v>0</v>
      </c>
      <c r="AS110" s="473">
        <f>COUNTIF(ParticipationJanvier1[[#This Row],[1]:[31]],Code10)</f>
        <v>0</v>
      </c>
      <c r="AT110" s="473">
        <f>COUNTIF(ParticipationJanvier1[[#This Row],[1]:[31]],Code11)</f>
        <v>0</v>
      </c>
      <c r="AU110" s="473">
        <f>COUNTIF(ParticipationJanvier1[[#This Row],[1]:[31]],Code12)</f>
        <v>0</v>
      </c>
      <c r="AV110" s="473">
        <f>COUNTIF(ParticipationJanvier1[[#This Row],[1]:[31]],Code13)</f>
        <v>0</v>
      </c>
      <c r="AW110" s="473">
        <f>COUNTIF(ParticipationJanvier1[[#This Row],[1]:[31]],Code14)</f>
        <v>0</v>
      </c>
      <c r="AX110" s="473">
        <f>COUNTIF(ParticipationJanvier1[[#This Row],[1]:[31]],Code15)</f>
        <v>0</v>
      </c>
      <c r="AY110" s="473">
        <f>COUNTIF(ParticipationJanvier1[[#This Row],[1]:[31]],Code16)</f>
        <v>0</v>
      </c>
      <c r="AZ110" s="473">
        <f>COUNTIF(ParticipationJanvier1[[#This Row],[1]:[31]],Code17)</f>
        <v>0</v>
      </c>
      <c r="BA110" s="475">
        <f>COUNTIF(ParticipationJanvier1[[#This Row],[1]:[31]],Code25)</f>
        <v>0</v>
      </c>
      <c r="BB110" s="475">
        <f>COUNTIF(ParticipationJanvier1[[#This Row],[1]:[31]],Code26)</f>
        <v>0</v>
      </c>
      <c r="BC110" s="475">
        <f>COUNTIF(ParticipationJanvier1[[#This Row],[1]:[31]],Code27)</f>
        <v>0</v>
      </c>
      <c r="BD110" s="475">
        <f>COUNTIF(ParticipationJanvier1[[#This Row],[1]:[31]],Code28)</f>
        <v>0</v>
      </c>
      <c r="BE110" s="475">
        <f>COUNTIF(ParticipationJanvier1[[#This Row],[1]:[31]],code30)</f>
        <v>0</v>
      </c>
      <c r="BF110" s="475">
        <f>COUNTIF(ParticipationJanvier1[[#This Row],[1]:[31]],Code31)</f>
        <v>0</v>
      </c>
      <c r="BG110" s="473">
        <f>COUNTIF(ParticipationJanvier1[[#This Row],[1]:[31]],code21)</f>
        <v>0</v>
      </c>
      <c r="BH110" s="473">
        <f>COUNTIF(ParticipationJanvier1[[#This Row],[1]:[31]],Code24)</f>
        <v>0</v>
      </c>
      <c r="BI110" s="473">
        <f>COUNTIF(ParticipationJanvier1[[#This Row],[1]:[31]],code18)</f>
        <v>0</v>
      </c>
      <c r="BJ110" s="473">
        <f>COUNTIF(ParticipationJanvier1[[#This Row],[1]:[31]],code19)</f>
        <v>0</v>
      </c>
      <c r="BK110" s="473">
        <f>COUNTIF(ParticipationJanvier1[[#This Row],[1]:[31]],code20)</f>
        <v>0</v>
      </c>
      <c r="BL110" s="476">
        <f>COUNTIF(ParticipationJanvier1[[#This Row],[1]:[31]],code29)</f>
        <v>0</v>
      </c>
      <c r="BM110" s="472">
        <f>SUM((AH110*1)+(AI116*1.5)+(AJ110*2)+(AK110*3)+(AL110*4)+(AQ110*5)+(AR110*6)+(AS110*7)+(AW110*2)+(AX110*3)+(AY110*4)+(AZ110*5)+(BG110*2))</f>
        <v>0</v>
      </c>
      <c r="BN110" s="472"/>
      <c r="BO110" s="472"/>
      <c r="BP110" s="472"/>
      <c r="BQ110" s="472"/>
      <c r="BR110" s="473"/>
      <c r="BS110" s="472"/>
      <c r="BT110" s="472"/>
      <c r="BU110" s="472"/>
      <c r="BV110" s="472"/>
      <c r="BW110" s="472"/>
      <c r="BX110" s="472"/>
      <c r="BY110" s="472"/>
      <c r="BZ110" s="472"/>
      <c r="CA110" s="472"/>
      <c r="CB110" s="472"/>
      <c r="CC110" s="472"/>
      <c r="CD110" s="472"/>
      <c r="CE110" s="472"/>
      <c r="CF110" s="472"/>
      <c r="CG110" s="472"/>
      <c r="CH110" s="472"/>
      <c r="CI110" s="472"/>
      <c r="CJ110" s="472"/>
      <c r="CK110" s="472"/>
      <c r="CL110" s="472"/>
      <c r="CM110" s="472"/>
      <c r="CN110" s="472"/>
      <c r="CO110" s="472"/>
      <c r="CP110" s="472"/>
      <c r="CQ110" s="472"/>
      <c r="CR110" s="472"/>
      <c r="CS110" s="472"/>
      <c r="CT110" s="472"/>
      <c r="CU110" s="516">
        <f>SUM((AN110*1)+(AM110*2)+(AO110*3)+(AP110*4)+(AT110*5)+(AU110*7)+(AV110*7)+(AW110*7)+(AX110*4)+(AY110*3)+(BA110*2)+(BC110*4)+(BB110*1)+(BG110*2)+(AZ110*5)+(BD110*1))</f>
        <v>0</v>
      </c>
      <c r="CV110" s="521">
        <f>SUM((AH110*1)+(AI110*1.5)+(AJ110*2)+(AK110*3)+(AP110*5)+(AQ110*6)+(AR110*7)+(AU110*2)+(AX110*3)+(AY110*4)+(BA110*5)+(BB110*3)+(BC110*2)+(BG110*2)+(AZ110*2)+(BD110*2))</f>
        <v>0</v>
      </c>
      <c r="CW110" s="522">
        <f>SUM((AN110*1)+(AM110*2)+(AO110*3)+(AP110*4)+(AT110*5)+(AU110*7)+(AV110*7)+(AW110*7)+(AX110*4)+(AY110*3)+(BA110*2)+(BC110*4)+(BB110*1)+(BG110*2)+(AZ110*5)+(BD110*1))</f>
        <v>0</v>
      </c>
      <c r="CX110" s="523">
        <f>BH110*1</f>
        <v>0</v>
      </c>
      <c r="CY110" s="512"/>
    </row>
    <row r="111" spans="1:103">
      <c r="A111" s="510" t="s">
        <v>452</v>
      </c>
      <c r="B111" s="372" t="str">
        <f>IFERROR(VLOOKUP(ParticipationJanvier1[[#This Row],[Référence]],ListeÉtudiants1[],18,FALSE),"")</f>
        <v>PAPAIL SIMON</v>
      </c>
      <c r="G111" s="291"/>
      <c r="I111" s="291"/>
      <c r="K111" s="291"/>
      <c r="M111" s="291"/>
      <c r="N111" s="19"/>
      <c r="O111" s="19"/>
      <c r="P111" s="19"/>
      <c r="Q111" s="19" t="s">
        <v>529</v>
      </c>
      <c r="R111" s="19" t="s">
        <v>106</v>
      </c>
      <c r="S111" s="19" t="s">
        <v>107</v>
      </c>
      <c r="T111" s="19" t="s">
        <v>106</v>
      </c>
      <c r="U111" s="291"/>
      <c r="W111" s="291"/>
      <c r="Y111" s="291"/>
      <c r="AA111" s="291"/>
      <c r="AC111" s="291"/>
      <c r="AE111" s="291"/>
      <c r="AG111" s="326"/>
      <c r="AH111" s="6">
        <f>COUNTIF(ParticipationJanvier1[[#This Row],[1]:[31]],Code1)</f>
        <v>0</v>
      </c>
      <c r="AI111" s="6">
        <f>COUNTIF(ParticipationJanvier1[[#This Row],[1]:[31]],code22)</f>
        <v>0</v>
      </c>
      <c r="AJ111" s="6">
        <f>COUNTIF(ParticipationJanvier1[[#This Row],[1]:[31]],Code2)</f>
        <v>0</v>
      </c>
      <c r="AK111" s="6">
        <f>COUNTIF(ParticipationJanvier1[[#This Row],[1]:[31]],Code3)</f>
        <v>2</v>
      </c>
      <c r="AL111" s="6">
        <f>COUNTIF(ParticipationJanvier1[[#This Row],[1]:[31]],Code4)</f>
        <v>1</v>
      </c>
      <c r="AM111" s="6">
        <f>COUNTIF(ParticipationJanvier1[[#This Row],[1]:[31]],Code5)</f>
        <v>0</v>
      </c>
      <c r="AN111" s="6">
        <f>COUNTIF(ParticipationJanvier1[[#This Row],[1]:[31]],Code23)</f>
        <v>1</v>
      </c>
      <c r="AO111" s="6">
        <f>COUNTIF(ParticipationJanvier1[[#This Row],[1]:[31]],Code6)</f>
        <v>0</v>
      </c>
      <c r="AP111" s="6">
        <f>COUNTIF(ParticipationJanvier1[[#This Row],[1]:[31]],Code7)</f>
        <v>0</v>
      </c>
      <c r="AQ111" s="6">
        <f>COUNTIF(ParticipationJanvier1[[#This Row],[1]:[31]],Code8)</f>
        <v>0</v>
      </c>
      <c r="AR111" s="6">
        <f>COUNTIF(ParticipationJanvier1[[#This Row],[1]:[31]],Code9)</f>
        <v>0</v>
      </c>
      <c r="AS111" s="6">
        <f>COUNTIF(ParticipationJanvier1[[#This Row],[1]:[31]],Code10)</f>
        <v>0</v>
      </c>
      <c r="AT111" s="6">
        <f>COUNTIF(ParticipationJanvier1[[#This Row],[1]:[31]],Code11)</f>
        <v>0</v>
      </c>
      <c r="AU111" s="6">
        <f>COUNTIF(ParticipationJanvier1[[#This Row],[1]:[31]],Code12)</f>
        <v>0</v>
      </c>
      <c r="AV111" s="6">
        <f>COUNTIF(ParticipationJanvier1[[#This Row],[1]:[31]],Code13)</f>
        <v>0</v>
      </c>
      <c r="AW111" s="6">
        <f>COUNTIF(ParticipationJanvier1[[#This Row],[1]:[31]],Code14)</f>
        <v>0</v>
      </c>
      <c r="AX111" s="6">
        <f>COUNTIF(ParticipationJanvier1[[#This Row],[1]:[31]],Code15)</f>
        <v>0</v>
      </c>
      <c r="AY111" s="6">
        <f>COUNTIF(ParticipationJanvier1[[#This Row],[1]:[31]],Code16)</f>
        <v>0</v>
      </c>
      <c r="AZ111" s="6">
        <f>COUNTIF(ParticipationJanvier1[[#This Row],[1]:[31]],Code17)</f>
        <v>0</v>
      </c>
      <c r="BA111" s="6">
        <f>COUNTIF(ParticipationJanvier1[[#This Row],[1]:[31]],Code25)</f>
        <v>0</v>
      </c>
      <c r="BB111" s="6">
        <f>COUNTIF(ParticipationJanvier1[[#This Row],[1]:[31]],Code26)</f>
        <v>0</v>
      </c>
      <c r="BC111" s="6">
        <f>COUNTIF(ParticipationJanvier1[[#This Row],[1]:[31]],Code27)</f>
        <v>0</v>
      </c>
      <c r="BD111" s="6">
        <f>COUNTIF(ParticipationJanvier1[[#This Row],[1]:[31]],Code28)</f>
        <v>0</v>
      </c>
      <c r="BE111" s="6">
        <f>COUNTIF(ParticipationJanvier1[[#This Row],[1]:[31]],code30)</f>
        <v>0</v>
      </c>
      <c r="BF111" s="6">
        <f>COUNTIF(ParticipationJanvier1[[#This Row],[1]:[31]],Code31)</f>
        <v>0</v>
      </c>
      <c r="BG111" s="6">
        <f>COUNTIF(ParticipationJanvier1[[#This Row],[1]:[31]],code21)</f>
        <v>0</v>
      </c>
      <c r="BH111" s="6">
        <f>COUNTIF(ParticipationJanvier1[[#This Row],[1]:[31]],Code24)</f>
        <v>0</v>
      </c>
      <c r="BI111" s="6">
        <f>COUNTIF(ParticipationJanvier1[[#This Row],[1]:[31]],code18)</f>
        <v>0</v>
      </c>
      <c r="BJ111" s="6">
        <f>COUNTIF(ParticipationJanvier1[[#This Row],[1]:[31]],code19)</f>
        <v>0</v>
      </c>
      <c r="BK111" s="6">
        <f>COUNTIF(ParticipationJanvier1[[#This Row],[1]:[31]],code20)</f>
        <v>0</v>
      </c>
      <c r="BL111" s="182">
        <f>COUNTIF(ParticipationJanvier1[[#This Row],[1]:[31]],code29)</f>
        <v>0</v>
      </c>
      <c r="BM111" s="297">
        <v>2</v>
      </c>
      <c r="BN111" s="297"/>
      <c r="BO111" s="297"/>
      <c r="BP111" s="297"/>
      <c r="BQ111" s="297"/>
      <c r="BR111" s="307"/>
      <c r="BS111" s="297"/>
      <c r="BT111" s="297"/>
      <c r="BU111" s="297"/>
      <c r="BV111" s="297"/>
      <c r="BW111" s="297"/>
      <c r="BX111" s="297"/>
      <c r="BY111" s="297"/>
      <c r="BZ111" s="297"/>
      <c r="CA111" s="297"/>
      <c r="CB111" s="297"/>
      <c r="CC111" s="297"/>
      <c r="CD111" s="297"/>
      <c r="CE111" s="297"/>
      <c r="CF111" s="297"/>
      <c r="CG111" s="297"/>
      <c r="CH111" s="297"/>
      <c r="CI111" s="297"/>
      <c r="CJ111" s="297">
        <v>1</v>
      </c>
      <c r="CK111" s="297"/>
      <c r="CL111" s="297"/>
      <c r="CM111" s="297"/>
      <c r="CN111" s="297"/>
      <c r="CO111" s="297"/>
      <c r="CP111" s="297"/>
      <c r="CQ111" s="297"/>
      <c r="CR111" s="297"/>
      <c r="CS111" s="297"/>
      <c r="CT111" s="297"/>
      <c r="CU111" s="300"/>
      <c r="CV111" s="165">
        <f t="shared" si="0"/>
        <v>6</v>
      </c>
      <c r="CW111" s="165">
        <f t="shared" si="4"/>
        <v>1</v>
      </c>
      <c r="CX111" s="249">
        <f t="shared" si="2"/>
        <v>0</v>
      </c>
      <c r="CY111" s="170"/>
    </row>
    <row r="112" spans="1:103">
      <c r="A112" s="510" t="s">
        <v>453</v>
      </c>
      <c r="B112" s="372" t="str">
        <f>IFERROR(VLOOKUP(ParticipationJanvier1[[#This Row],[Référence]],ListeÉtudiants1[],18,FALSE),"")</f>
        <v>PICARDET LISSANNDRA</v>
      </c>
      <c r="G112" s="291"/>
      <c r="I112" s="291"/>
      <c r="K112" s="291"/>
      <c r="M112" s="291"/>
      <c r="N112" s="19"/>
      <c r="O112" s="19"/>
      <c r="P112" s="19"/>
      <c r="Q112" s="19"/>
      <c r="R112" s="19" t="s">
        <v>106</v>
      </c>
      <c r="S112" s="19"/>
      <c r="T112" s="19"/>
      <c r="U112" s="291"/>
      <c r="W112" s="291"/>
      <c r="Y112" s="291"/>
      <c r="AA112" s="291"/>
      <c r="AC112" s="291"/>
      <c r="AE112" s="291"/>
      <c r="AG112" s="326"/>
      <c r="AH112" s="6">
        <f>COUNTIF(ParticipationJanvier1[[#This Row],[1]:[31]],Code1)</f>
        <v>0</v>
      </c>
      <c r="AI112" s="6">
        <f>COUNTIF(ParticipationJanvier1[[#This Row],[1]:[31]],code22)</f>
        <v>0</v>
      </c>
      <c r="AJ112" s="6">
        <f>COUNTIF(ParticipationJanvier1[[#This Row],[1]:[31]],Code2)</f>
        <v>0</v>
      </c>
      <c r="AK112" s="6">
        <f>COUNTIF(ParticipationJanvier1[[#This Row],[1]:[31]],Code3)</f>
        <v>1</v>
      </c>
      <c r="AL112" s="6">
        <f>COUNTIF(ParticipationJanvier1[[#This Row],[1]:[31]],Code4)</f>
        <v>0</v>
      </c>
      <c r="AM112" s="6">
        <f>COUNTIF(ParticipationJanvier1[[#This Row],[1]:[31]],Code5)</f>
        <v>0</v>
      </c>
      <c r="AN112" s="6">
        <f>COUNTIF(ParticipationJanvier1[[#This Row],[1]:[31]],Code23)</f>
        <v>0</v>
      </c>
      <c r="AO112" s="6">
        <f>COUNTIF(ParticipationJanvier1[[#This Row],[1]:[31]],Code6)</f>
        <v>0</v>
      </c>
      <c r="AP112" s="6">
        <f>COUNTIF(ParticipationJanvier1[[#This Row],[1]:[31]],Code7)</f>
        <v>0</v>
      </c>
      <c r="AQ112" s="6">
        <f>COUNTIF(ParticipationJanvier1[[#This Row],[1]:[31]],Code8)</f>
        <v>0</v>
      </c>
      <c r="AR112" s="6">
        <f>COUNTIF(ParticipationJanvier1[[#This Row],[1]:[31]],Code9)</f>
        <v>0</v>
      </c>
      <c r="AS112" s="6">
        <f>COUNTIF(ParticipationJanvier1[[#This Row],[1]:[31]],Code10)</f>
        <v>0</v>
      </c>
      <c r="AT112" s="6">
        <f>COUNTIF(ParticipationJanvier1[[#This Row],[1]:[31]],Code11)</f>
        <v>0</v>
      </c>
      <c r="AU112" s="6">
        <f>COUNTIF(ParticipationJanvier1[[#This Row],[1]:[31]],Code12)</f>
        <v>0</v>
      </c>
      <c r="AV112" s="6">
        <f>COUNTIF(ParticipationJanvier1[[#This Row],[1]:[31]],Code13)</f>
        <v>0</v>
      </c>
      <c r="AW112" s="6">
        <f>COUNTIF(ParticipationJanvier1[[#This Row],[1]:[31]],Code14)</f>
        <v>0</v>
      </c>
      <c r="AX112" s="6">
        <f>COUNTIF(ParticipationJanvier1[[#This Row],[1]:[31]],Code15)</f>
        <v>0</v>
      </c>
      <c r="AY112" s="6">
        <f>COUNTIF(ParticipationJanvier1[[#This Row],[1]:[31]],Code16)</f>
        <v>0</v>
      </c>
      <c r="AZ112" s="6">
        <f>COUNTIF(ParticipationJanvier1[[#This Row],[1]:[31]],Code17)</f>
        <v>0</v>
      </c>
      <c r="BA112" s="6">
        <f>COUNTIF(ParticipationJanvier1[[#This Row],[1]:[31]],Code25)</f>
        <v>0</v>
      </c>
      <c r="BB112" s="6">
        <f>COUNTIF(ParticipationJanvier1[[#This Row],[1]:[31]],Code26)</f>
        <v>0</v>
      </c>
      <c r="BC112" s="6">
        <f>COUNTIF(ParticipationJanvier1[[#This Row],[1]:[31]],Code27)</f>
        <v>0</v>
      </c>
      <c r="BD112" s="6">
        <f>COUNTIF(ParticipationJanvier1[[#This Row],[1]:[31]],Code28)</f>
        <v>0</v>
      </c>
      <c r="BE112" s="6">
        <f>COUNTIF(ParticipationJanvier1[[#This Row],[1]:[31]],code30)</f>
        <v>0</v>
      </c>
      <c r="BF112" s="6">
        <f>COUNTIF(ParticipationJanvier1[[#This Row],[1]:[31]],Code31)</f>
        <v>0</v>
      </c>
      <c r="BG112" s="6">
        <f>COUNTIF(ParticipationJanvier1[[#This Row],[1]:[31]],code21)</f>
        <v>0</v>
      </c>
      <c r="BH112" s="6">
        <f>COUNTIF(ParticipationJanvier1[[#This Row],[1]:[31]],Code24)</f>
        <v>0</v>
      </c>
      <c r="BI112" s="6">
        <f>COUNTIF(ParticipationJanvier1[[#This Row],[1]:[31]],code18)</f>
        <v>0</v>
      </c>
      <c r="BJ112" s="6">
        <f>COUNTIF(ParticipationJanvier1[[#This Row],[1]:[31]],code19)</f>
        <v>0</v>
      </c>
      <c r="BK112" s="6">
        <f>COUNTIF(ParticipationJanvier1[[#This Row],[1]:[31]],code20)</f>
        <v>0</v>
      </c>
      <c r="BL112" s="182">
        <f>COUNTIF(ParticipationJanvier1[[#This Row],[1]:[31]],code29)</f>
        <v>0</v>
      </c>
      <c r="BM112" s="297">
        <v>1</v>
      </c>
      <c r="BN112" s="297"/>
      <c r="BO112" s="297"/>
      <c r="BP112" s="297"/>
      <c r="BQ112" s="297"/>
      <c r="BR112" s="307"/>
      <c r="BS112" s="297"/>
      <c r="BT112" s="297"/>
      <c r="BU112" s="297"/>
      <c r="BV112" s="297"/>
      <c r="BW112" s="297"/>
      <c r="BX112" s="297"/>
      <c r="BY112" s="297"/>
      <c r="BZ112" s="297"/>
      <c r="CA112" s="297"/>
      <c r="CB112" s="297"/>
      <c r="CC112" s="297"/>
      <c r="CD112" s="297"/>
      <c r="CE112" s="297"/>
      <c r="CF112" s="297"/>
      <c r="CG112" s="297"/>
      <c r="CH112" s="297"/>
      <c r="CI112" s="297"/>
      <c r="CJ112" s="297"/>
      <c r="CK112" s="297"/>
      <c r="CL112" s="297"/>
      <c r="CM112" s="297"/>
      <c r="CN112" s="297"/>
      <c r="CO112" s="297"/>
      <c r="CP112" s="297"/>
      <c r="CQ112" s="297"/>
      <c r="CR112" s="297"/>
      <c r="CS112" s="297"/>
      <c r="CT112" s="297"/>
      <c r="CU112" s="300"/>
      <c r="CV112" s="165">
        <f t="shared" si="0"/>
        <v>3</v>
      </c>
      <c r="CW112" s="165">
        <f t="shared" si="4"/>
        <v>0</v>
      </c>
      <c r="CX112" s="249">
        <f t="shared" si="2"/>
        <v>0</v>
      </c>
      <c r="CY112" s="170"/>
    </row>
    <row r="113" spans="1:103">
      <c r="A113" s="510" t="s">
        <v>454</v>
      </c>
      <c r="B113" s="372" t="str">
        <f>IFERROR(VLOOKUP(ParticipationJanvier1[[#This Row],[Référence]],ListeÉtudiants1[],18,FALSE),"")</f>
        <v>PIRES KEVIN</v>
      </c>
      <c r="G113" s="525"/>
      <c r="I113" s="525"/>
      <c r="K113" s="525"/>
      <c r="M113" s="525"/>
      <c r="N113" s="19"/>
      <c r="O113" s="518"/>
      <c r="P113" s="19"/>
      <c r="Q113" s="518"/>
      <c r="R113" s="19"/>
      <c r="S113" s="518"/>
      <c r="T113" s="19"/>
      <c r="U113" s="525"/>
      <c r="W113" s="525"/>
      <c r="Y113" s="525"/>
      <c r="AA113" s="525"/>
      <c r="AC113" s="525"/>
      <c r="AE113" s="525"/>
      <c r="AG113" s="519"/>
      <c r="AH113" s="475">
        <f>COUNTIF(ParticipationJanvier1[[#This Row],[1]:[31]],Code1)</f>
        <v>0</v>
      </c>
      <c r="AI113" s="518">
        <f>COUNTIF(ParticipationJanvier1[[#This Row],[1]:[31]],code22)</f>
        <v>0</v>
      </c>
      <c r="AJ113" s="473">
        <f>COUNTIF(ParticipationJanvier1[[#This Row],[1]:[31]],Code2)</f>
        <v>0</v>
      </c>
      <c r="AK113" s="520">
        <f>COUNTIF(ParticipationJanvier1[[#This Row],[1]:[31]],Code3)</f>
        <v>0</v>
      </c>
      <c r="AL113" s="473">
        <f>COUNTIF(ParticipationJanvier1[[#This Row],[1]:[31]],Code4)</f>
        <v>0</v>
      </c>
      <c r="AM113" s="520">
        <f>COUNTIF(ParticipationJanvier1[[#This Row],[1]:[31]],Code5)</f>
        <v>0</v>
      </c>
      <c r="AN113" s="30">
        <f>COUNTIF(ParticipationJanvier1[[#This Row],[1]:[31]],Code23)</f>
        <v>0</v>
      </c>
      <c r="AO113" s="473">
        <f>COUNTIF(ParticipationJanvier1[[#This Row],[1]:[31]],Code6)</f>
        <v>0</v>
      </c>
      <c r="AP113" s="30">
        <f>COUNTIF(ParticipationJanvier1[[#This Row],[1]:[31]],Code7)</f>
        <v>0</v>
      </c>
      <c r="AQ113" s="30">
        <f>COUNTIF(ParticipationJanvier1[[#This Row],[1]:[31]],Code8)</f>
        <v>0</v>
      </c>
      <c r="AR113" s="30">
        <f>COUNTIF(ParticipationJanvier1[[#This Row],[1]:[31]],Code9)</f>
        <v>0</v>
      </c>
      <c r="AS113" s="473">
        <f>COUNTIF(ParticipationJanvier1[[#This Row],[1]:[31]],Code10)</f>
        <v>0</v>
      </c>
      <c r="AT113" s="473">
        <f>COUNTIF(ParticipationJanvier1[[#This Row],[1]:[31]],Code11)</f>
        <v>0</v>
      </c>
      <c r="AU113" s="473">
        <f>COUNTIF(ParticipationJanvier1[[#This Row],[1]:[31]],Code12)</f>
        <v>0</v>
      </c>
      <c r="AV113" s="473">
        <f>COUNTIF(ParticipationJanvier1[[#This Row],[1]:[31]],Code13)</f>
        <v>0</v>
      </c>
      <c r="AW113" s="473">
        <f>COUNTIF(ParticipationJanvier1[[#This Row],[1]:[31]],Code14)</f>
        <v>0</v>
      </c>
      <c r="AX113" s="473">
        <f>COUNTIF(ParticipationJanvier1[[#This Row],[1]:[31]],Code15)</f>
        <v>0</v>
      </c>
      <c r="AY113" s="473">
        <f>COUNTIF(ParticipationJanvier1[[#This Row],[1]:[31]],Code16)</f>
        <v>0</v>
      </c>
      <c r="AZ113" s="473">
        <f>COUNTIF(ParticipationJanvier1[[#This Row],[1]:[31]],Code17)</f>
        <v>0</v>
      </c>
      <c r="BA113" s="475">
        <f>COUNTIF(ParticipationJanvier1[[#This Row],[1]:[31]],Code25)</f>
        <v>0</v>
      </c>
      <c r="BB113" s="475">
        <f>COUNTIF(ParticipationJanvier1[[#This Row],[1]:[31]],Code26)</f>
        <v>0</v>
      </c>
      <c r="BC113" s="475">
        <f>COUNTIF(ParticipationJanvier1[[#This Row],[1]:[31]],Code27)</f>
        <v>0</v>
      </c>
      <c r="BD113" s="475">
        <f>COUNTIF(ParticipationJanvier1[[#This Row],[1]:[31]],Code28)</f>
        <v>0</v>
      </c>
      <c r="BE113" s="475">
        <f>COUNTIF(ParticipationJanvier1[[#This Row],[1]:[31]],code30)</f>
        <v>0</v>
      </c>
      <c r="BF113" s="475">
        <f>COUNTIF(ParticipationJanvier1[[#This Row],[1]:[31]],Code31)</f>
        <v>0</v>
      </c>
      <c r="BG113" s="473">
        <f>COUNTIF(ParticipationJanvier1[[#This Row],[1]:[31]],code21)</f>
        <v>0</v>
      </c>
      <c r="BH113" s="473">
        <f>COUNTIF(ParticipationJanvier1[[#This Row],[1]:[31]],Code24)</f>
        <v>0</v>
      </c>
      <c r="BI113" s="473">
        <f>COUNTIF(ParticipationJanvier1[[#This Row],[1]:[31]],code18)</f>
        <v>0</v>
      </c>
      <c r="BJ113" s="473">
        <f>COUNTIF(ParticipationJanvier1[[#This Row],[1]:[31]],code19)</f>
        <v>0</v>
      </c>
      <c r="BK113" s="473">
        <f>COUNTIF(ParticipationJanvier1[[#This Row],[1]:[31]],code20)</f>
        <v>0</v>
      </c>
      <c r="BL113" s="476">
        <f>COUNTIF(ParticipationJanvier1[[#This Row],[1]:[31]],code29)</f>
        <v>0</v>
      </c>
      <c r="BM113" s="472">
        <f>SUM((AH113*1)+(AI118*1.5)+(AJ113*2)+(AK113*3)+(AL113*4)+(AQ113*5)+(AR113*6)+(AS113*7)+(AW113*2)+(AX113*3)+(AY113*4)+(AZ113*5)+(BG113*2))</f>
        <v>0</v>
      </c>
      <c r="BN113" s="472"/>
      <c r="BO113" s="472"/>
      <c r="BP113" s="472"/>
      <c r="BQ113" s="472"/>
      <c r="BR113" s="473"/>
      <c r="BS113" s="472"/>
      <c r="BT113" s="472"/>
      <c r="BU113" s="472"/>
      <c r="BV113" s="472"/>
      <c r="BW113" s="472"/>
      <c r="BX113" s="472"/>
      <c r="BY113" s="472"/>
      <c r="BZ113" s="472"/>
      <c r="CA113" s="472"/>
      <c r="CB113" s="472"/>
      <c r="CC113" s="472"/>
      <c r="CD113" s="472"/>
      <c r="CE113" s="472"/>
      <c r="CF113" s="472"/>
      <c r="CG113" s="472"/>
      <c r="CH113" s="472"/>
      <c r="CI113" s="472"/>
      <c r="CJ113" s="472"/>
      <c r="CK113" s="472"/>
      <c r="CL113" s="472"/>
      <c r="CM113" s="472"/>
      <c r="CN113" s="472"/>
      <c r="CO113" s="472"/>
      <c r="CP113" s="472"/>
      <c r="CQ113" s="472"/>
      <c r="CR113" s="472"/>
      <c r="CS113" s="472"/>
      <c r="CT113" s="472"/>
      <c r="CU113" s="516">
        <f>SUM((AN113*1)+(AM113*2)+(AO113*3)+(AP113*4)+(AT113*5)+(AU113*7)+(AV113*7)+(AW113*7)+(AX113*4)+(AY113*3)+(BA113*2)+(BC113*4)+(BB113*1)+(BG113*2)+(AZ113*5)+(BD113*1))</f>
        <v>0</v>
      </c>
      <c r="CV113" s="521">
        <f>SUM((AH113*1)+(AI113*1.5)+(AJ113*2)+(AK113*3)+(AP113*5)+(AQ113*6)+(AR113*7)+(AU113*2)+(AX113*3)+(AY113*4)+(BA113*5)+(BB113*3)+(BC113*2)+(BG113*2)+(AZ113*2)+(BD113*2))</f>
        <v>0</v>
      </c>
      <c r="CW113" s="522">
        <f>SUM((AN113*1)+(AM113*2)+(AO113*3)+(AP113*4)+(AT113*5)+(AU113*7)+(AV113*7)+(AW113*7)+(AX113*4)+(AY113*3)+(BA113*2)+(BC113*4)+(BB113*1)+(BG113*2)+(AZ113*5)+(BD113*1))</f>
        <v>0</v>
      </c>
      <c r="CX113" s="523">
        <f>BH113*1</f>
        <v>0</v>
      </c>
      <c r="CY113" s="512"/>
    </row>
    <row r="114" spans="1:103">
      <c r="A114" s="534" t="s">
        <v>455</v>
      </c>
      <c r="B114" s="372" t="str">
        <f>IFERROR(VLOOKUP(ParticipationJanvier1[[#This Row],[Référence]],ListeÉtudiants1[],18,FALSE),"")</f>
        <v>PITKIAYE MPOUTOU JESSICA</v>
      </c>
      <c r="G114" s="525"/>
      <c r="I114" s="525"/>
      <c r="K114" s="525"/>
      <c r="M114" s="525"/>
      <c r="N114" s="19"/>
      <c r="O114" s="518"/>
      <c r="P114" s="19"/>
      <c r="Q114" s="518"/>
      <c r="R114" s="19"/>
      <c r="S114" s="518"/>
      <c r="T114" s="19"/>
      <c r="U114" s="525"/>
      <c r="W114" s="525"/>
      <c r="Y114" s="525"/>
      <c r="AA114" s="525"/>
      <c r="AC114" s="525"/>
      <c r="AE114" s="525"/>
      <c r="AG114" s="519"/>
      <c r="AH114" s="475">
        <f>COUNTIF(ParticipationJanvier1[[#This Row],[1]:[31]],Code1)</f>
        <v>0</v>
      </c>
      <c r="AI114" s="518">
        <f>COUNTIF(ParticipationJanvier1[[#This Row],[1]:[31]],code22)</f>
        <v>0</v>
      </c>
      <c r="AJ114" s="473">
        <f>COUNTIF(ParticipationJanvier1[[#This Row],[1]:[31]],Code2)</f>
        <v>0</v>
      </c>
      <c r="AK114" s="520">
        <f>COUNTIF(ParticipationJanvier1[[#This Row],[1]:[31]],Code3)</f>
        <v>0</v>
      </c>
      <c r="AL114" s="473">
        <f>COUNTIF(ParticipationJanvier1[[#This Row],[1]:[31]],Code4)</f>
        <v>0</v>
      </c>
      <c r="AM114" s="520">
        <f>COUNTIF(ParticipationJanvier1[[#This Row],[1]:[31]],Code5)</f>
        <v>0</v>
      </c>
      <c r="AN114" s="30">
        <f>COUNTIF(ParticipationJanvier1[[#This Row],[1]:[31]],Code23)</f>
        <v>0</v>
      </c>
      <c r="AO114" s="473">
        <f>COUNTIF(ParticipationJanvier1[[#This Row],[1]:[31]],Code6)</f>
        <v>0</v>
      </c>
      <c r="AP114" s="30">
        <f>COUNTIF(ParticipationJanvier1[[#This Row],[1]:[31]],Code7)</f>
        <v>0</v>
      </c>
      <c r="AQ114" s="30">
        <f>COUNTIF(ParticipationJanvier1[[#This Row],[1]:[31]],Code8)</f>
        <v>0</v>
      </c>
      <c r="AR114" s="30">
        <f>COUNTIF(ParticipationJanvier1[[#This Row],[1]:[31]],Code9)</f>
        <v>0</v>
      </c>
      <c r="AS114" s="473">
        <f>COUNTIF(ParticipationJanvier1[[#This Row],[1]:[31]],Code10)</f>
        <v>0</v>
      </c>
      <c r="AT114" s="473">
        <f>COUNTIF(ParticipationJanvier1[[#This Row],[1]:[31]],Code11)</f>
        <v>0</v>
      </c>
      <c r="AU114" s="473">
        <f>COUNTIF(ParticipationJanvier1[[#This Row],[1]:[31]],Code12)</f>
        <v>0</v>
      </c>
      <c r="AV114" s="473">
        <f>COUNTIF(ParticipationJanvier1[[#This Row],[1]:[31]],Code13)</f>
        <v>0</v>
      </c>
      <c r="AW114" s="473">
        <f>COUNTIF(ParticipationJanvier1[[#This Row],[1]:[31]],Code14)</f>
        <v>0</v>
      </c>
      <c r="AX114" s="473">
        <f>COUNTIF(ParticipationJanvier1[[#This Row],[1]:[31]],Code15)</f>
        <v>0</v>
      </c>
      <c r="AY114" s="473">
        <f>COUNTIF(ParticipationJanvier1[[#This Row],[1]:[31]],Code16)</f>
        <v>0</v>
      </c>
      <c r="AZ114" s="473">
        <f>COUNTIF(ParticipationJanvier1[[#This Row],[1]:[31]],Code17)</f>
        <v>0</v>
      </c>
      <c r="BA114" s="475">
        <f>COUNTIF(ParticipationJanvier1[[#This Row],[1]:[31]],Code25)</f>
        <v>0</v>
      </c>
      <c r="BB114" s="475">
        <f>COUNTIF(ParticipationJanvier1[[#This Row],[1]:[31]],Code26)</f>
        <v>0</v>
      </c>
      <c r="BC114" s="475">
        <f>COUNTIF(ParticipationJanvier1[[#This Row],[1]:[31]],Code27)</f>
        <v>0</v>
      </c>
      <c r="BD114" s="475">
        <f>COUNTIF(ParticipationJanvier1[[#This Row],[1]:[31]],Code28)</f>
        <v>0</v>
      </c>
      <c r="BE114" s="475">
        <f>COUNTIF(ParticipationJanvier1[[#This Row],[1]:[31]],code30)</f>
        <v>0</v>
      </c>
      <c r="BF114" s="475">
        <f>COUNTIF(ParticipationJanvier1[[#This Row],[1]:[31]],Code31)</f>
        <v>0</v>
      </c>
      <c r="BG114" s="473">
        <f>COUNTIF(ParticipationJanvier1[[#This Row],[1]:[31]],code21)</f>
        <v>0</v>
      </c>
      <c r="BH114" s="473">
        <f>COUNTIF(ParticipationJanvier1[[#This Row],[1]:[31]],Code24)</f>
        <v>0</v>
      </c>
      <c r="BI114" s="473">
        <f>COUNTIF(ParticipationJanvier1[[#This Row],[1]:[31]],code18)</f>
        <v>0</v>
      </c>
      <c r="BJ114" s="473">
        <f>COUNTIF(ParticipationJanvier1[[#This Row],[1]:[31]],code19)</f>
        <v>0</v>
      </c>
      <c r="BK114" s="473">
        <f>COUNTIF(ParticipationJanvier1[[#This Row],[1]:[31]],code20)</f>
        <v>0</v>
      </c>
      <c r="BL114" s="476">
        <f>COUNTIF(ParticipationJanvier1[[#This Row],[1]:[31]],code29)</f>
        <v>0</v>
      </c>
      <c r="BM114" s="472">
        <f>SUM((AH114*1)+(AI119*1.5)+(AJ114*2)+(AK114*3)+(AL114*4)+(AQ114*5)+(AR114*6)+(AS114*7)+(AW114*2)+(AX114*3)+(AY114*4)+(AZ114*5)+(BG114*2))</f>
        <v>0</v>
      </c>
      <c r="BN114" s="472"/>
      <c r="BO114" s="472"/>
      <c r="BP114" s="472"/>
      <c r="BQ114" s="472"/>
      <c r="BR114" s="473"/>
      <c r="BS114" s="472"/>
      <c r="BT114" s="472"/>
      <c r="BU114" s="472"/>
      <c r="BV114" s="472"/>
      <c r="BW114" s="472"/>
      <c r="BX114" s="472"/>
      <c r="BY114" s="472"/>
      <c r="BZ114" s="472"/>
      <c r="CA114" s="472"/>
      <c r="CB114" s="472"/>
      <c r="CC114" s="472"/>
      <c r="CD114" s="472"/>
      <c r="CE114" s="472"/>
      <c r="CF114" s="472"/>
      <c r="CG114" s="472"/>
      <c r="CH114" s="472"/>
      <c r="CI114" s="472"/>
      <c r="CJ114" s="472"/>
      <c r="CK114" s="472"/>
      <c r="CL114" s="472"/>
      <c r="CM114" s="472"/>
      <c r="CN114" s="472"/>
      <c r="CO114" s="472"/>
      <c r="CP114" s="472"/>
      <c r="CQ114" s="472"/>
      <c r="CR114" s="472"/>
      <c r="CS114" s="472"/>
      <c r="CT114" s="472"/>
      <c r="CU114" s="516">
        <f>SUM((AN114*1)+(AM114*2)+(AO114*3)+(AP114*4)+(AT114*5)+(AU114*7)+(AV114*7)+(AW114*7)+(AX114*4)+(AY114*3)+(BA114*2)+(BC114*4)+(BB114*1)+(BG114*2)+(AZ114*5)+(BD114*1))</f>
        <v>0</v>
      </c>
      <c r="CV114" s="521">
        <f>SUM((AH114*1)+(AI114*1.5)+(AJ114*2)+(AK114*3)+(AP114*5)+(AQ114*6)+(AR114*7)+(AU114*2)+(AX114*3)+(AY114*4)+(BA114*5)+(BB114*3)+(BC114*2)+(BG114*2)+(AZ114*2)+(BD114*2))</f>
        <v>0</v>
      </c>
      <c r="CW114" s="522">
        <f>SUM((AN114*1)+(AM114*2)+(AO114*3)+(AP114*4)+(AT114*5)+(AU114*7)+(AV114*7)+(AW114*7)+(AX114*4)+(AY114*3)+(BA114*2)+(BC114*4)+(BB114*1)+(BG114*2)+(AZ114*5)+(BD114*1))</f>
        <v>0</v>
      </c>
      <c r="CX114" s="523">
        <f>BH114*1</f>
        <v>0</v>
      </c>
      <c r="CY114" s="512"/>
    </row>
    <row r="115" spans="1:103">
      <c r="A115" s="510" t="s">
        <v>456</v>
      </c>
      <c r="B115" s="372" t="str">
        <f>IFERROR(VLOOKUP(ParticipationJanvier1[[#This Row],[Référence]],ListeÉtudiants1[],18,FALSE),"")</f>
        <v>QUINTAIS ALEXANDRE</v>
      </c>
      <c r="G115" s="291"/>
      <c r="I115" s="291"/>
      <c r="K115" s="291"/>
      <c r="M115" s="291"/>
      <c r="N115" s="19" t="s">
        <v>35</v>
      </c>
      <c r="O115" s="19"/>
      <c r="P115" s="19"/>
      <c r="Q115" s="19" t="s">
        <v>529</v>
      </c>
      <c r="R115" s="19"/>
      <c r="S115" s="19"/>
      <c r="T115" s="19"/>
      <c r="U115" s="291"/>
      <c r="W115" s="291"/>
      <c r="Y115" s="291"/>
      <c r="AA115" s="291"/>
      <c r="AC115" s="291"/>
      <c r="AE115" s="291"/>
      <c r="AG115" s="326"/>
      <c r="AH115" s="6">
        <f>COUNTIF(ParticipationJanvier1[[#This Row],[1]:[31]],Code1)</f>
        <v>0</v>
      </c>
      <c r="AI115" s="6">
        <f>COUNTIF(ParticipationJanvier1[[#This Row],[1]:[31]],code22)</f>
        <v>0</v>
      </c>
      <c r="AJ115" s="6">
        <f>COUNTIF(ParticipationJanvier1[[#This Row],[1]:[31]],Code2)</f>
        <v>0</v>
      </c>
      <c r="AK115" s="6">
        <f>COUNTIF(ParticipationJanvier1[[#This Row],[1]:[31]],Code3)</f>
        <v>0</v>
      </c>
      <c r="AL115" s="6">
        <f>COUNTIF(ParticipationJanvier1[[#This Row],[1]:[31]],Code4)</f>
        <v>0</v>
      </c>
      <c r="AM115" s="6">
        <f>COUNTIF(ParticipationJanvier1[[#This Row],[1]:[31]],Code5)</f>
        <v>1</v>
      </c>
      <c r="AN115" s="6">
        <f>COUNTIF(ParticipationJanvier1[[#This Row],[1]:[31]],Code23)</f>
        <v>1</v>
      </c>
      <c r="AO115" s="6">
        <f>COUNTIF(ParticipationJanvier1[[#This Row],[1]:[31]],Code6)</f>
        <v>0</v>
      </c>
      <c r="AP115" s="6">
        <f>COUNTIF(ParticipationJanvier1[[#This Row],[1]:[31]],Code7)</f>
        <v>0</v>
      </c>
      <c r="AQ115" s="6">
        <f>COUNTIF(ParticipationJanvier1[[#This Row],[1]:[31]],Code8)</f>
        <v>0</v>
      </c>
      <c r="AR115" s="6">
        <f>COUNTIF(ParticipationJanvier1[[#This Row],[1]:[31]],Code9)</f>
        <v>0</v>
      </c>
      <c r="AS115" s="6">
        <f>COUNTIF(ParticipationJanvier1[[#This Row],[1]:[31]],Code10)</f>
        <v>0</v>
      </c>
      <c r="AT115" s="6">
        <f>COUNTIF(ParticipationJanvier1[[#This Row],[1]:[31]],Code11)</f>
        <v>0</v>
      </c>
      <c r="AU115" s="6">
        <f>COUNTIF(ParticipationJanvier1[[#This Row],[1]:[31]],Code12)</f>
        <v>0</v>
      </c>
      <c r="AV115" s="6">
        <f>COUNTIF(ParticipationJanvier1[[#This Row],[1]:[31]],Code13)</f>
        <v>0</v>
      </c>
      <c r="AW115" s="6">
        <f>COUNTIF(ParticipationJanvier1[[#This Row],[1]:[31]],Code14)</f>
        <v>0</v>
      </c>
      <c r="AX115" s="6">
        <f>COUNTIF(ParticipationJanvier1[[#This Row],[1]:[31]],Code15)</f>
        <v>0</v>
      </c>
      <c r="AY115" s="6">
        <f>COUNTIF(ParticipationJanvier1[[#This Row],[1]:[31]],Code16)</f>
        <v>0</v>
      </c>
      <c r="AZ115" s="6">
        <f>COUNTIF(ParticipationJanvier1[[#This Row],[1]:[31]],Code17)</f>
        <v>0</v>
      </c>
      <c r="BA115" s="6">
        <f>COUNTIF(ParticipationJanvier1[[#This Row],[1]:[31]],Code25)</f>
        <v>0</v>
      </c>
      <c r="BB115" s="6">
        <f>COUNTIF(ParticipationJanvier1[[#This Row],[1]:[31]],Code26)</f>
        <v>0</v>
      </c>
      <c r="BC115" s="6">
        <f>COUNTIF(ParticipationJanvier1[[#This Row],[1]:[31]],Code27)</f>
        <v>0</v>
      </c>
      <c r="BD115" s="6">
        <f>COUNTIF(ParticipationJanvier1[[#This Row],[1]:[31]],Code28)</f>
        <v>0</v>
      </c>
      <c r="BE115" s="6">
        <f>COUNTIF(ParticipationJanvier1[[#This Row],[1]:[31]],code30)</f>
        <v>0</v>
      </c>
      <c r="BF115" s="6">
        <f>COUNTIF(ParticipationJanvier1[[#This Row],[1]:[31]],Code31)</f>
        <v>0</v>
      </c>
      <c r="BG115" s="6">
        <f>COUNTIF(ParticipationJanvier1[[#This Row],[1]:[31]],code21)</f>
        <v>0</v>
      </c>
      <c r="BH115" s="6">
        <f>COUNTIF(ParticipationJanvier1[[#This Row],[1]:[31]],Code24)</f>
        <v>0</v>
      </c>
      <c r="BI115" s="6">
        <f>COUNTIF(ParticipationJanvier1[[#This Row],[1]:[31]],code18)</f>
        <v>0</v>
      </c>
      <c r="BJ115" s="6">
        <f>COUNTIF(ParticipationJanvier1[[#This Row],[1]:[31]],code19)</f>
        <v>0</v>
      </c>
      <c r="BK115" s="6">
        <f>COUNTIF(ParticipationJanvier1[[#This Row],[1]:[31]],code20)</f>
        <v>0</v>
      </c>
      <c r="BL115" s="182">
        <f>COUNTIF(ParticipationJanvier1[[#This Row],[1]:[31]],code29)</f>
        <v>0</v>
      </c>
      <c r="BM115" s="297"/>
      <c r="BN115" s="297"/>
      <c r="BO115" s="297"/>
      <c r="BP115" s="297"/>
      <c r="BQ115" s="297"/>
      <c r="BR115" s="307"/>
      <c r="BS115" s="297"/>
      <c r="BT115" s="297"/>
      <c r="BU115" s="297"/>
      <c r="BV115" s="297"/>
      <c r="BW115" s="297"/>
      <c r="BX115" s="297"/>
      <c r="BY115" s="297"/>
      <c r="BZ115" s="297"/>
      <c r="CA115" s="297"/>
      <c r="CB115" s="297"/>
      <c r="CC115" s="297"/>
      <c r="CD115" s="297"/>
      <c r="CE115" s="297"/>
      <c r="CF115" s="297"/>
      <c r="CG115" s="297"/>
      <c r="CH115" s="297"/>
      <c r="CI115" s="297"/>
      <c r="CJ115" s="297"/>
      <c r="CK115" s="297"/>
      <c r="CL115" s="297"/>
      <c r="CM115" s="297"/>
      <c r="CN115" s="297"/>
      <c r="CO115" s="297"/>
      <c r="CP115" s="297"/>
      <c r="CQ115" s="297"/>
      <c r="CR115" s="297"/>
      <c r="CS115" s="297"/>
      <c r="CT115" s="297"/>
      <c r="CU115" s="300"/>
      <c r="CV115" s="165">
        <f t="shared" si="0"/>
        <v>0</v>
      </c>
      <c r="CW115" s="165">
        <f t="shared" si="4"/>
        <v>3</v>
      </c>
      <c r="CX115" s="249">
        <f t="shared" si="2"/>
        <v>0</v>
      </c>
      <c r="CY115" s="170"/>
    </row>
    <row r="116" spans="1:103">
      <c r="A116" s="510" t="s">
        <v>457</v>
      </c>
      <c r="B116" s="372" t="str">
        <f>IFERROR(VLOOKUP(ParticipationJanvier1[[#This Row],[Référence]],ListeÉtudiants1[],18,FALSE),"")</f>
        <v>RAMOS MARION</v>
      </c>
      <c r="G116" s="291"/>
      <c r="I116" s="291"/>
      <c r="K116" s="291"/>
      <c r="M116" s="291"/>
      <c r="N116" s="19"/>
      <c r="O116" s="19"/>
      <c r="P116" s="19"/>
      <c r="Q116" s="19" t="s">
        <v>529</v>
      </c>
      <c r="R116" s="19"/>
      <c r="S116" s="19"/>
      <c r="T116" s="19"/>
      <c r="U116" s="291"/>
      <c r="W116" s="291"/>
      <c r="Y116" s="291"/>
      <c r="AA116" s="291"/>
      <c r="AC116" s="291"/>
      <c r="AE116" s="291"/>
      <c r="AG116" s="326"/>
      <c r="AH116" s="6">
        <f>COUNTIF(ParticipationJanvier1[[#This Row],[1]:[31]],Code1)</f>
        <v>0</v>
      </c>
      <c r="AI116" s="6">
        <f>COUNTIF(ParticipationJanvier1[[#This Row],[1]:[31]],code22)</f>
        <v>0</v>
      </c>
      <c r="AJ116" s="6">
        <f>COUNTIF(ParticipationJanvier1[[#This Row],[1]:[31]],Code2)</f>
        <v>0</v>
      </c>
      <c r="AK116" s="6">
        <f>COUNTIF(ParticipationJanvier1[[#This Row],[1]:[31]],Code3)</f>
        <v>0</v>
      </c>
      <c r="AL116" s="6">
        <f>COUNTIF(ParticipationJanvier1[[#This Row],[1]:[31]],Code4)</f>
        <v>0</v>
      </c>
      <c r="AM116" s="6">
        <f>COUNTIF(ParticipationJanvier1[[#This Row],[1]:[31]],Code5)</f>
        <v>0</v>
      </c>
      <c r="AN116" s="6">
        <f>COUNTIF(ParticipationJanvier1[[#This Row],[1]:[31]],Code23)</f>
        <v>1</v>
      </c>
      <c r="AO116" s="6">
        <f>COUNTIF(ParticipationJanvier1[[#This Row],[1]:[31]],Code6)</f>
        <v>0</v>
      </c>
      <c r="AP116" s="6">
        <f>COUNTIF(ParticipationJanvier1[[#This Row],[1]:[31]],Code7)</f>
        <v>0</v>
      </c>
      <c r="AQ116" s="6">
        <f>COUNTIF(ParticipationJanvier1[[#This Row],[1]:[31]],Code8)</f>
        <v>0</v>
      </c>
      <c r="AR116" s="6">
        <f>COUNTIF(ParticipationJanvier1[[#This Row],[1]:[31]],Code9)</f>
        <v>0</v>
      </c>
      <c r="AS116" s="6">
        <f>COUNTIF(ParticipationJanvier1[[#This Row],[1]:[31]],Code10)</f>
        <v>0</v>
      </c>
      <c r="AT116" s="6">
        <f>COUNTIF(ParticipationJanvier1[[#This Row],[1]:[31]],Code11)</f>
        <v>0</v>
      </c>
      <c r="AU116" s="6">
        <f>COUNTIF(ParticipationJanvier1[[#This Row],[1]:[31]],Code12)</f>
        <v>0</v>
      </c>
      <c r="AV116" s="6">
        <f>COUNTIF(ParticipationJanvier1[[#This Row],[1]:[31]],Code13)</f>
        <v>0</v>
      </c>
      <c r="AW116" s="6">
        <f>COUNTIF(ParticipationJanvier1[[#This Row],[1]:[31]],Code14)</f>
        <v>0</v>
      </c>
      <c r="AX116" s="6">
        <f>COUNTIF(ParticipationJanvier1[[#This Row],[1]:[31]],Code15)</f>
        <v>0</v>
      </c>
      <c r="AY116" s="6">
        <f>COUNTIF(ParticipationJanvier1[[#This Row],[1]:[31]],Code16)</f>
        <v>0</v>
      </c>
      <c r="AZ116" s="6">
        <f>COUNTIF(ParticipationJanvier1[[#This Row],[1]:[31]],Code17)</f>
        <v>0</v>
      </c>
      <c r="BA116" s="6">
        <f>COUNTIF(ParticipationJanvier1[[#This Row],[1]:[31]],Code25)</f>
        <v>0</v>
      </c>
      <c r="BB116" s="6">
        <f>COUNTIF(ParticipationJanvier1[[#This Row],[1]:[31]],Code26)</f>
        <v>0</v>
      </c>
      <c r="BC116" s="6">
        <f>COUNTIF(ParticipationJanvier1[[#This Row],[1]:[31]],Code27)</f>
        <v>0</v>
      </c>
      <c r="BD116" s="6">
        <f>COUNTIF(ParticipationJanvier1[[#This Row],[1]:[31]],Code28)</f>
        <v>0</v>
      </c>
      <c r="BE116" s="6">
        <f>COUNTIF(ParticipationJanvier1[[#This Row],[1]:[31]],code30)</f>
        <v>0</v>
      </c>
      <c r="BF116" s="6">
        <f>COUNTIF(ParticipationJanvier1[[#This Row],[1]:[31]],Code31)</f>
        <v>0</v>
      </c>
      <c r="BG116" s="6">
        <f>COUNTIF(ParticipationJanvier1[[#This Row],[1]:[31]],code21)</f>
        <v>0</v>
      </c>
      <c r="BH116" s="6">
        <f>COUNTIF(ParticipationJanvier1[[#This Row],[1]:[31]],Code24)</f>
        <v>0</v>
      </c>
      <c r="BI116" s="6">
        <f>COUNTIF(ParticipationJanvier1[[#This Row],[1]:[31]],code18)</f>
        <v>0</v>
      </c>
      <c r="BJ116" s="6">
        <f>COUNTIF(ParticipationJanvier1[[#This Row],[1]:[31]],code19)</f>
        <v>0</v>
      </c>
      <c r="BK116" s="6">
        <f>COUNTIF(ParticipationJanvier1[[#This Row],[1]:[31]],code20)</f>
        <v>0</v>
      </c>
      <c r="BL116" s="182">
        <f>COUNTIF(ParticipationJanvier1[[#This Row],[1]:[31]],code29)</f>
        <v>0</v>
      </c>
      <c r="BM116" s="297"/>
      <c r="BN116" s="297"/>
      <c r="BO116" s="297"/>
      <c r="BP116" s="297"/>
      <c r="BQ116" s="297"/>
      <c r="BR116" s="307"/>
      <c r="BS116" s="297"/>
      <c r="BT116" s="297"/>
      <c r="BU116" s="297"/>
      <c r="BV116" s="297"/>
      <c r="BW116" s="297"/>
      <c r="BX116" s="297"/>
      <c r="BY116" s="297"/>
      <c r="BZ116" s="297"/>
      <c r="CA116" s="297"/>
      <c r="CB116" s="297"/>
      <c r="CC116" s="297"/>
      <c r="CD116" s="297"/>
      <c r="CE116" s="297"/>
      <c r="CF116" s="297"/>
      <c r="CG116" s="297"/>
      <c r="CH116" s="297"/>
      <c r="CI116" s="297"/>
      <c r="CJ116" s="297"/>
      <c r="CK116" s="297"/>
      <c r="CL116" s="297"/>
      <c r="CM116" s="297"/>
      <c r="CN116" s="297"/>
      <c r="CO116" s="297"/>
      <c r="CP116" s="297"/>
      <c r="CQ116" s="297"/>
      <c r="CR116" s="297"/>
      <c r="CS116" s="297"/>
      <c r="CT116" s="297"/>
      <c r="CU116" s="300"/>
      <c r="CV116" s="165">
        <f t="shared" si="0"/>
        <v>0</v>
      </c>
      <c r="CW116" s="165">
        <f t="shared" si="4"/>
        <v>1</v>
      </c>
      <c r="CX116" s="249">
        <f t="shared" si="2"/>
        <v>0</v>
      </c>
      <c r="CY116" s="170"/>
    </row>
    <row r="117" spans="1:103">
      <c r="A117" s="510" t="s">
        <v>458</v>
      </c>
      <c r="B117" s="372" t="str">
        <f>IFERROR(VLOOKUP(ParticipationJanvier1[[#This Row],[Référence]],ListeÉtudiants1[],18,FALSE),"")</f>
        <v>REMIR REBECCA</v>
      </c>
      <c r="G117" s="525"/>
      <c r="I117" s="525"/>
      <c r="K117" s="525"/>
      <c r="M117" s="525"/>
      <c r="N117" s="19"/>
      <c r="O117" s="518"/>
      <c r="P117" s="19"/>
      <c r="Q117" s="518"/>
      <c r="R117" s="19"/>
      <c r="S117" s="518"/>
      <c r="T117" s="19"/>
      <c r="U117" s="525"/>
      <c r="W117" s="525"/>
      <c r="Y117" s="525"/>
      <c r="AA117" s="525"/>
      <c r="AC117" s="525"/>
      <c r="AE117" s="525"/>
      <c r="AG117" s="519"/>
      <c r="AH117" s="475">
        <f>COUNTIF(ParticipationJanvier1[[#This Row],[1]:[31]],Code1)</f>
        <v>0</v>
      </c>
      <c r="AI117" s="518">
        <f>COUNTIF(ParticipationJanvier1[[#This Row],[1]:[31]],code22)</f>
        <v>0</v>
      </c>
      <c r="AJ117" s="473">
        <f>COUNTIF(ParticipationJanvier1[[#This Row],[1]:[31]],Code2)</f>
        <v>0</v>
      </c>
      <c r="AK117" s="520">
        <f>COUNTIF(ParticipationJanvier1[[#This Row],[1]:[31]],Code3)</f>
        <v>0</v>
      </c>
      <c r="AL117" s="473">
        <f>COUNTIF(ParticipationJanvier1[[#This Row],[1]:[31]],Code4)</f>
        <v>0</v>
      </c>
      <c r="AM117" s="520">
        <f>COUNTIF(ParticipationJanvier1[[#This Row],[1]:[31]],Code5)</f>
        <v>0</v>
      </c>
      <c r="AN117" s="30">
        <f>COUNTIF(ParticipationJanvier1[[#This Row],[1]:[31]],Code23)</f>
        <v>0</v>
      </c>
      <c r="AO117" s="473">
        <f>COUNTIF(ParticipationJanvier1[[#This Row],[1]:[31]],Code6)</f>
        <v>0</v>
      </c>
      <c r="AP117" s="30">
        <f>COUNTIF(ParticipationJanvier1[[#This Row],[1]:[31]],Code7)</f>
        <v>0</v>
      </c>
      <c r="AQ117" s="30">
        <f>COUNTIF(ParticipationJanvier1[[#This Row],[1]:[31]],Code8)</f>
        <v>0</v>
      </c>
      <c r="AR117" s="30">
        <f>COUNTIF(ParticipationJanvier1[[#This Row],[1]:[31]],Code9)</f>
        <v>0</v>
      </c>
      <c r="AS117" s="473">
        <f>COUNTIF(ParticipationJanvier1[[#This Row],[1]:[31]],Code10)</f>
        <v>0</v>
      </c>
      <c r="AT117" s="473">
        <f>COUNTIF(ParticipationJanvier1[[#This Row],[1]:[31]],Code11)</f>
        <v>0</v>
      </c>
      <c r="AU117" s="473">
        <f>COUNTIF(ParticipationJanvier1[[#This Row],[1]:[31]],Code12)</f>
        <v>0</v>
      </c>
      <c r="AV117" s="473">
        <f>COUNTIF(ParticipationJanvier1[[#This Row],[1]:[31]],Code13)</f>
        <v>0</v>
      </c>
      <c r="AW117" s="473">
        <f>COUNTIF(ParticipationJanvier1[[#This Row],[1]:[31]],Code14)</f>
        <v>0</v>
      </c>
      <c r="AX117" s="473">
        <f>COUNTIF(ParticipationJanvier1[[#This Row],[1]:[31]],Code15)</f>
        <v>0</v>
      </c>
      <c r="AY117" s="473">
        <f>COUNTIF(ParticipationJanvier1[[#This Row],[1]:[31]],Code16)</f>
        <v>0</v>
      </c>
      <c r="AZ117" s="473">
        <f>COUNTIF(ParticipationJanvier1[[#This Row],[1]:[31]],Code17)</f>
        <v>0</v>
      </c>
      <c r="BA117" s="475">
        <f>COUNTIF(ParticipationJanvier1[[#This Row],[1]:[31]],Code25)</f>
        <v>0</v>
      </c>
      <c r="BB117" s="475">
        <f>COUNTIF(ParticipationJanvier1[[#This Row],[1]:[31]],Code26)</f>
        <v>0</v>
      </c>
      <c r="BC117" s="475">
        <f>COUNTIF(ParticipationJanvier1[[#This Row],[1]:[31]],Code27)</f>
        <v>0</v>
      </c>
      <c r="BD117" s="475">
        <f>COUNTIF(ParticipationJanvier1[[#This Row],[1]:[31]],Code28)</f>
        <v>0</v>
      </c>
      <c r="BE117" s="475">
        <f>COUNTIF(ParticipationJanvier1[[#This Row],[1]:[31]],code30)</f>
        <v>0</v>
      </c>
      <c r="BF117" s="475">
        <f>COUNTIF(ParticipationJanvier1[[#This Row],[1]:[31]],Code31)</f>
        <v>0</v>
      </c>
      <c r="BG117" s="473">
        <f>COUNTIF(ParticipationJanvier1[[#This Row],[1]:[31]],code21)</f>
        <v>0</v>
      </c>
      <c r="BH117" s="473">
        <f>COUNTIF(ParticipationJanvier1[[#This Row],[1]:[31]],Code24)</f>
        <v>0</v>
      </c>
      <c r="BI117" s="473">
        <f>COUNTIF(ParticipationJanvier1[[#This Row],[1]:[31]],code18)</f>
        <v>0</v>
      </c>
      <c r="BJ117" s="473">
        <f>COUNTIF(ParticipationJanvier1[[#This Row],[1]:[31]],code19)</f>
        <v>0</v>
      </c>
      <c r="BK117" s="473">
        <f>COUNTIF(ParticipationJanvier1[[#This Row],[1]:[31]],code20)</f>
        <v>0</v>
      </c>
      <c r="BL117" s="476">
        <f>COUNTIF(ParticipationJanvier1[[#This Row],[1]:[31]],code29)</f>
        <v>0</v>
      </c>
      <c r="BM117" s="472">
        <f>SUM((AH117*1)+(AI121*1.5)+(AJ117*2)+(AK117*3)+(AL117*4)+(AQ117*5)+(AR117*6)+(AS117*7)+(AW117*2)+(AX117*3)+(AY117*4)+(AZ117*5)+(BG117*2))</f>
        <v>0</v>
      </c>
      <c r="BN117" s="472"/>
      <c r="BO117" s="472"/>
      <c r="BP117" s="472"/>
      <c r="BQ117" s="472"/>
      <c r="BR117" s="473"/>
      <c r="BS117" s="472"/>
      <c r="BT117" s="472"/>
      <c r="BU117" s="472"/>
      <c r="BV117" s="472"/>
      <c r="BW117" s="472"/>
      <c r="BX117" s="472"/>
      <c r="BY117" s="472"/>
      <c r="BZ117" s="472"/>
      <c r="CA117" s="472"/>
      <c r="CB117" s="472"/>
      <c r="CC117" s="472"/>
      <c r="CD117" s="472"/>
      <c r="CE117" s="472"/>
      <c r="CF117" s="472"/>
      <c r="CG117" s="472"/>
      <c r="CH117" s="472"/>
      <c r="CI117" s="472"/>
      <c r="CJ117" s="472"/>
      <c r="CK117" s="472"/>
      <c r="CL117" s="472"/>
      <c r="CM117" s="472"/>
      <c r="CN117" s="472"/>
      <c r="CO117" s="472"/>
      <c r="CP117" s="472"/>
      <c r="CQ117" s="472"/>
      <c r="CR117" s="472"/>
      <c r="CS117" s="472"/>
      <c r="CT117" s="472"/>
      <c r="CU117" s="516">
        <f>SUM((AN117*1)+(AM117*2)+(AO117*3)+(AP117*4)+(AT117*5)+(AU117*7)+(AV117*7)+(AW117*7)+(AX117*4)+(AY117*3)+(BA117*2)+(BC117*4)+(BB117*1)+(BG117*2)+(AZ117*5)+(BD117*1))</f>
        <v>0</v>
      </c>
      <c r="CV117" s="521">
        <f>SUM((AH117*1)+(AI117*1.5)+(AJ117*2)+(AK117*3)+(AP117*5)+(AQ117*6)+(AR117*7)+(AU117*2)+(AX117*3)+(AY117*4)+(BA117*5)+(BB117*3)+(BC117*2)+(BG117*2)+(AZ117*2)+(BD117*2))</f>
        <v>0</v>
      </c>
      <c r="CW117" s="522">
        <f>SUM((AN117*1)+(AM117*2)+(AO117*3)+(AP117*4)+(AT117*5)+(AU117*7)+(AV117*7)+(AW117*7)+(AX117*4)+(AY117*3)+(BA117*2)+(BC117*4)+(BB117*1)+(BG117*2)+(AZ117*5)+(BD117*1))</f>
        <v>0</v>
      </c>
      <c r="CX117" s="523">
        <f>BH117*1</f>
        <v>0</v>
      </c>
      <c r="CY117" s="512"/>
    </row>
    <row r="118" spans="1:103">
      <c r="A118" s="510" t="s">
        <v>459</v>
      </c>
      <c r="B118" s="372" t="str">
        <f>IFERROR(VLOOKUP(ParticipationJanvier1[[#This Row],[Référence]],ListeÉtudiants1[],18,FALSE),"")</f>
        <v>RODRIGUES AFONSO CHARLOTTE</v>
      </c>
      <c r="G118" s="291"/>
      <c r="I118" s="291"/>
      <c r="K118" s="291"/>
      <c r="M118" s="291"/>
      <c r="N118" s="19"/>
      <c r="O118" s="19"/>
      <c r="P118" s="19"/>
      <c r="Q118" s="19" t="s">
        <v>108</v>
      </c>
      <c r="R118" s="19" t="s">
        <v>106</v>
      </c>
      <c r="S118" s="19"/>
      <c r="T118" s="19"/>
      <c r="U118" s="291"/>
      <c r="W118" s="291"/>
      <c r="Y118" s="291"/>
      <c r="AA118" s="291"/>
      <c r="AC118" s="291"/>
      <c r="AE118" s="291"/>
      <c r="AG118" s="326"/>
      <c r="AH118" s="6">
        <f>COUNTIF(ParticipationJanvier1[[#This Row],[1]:[31]],Code1)</f>
        <v>0</v>
      </c>
      <c r="AI118" s="6">
        <f>COUNTIF(ParticipationJanvier1[[#This Row],[1]:[31]],code22)</f>
        <v>0</v>
      </c>
      <c r="AJ118" s="6">
        <f>COUNTIF(ParticipationJanvier1[[#This Row],[1]:[31]],Code2)</f>
        <v>0</v>
      </c>
      <c r="AK118" s="6">
        <f>COUNTIF(ParticipationJanvier1[[#This Row],[1]:[31]],Code3)</f>
        <v>1</v>
      </c>
      <c r="AL118" s="6">
        <f>COUNTIF(ParticipationJanvier1[[#This Row],[1]:[31]],Code4)</f>
        <v>0</v>
      </c>
      <c r="AM118" s="6">
        <f>COUNTIF(ParticipationJanvier1[[#This Row],[1]:[31]],Code5)</f>
        <v>0</v>
      </c>
      <c r="AN118" s="6">
        <f>COUNTIF(ParticipationJanvier1[[#This Row],[1]:[31]],Code23)</f>
        <v>0</v>
      </c>
      <c r="AO118" s="6">
        <f>COUNTIF(ParticipationJanvier1[[#This Row],[1]:[31]],Code6)</f>
        <v>1</v>
      </c>
      <c r="AP118" s="6">
        <f>COUNTIF(ParticipationJanvier1[[#This Row],[1]:[31]],Code7)</f>
        <v>0</v>
      </c>
      <c r="AQ118" s="6">
        <f>COUNTIF(ParticipationJanvier1[[#This Row],[1]:[31]],Code8)</f>
        <v>0</v>
      </c>
      <c r="AR118" s="6">
        <f>COUNTIF(ParticipationJanvier1[[#This Row],[1]:[31]],Code9)</f>
        <v>0</v>
      </c>
      <c r="AS118" s="6">
        <f>COUNTIF(ParticipationJanvier1[[#This Row],[1]:[31]],Code10)</f>
        <v>0</v>
      </c>
      <c r="AT118" s="6">
        <f>COUNTIF(ParticipationJanvier1[[#This Row],[1]:[31]],Code11)</f>
        <v>0</v>
      </c>
      <c r="AU118" s="6">
        <f>COUNTIF(ParticipationJanvier1[[#This Row],[1]:[31]],Code12)</f>
        <v>0</v>
      </c>
      <c r="AV118" s="6">
        <f>COUNTIF(ParticipationJanvier1[[#This Row],[1]:[31]],Code13)</f>
        <v>0</v>
      </c>
      <c r="AW118" s="6">
        <f>COUNTIF(ParticipationJanvier1[[#This Row],[1]:[31]],Code14)</f>
        <v>0</v>
      </c>
      <c r="AX118" s="6">
        <f>COUNTIF(ParticipationJanvier1[[#This Row],[1]:[31]],Code15)</f>
        <v>0</v>
      </c>
      <c r="AY118" s="6">
        <f>COUNTIF(ParticipationJanvier1[[#This Row],[1]:[31]],Code16)</f>
        <v>0</v>
      </c>
      <c r="AZ118" s="6">
        <f>COUNTIF(ParticipationJanvier1[[#This Row],[1]:[31]],Code17)</f>
        <v>0</v>
      </c>
      <c r="BA118" s="6">
        <f>COUNTIF(ParticipationJanvier1[[#This Row],[1]:[31]],Code25)</f>
        <v>0</v>
      </c>
      <c r="BB118" s="6">
        <f>COUNTIF(ParticipationJanvier1[[#This Row],[1]:[31]],Code26)</f>
        <v>0</v>
      </c>
      <c r="BC118" s="6">
        <f>COUNTIF(ParticipationJanvier1[[#This Row],[1]:[31]],Code27)</f>
        <v>0</v>
      </c>
      <c r="BD118" s="6">
        <f>COUNTIF(ParticipationJanvier1[[#This Row],[1]:[31]],Code28)</f>
        <v>0</v>
      </c>
      <c r="BE118" s="6">
        <f>COUNTIF(ParticipationJanvier1[[#This Row],[1]:[31]],code30)</f>
        <v>0</v>
      </c>
      <c r="BF118" s="6">
        <f>COUNTIF(ParticipationJanvier1[[#This Row],[1]:[31]],Code31)</f>
        <v>0</v>
      </c>
      <c r="BG118" s="6">
        <f>COUNTIF(ParticipationJanvier1[[#This Row],[1]:[31]],code21)</f>
        <v>0</v>
      </c>
      <c r="BH118" s="6">
        <f>COUNTIF(ParticipationJanvier1[[#This Row],[1]:[31]],Code24)</f>
        <v>0</v>
      </c>
      <c r="BI118" s="6">
        <f>COUNTIF(ParticipationJanvier1[[#This Row],[1]:[31]],code18)</f>
        <v>0</v>
      </c>
      <c r="BJ118" s="6">
        <f>COUNTIF(ParticipationJanvier1[[#This Row],[1]:[31]],code19)</f>
        <v>0</v>
      </c>
      <c r="BK118" s="6">
        <f>COUNTIF(ParticipationJanvier1[[#This Row],[1]:[31]],code20)</f>
        <v>0</v>
      </c>
      <c r="BL118" s="182">
        <f>COUNTIF(ParticipationJanvier1[[#This Row],[1]:[31]],code29)</f>
        <v>0</v>
      </c>
      <c r="BM118" s="297">
        <v>1</v>
      </c>
      <c r="BN118" s="297"/>
      <c r="BO118" s="297"/>
      <c r="BP118" s="297"/>
      <c r="BQ118" s="297"/>
      <c r="BR118" s="307"/>
      <c r="BS118" s="297"/>
      <c r="BT118" s="297"/>
      <c r="BU118" s="297"/>
      <c r="BV118" s="297"/>
      <c r="BW118" s="297"/>
      <c r="BX118" s="297"/>
      <c r="BY118" s="297"/>
      <c r="BZ118" s="297"/>
      <c r="CA118" s="297"/>
      <c r="CB118" s="297"/>
      <c r="CC118" s="297"/>
      <c r="CD118" s="297"/>
      <c r="CE118" s="297"/>
      <c r="CF118" s="297"/>
      <c r="CG118" s="297"/>
      <c r="CH118" s="297"/>
      <c r="CI118" s="297"/>
      <c r="CJ118" s="297"/>
      <c r="CK118" s="297"/>
      <c r="CL118" s="297"/>
      <c r="CM118" s="297"/>
      <c r="CN118" s="297"/>
      <c r="CO118" s="297"/>
      <c r="CP118" s="297"/>
      <c r="CQ118" s="297"/>
      <c r="CR118" s="297"/>
      <c r="CS118" s="297"/>
      <c r="CT118" s="297"/>
      <c r="CU118" s="300"/>
      <c r="CV118" s="165">
        <f t="shared" si="0"/>
        <v>3</v>
      </c>
      <c r="CW118" s="165">
        <f t="shared" si="4"/>
        <v>3</v>
      </c>
      <c r="CX118" s="249">
        <f t="shared" si="2"/>
        <v>0</v>
      </c>
      <c r="CY118" s="170"/>
    </row>
    <row r="119" spans="1:103">
      <c r="A119" s="534" t="s">
        <v>460</v>
      </c>
      <c r="B119" s="372" t="str">
        <f>IFERROR(VLOOKUP(ParticipationJanvier1[[#This Row],[Référence]],ListeÉtudiants1[],18,FALSE),"")</f>
        <v>SARAOUI KATIA</v>
      </c>
      <c r="G119" s="291"/>
      <c r="I119" s="291"/>
      <c r="K119" s="291"/>
      <c r="M119" s="291"/>
      <c r="N119" s="19"/>
      <c r="O119" s="19"/>
      <c r="P119" s="19"/>
      <c r="Q119" s="19" t="s">
        <v>108</v>
      </c>
      <c r="R119" s="19"/>
      <c r="S119" s="19" t="s">
        <v>107</v>
      </c>
      <c r="T119" s="19"/>
      <c r="U119" s="291"/>
      <c r="W119" s="291"/>
      <c r="Y119" s="291"/>
      <c r="AA119" s="291"/>
      <c r="AC119" s="291"/>
      <c r="AE119" s="291"/>
      <c r="AG119" s="326"/>
      <c r="AH119" s="6">
        <f>COUNTIF(ParticipationJanvier1[[#This Row],[1]:[31]],Code1)</f>
        <v>0</v>
      </c>
      <c r="AI119" s="6">
        <f>COUNTIF(ParticipationJanvier1[[#This Row],[1]:[31]],code22)</f>
        <v>0</v>
      </c>
      <c r="AJ119" s="6">
        <f>COUNTIF(ParticipationJanvier1[[#This Row],[1]:[31]],Code2)</f>
        <v>0</v>
      </c>
      <c r="AK119" s="6">
        <f>COUNTIF(ParticipationJanvier1[[#This Row],[1]:[31]],Code3)</f>
        <v>0</v>
      </c>
      <c r="AL119" s="6">
        <f>COUNTIF(ParticipationJanvier1[[#This Row],[1]:[31]],Code4)</f>
        <v>1</v>
      </c>
      <c r="AM119" s="6">
        <f>COUNTIF(ParticipationJanvier1[[#This Row],[1]:[31]],Code5)</f>
        <v>0</v>
      </c>
      <c r="AN119" s="6">
        <f>COUNTIF(ParticipationJanvier1[[#This Row],[1]:[31]],Code23)</f>
        <v>0</v>
      </c>
      <c r="AO119" s="6">
        <f>COUNTIF(ParticipationJanvier1[[#This Row],[1]:[31]],Code6)</f>
        <v>1</v>
      </c>
      <c r="AP119" s="6">
        <f>COUNTIF(ParticipationJanvier1[[#This Row],[1]:[31]],Code7)</f>
        <v>0</v>
      </c>
      <c r="AQ119" s="6">
        <f>COUNTIF(ParticipationJanvier1[[#This Row],[1]:[31]],Code8)</f>
        <v>0</v>
      </c>
      <c r="AR119" s="6">
        <f>COUNTIF(ParticipationJanvier1[[#This Row],[1]:[31]],Code9)</f>
        <v>0</v>
      </c>
      <c r="AS119" s="6">
        <f>COUNTIF(ParticipationJanvier1[[#This Row],[1]:[31]],Code10)</f>
        <v>0</v>
      </c>
      <c r="AT119" s="6">
        <f>COUNTIF(ParticipationJanvier1[[#This Row],[1]:[31]],Code11)</f>
        <v>0</v>
      </c>
      <c r="AU119" s="6">
        <f>COUNTIF(ParticipationJanvier1[[#This Row],[1]:[31]],Code12)</f>
        <v>0</v>
      </c>
      <c r="AV119" s="6">
        <f>COUNTIF(ParticipationJanvier1[[#This Row],[1]:[31]],Code13)</f>
        <v>0</v>
      </c>
      <c r="AW119" s="6">
        <f>COUNTIF(ParticipationJanvier1[[#This Row],[1]:[31]],Code14)</f>
        <v>0</v>
      </c>
      <c r="AX119" s="6">
        <f>COUNTIF(ParticipationJanvier1[[#This Row],[1]:[31]],Code15)</f>
        <v>0</v>
      </c>
      <c r="AY119" s="6">
        <f>COUNTIF(ParticipationJanvier1[[#This Row],[1]:[31]],Code16)</f>
        <v>0</v>
      </c>
      <c r="AZ119" s="6">
        <f>COUNTIF(ParticipationJanvier1[[#This Row],[1]:[31]],Code17)</f>
        <v>0</v>
      </c>
      <c r="BA119" s="6">
        <f>COUNTIF(ParticipationJanvier1[[#This Row],[1]:[31]],Code25)</f>
        <v>0</v>
      </c>
      <c r="BB119" s="6">
        <f>COUNTIF(ParticipationJanvier1[[#This Row],[1]:[31]],Code26)</f>
        <v>0</v>
      </c>
      <c r="BC119" s="6">
        <f>COUNTIF(ParticipationJanvier1[[#This Row],[1]:[31]],Code27)</f>
        <v>0</v>
      </c>
      <c r="BD119" s="6">
        <f>COUNTIF(ParticipationJanvier1[[#This Row],[1]:[31]],Code28)</f>
        <v>0</v>
      </c>
      <c r="BE119" s="6">
        <f>COUNTIF(ParticipationJanvier1[[#This Row],[1]:[31]],code30)</f>
        <v>0</v>
      </c>
      <c r="BF119" s="6">
        <f>COUNTIF(ParticipationJanvier1[[#This Row],[1]:[31]],Code31)</f>
        <v>0</v>
      </c>
      <c r="BG119" s="6">
        <f>COUNTIF(ParticipationJanvier1[[#This Row],[1]:[31]],code21)</f>
        <v>0</v>
      </c>
      <c r="BH119" s="6">
        <f>COUNTIF(ParticipationJanvier1[[#This Row],[1]:[31]],Code24)</f>
        <v>0</v>
      </c>
      <c r="BI119" s="6">
        <f>COUNTIF(ParticipationJanvier1[[#This Row],[1]:[31]],code18)</f>
        <v>0</v>
      </c>
      <c r="BJ119" s="6">
        <f>COUNTIF(ParticipationJanvier1[[#This Row],[1]:[31]],code19)</f>
        <v>0</v>
      </c>
      <c r="BK119" s="6">
        <f>COUNTIF(ParticipationJanvier1[[#This Row],[1]:[31]],code20)</f>
        <v>0</v>
      </c>
      <c r="BL119" s="182">
        <f>COUNTIF(ParticipationJanvier1[[#This Row],[1]:[31]],code29)</f>
        <v>0</v>
      </c>
      <c r="BM119" s="297">
        <v>1</v>
      </c>
      <c r="BN119" s="297"/>
      <c r="BO119" s="297"/>
      <c r="BP119" s="297"/>
      <c r="BQ119" s="297"/>
      <c r="BR119" s="307"/>
      <c r="BS119" s="297"/>
      <c r="BT119" s="297"/>
      <c r="BU119" s="297"/>
      <c r="BV119" s="297"/>
      <c r="BW119" s="297"/>
      <c r="BX119" s="297"/>
      <c r="BY119" s="297"/>
      <c r="BZ119" s="297"/>
      <c r="CA119" s="297"/>
      <c r="CB119" s="297"/>
      <c r="CC119" s="297"/>
      <c r="CD119" s="297"/>
      <c r="CE119" s="297"/>
      <c r="CF119" s="297"/>
      <c r="CG119" s="297"/>
      <c r="CH119" s="297"/>
      <c r="CI119" s="297"/>
      <c r="CJ119" s="297"/>
      <c r="CK119" s="297"/>
      <c r="CL119" s="297"/>
      <c r="CM119" s="297"/>
      <c r="CN119" s="297"/>
      <c r="CO119" s="297"/>
      <c r="CP119" s="297"/>
      <c r="CQ119" s="297"/>
      <c r="CR119" s="297"/>
      <c r="CS119" s="297"/>
      <c r="CT119" s="297"/>
      <c r="CU119" s="300"/>
      <c r="CV119" s="165">
        <f t="shared" si="0"/>
        <v>0</v>
      </c>
      <c r="CW119" s="165">
        <f t="shared" si="4"/>
        <v>3</v>
      </c>
      <c r="CX119" s="249">
        <f t="shared" si="2"/>
        <v>0</v>
      </c>
      <c r="CY119" s="170"/>
    </row>
    <row r="120" spans="1:103">
      <c r="A120" s="534" t="s">
        <v>461</v>
      </c>
      <c r="B120" s="372" t="str">
        <f>IFERROR(VLOOKUP(ParticipationJanvier1[[#This Row],[Référence]],ListeÉtudiants1[],18,FALSE),"")</f>
        <v>SAUBER SEBASTIEN</v>
      </c>
      <c r="G120" s="291"/>
      <c r="I120" s="291"/>
      <c r="K120" s="291"/>
      <c r="M120" s="291"/>
      <c r="N120" s="19"/>
      <c r="O120" s="19"/>
      <c r="P120" s="19"/>
      <c r="Q120" s="19" t="s">
        <v>529</v>
      </c>
      <c r="R120" s="19"/>
      <c r="S120" s="19"/>
      <c r="T120" s="19"/>
      <c r="U120" s="291"/>
      <c r="W120" s="291"/>
      <c r="Y120" s="291"/>
      <c r="AA120" s="291"/>
      <c r="AC120" s="291"/>
      <c r="AE120" s="291"/>
      <c r="AG120" s="326"/>
      <c r="AH120" s="6">
        <f>COUNTIF(ParticipationJanvier1[[#This Row],[1]:[31]],Code1)</f>
        <v>0</v>
      </c>
      <c r="AI120" s="6">
        <f>COUNTIF(ParticipationJanvier1[[#This Row],[1]:[31]],code22)</f>
        <v>0</v>
      </c>
      <c r="AJ120" s="6">
        <f>COUNTIF(ParticipationJanvier1[[#This Row],[1]:[31]],Code2)</f>
        <v>0</v>
      </c>
      <c r="AK120" s="6">
        <f>COUNTIF(ParticipationJanvier1[[#This Row],[1]:[31]],Code3)</f>
        <v>0</v>
      </c>
      <c r="AL120" s="6">
        <f>COUNTIF(ParticipationJanvier1[[#This Row],[1]:[31]],Code4)</f>
        <v>0</v>
      </c>
      <c r="AM120" s="6">
        <f>COUNTIF(ParticipationJanvier1[[#This Row],[1]:[31]],Code5)</f>
        <v>0</v>
      </c>
      <c r="AN120" s="6">
        <f>COUNTIF(ParticipationJanvier1[[#This Row],[1]:[31]],Code23)</f>
        <v>1</v>
      </c>
      <c r="AO120" s="6">
        <f>COUNTIF(ParticipationJanvier1[[#This Row],[1]:[31]],Code6)</f>
        <v>0</v>
      </c>
      <c r="AP120" s="6">
        <f>COUNTIF(ParticipationJanvier1[[#This Row],[1]:[31]],Code7)</f>
        <v>0</v>
      </c>
      <c r="AQ120" s="6">
        <f>COUNTIF(ParticipationJanvier1[[#This Row],[1]:[31]],Code8)</f>
        <v>0</v>
      </c>
      <c r="AR120" s="6">
        <f>COUNTIF(ParticipationJanvier1[[#This Row],[1]:[31]],Code9)</f>
        <v>0</v>
      </c>
      <c r="AS120" s="6">
        <f>COUNTIF(ParticipationJanvier1[[#This Row],[1]:[31]],Code10)</f>
        <v>0</v>
      </c>
      <c r="AT120" s="6">
        <f>COUNTIF(ParticipationJanvier1[[#This Row],[1]:[31]],Code11)</f>
        <v>0</v>
      </c>
      <c r="AU120" s="6">
        <f>COUNTIF(ParticipationJanvier1[[#This Row],[1]:[31]],Code12)</f>
        <v>0</v>
      </c>
      <c r="AV120" s="6">
        <f>COUNTIF(ParticipationJanvier1[[#This Row],[1]:[31]],Code13)</f>
        <v>0</v>
      </c>
      <c r="AW120" s="6">
        <f>COUNTIF(ParticipationJanvier1[[#This Row],[1]:[31]],Code14)</f>
        <v>0</v>
      </c>
      <c r="AX120" s="6">
        <f>COUNTIF(ParticipationJanvier1[[#This Row],[1]:[31]],Code15)</f>
        <v>0</v>
      </c>
      <c r="AY120" s="6">
        <f>COUNTIF(ParticipationJanvier1[[#This Row],[1]:[31]],Code16)</f>
        <v>0</v>
      </c>
      <c r="AZ120" s="6">
        <f>COUNTIF(ParticipationJanvier1[[#This Row],[1]:[31]],Code17)</f>
        <v>0</v>
      </c>
      <c r="BA120" s="6">
        <f>COUNTIF(ParticipationJanvier1[[#This Row],[1]:[31]],Code25)</f>
        <v>0</v>
      </c>
      <c r="BB120" s="6">
        <f>COUNTIF(ParticipationJanvier1[[#This Row],[1]:[31]],Code26)</f>
        <v>0</v>
      </c>
      <c r="BC120" s="6">
        <f>COUNTIF(ParticipationJanvier1[[#This Row],[1]:[31]],Code27)</f>
        <v>0</v>
      </c>
      <c r="BD120" s="6">
        <f>COUNTIF(ParticipationJanvier1[[#This Row],[1]:[31]],Code28)</f>
        <v>0</v>
      </c>
      <c r="BE120" s="6">
        <f>COUNTIF(ParticipationJanvier1[[#This Row],[1]:[31]],code30)</f>
        <v>0</v>
      </c>
      <c r="BF120" s="6">
        <f>COUNTIF(ParticipationJanvier1[[#This Row],[1]:[31]],Code31)</f>
        <v>0</v>
      </c>
      <c r="BG120" s="6">
        <f>COUNTIF(ParticipationJanvier1[[#This Row],[1]:[31]],code21)</f>
        <v>0</v>
      </c>
      <c r="BH120" s="6">
        <f>COUNTIF(ParticipationJanvier1[[#This Row],[1]:[31]],Code24)</f>
        <v>0</v>
      </c>
      <c r="BI120" s="6">
        <f>COUNTIF(ParticipationJanvier1[[#This Row],[1]:[31]],code18)</f>
        <v>0</v>
      </c>
      <c r="BJ120" s="6">
        <f>COUNTIF(ParticipationJanvier1[[#This Row],[1]:[31]],code19)</f>
        <v>0</v>
      </c>
      <c r="BK120" s="6">
        <f>COUNTIF(ParticipationJanvier1[[#This Row],[1]:[31]],code20)</f>
        <v>0</v>
      </c>
      <c r="BL120" s="182">
        <f>COUNTIF(ParticipationJanvier1[[#This Row],[1]:[31]],code29)</f>
        <v>0</v>
      </c>
      <c r="BM120" s="297"/>
      <c r="BN120" s="297"/>
      <c r="BO120" s="297"/>
      <c r="BP120" s="297"/>
      <c r="BQ120" s="297"/>
      <c r="BR120" s="307"/>
      <c r="BS120" s="297"/>
      <c r="BT120" s="297"/>
      <c r="BU120" s="297"/>
      <c r="BV120" s="297"/>
      <c r="BW120" s="297"/>
      <c r="BX120" s="297"/>
      <c r="BY120" s="297"/>
      <c r="BZ120" s="297"/>
      <c r="CA120" s="297"/>
      <c r="CB120" s="297"/>
      <c r="CC120" s="297"/>
      <c r="CD120" s="297"/>
      <c r="CE120" s="297"/>
      <c r="CF120" s="297"/>
      <c r="CG120" s="297"/>
      <c r="CH120" s="297"/>
      <c r="CI120" s="297"/>
      <c r="CJ120" s="297"/>
      <c r="CK120" s="297"/>
      <c r="CL120" s="297"/>
      <c r="CM120" s="297"/>
      <c r="CN120" s="297"/>
      <c r="CO120" s="297"/>
      <c r="CP120" s="297"/>
      <c r="CQ120" s="297"/>
      <c r="CR120" s="297"/>
      <c r="CS120" s="297"/>
      <c r="CT120" s="297"/>
      <c r="CU120" s="300"/>
      <c r="CV120" s="165">
        <f t="shared" si="0"/>
        <v>0</v>
      </c>
      <c r="CW120" s="165">
        <f t="shared" si="4"/>
        <v>1</v>
      </c>
      <c r="CX120" s="249">
        <f t="shared" si="2"/>
        <v>0</v>
      </c>
      <c r="CY120" s="170"/>
    </row>
    <row r="121" spans="1:103">
      <c r="A121" s="536" t="s">
        <v>462</v>
      </c>
      <c r="B121" s="372" t="str">
        <f>IFERROR(VLOOKUP(ParticipationJanvier1[[#This Row],[Référence]],ListeÉtudiants1[],18,FALSE),"")</f>
        <v>SCHUTZ LAURA</v>
      </c>
      <c r="G121" s="291"/>
      <c r="I121" s="291"/>
      <c r="K121" s="291"/>
      <c r="M121" s="291"/>
      <c r="N121" s="19" t="s">
        <v>507</v>
      </c>
      <c r="O121" s="19"/>
      <c r="P121" s="19"/>
      <c r="Q121" s="19" t="s">
        <v>109</v>
      </c>
      <c r="R121" s="19"/>
      <c r="S121" s="19"/>
      <c r="T121" s="19"/>
      <c r="U121" s="291"/>
      <c r="W121" s="291"/>
      <c r="Y121" s="291"/>
      <c r="AA121" s="291"/>
      <c r="AC121" s="291"/>
      <c r="AE121" s="291"/>
      <c r="AG121" s="326"/>
      <c r="AH121" s="6">
        <f>COUNTIF(ParticipationJanvier1[[#This Row],[1]:[31]],Code1)</f>
        <v>0</v>
      </c>
      <c r="AI121" s="6">
        <f>COUNTIF(ParticipationJanvier1[[#This Row],[1]:[31]],code22)</f>
        <v>0</v>
      </c>
      <c r="AJ121" s="6">
        <f>COUNTIF(ParticipationJanvier1[[#This Row],[1]:[31]],Code2)</f>
        <v>0</v>
      </c>
      <c r="AK121" s="6">
        <f>COUNTIF(ParticipationJanvier1[[#This Row],[1]:[31]],Code3)</f>
        <v>0</v>
      </c>
      <c r="AL121" s="6">
        <f>COUNTIF(ParticipationJanvier1[[#This Row],[1]:[31]],Code4)</f>
        <v>0</v>
      </c>
      <c r="AM121" s="6">
        <f>COUNTIF(ParticipationJanvier1[[#This Row],[1]:[31]],Code5)</f>
        <v>0</v>
      </c>
      <c r="AN121" s="6">
        <f>COUNTIF(ParticipationJanvier1[[#This Row],[1]:[31]],Code23)</f>
        <v>0</v>
      </c>
      <c r="AO121" s="6">
        <f>COUNTIF(ParticipationJanvier1[[#This Row],[1]:[31]],Code6)</f>
        <v>0</v>
      </c>
      <c r="AP121" s="6">
        <f>COUNTIF(ParticipationJanvier1[[#This Row],[1]:[31]],Code7)</f>
        <v>1</v>
      </c>
      <c r="AQ121" s="6">
        <f>COUNTIF(ParticipationJanvier1[[#This Row],[1]:[31]],Code8)</f>
        <v>0</v>
      </c>
      <c r="AR121" s="6">
        <f>COUNTIF(ParticipationJanvier1[[#This Row],[1]:[31]],Code9)</f>
        <v>0</v>
      </c>
      <c r="AS121" s="6">
        <f>COUNTIF(ParticipationJanvier1[[#This Row],[1]:[31]],Code10)</f>
        <v>0</v>
      </c>
      <c r="AT121" s="6">
        <f>COUNTIF(ParticipationJanvier1[[#This Row],[1]:[31]],Code11)</f>
        <v>0</v>
      </c>
      <c r="AU121" s="6">
        <f>COUNTIF(ParticipationJanvier1[[#This Row],[1]:[31]],Code12)</f>
        <v>0</v>
      </c>
      <c r="AV121" s="6">
        <f>COUNTIF(ParticipationJanvier1[[#This Row],[1]:[31]],Code13)</f>
        <v>0</v>
      </c>
      <c r="AW121" s="6">
        <f>COUNTIF(ParticipationJanvier1[[#This Row],[1]:[31]],Code14)</f>
        <v>0</v>
      </c>
      <c r="AX121" s="6">
        <f>COUNTIF(ParticipationJanvier1[[#This Row],[1]:[31]],Code15)</f>
        <v>0</v>
      </c>
      <c r="AY121" s="6">
        <f>COUNTIF(ParticipationJanvier1[[#This Row],[1]:[31]],Code16)</f>
        <v>0</v>
      </c>
      <c r="AZ121" s="6">
        <f>COUNTIF(ParticipationJanvier1[[#This Row],[1]:[31]],Code17)</f>
        <v>0</v>
      </c>
      <c r="BA121" s="6">
        <f>COUNTIF(ParticipationJanvier1[[#This Row],[1]:[31]],Code25)</f>
        <v>0</v>
      </c>
      <c r="BB121" s="6">
        <f>COUNTIF(ParticipationJanvier1[[#This Row],[1]:[31]],Code26)</f>
        <v>0</v>
      </c>
      <c r="BC121" s="6">
        <f>COUNTIF(ParticipationJanvier1[[#This Row],[1]:[31]],Code27)</f>
        <v>0</v>
      </c>
      <c r="BD121" s="6">
        <f>COUNTIF(ParticipationJanvier1[[#This Row],[1]:[31]],Code28)</f>
        <v>0</v>
      </c>
      <c r="BE121" s="6">
        <f>COUNTIF(ParticipationJanvier1[[#This Row],[1]:[31]],code30)</f>
        <v>0</v>
      </c>
      <c r="BF121" s="6">
        <f>COUNTIF(ParticipationJanvier1[[#This Row],[1]:[31]],Code31)</f>
        <v>0</v>
      </c>
      <c r="BG121" s="6">
        <f>COUNTIF(ParticipationJanvier1[[#This Row],[1]:[31]],code21)</f>
        <v>1</v>
      </c>
      <c r="BH121" s="6">
        <f>COUNTIF(ParticipationJanvier1[[#This Row],[1]:[31]],Code24)</f>
        <v>0</v>
      </c>
      <c r="BI121" s="6">
        <f>COUNTIF(ParticipationJanvier1[[#This Row],[1]:[31]],code18)</f>
        <v>0</v>
      </c>
      <c r="BJ121" s="6">
        <f>COUNTIF(ParticipationJanvier1[[#This Row],[1]:[31]],code19)</f>
        <v>0</v>
      </c>
      <c r="BK121" s="6">
        <f>COUNTIF(ParticipationJanvier1[[#This Row],[1]:[31]],code20)</f>
        <v>0</v>
      </c>
      <c r="BL121" s="182">
        <f>COUNTIF(ParticipationJanvier1[[#This Row],[1]:[31]],code29)</f>
        <v>0</v>
      </c>
      <c r="BM121" s="297"/>
      <c r="BN121" s="297"/>
      <c r="BO121" s="297"/>
      <c r="BP121" s="297"/>
      <c r="BQ121" s="297"/>
      <c r="BR121" s="307"/>
      <c r="BS121" s="297"/>
      <c r="BT121" s="297"/>
      <c r="BU121" s="297"/>
      <c r="BV121" s="297"/>
      <c r="BW121" s="297"/>
      <c r="BX121" s="297"/>
      <c r="BY121" s="297"/>
      <c r="BZ121" s="297"/>
      <c r="CA121" s="297"/>
      <c r="CB121" s="297"/>
      <c r="CC121" s="297"/>
      <c r="CD121" s="297"/>
      <c r="CE121" s="297"/>
      <c r="CF121" s="297"/>
      <c r="CG121" s="297">
        <v>1</v>
      </c>
      <c r="CH121" s="297"/>
      <c r="CI121" s="297"/>
      <c r="CJ121" s="297"/>
      <c r="CK121" s="297"/>
      <c r="CL121" s="297"/>
      <c r="CM121" s="297"/>
      <c r="CN121" s="297"/>
      <c r="CO121" s="297"/>
      <c r="CP121" s="297"/>
      <c r="CQ121" s="297"/>
      <c r="CR121" s="297"/>
      <c r="CS121" s="297"/>
      <c r="CT121" s="297"/>
      <c r="CU121" s="300"/>
      <c r="CV121" s="165">
        <f t="shared" si="0"/>
        <v>7</v>
      </c>
      <c r="CW121" s="165">
        <f t="shared" si="4"/>
        <v>6</v>
      </c>
      <c r="CX121" s="249">
        <f t="shared" si="2"/>
        <v>0</v>
      </c>
      <c r="CY121" s="170"/>
    </row>
    <row r="122" spans="1:103">
      <c r="A122" s="510" t="s">
        <v>463</v>
      </c>
      <c r="B122" s="372" t="str">
        <f>IFERROR(VLOOKUP(ParticipationJanvier1[[#This Row],[Référence]],ListeÉtudiants1[],18,FALSE),"")</f>
        <v>SEHIMI  INES</v>
      </c>
      <c r="G122" s="525"/>
      <c r="I122" s="525"/>
      <c r="K122" s="525"/>
      <c r="M122" s="525"/>
      <c r="N122" s="19"/>
      <c r="O122" s="518"/>
      <c r="P122" s="19"/>
      <c r="Q122" s="518"/>
      <c r="R122" s="19"/>
      <c r="S122" s="518"/>
      <c r="T122" s="19"/>
      <c r="U122" s="525"/>
      <c r="W122" s="525"/>
      <c r="Y122" s="525"/>
      <c r="AA122" s="525"/>
      <c r="AC122" s="525"/>
      <c r="AE122" s="525"/>
      <c r="AG122" s="519"/>
      <c r="AH122" s="475">
        <f>COUNTIF(ParticipationJanvier1[[#This Row],[1]:[31]],Code1)</f>
        <v>0</v>
      </c>
      <c r="AI122" s="518">
        <f>COUNTIF(ParticipationJanvier1[[#This Row],[1]:[31]],code22)</f>
        <v>0</v>
      </c>
      <c r="AJ122" s="473">
        <f>COUNTIF(ParticipationJanvier1[[#This Row],[1]:[31]],Code2)</f>
        <v>0</v>
      </c>
      <c r="AK122" s="520">
        <f>COUNTIF(ParticipationJanvier1[[#This Row],[1]:[31]],Code3)</f>
        <v>0</v>
      </c>
      <c r="AL122" s="473">
        <f>COUNTIF(ParticipationJanvier1[[#This Row],[1]:[31]],Code4)</f>
        <v>0</v>
      </c>
      <c r="AM122" s="520">
        <f>COUNTIF(ParticipationJanvier1[[#This Row],[1]:[31]],Code5)</f>
        <v>0</v>
      </c>
      <c r="AN122" s="30">
        <f>COUNTIF(ParticipationJanvier1[[#This Row],[1]:[31]],Code23)</f>
        <v>0</v>
      </c>
      <c r="AO122" s="473">
        <f>COUNTIF(ParticipationJanvier1[[#This Row],[1]:[31]],Code6)</f>
        <v>0</v>
      </c>
      <c r="AP122" s="30">
        <f>COUNTIF(ParticipationJanvier1[[#This Row],[1]:[31]],Code7)</f>
        <v>0</v>
      </c>
      <c r="AQ122" s="30">
        <f>COUNTIF(ParticipationJanvier1[[#This Row],[1]:[31]],Code8)</f>
        <v>0</v>
      </c>
      <c r="AR122" s="30">
        <f>COUNTIF(ParticipationJanvier1[[#This Row],[1]:[31]],Code9)</f>
        <v>0</v>
      </c>
      <c r="AS122" s="473">
        <f>COUNTIF(ParticipationJanvier1[[#This Row],[1]:[31]],Code10)</f>
        <v>0</v>
      </c>
      <c r="AT122" s="473">
        <f>COUNTIF(ParticipationJanvier1[[#This Row],[1]:[31]],Code11)</f>
        <v>0</v>
      </c>
      <c r="AU122" s="473">
        <f>COUNTIF(ParticipationJanvier1[[#This Row],[1]:[31]],Code12)</f>
        <v>0</v>
      </c>
      <c r="AV122" s="473">
        <f>COUNTIF(ParticipationJanvier1[[#This Row],[1]:[31]],Code13)</f>
        <v>0</v>
      </c>
      <c r="AW122" s="473">
        <f>COUNTIF(ParticipationJanvier1[[#This Row],[1]:[31]],Code14)</f>
        <v>0</v>
      </c>
      <c r="AX122" s="473">
        <f>COUNTIF(ParticipationJanvier1[[#This Row],[1]:[31]],Code15)</f>
        <v>0</v>
      </c>
      <c r="AY122" s="473">
        <f>COUNTIF(ParticipationJanvier1[[#This Row],[1]:[31]],Code16)</f>
        <v>0</v>
      </c>
      <c r="AZ122" s="473">
        <f>COUNTIF(ParticipationJanvier1[[#This Row],[1]:[31]],Code17)</f>
        <v>0</v>
      </c>
      <c r="BA122" s="475">
        <f>COUNTIF(ParticipationJanvier1[[#This Row],[1]:[31]],Code25)</f>
        <v>0</v>
      </c>
      <c r="BB122" s="475">
        <f>COUNTIF(ParticipationJanvier1[[#This Row],[1]:[31]],Code26)</f>
        <v>0</v>
      </c>
      <c r="BC122" s="475">
        <f>COUNTIF(ParticipationJanvier1[[#This Row],[1]:[31]],Code27)</f>
        <v>0</v>
      </c>
      <c r="BD122" s="475">
        <f>COUNTIF(ParticipationJanvier1[[#This Row],[1]:[31]],Code28)</f>
        <v>0</v>
      </c>
      <c r="BE122" s="475">
        <f>COUNTIF(ParticipationJanvier1[[#This Row],[1]:[31]],code30)</f>
        <v>0</v>
      </c>
      <c r="BF122" s="475">
        <f>COUNTIF(ParticipationJanvier1[[#This Row],[1]:[31]],Code31)</f>
        <v>0</v>
      </c>
      <c r="BG122" s="473">
        <f>COUNTIF(ParticipationJanvier1[[#This Row],[1]:[31]],code21)</f>
        <v>0</v>
      </c>
      <c r="BH122" s="473">
        <f>COUNTIF(ParticipationJanvier1[[#This Row],[1]:[31]],Code24)</f>
        <v>0</v>
      </c>
      <c r="BI122" s="473">
        <f>COUNTIF(ParticipationJanvier1[[#This Row],[1]:[31]],code18)</f>
        <v>0</v>
      </c>
      <c r="BJ122" s="473">
        <f>COUNTIF(ParticipationJanvier1[[#This Row],[1]:[31]],code19)</f>
        <v>0</v>
      </c>
      <c r="BK122" s="473">
        <f>COUNTIF(ParticipationJanvier1[[#This Row],[1]:[31]],code20)</f>
        <v>0</v>
      </c>
      <c r="BL122" s="476">
        <f>COUNTIF(ParticipationJanvier1[[#This Row],[1]:[31]],code29)</f>
        <v>0</v>
      </c>
      <c r="BM122" s="472">
        <f>SUM((AH122*1)+(AI126*1.5)+(AJ122*2)+(AK122*3)+(AL122*4)+(AQ122*5)+(AR122*6)+(AS122*7)+(AW122*2)+(AX122*3)+(AY122*4)+(AZ122*5)+(BG122*2))</f>
        <v>0</v>
      </c>
      <c r="BN122" s="472"/>
      <c r="BO122" s="472"/>
      <c r="BP122" s="472"/>
      <c r="BQ122" s="472"/>
      <c r="BR122" s="473"/>
      <c r="BS122" s="472"/>
      <c r="BT122" s="472"/>
      <c r="BU122" s="472"/>
      <c r="BV122" s="472"/>
      <c r="BW122" s="472"/>
      <c r="BX122" s="472"/>
      <c r="BY122" s="472"/>
      <c r="BZ122" s="472"/>
      <c r="CA122" s="472"/>
      <c r="CB122" s="472"/>
      <c r="CC122" s="472"/>
      <c r="CD122" s="472"/>
      <c r="CE122" s="472"/>
      <c r="CF122" s="472"/>
      <c r="CG122" s="472"/>
      <c r="CH122" s="472"/>
      <c r="CI122" s="472"/>
      <c r="CJ122" s="472"/>
      <c r="CK122" s="472"/>
      <c r="CL122" s="472"/>
      <c r="CM122" s="472"/>
      <c r="CN122" s="472"/>
      <c r="CO122" s="472"/>
      <c r="CP122" s="472"/>
      <c r="CQ122" s="472"/>
      <c r="CR122" s="472"/>
      <c r="CS122" s="472"/>
      <c r="CT122" s="472"/>
      <c r="CU122" s="516">
        <f>SUM((AN122*1)+(AM122*2)+(AO122*3)+(AP122*4)+(AT122*5)+(AU122*7)+(AV122*7)+(AW122*7)+(AX122*4)+(AY122*3)+(BA122*2)+(BC122*4)+(BB122*1)+(BG122*2)+(AZ122*5)+(BD122*1))</f>
        <v>0</v>
      </c>
      <c r="CV122" s="521">
        <f>SUM((AH122*1)+(AI122*1.5)+(AJ122*2)+(AK122*3)+(AP122*5)+(AQ122*6)+(AR122*7)+(AU122*2)+(AX122*3)+(AY122*4)+(BA122*5)+(BB122*3)+(BC122*2)+(BG122*2)+(AZ122*2)+(BD122*2))</f>
        <v>0</v>
      </c>
      <c r="CW122" s="522">
        <f>SUM((AN122*1)+(AM122*2)+(AO122*3)+(AP122*4)+(AT122*5)+(AU122*7)+(AV122*7)+(AW122*7)+(AX122*4)+(AY122*3)+(BA122*2)+(BC122*4)+(BB122*1)+(BG122*2)+(AZ122*5)+(BD122*1))</f>
        <v>0</v>
      </c>
      <c r="CX122" s="523">
        <f>BH122*1</f>
        <v>0</v>
      </c>
      <c r="CY122" s="512"/>
    </row>
    <row r="123" spans="1:103">
      <c r="A123" s="536" t="s">
        <v>464</v>
      </c>
      <c r="B123" s="372" t="str">
        <f>IFERROR(VLOOKUP(ParticipationJanvier1[[#This Row],[Référence]],ListeÉtudiants1[],18,FALSE),"")</f>
        <v>SEINGUERLET CONSTANCE</v>
      </c>
      <c r="G123" s="525"/>
      <c r="I123" s="525"/>
      <c r="K123" s="525"/>
      <c r="M123" s="525"/>
      <c r="N123" s="19"/>
      <c r="O123" s="518"/>
      <c r="P123" s="19"/>
      <c r="Q123" s="518"/>
      <c r="R123" s="19"/>
      <c r="S123" s="518"/>
      <c r="T123" s="19"/>
      <c r="U123" s="525"/>
      <c r="W123" s="525"/>
      <c r="Y123" s="525"/>
      <c r="AA123" s="525"/>
      <c r="AC123" s="525"/>
      <c r="AE123" s="525"/>
      <c r="AG123" s="519"/>
      <c r="AH123" s="475">
        <f>COUNTIF(ParticipationJanvier1[[#This Row],[1]:[31]],Code1)</f>
        <v>0</v>
      </c>
      <c r="AI123" s="518">
        <f>COUNTIF(ParticipationJanvier1[[#This Row],[1]:[31]],code22)</f>
        <v>0</v>
      </c>
      <c r="AJ123" s="473">
        <f>COUNTIF(ParticipationJanvier1[[#This Row],[1]:[31]],Code2)</f>
        <v>0</v>
      </c>
      <c r="AK123" s="520">
        <f>COUNTIF(ParticipationJanvier1[[#This Row],[1]:[31]],Code3)</f>
        <v>0</v>
      </c>
      <c r="AL123" s="473">
        <f>COUNTIF(ParticipationJanvier1[[#This Row],[1]:[31]],Code4)</f>
        <v>0</v>
      </c>
      <c r="AM123" s="520">
        <f>COUNTIF(ParticipationJanvier1[[#This Row],[1]:[31]],Code5)</f>
        <v>0</v>
      </c>
      <c r="AN123" s="30">
        <f>COUNTIF(ParticipationJanvier1[[#This Row],[1]:[31]],Code23)</f>
        <v>0</v>
      </c>
      <c r="AO123" s="473">
        <f>COUNTIF(ParticipationJanvier1[[#This Row],[1]:[31]],Code6)</f>
        <v>0</v>
      </c>
      <c r="AP123" s="30">
        <f>COUNTIF(ParticipationJanvier1[[#This Row],[1]:[31]],Code7)</f>
        <v>0</v>
      </c>
      <c r="AQ123" s="30">
        <f>COUNTIF(ParticipationJanvier1[[#This Row],[1]:[31]],Code8)</f>
        <v>0</v>
      </c>
      <c r="AR123" s="30">
        <f>COUNTIF(ParticipationJanvier1[[#This Row],[1]:[31]],Code9)</f>
        <v>0</v>
      </c>
      <c r="AS123" s="473">
        <f>COUNTIF(ParticipationJanvier1[[#This Row],[1]:[31]],Code10)</f>
        <v>0</v>
      </c>
      <c r="AT123" s="473">
        <f>COUNTIF(ParticipationJanvier1[[#This Row],[1]:[31]],Code11)</f>
        <v>0</v>
      </c>
      <c r="AU123" s="473">
        <f>COUNTIF(ParticipationJanvier1[[#This Row],[1]:[31]],Code12)</f>
        <v>0</v>
      </c>
      <c r="AV123" s="473">
        <f>COUNTIF(ParticipationJanvier1[[#This Row],[1]:[31]],Code13)</f>
        <v>0</v>
      </c>
      <c r="AW123" s="473">
        <f>COUNTIF(ParticipationJanvier1[[#This Row],[1]:[31]],Code14)</f>
        <v>0</v>
      </c>
      <c r="AX123" s="473">
        <f>COUNTIF(ParticipationJanvier1[[#This Row],[1]:[31]],Code15)</f>
        <v>0</v>
      </c>
      <c r="AY123" s="473">
        <f>COUNTIF(ParticipationJanvier1[[#This Row],[1]:[31]],Code16)</f>
        <v>0</v>
      </c>
      <c r="AZ123" s="473">
        <f>COUNTIF(ParticipationJanvier1[[#This Row],[1]:[31]],Code17)</f>
        <v>0</v>
      </c>
      <c r="BA123" s="475">
        <f>COUNTIF(ParticipationJanvier1[[#This Row],[1]:[31]],Code25)</f>
        <v>0</v>
      </c>
      <c r="BB123" s="475">
        <f>COUNTIF(ParticipationJanvier1[[#This Row],[1]:[31]],Code26)</f>
        <v>0</v>
      </c>
      <c r="BC123" s="475">
        <f>COUNTIF(ParticipationJanvier1[[#This Row],[1]:[31]],Code27)</f>
        <v>0</v>
      </c>
      <c r="BD123" s="475">
        <f>COUNTIF(ParticipationJanvier1[[#This Row],[1]:[31]],Code28)</f>
        <v>0</v>
      </c>
      <c r="BE123" s="475">
        <f>COUNTIF(ParticipationJanvier1[[#This Row],[1]:[31]],code30)</f>
        <v>0</v>
      </c>
      <c r="BF123" s="475">
        <f>COUNTIF(ParticipationJanvier1[[#This Row],[1]:[31]],Code31)</f>
        <v>0</v>
      </c>
      <c r="BG123" s="473">
        <f>COUNTIF(ParticipationJanvier1[[#This Row],[1]:[31]],code21)</f>
        <v>0</v>
      </c>
      <c r="BH123" s="473">
        <f>COUNTIF(ParticipationJanvier1[[#This Row],[1]:[31]],Code24)</f>
        <v>0</v>
      </c>
      <c r="BI123" s="473">
        <f>COUNTIF(ParticipationJanvier1[[#This Row],[1]:[31]],code18)</f>
        <v>0</v>
      </c>
      <c r="BJ123" s="473">
        <f>COUNTIF(ParticipationJanvier1[[#This Row],[1]:[31]],code19)</f>
        <v>0</v>
      </c>
      <c r="BK123" s="473">
        <f>COUNTIF(ParticipationJanvier1[[#This Row],[1]:[31]],code20)</f>
        <v>0</v>
      </c>
      <c r="BL123" s="476">
        <f>COUNTIF(ParticipationJanvier1[[#This Row],[1]:[31]],code29)</f>
        <v>0</v>
      </c>
      <c r="BM123" s="472">
        <f>SUM((AH123*1)+(AI127*1.5)+(AJ123*2)+(AK123*3)+(AL123*4)+(AQ123*5)+(AR123*6)+(AS123*7)+(AW123*2)+(AX123*3)+(AY123*4)+(AZ123*5)+(BG123*2))</f>
        <v>0</v>
      </c>
      <c r="BN123" s="472"/>
      <c r="BO123" s="472"/>
      <c r="BP123" s="472"/>
      <c r="BQ123" s="472"/>
      <c r="BR123" s="473"/>
      <c r="BS123" s="472"/>
      <c r="BT123" s="472"/>
      <c r="BU123" s="472"/>
      <c r="BV123" s="472"/>
      <c r="BW123" s="472"/>
      <c r="BX123" s="472"/>
      <c r="BY123" s="472"/>
      <c r="BZ123" s="472"/>
      <c r="CA123" s="472"/>
      <c r="CB123" s="472"/>
      <c r="CC123" s="472"/>
      <c r="CD123" s="472"/>
      <c r="CE123" s="472"/>
      <c r="CF123" s="472"/>
      <c r="CG123" s="472"/>
      <c r="CH123" s="472"/>
      <c r="CI123" s="472"/>
      <c r="CJ123" s="472"/>
      <c r="CK123" s="472"/>
      <c r="CL123" s="472"/>
      <c r="CM123" s="472"/>
      <c r="CN123" s="472"/>
      <c r="CO123" s="472"/>
      <c r="CP123" s="472"/>
      <c r="CQ123" s="472"/>
      <c r="CR123" s="472"/>
      <c r="CS123" s="472"/>
      <c r="CT123" s="472"/>
      <c r="CU123" s="516">
        <f>SUM((AN123*1)+(AM123*2)+(AO123*3)+(AP123*4)+(AT123*5)+(AU123*7)+(AV123*7)+(AW123*7)+(AX123*4)+(AY123*3)+(BA123*2)+(BC123*4)+(BB123*1)+(BG123*2)+(AZ123*5)+(BD123*1))</f>
        <v>0</v>
      </c>
      <c r="CV123" s="521">
        <f>SUM((AH123*1)+(AI123*1.5)+(AJ123*2)+(AK123*3)+(AP123*5)+(AQ123*6)+(AR123*7)+(AU123*2)+(AX123*3)+(AY123*4)+(BA123*5)+(BB123*3)+(BC123*2)+(BG123*2)+(AZ123*2)+(BD123*2))</f>
        <v>0</v>
      </c>
      <c r="CW123" s="522">
        <f>SUM((AN123*1)+(AM123*2)+(AO123*3)+(AP123*4)+(AT123*5)+(AU123*7)+(AV123*7)+(AW123*7)+(AX123*4)+(AY123*3)+(BA123*2)+(BC123*4)+(BB123*1)+(BG123*2)+(AZ123*5)+(BD123*1))</f>
        <v>0</v>
      </c>
      <c r="CX123" s="523">
        <f>BH123*1</f>
        <v>0</v>
      </c>
      <c r="CY123" s="512"/>
    </row>
    <row r="124" spans="1:103">
      <c r="A124" s="536" t="s">
        <v>465</v>
      </c>
      <c r="B124" s="372" t="str">
        <f>IFERROR(VLOOKUP(ParticipationJanvier1[[#This Row],[Référence]],ListeÉtudiants1[],18,FALSE),"")</f>
        <v>SERVENT MARION</v>
      </c>
      <c r="G124" s="525"/>
      <c r="I124" s="525"/>
      <c r="K124" s="525"/>
      <c r="M124" s="525"/>
      <c r="N124" s="19"/>
      <c r="O124" s="518"/>
      <c r="P124" s="19"/>
      <c r="Q124" s="518"/>
      <c r="R124" s="19"/>
      <c r="S124" s="518"/>
      <c r="T124" s="19"/>
      <c r="U124" s="525"/>
      <c r="W124" s="525"/>
      <c r="Y124" s="525"/>
      <c r="AA124" s="525"/>
      <c r="AC124" s="525"/>
      <c r="AE124" s="525"/>
      <c r="AG124" s="519"/>
      <c r="AH124" s="475">
        <f>COUNTIF(ParticipationJanvier1[[#This Row],[1]:[31]],Code1)</f>
        <v>0</v>
      </c>
      <c r="AI124" s="518">
        <f>COUNTIF(ParticipationJanvier1[[#This Row],[1]:[31]],code22)</f>
        <v>0</v>
      </c>
      <c r="AJ124" s="473">
        <f>COUNTIF(ParticipationJanvier1[[#This Row],[1]:[31]],Code2)</f>
        <v>0</v>
      </c>
      <c r="AK124" s="520">
        <f>COUNTIF(ParticipationJanvier1[[#This Row],[1]:[31]],Code3)</f>
        <v>0</v>
      </c>
      <c r="AL124" s="473">
        <f>COUNTIF(ParticipationJanvier1[[#This Row],[1]:[31]],Code4)</f>
        <v>0</v>
      </c>
      <c r="AM124" s="520">
        <f>COUNTIF(ParticipationJanvier1[[#This Row],[1]:[31]],Code5)</f>
        <v>0</v>
      </c>
      <c r="AN124" s="30">
        <f>COUNTIF(ParticipationJanvier1[[#This Row],[1]:[31]],Code23)</f>
        <v>0</v>
      </c>
      <c r="AO124" s="473">
        <f>COUNTIF(ParticipationJanvier1[[#This Row],[1]:[31]],Code6)</f>
        <v>0</v>
      </c>
      <c r="AP124" s="30">
        <f>COUNTIF(ParticipationJanvier1[[#This Row],[1]:[31]],Code7)</f>
        <v>0</v>
      </c>
      <c r="AQ124" s="30">
        <f>COUNTIF(ParticipationJanvier1[[#This Row],[1]:[31]],Code8)</f>
        <v>0</v>
      </c>
      <c r="AR124" s="30">
        <f>COUNTIF(ParticipationJanvier1[[#This Row],[1]:[31]],Code9)</f>
        <v>0</v>
      </c>
      <c r="AS124" s="473">
        <f>COUNTIF(ParticipationJanvier1[[#This Row],[1]:[31]],Code10)</f>
        <v>0</v>
      </c>
      <c r="AT124" s="473">
        <f>COUNTIF(ParticipationJanvier1[[#This Row],[1]:[31]],Code11)</f>
        <v>0</v>
      </c>
      <c r="AU124" s="473">
        <f>COUNTIF(ParticipationJanvier1[[#This Row],[1]:[31]],Code12)</f>
        <v>0</v>
      </c>
      <c r="AV124" s="473">
        <f>COUNTIF(ParticipationJanvier1[[#This Row],[1]:[31]],Code13)</f>
        <v>0</v>
      </c>
      <c r="AW124" s="473">
        <f>COUNTIF(ParticipationJanvier1[[#This Row],[1]:[31]],Code14)</f>
        <v>0</v>
      </c>
      <c r="AX124" s="473">
        <f>COUNTIF(ParticipationJanvier1[[#This Row],[1]:[31]],Code15)</f>
        <v>0</v>
      </c>
      <c r="AY124" s="473">
        <f>COUNTIF(ParticipationJanvier1[[#This Row],[1]:[31]],Code16)</f>
        <v>0</v>
      </c>
      <c r="AZ124" s="473">
        <f>COUNTIF(ParticipationJanvier1[[#This Row],[1]:[31]],Code17)</f>
        <v>0</v>
      </c>
      <c r="BA124" s="475">
        <f>COUNTIF(ParticipationJanvier1[[#This Row],[1]:[31]],Code25)</f>
        <v>0</v>
      </c>
      <c r="BB124" s="475">
        <f>COUNTIF(ParticipationJanvier1[[#This Row],[1]:[31]],Code26)</f>
        <v>0</v>
      </c>
      <c r="BC124" s="475">
        <f>COUNTIF(ParticipationJanvier1[[#This Row],[1]:[31]],Code27)</f>
        <v>0</v>
      </c>
      <c r="BD124" s="475">
        <f>COUNTIF(ParticipationJanvier1[[#This Row],[1]:[31]],Code28)</f>
        <v>0</v>
      </c>
      <c r="BE124" s="475">
        <f>COUNTIF(ParticipationJanvier1[[#This Row],[1]:[31]],code30)</f>
        <v>0</v>
      </c>
      <c r="BF124" s="475">
        <f>COUNTIF(ParticipationJanvier1[[#This Row],[1]:[31]],Code31)</f>
        <v>0</v>
      </c>
      <c r="BG124" s="473">
        <f>COUNTIF(ParticipationJanvier1[[#This Row],[1]:[31]],code21)</f>
        <v>0</v>
      </c>
      <c r="BH124" s="473">
        <f>COUNTIF(ParticipationJanvier1[[#This Row],[1]:[31]],Code24)</f>
        <v>0</v>
      </c>
      <c r="BI124" s="473">
        <f>COUNTIF(ParticipationJanvier1[[#This Row],[1]:[31]],code18)</f>
        <v>0</v>
      </c>
      <c r="BJ124" s="473">
        <f>COUNTIF(ParticipationJanvier1[[#This Row],[1]:[31]],code19)</f>
        <v>0</v>
      </c>
      <c r="BK124" s="473">
        <f>COUNTIF(ParticipationJanvier1[[#This Row],[1]:[31]],code20)</f>
        <v>0</v>
      </c>
      <c r="BL124" s="476">
        <f>COUNTIF(ParticipationJanvier1[[#This Row],[1]:[31]],code29)</f>
        <v>0</v>
      </c>
      <c r="BM124" s="472">
        <f>SUM((AH124*1)+(AI130*1.5)+(AJ124*2)+(AK124*3)+(AL124*4)+(AQ124*5)+(AR124*6)+(AS124*7)+(AW124*2)+(AX124*3)+(AY124*4)+(AZ124*5)+(BG124*2))</f>
        <v>0</v>
      </c>
      <c r="BN124" s="472"/>
      <c r="BO124" s="472"/>
      <c r="BP124" s="472"/>
      <c r="BQ124" s="472"/>
      <c r="BR124" s="473"/>
      <c r="BS124" s="472"/>
      <c r="BT124" s="472"/>
      <c r="BU124" s="472"/>
      <c r="BV124" s="472"/>
      <c r="BW124" s="472"/>
      <c r="BX124" s="472"/>
      <c r="BY124" s="472"/>
      <c r="BZ124" s="472"/>
      <c r="CA124" s="472"/>
      <c r="CB124" s="472"/>
      <c r="CC124" s="472"/>
      <c r="CD124" s="472"/>
      <c r="CE124" s="472"/>
      <c r="CF124" s="472"/>
      <c r="CG124" s="472"/>
      <c r="CH124" s="472"/>
      <c r="CI124" s="472"/>
      <c r="CJ124" s="472"/>
      <c r="CK124" s="472"/>
      <c r="CL124" s="472"/>
      <c r="CM124" s="472"/>
      <c r="CN124" s="472"/>
      <c r="CO124" s="472"/>
      <c r="CP124" s="472"/>
      <c r="CQ124" s="472"/>
      <c r="CR124" s="472"/>
      <c r="CS124" s="472"/>
      <c r="CT124" s="472"/>
      <c r="CU124" s="516">
        <f>SUM((AN124*1)+(AM124*2)+(AO124*3)+(AP124*4)+(AT124*5)+(AU124*7)+(AV124*7)+(AW124*7)+(AX124*4)+(AY124*3)+(BA124*2)+(BC124*4)+(BB124*1)+(BG124*2)+(AZ124*5)+(BD124*1))</f>
        <v>0</v>
      </c>
      <c r="CV124" s="521">
        <f>SUM((AH124*1)+(AI124*1.5)+(AJ124*2)+(AK124*3)+(AP124*5)+(AQ124*6)+(AR124*7)+(AU124*2)+(AX124*3)+(AY124*4)+(BA124*5)+(BB124*3)+(BC124*2)+(BG124*2)+(AZ124*2)+(BD124*2))</f>
        <v>0</v>
      </c>
      <c r="CW124" s="522">
        <f>SUM((AN124*1)+(AM124*2)+(AO124*3)+(AP124*4)+(AT124*5)+(AU124*7)+(AV124*7)+(AW124*7)+(AX124*4)+(AY124*3)+(BA124*2)+(BC124*4)+(BB124*1)+(BG124*2)+(AZ124*5)+(BD124*1))</f>
        <v>0</v>
      </c>
      <c r="CX124" s="523">
        <f>BH124*1</f>
        <v>0</v>
      </c>
      <c r="CY124" s="512"/>
    </row>
    <row r="125" spans="1:103">
      <c r="A125" s="534" t="s">
        <v>466</v>
      </c>
      <c r="B125" s="372" t="str">
        <f>IFERROR(VLOOKUP(ParticipationJanvier1[[#This Row],[Référence]],ListeÉtudiants1[],18,FALSE),"")</f>
        <v>SHEIKBOUDOU MACILIA</v>
      </c>
      <c r="G125" s="525"/>
      <c r="I125" s="525"/>
      <c r="K125" s="525"/>
      <c r="M125" s="525"/>
      <c r="N125" s="19"/>
      <c r="O125" s="518"/>
      <c r="P125" s="19"/>
      <c r="Q125" s="518"/>
      <c r="R125" s="19"/>
      <c r="S125" s="518"/>
      <c r="T125" s="19"/>
      <c r="U125" s="525"/>
      <c r="W125" s="525"/>
      <c r="Y125" s="525"/>
      <c r="AA125" s="525"/>
      <c r="AC125" s="525"/>
      <c r="AE125" s="525"/>
      <c r="AG125" s="519"/>
      <c r="AH125" s="475">
        <f>COUNTIF(ParticipationJanvier1[[#This Row],[1]:[31]],Code1)</f>
        <v>0</v>
      </c>
      <c r="AI125" s="518">
        <f>COUNTIF(ParticipationJanvier1[[#This Row],[1]:[31]],code22)</f>
        <v>0</v>
      </c>
      <c r="AJ125" s="473">
        <f>COUNTIF(ParticipationJanvier1[[#This Row],[1]:[31]],Code2)</f>
        <v>0</v>
      </c>
      <c r="AK125" s="520">
        <f>COUNTIF(ParticipationJanvier1[[#This Row],[1]:[31]],Code3)</f>
        <v>0</v>
      </c>
      <c r="AL125" s="473">
        <f>COUNTIF(ParticipationJanvier1[[#This Row],[1]:[31]],Code4)</f>
        <v>0</v>
      </c>
      <c r="AM125" s="520">
        <f>COUNTIF(ParticipationJanvier1[[#This Row],[1]:[31]],Code5)</f>
        <v>0</v>
      </c>
      <c r="AN125" s="30">
        <f>COUNTIF(ParticipationJanvier1[[#This Row],[1]:[31]],Code23)</f>
        <v>0</v>
      </c>
      <c r="AO125" s="473">
        <f>COUNTIF(ParticipationJanvier1[[#This Row],[1]:[31]],Code6)</f>
        <v>0</v>
      </c>
      <c r="AP125" s="30">
        <f>COUNTIF(ParticipationJanvier1[[#This Row],[1]:[31]],Code7)</f>
        <v>0</v>
      </c>
      <c r="AQ125" s="30">
        <f>COUNTIF(ParticipationJanvier1[[#This Row],[1]:[31]],Code8)</f>
        <v>0</v>
      </c>
      <c r="AR125" s="30">
        <f>COUNTIF(ParticipationJanvier1[[#This Row],[1]:[31]],Code9)</f>
        <v>0</v>
      </c>
      <c r="AS125" s="473">
        <f>COUNTIF(ParticipationJanvier1[[#This Row],[1]:[31]],Code10)</f>
        <v>0</v>
      </c>
      <c r="AT125" s="473">
        <f>COUNTIF(ParticipationJanvier1[[#This Row],[1]:[31]],Code11)</f>
        <v>0</v>
      </c>
      <c r="AU125" s="473">
        <f>COUNTIF(ParticipationJanvier1[[#This Row],[1]:[31]],Code12)</f>
        <v>0</v>
      </c>
      <c r="AV125" s="473">
        <f>COUNTIF(ParticipationJanvier1[[#This Row],[1]:[31]],Code13)</f>
        <v>0</v>
      </c>
      <c r="AW125" s="473">
        <f>COUNTIF(ParticipationJanvier1[[#This Row],[1]:[31]],Code14)</f>
        <v>0</v>
      </c>
      <c r="AX125" s="473">
        <f>COUNTIF(ParticipationJanvier1[[#This Row],[1]:[31]],Code15)</f>
        <v>0</v>
      </c>
      <c r="AY125" s="473">
        <f>COUNTIF(ParticipationJanvier1[[#This Row],[1]:[31]],Code16)</f>
        <v>0</v>
      </c>
      <c r="AZ125" s="473">
        <f>COUNTIF(ParticipationJanvier1[[#This Row],[1]:[31]],Code17)</f>
        <v>0</v>
      </c>
      <c r="BA125" s="475">
        <f>COUNTIF(ParticipationJanvier1[[#This Row],[1]:[31]],Code25)</f>
        <v>0</v>
      </c>
      <c r="BB125" s="475">
        <f>COUNTIF(ParticipationJanvier1[[#This Row],[1]:[31]],Code26)</f>
        <v>0</v>
      </c>
      <c r="BC125" s="475">
        <f>COUNTIF(ParticipationJanvier1[[#This Row],[1]:[31]],Code27)</f>
        <v>0</v>
      </c>
      <c r="BD125" s="475">
        <f>COUNTIF(ParticipationJanvier1[[#This Row],[1]:[31]],Code28)</f>
        <v>0</v>
      </c>
      <c r="BE125" s="475">
        <f>COUNTIF(ParticipationJanvier1[[#This Row],[1]:[31]],code30)</f>
        <v>0</v>
      </c>
      <c r="BF125" s="475">
        <f>COUNTIF(ParticipationJanvier1[[#This Row],[1]:[31]],Code31)</f>
        <v>0</v>
      </c>
      <c r="BG125" s="473">
        <f>COUNTIF(ParticipationJanvier1[[#This Row],[1]:[31]],code21)</f>
        <v>0</v>
      </c>
      <c r="BH125" s="473">
        <f>COUNTIF(ParticipationJanvier1[[#This Row],[1]:[31]],Code24)</f>
        <v>0</v>
      </c>
      <c r="BI125" s="473">
        <f>COUNTIF(ParticipationJanvier1[[#This Row],[1]:[31]],code18)</f>
        <v>0</v>
      </c>
      <c r="BJ125" s="473">
        <f>COUNTIF(ParticipationJanvier1[[#This Row],[1]:[31]],code19)</f>
        <v>0</v>
      </c>
      <c r="BK125" s="473">
        <f>COUNTIF(ParticipationJanvier1[[#This Row],[1]:[31]],code20)</f>
        <v>0</v>
      </c>
      <c r="BL125" s="476">
        <f>COUNTIF(ParticipationJanvier1[[#This Row],[1]:[31]],code29)</f>
        <v>0</v>
      </c>
      <c r="BM125" s="472">
        <f>SUM((AH125*1)+(AI131*1.5)+(AJ125*2)+(AK125*3)+(AL125*4)+(AQ125*5)+(AR125*6)+(AS125*7)+(AW125*2)+(AX125*3)+(AY125*4)+(AZ125*5)+(BG125*2))</f>
        <v>0</v>
      </c>
      <c r="BN125" s="472"/>
      <c r="BO125" s="472"/>
      <c r="BP125" s="472"/>
      <c r="BQ125" s="472"/>
      <c r="BR125" s="473"/>
      <c r="BS125" s="472"/>
      <c r="BT125" s="472"/>
      <c r="BU125" s="472"/>
      <c r="BV125" s="472"/>
      <c r="BW125" s="472"/>
      <c r="BX125" s="472"/>
      <c r="BY125" s="472"/>
      <c r="BZ125" s="472"/>
      <c r="CA125" s="472"/>
      <c r="CB125" s="472"/>
      <c r="CC125" s="472"/>
      <c r="CD125" s="472"/>
      <c r="CE125" s="472"/>
      <c r="CF125" s="472"/>
      <c r="CG125" s="472"/>
      <c r="CH125" s="472"/>
      <c r="CI125" s="472"/>
      <c r="CJ125" s="472"/>
      <c r="CK125" s="472"/>
      <c r="CL125" s="472"/>
      <c r="CM125" s="472"/>
      <c r="CN125" s="472"/>
      <c r="CO125" s="472"/>
      <c r="CP125" s="472"/>
      <c r="CQ125" s="472"/>
      <c r="CR125" s="472"/>
      <c r="CS125" s="472"/>
      <c r="CT125" s="472"/>
      <c r="CU125" s="516">
        <f>SUM((AN125*1)+(AM125*2)+(AO125*3)+(AP125*4)+(AT125*5)+(AU125*7)+(AV125*7)+(AW125*7)+(AX125*4)+(AY125*3)+(BA125*2)+(BC125*4)+(BB125*1)+(BG125*2)+(AZ125*5)+(BD125*1))</f>
        <v>0</v>
      </c>
      <c r="CV125" s="521">
        <f>SUM((AH125*1)+(AI125*1.5)+(AJ125*2)+(AK125*3)+(AP125*5)+(AQ125*6)+(AR125*7)+(AU125*2)+(AX125*3)+(AY125*4)+(BA125*5)+(BB125*3)+(BC125*2)+(BG125*2)+(AZ125*2)+(BD125*2))</f>
        <v>0</v>
      </c>
      <c r="CW125" s="522">
        <f>SUM((AN125*1)+(AM125*2)+(AO125*3)+(AP125*4)+(AT125*5)+(AU125*7)+(AV125*7)+(AW125*7)+(AX125*4)+(AY125*3)+(BA125*2)+(BC125*4)+(BB125*1)+(BG125*2)+(AZ125*5)+(BD125*1))</f>
        <v>0</v>
      </c>
      <c r="CX125" s="523">
        <f>BH125*1</f>
        <v>0</v>
      </c>
      <c r="CY125" s="512"/>
    </row>
    <row r="126" spans="1:103">
      <c r="A126" s="534" t="s">
        <v>467</v>
      </c>
      <c r="B126" s="372" t="str">
        <f>IFERROR(VLOOKUP(ParticipationJanvier1[[#This Row],[Référence]],ListeÉtudiants1[],18,FALSE),"")</f>
        <v>SILVERE SHERLEY</v>
      </c>
      <c r="G126" s="525"/>
      <c r="I126" s="525"/>
      <c r="K126" s="525"/>
      <c r="M126" s="525"/>
      <c r="N126" s="19"/>
      <c r="O126" s="518"/>
      <c r="P126" s="19"/>
      <c r="Q126" s="518"/>
      <c r="R126" s="19"/>
      <c r="S126" s="518"/>
      <c r="T126" s="19"/>
      <c r="U126" s="525"/>
      <c r="W126" s="525"/>
      <c r="Y126" s="525"/>
      <c r="AA126" s="525"/>
      <c r="AC126" s="525"/>
      <c r="AE126" s="525"/>
      <c r="AG126" s="519"/>
      <c r="AH126" s="475">
        <f>COUNTIF(ParticipationJanvier1[[#This Row],[1]:[31]],Code1)</f>
        <v>0</v>
      </c>
      <c r="AI126" s="518">
        <f>COUNTIF(ParticipationJanvier1[[#This Row],[1]:[31]],code22)</f>
        <v>0</v>
      </c>
      <c r="AJ126" s="473">
        <f>COUNTIF(ParticipationJanvier1[[#This Row],[1]:[31]],Code2)</f>
        <v>0</v>
      </c>
      <c r="AK126" s="520">
        <f>COUNTIF(ParticipationJanvier1[[#This Row],[1]:[31]],Code3)</f>
        <v>0</v>
      </c>
      <c r="AL126" s="473">
        <f>COUNTIF(ParticipationJanvier1[[#This Row],[1]:[31]],Code4)</f>
        <v>0</v>
      </c>
      <c r="AM126" s="520">
        <f>COUNTIF(ParticipationJanvier1[[#This Row],[1]:[31]],Code5)</f>
        <v>0</v>
      </c>
      <c r="AN126" s="30">
        <f>COUNTIF(ParticipationJanvier1[[#This Row],[1]:[31]],Code23)</f>
        <v>0</v>
      </c>
      <c r="AO126" s="473">
        <f>COUNTIF(ParticipationJanvier1[[#This Row],[1]:[31]],Code6)</f>
        <v>0</v>
      </c>
      <c r="AP126" s="30">
        <f>COUNTIF(ParticipationJanvier1[[#This Row],[1]:[31]],Code7)</f>
        <v>0</v>
      </c>
      <c r="AQ126" s="30">
        <f>COUNTIF(ParticipationJanvier1[[#This Row],[1]:[31]],Code8)</f>
        <v>0</v>
      </c>
      <c r="AR126" s="30">
        <f>COUNTIF(ParticipationJanvier1[[#This Row],[1]:[31]],Code9)</f>
        <v>0</v>
      </c>
      <c r="AS126" s="473">
        <f>COUNTIF(ParticipationJanvier1[[#This Row],[1]:[31]],Code10)</f>
        <v>0</v>
      </c>
      <c r="AT126" s="473">
        <f>COUNTIF(ParticipationJanvier1[[#This Row],[1]:[31]],Code11)</f>
        <v>0</v>
      </c>
      <c r="AU126" s="473">
        <f>COUNTIF(ParticipationJanvier1[[#This Row],[1]:[31]],Code12)</f>
        <v>0</v>
      </c>
      <c r="AV126" s="473">
        <f>COUNTIF(ParticipationJanvier1[[#This Row],[1]:[31]],Code13)</f>
        <v>0</v>
      </c>
      <c r="AW126" s="473">
        <f>COUNTIF(ParticipationJanvier1[[#This Row],[1]:[31]],Code14)</f>
        <v>0</v>
      </c>
      <c r="AX126" s="473">
        <f>COUNTIF(ParticipationJanvier1[[#This Row],[1]:[31]],Code15)</f>
        <v>0</v>
      </c>
      <c r="AY126" s="473">
        <f>COUNTIF(ParticipationJanvier1[[#This Row],[1]:[31]],Code16)</f>
        <v>0</v>
      </c>
      <c r="AZ126" s="473">
        <f>COUNTIF(ParticipationJanvier1[[#This Row],[1]:[31]],Code17)</f>
        <v>0</v>
      </c>
      <c r="BA126" s="475">
        <f>COUNTIF(ParticipationJanvier1[[#This Row],[1]:[31]],Code25)</f>
        <v>0</v>
      </c>
      <c r="BB126" s="475">
        <f>COUNTIF(ParticipationJanvier1[[#This Row],[1]:[31]],Code26)</f>
        <v>0</v>
      </c>
      <c r="BC126" s="475">
        <f>COUNTIF(ParticipationJanvier1[[#This Row],[1]:[31]],Code27)</f>
        <v>0</v>
      </c>
      <c r="BD126" s="475">
        <f>COUNTIF(ParticipationJanvier1[[#This Row],[1]:[31]],Code28)</f>
        <v>0</v>
      </c>
      <c r="BE126" s="475">
        <f>COUNTIF(ParticipationJanvier1[[#This Row],[1]:[31]],code30)</f>
        <v>0</v>
      </c>
      <c r="BF126" s="475">
        <f>COUNTIF(ParticipationJanvier1[[#This Row],[1]:[31]],Code31)</f>
        <v>0</v>
      </c>
      <c r="BG126" s="473">
        <f>COUNTIF(ParticipationJanvier1[[#This Row],[1]:[31]],code21)</f>
        <v>0</v>
      </c>
      <c r="BH126" s="473">
        <f>COUNTIF(ParticipationJanvier1[[#This Row],[1]:[31]],Code24)</f>
        <v>0</v>
      </c>
      <c r="BI126" s="473">
        <f>COUNTIF(ParticipationJanvier1[[#This Row],[1]:[31]],code18)</f>
        <v>0</v>
      </c>
      <c r="BJ126" s="473">
        <f>COUNTIF(ParticipationJanvier1[[#This Row],[1]:[31]],code19)</f>
        <v>0</v>
      </c>
      <c r="BK126" s="473">
        <f>COUNTIF(ParticipationJanvier1[[#This Row],[1]:[31]],code20)</f>
        <v>0</v>
      </c>
      <c r="BL126" s="476">
        <f>COUNTIF(ParticipationJanvier1[[#This Row],[1]:[31]],code29)</f>
        <v>0</v>
      </c>
      <c r="BM126" s="472">
        <f>SUM((AH126*1)+(AI132*1.5)+(AJ126*2)+(AK126*3)+(AL126*4)+(AQ126*5)+(AR126*6)+(AS126*7)+(AW126*2)+(AX126*3)+(AY126*4)+(AZ126*5)+(BG126*2))</f>
        <v>0</v>
      </c>
      <c r="BN126" s="472"/>
      <c r="BO126" s="472"/>
      <c r="BP126" s="472"/>
      <c r="BQ126" s="472"/>
      <c r="BR126" s="473"/>
      <c r="BS126" s="472"/>
      <c r="BT126" s="472"/>
      <c r="BU126" s="472"/>
      <c r="BV126" s="472"/>
      <c r="BW126" s="472"/>
      <c r="BX126" s="472"/>
      <c r="BY126" s="472"/>
      <c r="BZ126" s="472"/>
      <c r="CA126" s="472"/>
      <c r="CB126" s="472"/>
      <c r="CC126" s="472"/>
      <c r="CD126" s="472"/>
      <c r="CE126" s="472"/>
      <c r="CF126" s="472"/>
      <c r="CG126" s="472"/>
      <c r="CH126" s="472"/>
      <c r="CI126" s="472"/>
      <c r="CJ126" s="472"/>
      <c r="CK126" s="472"/>
      <c r="CL126" s="472"/>
      <c r="CM126" s="472"/>
      <c r="CN126" s="472"/>
      <c r="CO126" s="472"/>
      <c r="CP126" s="472"/>
      <c r="CQ126" s="472"/>
      <c r="CR126" s="472"/>
      <c r="CS126" s="472"/>
      <c r="CT126" s="472"/>
      <c r="CU126" s="516">
        <f>SUM((AN126*1)+(AM126*2)+(AO126*3)+(AP126*4)+(AT126*5)+(AU126*7)+(AV126*7)+(AW126*7)+(AX126*4)+(AY126*3)+(BA126*2)+(BC126*4)+(BB126*1)+(BG126*2)+(AZ126*5)+(BD126*1))</f>
        <v>0</v>
      </c>
      <c r="CV126" s="521">
        <f>SUM((AH126*1)+(AI126*1.5)+(AJ126*2)+(AK126*3)+(AP126*5)+(AQ126*6)+(AR126*7)+(AU126*2)+(AX126*3)+(AY126*4)+(BA126*5)+(BB126*3)+(BC126*2)+(BG126*2)+(AZ126*2)+(BD126*2))</f>
        <v>0</v>
      </c>
      <c r="CW126" s="522">
        <f>SUM((AN126*1)+(AM126*2)+(AO126*3)+(AP126*4)+(AT126*5)+(AU126*7)+(AV126*7)+(AW126*7)+(AX126*4)+(AY126*3)+(BA126*2)+(BC126*4)+(BB126*1)+(BG126*2)+(AZ126*5)+(BD126*1))</f>
        <v>0</v>
      </c>
      <c r="CX126" s="523">
        <f>BH126*1</f>
        <v>0</v>
      </c>
      <c r="CY126" s="512"/>
    </row>
    <row r="127" spans="1:103">
      <c r="A127" s="510" t="s">
        <v>468</v>
      </c>
      <c r="B127" s="372" t="str">
        <f>IFERROR(VLOOKUP(ParticipationJanvier1[[#This Row],[Référence]],ListeÉtudiants1[],18,FALSE),"")</f>
        <v>SOUQUERE LAURANA</v>
      </c>
      <c r="G127" s="291"/>
      <c r="I127" s="291"/>
      <c r="K127" s="291"/>
      <c r="M127" s="291"/>
      <c r="N127" s="19"/>
      <c r="O127" s="19"/>
      <c r="P127" s="19"/>
      <c r="Q127" s="19"/>
      <c r="R127" s="19"/>
      <c r="S127" s="19" t="s">
        <v>107</v>
      </c>
      <c r="T127" s="19"/>
      <c r="U127" s="291"/>
      <c r="W127" s="291"/>
      <c r="Y127" s="291"/>
      <c r="AA127" s="291"/>
      <c r="AC127" s="291"/>
      <c r="AE127" s="291"/>
      <c r="AG127" s="326"/>
      <c r="AH127" s="6">
        <f>COUNTIF(ParticipationJanvier1[[#This Row],[1]:[31]],Code1)</f>
        <v>0</v>
      </c>
      <c r="AI127" s="6">
        <f>COUNTIF(ParticipationJanvier1[[#This Row],[1]:[31]],code22)</f>
        <v>0</v>
      </c>
      <c r="AJ127" s="6">
        <f>COUNTIF(ParticipationJanvier1[[#This Row],[1]:[31]],Code2)</f>
        <v>0</v>
      </c>
      <c r="AK127" s="6">
        <f>COUNTIF(ParticipationJanvier1[[#This Row],[1]:[31]],Code3)</f>
        <v>0</v>
      </c>
      <c r="AL127" s="6">
        <f>COUNTIF(ParticipationJanvier1[[#This Row],[1]:[31]],Code4)</f>
        <v>1</v>
      </c>
      <c r="AM127" s="6">
        <f>COUNTIF(ParticipationJanvier1[[#This Row],[1]:[31]],Code5)</f>
        <v>0</v>
      </c>
      <c r="AN127" s="6">
        <f>COUNTIF(ParticipationJanvier1[[#This Row],[1]:[31]],Code23)</f>
        <v>0</v>
      </c>
      <c r="AO127" s="6">
        <f>COUNTIF(ParticipationJanvier1[[#This Row],[1]:[31]],Code6)</f>
        <v>0</v>
      </c>
      <c r="AP127" s="6">
        <f>COUNTIF(ParticipationJanvier1[[#This Row],[1]:[31]],Code7)</f>
        <v>0</v>
      </c>
      <c r="AQ127" s="6">
        <f>COUNTIF(ParticipationJanvier1[[#This Row],[1]:[31]],Code8)</f>
        <v>0</v>
      </c>
      <c r="AR127" s="6">
        <f>COUNTIF(ParticipationJanvier1[[#This Row],[1]:[31]],Code9)</f>
        <v>0</v>
      </c>
      <c r="AS127" s="6">
        <f>COUNTIF(ParticipationJanvier1[[#This Row],[1]:[31]],Code10)</f>
        <v>0</v>
      </c>
      <c r="AT127" s="6">
        <f>COUNTIF(ParticipationJanvier1[[#This Row],[1]:[31]],Code11)</f>
        <v>0</v>
      </c>
      <c r="AU127" s="6">
        <f>COUNTIF(ParticipationJanvier1[[#This Row],[1]:[31]],Code12)</f>
        <v>0</v>
      </c>
      <c r="AV127" s="6">
        <f>COUNTIF(ParticipationJanvier1[[#This Row],[1]:[31]],Code13)</f>
        <v>0</v>
      </c>
      <c r="AW127" s="6">
        <f>COUNTIF(ParticipationJanvier1[[#This Row],[1]:[31]],Code14)</f>
        <v>0</v>
      </c>
      <c r="AX127" s="6">
        <f>COUNTIF(ParticipationJanvier1[[#This Row],[1]:[31]],Code15)</f>
        <v>0</v>
      </c>
      <c r="AY127" s="6">
        <f>COUNTIF(ParticipationJanvier1[[#This Row],[1]:[31]],Code16)</f>
        <v>0</v>
      </c>
      <c r="AZ127" s="6">
        <f>COUNTIF(ParticipationJanvier1[[#This Row],[1]:[31]],Code17)</f>
        <v>0</v>
      </c>
      <c r="BA127" s="6">
        <f>COUNTIF(ParticipationJanvier1[[#This Row],[1]:[31]],Code25)</f>
        <v>0</v>
      </c>
      <c r="BB127" s="6">
        <f>COUNTIF(ParticipationJanvier1[[#This Row],[1]:[31]],Code26)</f>
        <v>0</v>
      </c>
      <c r="BC127" s="6">
        <f>COUNTIF(ParticipationJanvier1[[#This Row],[1]:[31]],Code27)</f>
        <v>0</v>
      </c>
      <c r="BD127" s="6">
        <f>COUNTIF(ParticipationJanvier1[[#This Row],[1]:[31]],Code28)</f>
        <v>0</v>
      </c>
      <c r="BE127" s="6">
        <f>COUNTIF(ParticipationJanvier1[[#This Row],[1]:[31]],code30)</f>
        <v>0</v>
      </c>
      <c r="BF127" s="6">
        <f>COUNTIF(ParticipationJanvier1[[#This Row],[1]:[31]],Code31)</f>
        <v>0</v>
      </c>
      <c r="BG127" s="6">
        <f>COUNTIF(ParticipationJanvier1[[#This Row],[1]:[31]],code21)</f>
        <v>0</v>
      </c>
      <c r="BH127" s="6">
        <f>COUNTIF(ParticipationJanvier1[[#This Row],[1]:[31]],Code24)</f>
        <v>0</v>
      </c>
      <c r="BI127" s="6">
        <f>COUNTIF(ParticipationJanvier1[[#This Row],[1]:[31]],code18)</f>
        <v>0</v>
      </c>
      <c r="BJ127" s="6">
        <f>COUNTIF(ParticipationJanvier1[[#This Row],[1]:[31]],code19)</f>
        <v>0</v>
      </c>
      <c r="BK127" s="6">
        <f>COUNTIF(ParticipationJanvier1[[#This Row],[1]:[31]],code20)</f>
        <v>0</v>
      </c>
      <c r="BL127" s="182">
        <f>COUNTIF(ParticipationJanvier1[[#This Row],[1]:[31]],code29)</f>
        <v>0</v>
      </c>
      <c r="BM127" s="297">
        <v>1</v>
      </c>
      <c r="BN127" s="297"/>
      <c r="BO127" s="297"/>
      <c r="BP127" s="297"/>
      <c r="BQ127" s="297"/>
      <c r="BR127" s="307"/>
      <c r="BS127" s="297"/>
      <c r="BT127" s="297"/>
      <c r="BU127" s="297"/>
      <c r="BV127" s="297"/>
      <c r="BW127" s="297"/>
      <c r="BX127" s="297"/>
      <c r="BY127" s="297"/>
      <c r="BZ127" s="297"/>
      <c r="CA127" s="297"/>
      <c r="CB127" s="297"/>
      <c r="CC127" s="297"/>
      <c r="CD127" s="297"/>
      <c r="CE127" s="297"/>
      <c r="CF127" s="297"/>
      <c r="CG127" s="297"/>
      <c r="CH127" s="297"/>
      <c r="CI127" s="297"/>
      <c r="CJ127" s="297"/>
      <c r="CK127" s="297"/>
      <c r="CL127" s="297"/>
      <c r="CM127" s="297"/>
      <c r="CN127" s="297"/>
      <c r="CO127" s="297"/>
      <c r="CP127" s="297"/>
      <c r="CQ127" s="297"/>
      <c r="CR127" s="297"/>
      <c r="CS127" s="297"/>
      <c r="CT127" s="297"/>
      <c r="CU127" s="300"/>
      <c r="CV127" s="165">
        <f t="shared" ref="CV127:CV132" si="5">SUM((AH127*1)+(AI127*1.5)+(AJ127*2)+(AK127*3)+(AP127*5)+(AQ127*6)+(AR127*7)+(AU127*2)+(AX127*3)+(AY127*4)+(BA127*5)+(BB127*3)+(BC127*2)+(BG127*2)+(AZ127*2)+(BD127*2))</f>
        <v>0</v>
      </c>
      <c r="CW127" s="165">
        <f t="shared" si="4"/>
        <v>0</v>
      </c>
      <c r="CX127" s="249">
        <f t="shared" ref="CX127:CX132" si="6">BH127*1</f>
        <v>0</v>
      </c>
      <c r="CY127" s="170"/>
    </row>
    <row r="128" spans="1:103">
      <c r="A128" s="534" t="s">
        <v>469</v>
      </c>
      <c r="B128" s="372" t="str">
        <f>IFERROR(VLOOKUP(ParticipationJanvier1[[#This Row],[Référence]],ListeÉtudiants1[],18,FALSE),"")</f>
        <v>TABUDI DARLENE</v>
      </c>
      <c r="G128" s="525"/>
      <c r="I128" s="525"/>
      <c r="K128" s="525"/>
      <c r="M128" s="525"/>
      <c r="N128" s="19"/>
      <c r="O128" s="518"/>
      <c r="P128" s="19"/>
      <c r="Q128" s="518"/>
      <c r="R128" s="19"/>
      <c r="S128" s="518"/>
      <c r="T128" s="19"/>
      <c r="U128" s="525"/>
      <c r="W128" s="525"/>
      <c r="Y128" s="525"/>
      <c r="AA128" s="525"/>
      <c r="AC128" s="525"/>
      <c r="AE128" s="525"/>
      <c r="AG128" s="519"/>
      <c r="AH128" s="475">
        <f>COUNTIF(ParticipationJanvier1[[#This Row],[1]:[31]],Code1)</f>
        <v>0</v>
      </c>
      <c r="AI128" s="518">
        <f>COUNTIF(ParticipationJanvier1[[#This Row],[1]:[31]],code22)</f>
        <v>0</v>
      </c>
      <c r="AJ128" s="473">
        <f>COUNTIF(ParticipationJanvier1[[#This Row],[1]:[31]],Code2)</f>
        <v>0</v>
      </c>
      <c r="AK128" s="520">
        <f>COUNTIF(ParticipationJanvier1[[#This Row],[1]:[31]],Code3)</f>
        <v>0</v>
      </c>
      <c r="AL128" s="473">
        <f>COUNTIF(ParticipationJanvier1[[#This Row],[1]:[31]],Code4)</f>
        <v>0</v>
      </c>
      <c r="AM128" s="520">
        <f>COUNTIF(ParticipationJanvier1[[#This Row],[1]:[31]],Code5)</f>
        <v>0</v>
      </c>
      <c r="AN128" s="30">
        <f>COUNTIF(ParticipationJanvier1[[#This Row],[1]:[31]],Code23)</f>
        <v>0</v>
      </c>
      <c r="AO128" s="473">
        <f>COUNTIF(ParticipationJanvier1[[#This Row],[1]:[31]],Code6)</f>
        <v>0</v>
      </c>
      <c r="AP128" s="30">
        <f>COUNTIF(ParticipationJanvier1[[#This Row],[1]:[31]],Code7)</f>
        <v>0</v>
      </c>
      <c r="AQ128" s="30">
        <f>COUNTIF(ParticipationJanvier1[[#This Row],[1]:[31]],Code8)</f>
        <v>0</v>
      </c>
      <c r="AR128" s="30">
        <f>COUNTIF(ParticipationJanvier1[[#This Row],[1]:[31]],Code9)</f>
        <v>0</v>
      </c>
      <c r="AS128" s="473">
        <f>COUNTIF(ParticipationJanvier1[[#This Row],[1]:[31]],Code10)</f>
        <v>0</v>
      </c>
      <c r="AT128" s="473">
        <f>COUNTIF(ParticipationJanvier1[[#This Row],[1]:[31]],Code11)</f>
        <v>0</v>
      </c>
      <c r="AU128" s="473">
        <f>COUNTIF(ParticipationJanvier1[[#This Row],[1]:[31]],Code12)</f>
        <v>0</v>
      </c>
      <c r="AV128" s="473">
        <f>COUNTIF(ParticipationJanvier1[[#This Row],[1]:[31]],Code13)</f>
        <v>0</v>
      </c>
      <c r="AW128" s="473">
        <f>COUNTIF(ParticipationJanvier1[[#This Row],[1]:[31]],Code14)</f>
        <v>0</v>
      </c>
      <c r="AX128" s="473">
        <f>COUNTIF(ParticipationJanvier1[[#This Row],[1]:[31]],Code15)</f>
        <v>0</v>
      </c>
      <c r="AY128" s="473">
        <f>COUNTIF(ParticipationJanvier1[[#This Row],[1]:[31]],Code16)</f>
        <v>0</v>
      </c>
      <c r="AZ128" s="473">
        <f>COUNTIF(ParticipationJanvier1[[#This Row],[1]:[31]],Code17)</f>
        <v>0</v>
      </c>
      <c r="BA128" s="475">
        <f>COUNTIF(ParticipationJanvier1[[#This Row],[1]:[31]],Code25)</f>
        <v>0</v>
      </c>
      <c r="BB128" s="475">
        <f>COUNTIF(ParticipationJanvier1[[#This Row],[1]:[31]],Code26)</f>
        <v>0</v>
      </c>
      <c r="BC128" s="475">
        <f>COUNTIF(ParticipationJanvier1[[#This Row],[1]:[31]],Code27)</f>
        <v>0</v>
      </c>
      <c r="BD128" s="475">
        <f>COUNTIF(ParticipationJanvier1[[#This Row],[1]:[31]],Code28)</f>
        <v>0</v>
      </c>
      <c r="BE128" s="475">
        <f>COUNTIF(ParticipationJanvier1[[#This Row],[1]:[31]],code30)</f>
        <v>0</v>
      </c>
      <c r="BF128" s="475">
        <f>COUNTIF(ParticipationJanvier1[[#This Row],[1]:[31]],Code31)</f>
        <v>0</v>
      </c>
      <c r="BG128" s="473">
        <f>COUNTIF(ParticipationJanvier1[[#This Row],[1]:[31]],code21)</f>
        <v>0</v>
      </c>
      <c r="BH128" s="473">
        <f>COUNTIF(ParticipationJanvier1[[#This Row],[1]:[31]],Code24)</f>
        <v>0</v>
      </c>
      <c r="BI128" s="473">
        <f>COUNTIF(ParticipationJanvier1[[#This Row],[1]:[31]],code18)</f>
        <v>0</v>
      </c>
      <c r="BJ128" s="473">
        <f>COUNTIF(ParticipationJanvier1[[#This Row],[1]:[31]],code19)</f>
        <v>0</v>
      </c>
      <c r="BK128" s="473">
        <f>COUNTIF(ParticipationJanvier1[[#This Row],[1]:[31]],code20)</f>
        <v>0</v>
      </c>
      <c r="BL128" s="476">
        <f>COUNTIF(ParticipationJanvier1[[#This Row],[1]:[31]],code29)</f>
        <v>0</v>
      </c>
      <c r="BM128" s="472">
        <f>SUM((AH128*1)+(AI132*1.5)+(AJ128*2)+(AK128*3)+(AL128*4)+(AQ128*5)+(AR128*6)+(AS128*7)+(AW128*2)+(AX128*3)+(AY128*4)+(AZ128*5)+(BG128*2))</f>
        <v>0</v>
      </c>
      <c r="BN128" s="472"/>
      <c r="BO128" s="472"/>
      <c r="BP128" s="472"/>
      <c r="BQ128" s="472"/>
      <c r="BR128" s="473"/>
      <c r="BS128" s="472"/>
      <c r="BT128" s="472"/>
      <c r="BU128" s="472"/>
      <c r="BV128" s="472"/>
      <c r="BW128" s="472"/>
      <c r="BX128" s="472"/>
      <c r="BY128" s="472"/>
      <c r="BZ128" s="472"/>
      <c r="CA128" s="472"/>
      <c r="CB128" s="472"/>
      <c r="CC128" s="472"/>
      <c r="CD128" s="472"/>
      <c r="CE128" s="472"/>
      <c r="CF128" s="472"/>
      <c r="CG128" s="472"/>
      <c r="CH128" s="472"/>
      <c r="CI128" s="472"/>
      <c r="CJ128" s="472"/>
      <c r="CK128" s="472"/>
      <c r="CL128" s="472"/>
      <c r="CM128" s="472"/>
      <c r="CN128" s="472"/>
      <c r="CO128" s="472"/>
      <c r="CP128" s="472"/>
      <c r="CQ128" s="472"/>
      <c r="CR128" s="472"/>
      <c r="CS128" s="472"/>
      <c r="CT128" s="472"/>
      <c r="CU128" s="516">
        <f>SUM((AN128*1)+(AM128*2)+(AO128*3)+(AP128*4)+(AT128*5)+(AU128*7)+(AV128*7)+(AW128*7)+(AX128*4)+(AY128*3)+(BA128*2)+(BC128*4)+(BB128*1)+(BG128*2)+(AZ128*5)+(BD128*1))</f>
        <v>0</v>
      </c>
      <c r="CV128" s="521">
        <f>SUM((AH128*1)+(AI128*1.5)+(AJ128*2)+(AK128*3)+(AP128*5)+(AQ128*6)+(AR128*7)+(AU128*2)+(AX128*3)+(AY128*4)+(BA128*5)+(BB128*3)+(BC128*2)+(BG128*2)+(AZ128*2)+(BD128*2))</f>
        <v>0</v>
      </c>
      <c r="CW128" s="522">
        <f>SUM((AN128*1)+(AM128*2)+(AO128*3)+(AP128*4)+(AT128*5)+(AU128*7)+(AV128*7)+(AW128*7)+(AX128*4)+(AY128*3)+(BA128*2)+(BC128*4)+(BB128*1)+(BG128*2)+(AZ128*5)+(BD128*1))</f>
        <v>0</v>
      </c>
      <c r="CX128" s="523">
        <f>BH128*1</f>
        <v>0</v>
      </c>
      <c r="CY128" s="512"/>
    </row>
    <row r="129" spans="1:103">
      <c r="A129" s="534" t="s">
        <v>470</v>
      </c>
      <c r="B129" s="372" t="str">
        <f>IFERROR(VLOOKUP(ParticipationJanvier1[[#This Row],[Référence]],ListeÉtudiants1[],18,FALSE),"")</f>
        <v>TAKERKART SIRINE</v>
      </c>
      <c r="G129" s="525"/>
      <c r="I129" s="525"/>
      <c r="K129" s="525"/>
      <c r="M129" s="525"/>
      <c r="N129" s="19"/>
      <c r="O129" s="518"/>
      <c r="P129" s="19"/>
      <c r="Q129" s="518"/>
      <c r="R129" s="19"/>
      <c r="S129" s="518"/>
      <c r="T129" s="19"/>
      <c r="U129" s="525"/>
      <c r="W129" s="525"/>
      <c r="Y129" s="525"/>
      <c r="AA129" s="525"/>
      <c r="AC129" s="525"/>
      <c r="AE129" s="525"/>
      <c r="AG129" s="519"/>
      <c r="AH129" s="475">
        <f>COUNTIF(ParticipationJanvier1[[#This Row],[1]:[31]],Code1)</f>
        <v>0</v>
      </c>
      <c r="AI129" s="518">
        <f>COUNTIF(ParticipationJanvier1[[#This Row],[1]:[31]],code22)</f>
        <v>0</v>
      </c>
      <c r="AJ129" s="473">
        <f>COUNTIF(ParticipationJanvier1[[#This Row],[1]:[31]],Code2)</f>
        <v>0</v>
      </c>
      <c r="AK129" s="520">
        <f>COUNTIF(ParticipationJanvier1[[#This Row],[1]:[31]],Code3)</f>
        <v>0</v>
      </c>
      <c r="AL129" s="473">
        <f>COUNTIF(ParticipationJanvier1[[#This Row],[1]:[31]],Code4)</f>
        <v>0</v>
      </c>
      <c r="AM129" s="520">
        <f>COUNTIF(ParticipationJanvier1[[#This Row],[1]:[31]],Code5)</f>
        <v>0</v>
      </c>
      <c r="AN129" s="30">
        <f>COUNTIF(ParticipationJanvier1[[#This Row],[1]:[31]],Code23)</f>
        <v>0</v>
      </c>
      <c r="AO129" s="473">
        <f>COUNTIF(ParticipationJanvier1[[#This Row],[1]:[31]],Code6)</f>
        <v>0</v>
      </c>
      <c r="AP129" s="30">
        <f>COUNTIF(ParticipationJanvier1[[#This Row],[1]:[31]],Code7)</f>
        <v>0</v>
      </c>
      <c r="AQ129" s="30">
        <f>COUNTIF(ParticipationJanvier1[[#This Row],[1]:[31]],Code8)</f>
        <v>0</v>
      </c>
      <c r="AR129" s="30">
        <f>COUNTIF(ParticipationJanvier1[[#This Row],[1]:[31]],Code9)</f>
        <v>0</v>
      </c>
      <c r="AS129" s="473">
        <f>COUNTIF(ParticipationJanvier1[[#This Row],[1]:[31]],Code10)</f>
        <v>0</v>
      </c>
      <c r="AT129" s="473">
        <f>COUNTIF(ParticipationJanvier1[[#This Row],[1]:[31]],Code11)</f>
        <v>0</v>
      </c>
      <c r="AU129" s="473">
        <f>COUNTIF(ParticipationJanvier1[[#This Row],[1]:[31]],Code12)</f>
        <v>0</v>
      </c>
      <c r="AV129" s="473">
        <f>COUNTIF(ParticipationJanvier1[[#This Row],[1]:[31]],Code13)</f>
        <v>0</v>
      </c>
      <c r="AW129" s="473">
        <f>COUNTIF(ParticipationJanvier1[[#This Row],[1]:[31]],Code14)</f>
        <v>0</v>
      </c>
      <c r="AX129" s="473">
        <f>COUNTIF(ParticipationJanvier1[[#This Row],[1]:[31]],Code15)</f>
        <v>0</v>
      </c>
      <c r="AY129" s="473">
        <f>COUNTIF(ParticipationJanvier1[[#This Row],[1]:[31]],Code16)</f>
        <v>0</v>
      </c>
      <c r="AZ129" s="473">
        <f>COUNTIF(ParticipationJanvier1[[#This Row],[1]:[31]],Code17)</f>
        <v>0</v>
      </c>
      <c r="BA129" s="475">
        <f>COUNTIF(ParticipationJanvier1[[#This Row],[1]:[31]],Code25)</f>
        <v>0</v>
      </c>
      <c r="BB129" s="475">
        <f>COUNTIF(ParticipationJanvier1[[#This Row],[1]:[31]],Code26)</f>
        <v>0</v>
      </c>
      <c r="BC129" s="475">
        <f>COUNTIF(ParticipationJanvier1[[#This Row],[1]:[31]],Code27)</f>
        <v>0</v>
      </c>
      <c r="BD129" s="475">
        <f>COUNTIF(ParticipationJanvier1[[#This Row],[1]:[31]],Code28)</f>
        <v>0</v>
      </c>
      <c r="BE129" s="475">
        <f>COUNTIF(ParticipationJanvier1[[#This Row],[1]:[31]],code30)</f>
        <v>0</v>
      </c>
      <c r="BF129" s="475">
        <f>COUNTIF(ParticipationJanvier1[[#This Row],[1]:[31]],Code31)</f>
        <v>0</v>
      </c>
      <c r="BG129" s="473">
        <f>COUNTIF(ParticipationJanvier1[[#This Row],[1]:[31]],code21)</f>
        <v>0</v>
      </c>
      <c r="BH129" s="473">
        <f>COUNTIF(ParticipationJanvier1[[#This Row],[1]:[31]],Code24)</f>
        <v>0</v>
      </c>
      <c r="BI129" s="473">
        <f>COUNTIF(ParticipationJanvier1[[#This Row],[1]:[31]],code18)</f>
        <v>0</v>
      </c>
      <c r="BJ129" s="473">
        <f>COUNTIF(ParticipationJanvier1[[#This Row],[1]:[31]],code19)</f>
        <v>0</v>
      </c>
      <c r="BK129" s="473">
        <f>COUNTIF(ParticipationJanvier1[[#This Row],[1]:[31]],code20)</f>
        <v>0</v>
      </c>
      <c r="BL129" s="476">
        <f>COUNTIF(ParticipationJanvier1[[#This Row],[1]:[31]],code29)</f>
        <v>0</v>
      </c>
      <c r="BM129" s="472">
        <f>SUM((AH129*1)+(AI158*1.5)+(AJ129*2)+(AK129*3)+(AL129*4)+(AQ129*5)+(AR129*6)+(AS129*7)+(AW129*2)+(AX129*3)+(AY129*4)+(AZ129*5)+(BG129*2))</f>
        <v>0</v>
      </c>
      <c r="BN129" s="472"/>
      <c r="BO129" s="472"/>
      <c r="BP129" s="472"/>
      <c r="BQ129" s="472"/>
      <c r="BR129" s="473"/>
      <c r="BS129" s="472"/>
      <c r="BT129" s="472"/>
      <c r="BU129" s="472"/>
      <c r="BV129" s="472"/>
      <c r="BW129" s="472"/>
      <c r="BX129" s="472"/>
      <c r="BY129" s="472"/>
      <c r="BZ129" s="472"/>
      <c r="CA129" s="472"/>
      <c r="CB129" s="472"/>
      <c r="CC129" s="472"/>
      <c r="CD129" s="472"/>
      <c r="CE129" s="472"/>
      <c r="CF129" s="472"/>
      <c r="CG129" s="472"/>
      <c r="CH129" s="472"/>
      <c r="CI129" s="472"/>
      <c r="CJ129" s="472"/>
      <c r="CK129" s="472"/>
      <c r="CL129" s="472"/>
      <c r="CM129" s="472"/>
      <c r="CN129" s="472"/>
      <c r="CO129" s="472"/>
      <c r="CP129" s="472"/>
      <c r="CQ129" s="472"/>
      <c r="CR129" s="472"/>
      <c r="CS129" s="472"/>
      <c r="CT129" s="472"/>
      <c r="CU129" s="516">
        <f>SUM((AN129*1)+(AM129*2)+(AO129*3)+(AP129*4)+(AT129*5)+(AU129*7)+(AV129*7)+(AW129*7)+(AX129*4)+(AY129*3)+(BA129*2)+(BC129*4)+(BB129*1)+(BG129*2)+(AZ129*5)+(BD129*1))</f>
        <v>0</v>
      </c>
      <c r="CV129" s="521">
        <f>SUM((AH129*1)+(AI129*1.5)+(AJ129*2)+(AK129*3)+(AP129*5)+(AQ129*6)+(AR129*7)+(AU129*2)+(AX129*3)+(AY129*4)+(BA129*5)+(BB129*3)+(BC129*2)+(BG129*2)+(AZ129*2)+(BD129*2))</f>
        <v>0</v>
      </c>
      <c r="CW129" s="522">
        <f>SUM((AN129*1)+(AM129*2)+(AO129*3)+(AP129*4)+(AT129*5)+(AU129*7)+(AV129*7)+(AW129*7)+(AX129*4)+(AY129*3)+(BA129*2)+(BC129*4)+(BB129*1)+(BG129*2)+(AZ129*5)+(BD129*1))</f>
        <v>0</v>
      </c>
      <c r="CX129" s="523">
        <f>BH129*1</f>
        <v>0</v>
      </c>
      <c r="CY129" s="512"/>
    </row>
    <row r="130" spans="1:103">
      <c r="A130" s="510" t="s">
        <v>471</v>
      </c>
      <c r="B130" s="372" t="str">
        <f>IFERROR(VLOOKUP(ParticipationJanvier1[[#This Row],[Référence]],ListeÉtudiants1[],18,FALSE),"")</f>
        <v>THENARD FLORENCE</v>
      </c>
      <c r="G130" s="291"/>
      <c r="I130" s="291"/>
      <c r="K130" s="291"/>
      <c r="M130" s="291"/>
      <c r="N130" s="19" t="s">
        <v>35</v>
      </c>
      <c r="O130" s="19"/>
      <c r="P130" s="19"/>
      <c r="Q130" s="19" t="s">
        <v>529</v>
      </c>
      <c r="R130" s="19" t="s">
        <v>106</v>
      </c>
      <c r="S130" s="19" t="s">
        <v>107</v>
      </c>
      <c r="T130" s="19" t="s">
        <v>106</v>
      </c>
      <c r="U130" s="291"/>
      <c r="W130" s="291"/>
      <c r="Y130" s="291"/>
      <c r="AA130" s="291"/>
      <c r="AC130" s="291"/>
      <c r="AE130" s="291"/>
      <c r="AG130" s="326"/>
      <c r="AH130" s="6">
        <f>COUNTIF(ParticipationJanvier1[[#This Row],[1]:[31]],Code1)</f>
        <v>0</v>
      </c>
      <c r="AI130" s="6">
        <f>COUNTIF(ParticipationJanvier1[[#This Row],[1]:[31]],code22)</f>
        <v>0</v>
      </c>
      <c r="AJ130" s="6">
        <f>COUNTIF(ParticipationJanvier1[[#This Row],[1]:[31]],Code2)</f>
        <v>0</v>
      </c>
      <c r="AK130" s="6">
        <f>COUNTIF(ParticipationJanvier1[[#This Row],[1]:[31]],Code3)</f>
        <v>2</v>
      </c>
      <c r="AL130" s="6">
        <f>COUNTIF(ParticipationJanvier1[[#This Row],[1]:[31]],Code4)</f>
        <v>1</v>
      </c>
      <c r="AM130" s="6">
        <f>COUNTIF(ParticipationJanvier1[[#This Row],[1]:[31]],Code5)</f>
        <v>1</v>
      </c>
      <c r="AN130" s="6">
        <f>COUNTIF(ParticipationJanvier1[[#This Row],[1]:[31]],Code23)</f>
        <v>1</v>
      </c>
      <c r="AO130" s="6">
        <f>COUNTIF(ParticipationJanvier1[[#This Row],[1]:[31]],Code6)</f>
        <v>0</v>
      </c>
      <c r="AP130" s="6">
        <f>COUNTIF(ParticipationJanvier1[[#This Row],[1]:[31]],Code7)</f>
        <v>0</v>
      </c>
      <c r="AQ130" s="6">
        <f>COUNTIF(ParticipationJanvier1[[#This Row],[1]:[31]],Code8)</f>
        <v>0</v>
      </c>
      <c r="AR130" s="6">
        <f>COUNTIF(ParticipationJanvier1[[#This Row],[1]:[31]],Code9)</f>
        <v>0</v>
      </c>
      <c r="AS130" s="6">
        <f>COUNTIF(ParticipationJanvier1[[#This Row],[1]:[31]],Code10)</f>
        <v>0</v>
      </c>
      <c r="AT130" s="6">
        <f>COUNTIF(ParticipationJanvier1[[#This Row],[1]:[31]],Code11)</f>
        <v>0</v>
      </c>
      <c r="AU130" s="6">
        <f>COUNTIF(ParticipationJanvier1[[#This Row],[1]:[31]],Code12)</f>
        <v>0</v>
      </c>
      <c r="AV130" s="6">
        <f>COUNTIF(ParticipationJanvier1[[#This Row],[1]:[31]],Code13)</f>
        <v>0</v>
      </c>
      <c r="AW130" s="6">
        <f>COUNTIF(ParticipationJanvier1[[#This Row],[1]:[31]],Code14)</f>
        <v>0</v>
      </c>
      <c r="AX130" s="6">
        <f>COUNTIF(ParticipationJanvier1[[#This Row],[1]:[31]],Code15)</f>
        <v>0</v>
      </c>
      <c r="AY130" s="6">
        <f>COUNTIF(ParticipationJanvier1[[#This Row],[1]:[31]],Code16)</f>
        <v>0</v>
      </c>
      <c r="AZ130" s="6">
        <f>COUNTIF(ParticipationJanvier1[[#This Row],[1]:[31]],Code17)</f>
        <v>0</v>
      </c>
      <c r="BA130" s="6">
        <f>COUNTIF(ParticipationJanvier1[[#This Row],[1]:[31]],Code25)</f>
        <v>0</v>
      </c>
      <c r="BB130" s="6">
        <f>COUNTIF(ParticipationJanvier1[[#This Row],[1]:[31]],Code26)</f>
        <v>0</v>
      </c>
      <c r="BC130" s="6">
        <f>COUNTIF(ParticipationJanvier1[[#This Row],[1]:[31]],Code27)</f>
        <v>0</v>
      </c>
      <c r="BD130" s="6">
        <f>COUNTIF(ParticipationJanvier1[[#This Row],[1]:[31]],Code28)</f>
        <v>0</v>
      </c>
      <c r="BE130" s="6">
        <f>COUNTIF(ParticipationJanvier1[[#This Row],[1]:[31]],code30)</f>
        <v>0</v>
      </c>
      <c r="BF130" s="6">
        <f>COUNTIF(ParticipationJanvier1[[#This Row],[1]:[31]],Code31)</f>
        <v>0</v>
      </c>
      <c r="BG130" s="6">
        <f>COUNTIF(ParticipationJanvier1[[#This Row],[1]:[31]],code21)</f>
        <v>0</v>
      </c>
      <c r="BH130" s="6">
        <f>COUNTIF(ParticipationJanvier1[[#This Row],[1]:[31]],Code24)</f>
        <v>0</v>
      </c>
      <c r="BI130" s="6">
        <f>COUNTIF(ParticipationJanvier1[[#This Row],[1]:[31]],code18)</f>
        <v>0</v>
      </c>
      <c r="BJ130" s="6">
        <f>COUNTIF(ParticipationJanvier1[[#This Row],[1]:[31]],code19)</f>
        <v>0</v>
      </c>
      <c r="BK130" s="6">
        <f>COUNTIF(ParticipationJanvier1[[#This Row],[1]:[31]],code20)</f>
        <v>0</v>
      </c>
      <c r="BL130" s="182">
        <f>COUNTIF(ParticipationJanvier1[[#This Row],[1]:[31]],code29)</f>
        <v>0</v>
      </c>
      <c r="BM130" s="297">
        <v>2</v>
      </c>
      <c r="BN130" s="297"/>
      <c r="BO130" s="297"/>
      <c r="BP130" s="297"/>
      <c r="BQ130" s="297"/>
      <c r="BR130" s="307"/>
      <c r="BS130" s="297"/>
      <c r="BT130" s="297"/>
      <c r="BU130" s="297"/>
      <c r="BV130" s="297"/>
      <c r="BW130" s="297"/>
      <c r="BX130" s="297"/>
      <c r="BY130" s="297"/>
      <c r="BZ130" s="297"/>
      <c r="CA130" s="297"/>
      <c r="CB130" s="297"/>
      <c r="CC130" s="297"/>
      <c r="CD130" s="297"/>
      <c r="CE130" s="297"/>
      <c r="CF130" s="297"/>
      <c r="CG130" s="297"/>
      <c r="CH130" s="297"/>
      <c r="CI130" s="297"/>
      <c r="CJ130" s="297">
        <v>1</v>
      </c>
      <c r="CK130" s="297"/>
      <c r="CL130" s="297"/>
      <c r="CM130" s="297"/>
      <c r="CN130" s="297"/>
      <c r="CO130" s="297"/>
      <c r="CP130" s="297"/>
      <c r="CQ130" s="297"/>
      <c r="CR130" s="297"/>
      <c r="CS130" s="297"/>
      <c r="CT130" s="297"/>
      <c r="CU130" s="300"/>
      <c r="CV130" s="165">
        <f t="shared" si="5"/>
        <v>6</v>
      </c>
      <c r="CW130" s="165">
        <f t="shared" si="4"/>
        <v>3</v>
      </c>
      <c r="CX130" s="249">
        <f t="shared" si="6"/>
        <v>0</v>
      </c>
      <c r="CY130" s="170"/>
    </row>
    <row r="131" spans="1:103">
      <c r="A131" s="510" t="s">
        <v>472</v>
      </c>
      <c r="B131" s="372" t="str">
        <f>IFERROR(VLOOKUP(ParticipationJanvier1[[#This Row],[Référence]],ListeÉtudiants1[],18,FALSE),"")</f>
        <v>TOTO SANDY</v>
      </c>
      <c r="C131" s="370"/>
      <c r="G131" s="291"/>
      <c r="I131" s="291"/>
      <c r="K131" s="291"/>
      <c r="M131" s="291"/>
      <c r="N131" s="19"/>
      <c r="O131" s="371"/>
      <c r="P131" s="19"/>
      <c r="Q131" s="371"/>
      <c r="R131" s="19"/>
      <c r="S131" s="371"/>
      <c r="T131" s="19"/>
      <c r="U131" s="291"/>
      <c r="W131" s="291"/>
      <c r="Y131" s="291"/>
      <c r="AA131" s="291"/>
      <c r="AC131" s="291"/>
      <c r="AE131" s="291"/>
      <c r="AG131" s="326"/>
      <c r="AH131" s="6">
        <f>COUNTIF(ParticipationJanvier1[[#This Row],[1]:[31]],Code1)</f>
        <v>0</v>
      </c>
      <c r="AI131" s="6">
        <f>COUNTIF(ParticipationJanvier1[[#This Row],[1]:[31]],code22)</f>
        <v>0</v>
      </c>
      <c r="AJ131" s="6">
        <f>COUNTIF(ParticipationJanvier1[[#This Row],[1]:[31]],Code2)</f>
        <v>0</v>
      </c>
      <c r="AK131" s="6">
        <f>COUNTIF(ParticipationJanvier1[[#This Row],[1]:[31]],Code3)</f>
        <v>0</v>
      </c>
      <c r="AL131" s="6">
        <f>COUNTIF(ParticipationJanvier1[[#This Row],[1]:[31]],Code4)</f>
        <v>0</v>
      </c>
      <c r="AM131" s="6">
        <f>COUNTIF(ParticipationJanvier1[[#This Row],[1]:[31]],Code5)</f>
        <v>0</v>
      </c>
      <c r="AN131" s="6">
        <f>COUNTIF(ParticipationJanvier1[[#This Row],[1]:[31]],Code23)</f>
        <v>0</v>
      </c>
      <c r="AO131" s="6">
        <f>COUNTIF(ParticipationJanvier1[[#This Row],[1]:[31]],Code6)</f>
        <v>0</v>
      </c>
      <c r="AP131" s="6">
        <f>COUNTIF(ParticipationJanvier1[[#This Row],[1]:[31]],Code7)</f>
        <v>0</v>
      </c>
      <c r="AQ131" s="6">
        <f>COUNTIF(ParticipationJanvier1[[#This Row],[1]:[31]],Code8)</f>
        <v>0</v>
      </c>
      <c r="AR131" s="6">
        <f>COUNTIF(ParticipationJanvier1[[#This Row],[1]:[31]],Code9)</f>
        <v>0</v>
      </c>
      <c r="AS131" s="6">
        <f>COUNTIF(ParticipationJanvier1[[#This Row],[1]:[31]],Code10)</f>
        <v>0</v>
      </c>
      <c r="AT131" s="6">
        <f>COUNTIF(ParticipationJanvier1[[#This Row],[1]:[31]],Code11)</f>
        <v>0</v>
      </c>
      <c r="AU131" s="6">
        <f>COUNTIF(ParticipationJanvier1[[#This Row],[1]:[31]],Code12)</f>
        <v>0</v>
      </c>
      <c r="AV131" s="6">
        <f>COUNTIF(ParticipationJanvier1[[#This Row],[1]:[31]],Code13)</f>
        <v>0</v>
      </c>
      <c r="AW131" s="6">
        <f>COUNTIF(ParticipationJanvier1[[#This Row],[1]:[31]],Code14)</f>
        <v>0</v>
      </c>
      <c r="AX131" s="6">
        <f>COUNTIF(ParticipationJanvier1[[#This Row],[1]:[31]],Code15)</f>
        <v>0</v>
      </c>
      <c r="AY131" s="6">
        <f>COUNTIF(ParticipationJanvier1[[#This Row],[1]:[31]],Code16)</f>
        <v>0</v>
      </c>
      <c r="AZ131" s="6">
        <f>COUNTIF(ParticipationJanvier1[[#This Row],[1]:[31]],Code17)</f>
        <v>0</v>
      </c>
      <c r="BA131" s="6">
        <f>COUNTIF(ParticipationJanvier1[[#This Row],[1]:[31]],Code25)</f>
        <v>0</v>
      </c>
      <c r="BB131" s="6">
        <f>COUNTIF(ParticipationJanvier1[[#This Row],[1]:[31]],Code26)</f>
        <v>0</v>
      </c>
      <c r="BC131" s="6">
        <f>COUNTIF(ParticipationJanvier1[[#This Row],[1]:[31]],Code27)</f>
        <v>0</v>
      </c>
      <c r="BD131" s="6">
        <f>COUNTIF(ParticipationJanvier1[[#This Row],[1]:[31]],Code28)</f>
        <v>0</v>
      </c>
      <c r="BE131" s="6">
        <f>COUNTIF(ParticipationJanvier1[[#This Row],[1]:[31]],code30)</f>
        <v>0</v>
      </c>
      <c r="BF131" s="6">
        <f>COUNTIF(ParticipationJanvier1[[#This Row],[1]:[31]],Code31)</f>
        <v>0</v>
      </c>
      <c r="BG131" s="6">
        <f>COUNTIF(ParticipationJanvier1[[#This Row],[1]:[31]],code21)</f>
        <v>0</v>
      </c>
      <c r="BH131" s="6">
        <f>COUNTIF(ParticipationJanvier1[[#This Row],[1]:[31]],Code24)</f>
        <v>0</v>
      </c>
      <c r="BI131" s="6">
        <f>COUNTIF(ParticipationJanvier1[[#This Row],[1]:[31]],code18)</f>
        <v>0</v>
      </c>
      <c r="BJ131" s="6">
        <f>COUNTIF(ParticipationJanvier1[[#This Row],[1]:[31]],code19)</f>
        <v>0</v>
      </c>
      <c r="BK131" s="6">
        <f>COUNTIF(ParticipationJanvier1[[#This Row],[1]:[31]],code20)</f>
        <v>0</v>
      </c>
      <c r="BL131" s="182">
        <f>COUNTIF(ParticipationJanvier1[[#This Row],[1]:[31]],code29)</f>
        <v>0</v>
      </c>
      <c r="BM131" s="297">
        <f>SUM((AH131*1)+(AI132*1.5)+(AJ131*2)+(AK131*3)+(AL131*4)+(AQ131*5)+(AR131*6)+(AS131*7)+(AW131*2)+(AX131*3)+(AY131*4)+(AZ131*5)+(BG131*2))</f>
        <v>0</v>
      </c>
      <c r="BN131" s="297"/>
      <c r="BO131" s="297"/>
      <c r="BP131" s="297"/>
      <c r="BQ131" s="297"/>
      <c r="BR131" s="307"/>
      <c r="BS131" s="307"/>
      <c r="BT131" s="297"/>
      <c r="BU131" s="297"/>
      <c r="BV131" s="297"/>
      <c r="BW131" s="297"/>
      <c r="BX131" s="297"/>
      <c r="BY131" s="297"/>
      <c r="BZ131" s="297"/>
      <c r="CA131" s="297"/>
      <c r="CB131" s="297"/>
      <c r="CC131" s="297"/>
      <c r="CD131" s="297"/>
      <c r="CE131" s="297"/>
      <c r="CF131" s="297"/>
      <c r="CG131" s="297"/>
      <c r="CH131" s="297"/>
      <c r="CI131" s="297"/>
      <c r="CJ131" s="297"/>
      <c r="CK131" s="297"/>
      <c r="CL131" s="297"/>
      <c r="CM131" s="297"/>
      <c r="CN131" s="297"/>
      <c r="CO131" s="297"/>
      <c r="CP131" s="297"/>
      <c r="CQ131" s="297"/>
      <c r="CR131" s="297"/>
      <c r="CS131" s="297"/>
      <c r="CT131" s="297"/>
      <c r="CU131" s="300"/>
      <c r="CV131" s="165">
        <f t="shared" si="5"/>
        <v>0</v>
      </c>
      <c r="CW131" s="165">
        <f t="shared" si="4"/>
        <v>0</v>
      </c>
      <c r="CX131" s="307">
        <f t="shared" si="6"/>
        <v>0</v>
      </c>
      <c r="CY131" s="327"/>
    </row>
    <row r="132" spans="1:103" ht="14.25" thickBot="1">
      <c r="A132" s="534" t="s">
        <v>473</v>
      </c>
      <c r="B132" s="372" t="str">
        <f>IFERROR(VLOOKUP(ParticipationJanvier1[[#This Row],[Référence]],ListeÉtudiants1[],18,FALSE),"")</f>
        <v>TOUAZI EMMA</v>
      </c>
      <c r="G132" s="291"/>
      <c r="I132" s="291"/>
      <c r="K132" s="291"/>
      <c r="M132" s="291"/>
      <c r="O132" s="291"/>
      <c r="Q132" s="291"/>
      <c r="S132" s="291"/>
      <c r="U132" s="291"/>
      <c r="W132" s="291"/>
      <c r="Y132" s="291"/>
      <c r="AA132" s="291"/>
      <c r="AC132" s="291"/>
      <c r="AE132" s="291"/>
      <c r="AG132" s="326"/>
      <c r="AH132" s="6">
        <f>COUNTIF(ParticipationJanvier1[[#This Row],[1]:[31]],Code1)</f>
        <v>0</v>
      </c>
      <c r="AI132" s="6">
        <f>COUNTIF(ParticipationJanvier1[[#This Row],[1]:[31]],code22)</f>
        <v>0</v>
      </c>
      <c r="AJ132" s="6">
        <f>COUNTIF(ParticipationJanvier1[[#This Row],[1]:[31]],Code2)</f>
        <v>0</v>
      </c>
      <c r="AK132" s="6">
        <f>COUNTIF(ParticipationJanvier1[[#This Row],[1]:[31]],Code3)</f>
        <v>0</v>
      </c>
      <c r="AL132" s="6">
        <f>COUNTIF(ParticipationJanvier1[[#This Row],[1]:[31]],Code4)</f>
        <v>0</v>
      </c>
      <c r="AM132" s="6">
        <f>COUNTIF(ParticipationJanvier1[[#This Row],[1]:[31]],Code5)</f>
        <v>0</v>
      </c>
      <c r="AN132" s="6">
        <f>COUNTIF(ParticipationJanvier1[[#This Row],[1]:[31]],Code23)</f>
        <v>0</v>
      </c>
      <c r="AO132" s="6">
        <f>COUNTIF(ParticipationJanvier1[[#This Row],[1]:[31]],Code6)</f>
        <v>0</v>
      </c>
      <c r="AP132" s="6">
        <f>COUNTIF(ParticipationJanvier1[[#This Row],[1]:[31]],Code7)</f>
        <v>0</v>
      </c>
      <c r="AQ132" s="6">
        <f>COUNTIF(ParticipationJanvier1[[#This Row],[1]:[31]],Code8)</f>
        <v>0</v>
      </c>
      <c r="AR132" s="6">
        <f>COUNTIF(ParticipationJanvier1[[#This Row],[1]:[31]],Code9)</f>
        <v>0</v>
      </c>
      <c r="AS132" s="6">
        <f>COUNTIF(ParticipationJanvier1[[#This Row],[1]:[31]],Code10)</f>
        <v>0</v>
      </c>
      <c r="AT132" s="6">
        <f>COUNTIF(ParticipationJanvier1[[#This Row],[1]:[31]],Code11)</f>
        <v>0</v>
      </c>
      <c r="AU132" s="6">
        <f>COUNTIF(ParticipationJanvier1[[#This Row],[1]:[31]],Code12)</f>
        <v>0</v>
      </c>
      <c r="AV132" s="6">
        <f>COUNTIF(ParticipationJanvier1[[#This Row],[1]:[31]],Code13)</f>
        <v>0</v>
      </c>
      <c r="AW132" s="6">
        <f>COUNTIF(ParticipationJanvier1[[#This Row],[1]:[31]],Code14)</f>
        <v>0</v>
      </c>
      <c r="AX132" s="6">
        <f>COUNTIF(ParticipationJanvier1[[#This Row],[1]:[31]],Code15)</f>
        <v>0</v>
      </c>
      <c r="AY132" s="6">
        <f>COUNTIF(ParticipationJanvier1[[#This Row],[1]:[31]],Code16)</f>
        <v>0</v>
      </c>
      <c r="AZ132" s="6">
        <f>COUNTIF(ParticipationJanvier1[[#This Row],[1]:[31]],Code17)</f>
        <v>0</v>
      </c>
      <c r="BA132" s="6">
        <f>COUNTIF(ParticipationJanvier1[[#This Row],[1]:[31]],Code25)</f>
        <v>0</v>
      </c>
      <c r="BB132" s="6">
        <f>COUNTIF(ParticipationJanvier1[[#This Row],[1]:[31]],Code26)</f>
        <v>0</v>
      </c>
      <c r="BC132" s="6">
        <f>COUNTIF(ParticipationJanvier1[[#This Row],[1]:[31]],Code27)</f>
        <v>0</v>
      </c>
      <c r="BD132" s="6">
        <f>COUNTIF(ParticipationJanvier1[[#This Row],[1]:[31]],Code28)</f>
        <v>0</v>
      </c>
      <c r="BE132" s="6">
        <f>COUNTIF(ParticipationJanvier1[[#This Row],[1]:[31]],code30)</f>
        <v>0</v>
      </c>
      <c r="BF132" s="6">
        <f>COUNTIF(ParticipationJanvier1[[#This Row],[1]:[31]],Code31)</f>
        <v>0</v>
      </c>
      <c r="BG132" s="6">
        <f>COUNTIF(ParticipationJanvier1[[#This Row],[1]:[31]],code21)</f>
        <v>0</v>
      </c>
      <c r="BH132" s="6">
        <f>COUNTIF(ParticipationJanvier1[[#This Row],[1]:[31]],Code24)</f>
        <v>0</v>
      </c>
      <c r="BI132" s="6">
        <f>COUNTIF(ParticipationJanvier1[[#This Row],[1]:[31]],code18)</f>
        <v>0</v>
      </c>
      <c r="BJ132" s="6">
        <f>COUNTIF(ParticipationJanvier1[[#This Row],[1]:[31]],code19)</f>
        <v>0</v>
      </c>
      <c r="BK132" s="6">
        <f>COUNTIF(ParticipationJanvier1[[#This Row],[1]:[31]],code20)</f>
        <v>0</v>
      </c>
      <c r="BL132" s="182">
        <f>COUNTIF(ParticipationJanvier1[[#This Row],[1]:[31]],code29)</f>
        <v>0</v>
      </c>
      <c r="BM132" s="297"/>
      <c r="BN132" s="297"/>
      <c r="BO132" s="297"/>
      <c r="BP132" s="297"/>
      <c r="BQ132" s="297"/>
      <c r="BR132" s="307"/>
      <c r="BS132" s="297"/>
      <c r="BT132" s="297"/>
      <c r="BU132" s="297"/>
      <c r="BV132" s="297"/>
      <c r="BW132" s="297"/>
      <c r="BX132" s="297"/>
      <c r="BY132" s="297"/>
      <c r="BZ132" s="297"/>
      <c r="CA132" s="297"/>
      <c r="CB132" s="297"/>
      <c r="CC132" s="297"/>
      <c r="CD132" s="297"/>
      <c r="CE132" s="297"/>
      <c r="CF132" s="297"/>
      <c r="CG132" s="297"/>
      <c r="CH132" s="297"/>
      <c r="CI132" s="297"/>
      <c r="CJ132" s="297"/>
      <c r="CK132" s="297"/>
      <c r="CL132" s="297"/>
      <c r="CM132" s="297"/>
      <c r="CN132" s="297"/>
      <c r="CO132" s="297"/>
      <c r="CP132" s="297"/>
      <c r="CQ132" s="297"/>
      <c r="CR132" s="297"/>
      <c r="CS132" s="297"/>
      <c r="CT132" s="297"/>
      <c r="CU132" s="300"/>
      <c r="CV132" s="373">
        <f t="shared" si="5"/>
        <v>0</v>
      </c>
      <c r="CW132" s="297">
        <f t="shared" si="4"/>
        <v>0</v>
      </c>
      <c r="CX132" s="297">
        <f t="shared" si="6"/>
        <v>0</v>
      </c>
      <c r="CY132" s="327"/>
    </row>
    <row r="133" spans="1:103" ht="14.25" thickTop="1">
      <c r="A133" s="510" t="s">
        <v>474</v>
      </c>
      <c r="B133" s="372" t="str">
        <f>IFERROR(VLOOKUP(ParticipationJanvier1[[#This Row],[Référence]],ListeÉtudiants1[],18,FALSE),"")</f>
        <v>TOUIDJINE VICTORIA</v>
      </c>
      <c r="G133" s="525"/>
      <c r="I133" s="525"/>
      <c r="K133" s="525"/>
      <c r="M133" s="525"/>
      <c r="O133" s="525"/>
      <c r="Q133" s="525"/>
      <c r="S133" s="525"/>
      <c r="U133" s="525"/>
      <c r="W133" s="525"/>
      <c r="Y133" s="525"/>
      <c r="AA133" s="525"/>
      <c r="AC133" s="525"/>
      <c r="AE133" s="525"/>
      <c r="AG133" s="519"/>
      <c r="AH133" s="474">
        <f>COUNTIF(ParticipationJanvier1[[#This Row],[1]:[31]],Code1)</f>
        <v>0</v>
      </c>
      <c r="AI133" s="525">
        <f>COUNTIF(ParticipationJanvier1[[#This Row],[1]:[31]],code22)</f>
        <v>0</v>
      </c>
      <c r="AJ133" s="472">
        <f>COUNTIF(ParticipationJanvier1[[#This Row],[1]:[31]],Code2)</f>
        <v>0</v>
      </c>
      <c r="AK133" s="526">
        <f>COUNTIF(ParticipationJanvier1[[#This Row],[1]:[31]],Code3)</f>
        <v>0</v>
      </c>
      <c r="AL133" s="472">
        <f>COUNTIF(ParticipationJanvier1[[#This Row],[1]:[31]],Code4)</f>
        <v>0</v>
      </c>
      <c r="AM133" s="526">
        <f>COUNTIF(ParticipationJanvier1[[#This Row],[1]:[31]],Code5)</f>
        <v>0</v>
      </c>
      <c r="AN133" s="527">
        <f>COUNTIF(ParticipationJanvier1[[#This Row],[1]:[31]],Code23)</f>
        <v>0</v>
      </c>
      <c r="AO133" s="472">
        <f>COUNTIF(ParticipationJanvier1[[#This Row],[1]:[31]],Code6)</f>
        <v>0</v>
      </c>
      <c r="AP133" s="527">
        <f>COUNTIF(ParticipationJanvier1[[#This Row],[1]:[31]],Code7)</f>
        <v>0</v>
      </c>
      <c r="AQ133" s="527">
        <f>COUNTIF(ParticipationJanvier1[[#This Row],[1]:[31]],Code8)</f>
        <v>0</v>
      </c>
      <c r="AR133" s="527">
        <f>COUNTIF(ParticipationJanvier1[[#This Row],[1]:[31]],Code9)</f>
        <v>0</v>
      </c>
      <c r="AS133" s="472">
        <f>COUNTIF(ParticipationJanvier1[[#This Row],[1]:[31]],Code10)</f>
        <v>0</v>
      </c>
      <c r="AT133" s="472">
        <f>COUNTIF(ParticipationJanvier1[[#This Row],[1]:[31]],Code11)</f>
        <v>0</v>
      </c>
      <c r="AU133" s="472">
        <f>COUNTIF(ParticipationJanvier1[[#This Row],[1]:[31]],Code12)</f>
        <v>0</v>
      </c>
      <c r="AV133" s="472">
        <f>COUNTIF(ParticipationJanvier1[[#This Row],[1]:[31]],Code13)</f>
        <v>0</v>
      </c>
      <c r="AW133" s="472">
        <f>COUNTIF(ParticipationJanvier1[[#This Row],[1]:[31]],Code14)</f>
        <v>0</v>
      </c>
      <c r="AX133" s="472">
        <f>COUNTIF(ParticipationJanvier1[[#This Row],[1]:[31]],Code15)</f>
        <v>0</v>
      </c>
      <c r="AY133" s="472">
        <f>COUNTIF(ParticipationJanvier1[[#This Row],[1]:[31]],Code16)</f>
        <v>0</v>
      </c>
      <c r="AZ133" s="472">
        <f>COUNTIF(ParticipationJanvier1[[#This Row],[1]:[31]],Code17)</f>
        <v>0</v>
      </c>
      <c r="BA133" s="474">
        <f>COUNTIF(ParticipationJanvier1[[#This Row],[1]:[31]],Code25)</f>
        <v>0</v>
      </c>
      <c r="BB133" s="474">
        <f>COUNTIF(ParticipationJanvier1[[#This Row],[1]:[31]],Code26)</f>
        <v>0</v>
      </c>
      <c r="BC133" s="474">
        <f>COUNTIF(ParticipationJanvier1[[#This Row],[1]:[31]],Code27)</f>
        <v>0</v>
      </c>
      <c r="BD133" s="474">
        <f>COUNTIF(ParticipationJanvier1[[#This Row],[1]:[31]],Code28)</f>
        <v>0</v>
      </c>
      <c r="BE133" s="474">
        <f>COUNTIF(ParticipationJanvier1[[#This Row],[1]:[31]],code30)</f>
        <v>0</v>
      </c>
      <c r="BF133" s="474">
        <f>COUNTIF(ParticipationJanvier1[[#This Row],[1]:[31]],Code31)</f>
        <v>0</v>
      </c>
      <c r="BG133" s="472">
        <f>COUNTIF(ParticipationJanvier1[[#This Row],[1]:[31]],code21)</f>
        <v>0</v>
      </c>
      <c r="BH133" s="472">
        <f>COUNTIF(ParticipationJanvier1[[#This Row],[1]:[31]],Code24)</f>
        <v>0</v>
      </c>
      <c r="BI133" s="472">
        <f>COUNTIF(ParticipationJanvier1[[#This Row],[1]:[31]],code18)</f>
        <v>0</v>
      </c>
      <c r="BJ133" s="472">
        <f>COUNTIF(ParticipationJanvier1[[#This Row],[1]:[31]],code19)</f>
        <v>0</v>
      </c>
      <c r="BK133" s="472">
        <f>COUNTIF(ParticipationJanvier1[[#This Row],[1]:[31]],code20)</f>
        <v>0</v>
      </c>
      <c r="BL133" s="476">
        <f>COUNTIF(ParticipationJanvier1[[#This Row],[1]:[31]],code29)</f>
        <v>0</v>
      </c>
      <c r="BM133" s="472">
        <f t="shared" ref="BM133:BM154" si="7">SUM((AH133*1)+(AI137*1.5)+(AJ133*2)+(AK133*3)+(AL133*4)+(AQ133*5)+(AR133*6)+(AS133*7)+(AW133*2)+(AX133*3)+(AY133*4)+(AZ133*5)+(BG133*2))</f>
        <v>0</v>
      </c>
      <c r="BN133" s="472"/>
      <c r="BO133" s="472"/>
      <c r="BP133" s="472"/>
      <c r="BQ133" s="472"/>
      <c r="BR133" s="473"/>
      <c r="BS133" s="472"/>
      <c r="BT133" s="472"/>
      <c r="BU133" s="472"/>
      <c r="BV133" s="472"/>
      <c r="BW133" s="472"/>
      <c r="BX133" s="472"/>
      <c r="BY133" s="472"/>
      <c r="BZ133" s="472"/>
      <c r="CA133" s="472"/>
      <c r="CB133" s="472"/>
      <c r="CC133" s="472"/>
      <c r="CD133" s="472"/>
      <c r="CE133" s="472"/>
      <c r="CF133" s="472"/>
      <c r="CG133" s="472"/>
      <c r="CH133" s="472"/>
      <c r="CI133" s="472"/>
      <c r="CJ133" s="472"/>
      <c r="CK133" s="472"/>
      <c r="CL133" s="472"/>
      <c r="CM133" s="472"/>
      <c r="CN133" s="472"/>
      <c r="CO133" s="472"/>
      <c r="CP133" s="472"/>
      <c r="CQ133" s="472"/>
      <c r="CR133" s="472"/>
      <c r="CS133" s="472"/>
      <c r="CT133" s="472"/>
      <c r="CU133" s="516">
        <f t="shared" ref="CU133:CU157" si="8">SUM((AN133*1)+(AM133*2)+(AO133*3)+(AP133*4)+(AT133*5)+(AU133*7)+(AV133*7)+(AW133*7)+(AX133*4)+(AY133*3)+(BA133*2)+(BC133*4)+(BB133*1)+(BG133*2)+(AZ133*5)+(BD133*1))</f>
        <v>0</v>
      </c>
      <c r="CV133" s="521">
        <f t="shared" ref="CV133:CV157" si="9">SUM((AH133*1)+(AI133*1.5)+(AJ133*2)+(AK133*3)+(AP133*5)+(AQ133*6)+(AR133*7)+(AU133*2)+(AX133*3)+(AY133*4)+(BA133*5)+(BB133*3)+(BC133*2)+(BG133*2)+(AZ133*2)+(BD133*2))</f>
        <v>0</v>
      </c>
      <c r="CW133" s="472">
        <f t="shared" ref="CW133:CW157" si="10">SUM((AN133*1)+(AM133*2)+(AO133*3)+(AP133*4)+(AT133*5)+(AU133*7)+(AV133*7)+(AW133*7)+(AX133*4)+(AY133*3)+(BA133*2)+(BC133*4)+(BB133*1)+(BG133*2)+(AZ133*5)+(BD133*1))</f>
        <v>0</v>
      </c>
      <c r="CX133" s="472">
        <f t="shared" ref="CX133:CX157" si="11">BH133*1</f>
        <v>0</v>
      </c>
      <c r="CY133" s="512"/>
    </row>
    <row r="134" spans="1:103">
      <c r="A134" s="510" t="s">
        <v>475</v>
      </c>
      <c r="B134" s="372" t="str">
        <f>IFERROR(VLOOKUP(ParticipationJanvier1[[#This Row],[Référence]],ListeÉtudiants1[],18,FALSE),"")</f>
        <v>TOURE SIPA</v>
      </c>
      <c r="G134" s="525"/>
      <c r="I134" s="525"/>
      <c r="K134" s="525"/>
      <c r="M134" s="525"/>
      <c r="O134" s="525"/>
      <c r="Q134" s="525"/>
      <c r="S134" s="525"/>
      <c r="U134" s="525"/>
      <c r="W134" s="525"/>
      <c r="Y134" s="525"/>
      <c r="AA134" s="525"/>
      <c r="AC134" s="525"/>
      <c r="AE134" s="525"/>
      <c r="AG134" s="519"/>
      <c r="AH134" s="474">
        <f>COUNTIF(ParticipationJanvier1[[#This Row],[1]:[31]],Code1)</f>
        <v>0</v>
      </c>
      <c r="AI134" s="525">
        <f>COUNTIF(ParticipationJanvier1[[#This Row],[1]:[31]],code22)</f>
        <v>0</v>
      </c>
      <c r="AJ134" s="472">
        <f>COUNTIF(ParticipationJanvier1[[#This Row],[1]:[31]],Code2)</f>
        <v>0</v>
      </c>
      <c r="AK134" s="526">
        <f>COUNTIF(ParticipationJanvier1[[#This Row],[1]:[31]],Code3)</f>
        <v>0</v>
      </c>
      <c r="AL134" s="472">
        <f>COUNTIF(ParticipationJanvier1[[#This Row],[1]:[31]],Code4)</f>
        <v>0</v>
      </c>
      <c r="AM134" s="526">
        <f>COUNTIF(ParticipationJanvier1[[#This Row],[1]:[31]],Code5)</f>
        <v>0</v>
      </c>
      <c r="AN134" s="527">
        <f>COUNTIF(ParticipationJanvier1[[#This Row],[1]:[31]],Code23)</f>
        <v>0</v>
      </c>
      <c r="AO134" s="472">
        <f>COUNTIF(ParticipationJanvier1[[#This Row],[1]:[31]],Code6)</f>
        <v>0</v>
      </c>
      <c r="AP134" s="528">
        <f>COUNTIF(ParticipationJanvier1[[#This Row],[1]:[31]],Code7)</f>
        <v>0</v>
      </c>
      <c r="AQ134" s="527">
        <f>COUNTIF(ParticipationJanvier1[[#This Row],[1]:[31]],Code8)</f>
        <v>0</v>
      </c>
      <c r="AR134" s="527">
        <f>COUNTIF(ParticipationJanvier1[[#This Row],[1]:[31]],Code9)</f>
        <v>0</v>
      </c>
      <c r="AS134" s="472">
        <f>COUNTIF(ParticipationJanvier1[[#This Row],[1]:[31]],Code10)</f>
        <v>0</v>
      </c>
      <c r="AT134" s="472">
        <f>COUNTIF(ParticipationJanvier1[[#This Row],[1]:[31]],Code11)</f>
        <v>0</v>
      </c>
      <c r="AU134" s="472">
        <f>COUNTIF(ParticipationJanvier1[[#This Row],[1]:[31]],Code12)</f>
        <v>0</v>
      </c>
      <c r="AV134" s="472">
        <f>COUNTIF(ParticipationJanvier1[[#This Row],[1]:[31]],Code13)</f>
        <v>0</v>
      </c>
      <c r="AW134" s="472">
        <f>COUNTIF(ParticipationJanvier1[[#This Row],[1]:[31]],Code14)</f>
        <v>0</v>
      </c>
      <c r="AX134" s="472">
        <f>COUNTIF(ParticipationJanvier1[[#This Row],[1]:[31]],Code15)</f>
        <v>0</v>
      </c>
      <c r="AY134" s="472">
        <f>COUNTIF(ParticipationJanvier1[[#This Row],[1]:[31]],Code16)</f>
        <v>0</v>
      </c>
      <c r="AZ134" s="472">
        <f>COUNTIF(ParticipationJanvier1[[#This Row],[1]:[31]],Code17)</f>
        <v>0</v>
      </c>
      <c r="BA134" s="474">
        <f>COUNTIF(ParticipationJanvier1[[#This Row],[1]:[31]],Code25)</f>
        <v>0</v>
      </c>
      <c r="BB134" s="474">
        <f>COUNTIF(ParticipationJanvier1[[#This Row],[1]:[31]],Code26)</f>
        <v>0</v>
      </c>
      <c r="BC134" s="474">
        <f>COUNTIF(ParticipationJanvier1[[#This Row],[1]:[31]],Code27)</f>
        <v>0</v>
      </c>
      <c r="BD134" s="474">
        <f>COUNTIF(ParticipationJanvier1[[#This Row],[1]:[31]],Code28)</f>
        <v>0</v>
      </c>
      <c r="BE134" s="474">
        <f>COUNTIF(ParticipationJanvier1[[#This Row],[1]:[31]],code30)</f>
        <v>0</v>
      </c>
      <c r="BF134" s="474">
        <f>COUNTIF(ParticipationJanvier1[[#This Row],[1]:[31]],Code31)</f>
        <v>0</v>
      </c>
      <c r="BG134" s="472">
        <f>COUNTIF(ParticipationJanvier1[[#This Row],[1]:[31]],code21)</f>
        <v>0</v>
      </c>
      <c r="BH134" s="472">
        <f>COUNTIF(ParticipationJanvier1[[#This Row],[1]:[31]],Code24)</f>
        <v>0</v>
      </c>
      <c r="BI134" s="472">
        <f>COUNTIF(ParticipationJanvier1[[#This Row],[1]:[31]],code18)</f>
        <v>0</v>
      </c>
      <c r="BJ134" s="472">
        <f>COUNTIF(ParticipationJanvier1[[#This Row],[1]:[31]],code19)</f>
        <v>0</v>
      </c>
      <c r="BK134" s="472">
        <f>COUNTIF(ParticipationJanvier1[[#This Row],[1]:[31]],code20)</f>
        <v>0</v>
      </c>
      <c r="BL134" s="476">
        <f>COUNTIF(ParticipationJanvier1[[#This Row],[1]:[31]],code29)</f>
        <v>0</v>
      </c>
      <c r="BM134" s="472">
        <f t="shared" si="7"/>
        <v>0</v>
      </c>
      <c r="BN134" s="472"/>
      <c r="BO134" s="472"/>
      <c r="BP134" s="472"/>
      <c r="BQ134" s="472"/>
      <c r="BR134" s="473"/>
      <c r="BS134" s="472"/>
      <c r="BT134" s="472"/>
      <c r="BU134" s="472"/>
      <c r="BV134" s="472"/>
      <c r="BW134" s="472"/>
      <c r="BX134" s="472"/>
      <c r="BY134" s="472"/>
      <c r="BZ134" s="472"/>
      <c r="CA134" s="472"/>
      <c r="CB134" s="472"/>
      <c r="CC134" s="472"/>
      <c r="CD134" s="472"/>
      <c r="CE134" s="472"/>
      <c r="CF134" s="472"/>
      <c r="CG134" s="472"/>
      <c r="CH134" s="472"/>
      <c r="CI134" s="472"/>
      <c r="CJ134" s="472"/>
      <c r="CK134" s="472"/>
      <c r="CL134" s="472"/>
      <c r="CM134" s="472"/>
      <c r="CN134" s="472"/>
      <c r="CO134" s="472"/>
      <c r="CP134" s="472"/>
      <c r="CQ134" s="472"/>
      <c r="CR134" s="472"/>
      <c r="CS134" s="472"/>
      <c r="CT134" s="472"/>
      <c r="CU134" s="516">
        <f t="shared" si="8"/>
        <v>0</v>
      </c>
      <c r="CV134" s="521">
        <f t="shared" si="9"/>
        <v>0</v>
      </c>
      <c r="CW134" s="472">
        <f t="shared" si="10"/>
        <v>0</v>
      </c>
      <c r="CX134" s="472">
        <f t="shared" si="11"/>
        <v>0</v>
      </c>
      <c r="CY134" s="512"/>
    </row>
    <row r="135" spans="1:103">
      <c r="A135" s="536" t="s">
        <v>476</v>
      </c>
      <c r="B135" s="372" t="str">
        <f>IFERROR(VLOOKUP(ParticipationJanvier1[[#This Row],[Référence]],ListeÉtudiants1[],18,FALSE),"")</f>
        <v>TRIPET AMANDINE</v>
      </c>
      <c r="G135" s="525"/>
      <c r="I135" s="525"/>
      <c r="K135" s="525"/>
      <c r="M135" s="525"/>
      <c r="O135" s="525"/>
      <c r="Q135" s="525"/>
      <c r="S135" s="525"/>
      <c r="U135" s="525"/>
      <c r="W135" s="525"/>
      <c r="Y135" s="525"/>
      <c r="AA135" s="525"/>
      <c r="AC135" s="525"/>
      <c r="AE135" s="525"/>
      <c r="AG135" s="519"/>
      <c r="AH135" s="474">
        <f>COUNTIF(ParticipationJanvier1[[#This Row],[1]:[31]],Code1)</f>
        <v>0</v>
      </c>
      <c r="AI135" s="525">
        <f>COUNTIF(ParticipationJanvier1[[#This Row],[1]:[31]],code22)</f>
        <v>0</v>
      </c>
      <c r="AJ135" s="472">
        <f>COUNTIF(ParticipationJanvier1[[#This Row],[1]:[31]],Code2)</f>
        <v>0</v>
      </c>
      <c r="AK135" s="526">
        <f>COUNTIF(ParticipationJanvier1[[#This Row],[1]:[31]],Code3)</f>
        <v>0</v>
      </c>
      <c r="AL135" s="472">
        <f>COUNTIF(ParticipationJanvier1[[#This Row],[1]:[31]],Code4)</f>
        <v>0</v>
      </c>
      <c r="AM135" s="526">
        <f>COUNTIF(ParticipationJanvier1[[#This Row],[1]:[31]],Code5)</f>
        <v>0</v>
      </c>
      <c r="AN135" s="527">
        <f>COUNTIF(ParticipationJanvier1[[#This Row],[1]:[31]],Code23)</f>
        <v>0</v>
      </c>
      <c r="AO135" s="472">
        <f>COUNTIF(ParticipationJanvier1[[#This Row],[1]:[31]],Code6)</f>
        <v>0</v>
      </c>
      <c r="AP135" s="528">
        <f>COUNTIF(ParticipationJanvier1[[#This Row],[1]:[31]],Code7)</f>
        <v>0</v>
      </c>
      <c r="AQ135" s="527">
        <f>COUNTIF(ParticipationJanvier1[[#This Row],[1]:[31]],Code8)</f>
        <v>0</v>
      </c>
      <c r="AR135" s="527">
        <f>COUNTIF(ParticipationJanvier1[[#This Row],[1]:[31]],Code9)</f>
        <v>0</v>
      </c>
      <c r="AS135" s="472">
        <f>COUNTIF(ParticipationJanvier1[[#This Row],[1]:[31]],Code10)</f>
        <v>0</v>
      </c>
      <c r="AT135" s="472">
        <f>COUNTIF(ParticipationJanvier1[[#This Row],[1]:[31]],Code11)</f>
        <v>0</v>
      </c>
      <c r="AU135" s="472">
        <f>COUNTIF(ParticipationJanvier1[[#This Row],[1]:[31]],Code12)</f>
        <v>0</v>
      </c>
      <c r="AV135" s="472">
        <f>COUNTIF(ParticipationJanvier1[[#This Row],[1]:[31]],Code13)</f>
        <v>0</v>
      </c>
      <c r="AW135" s="472">
        <f>COUNTIF(ParticipationJanvier1[[#This Row],[1]:[31]],Code14)</f>
        <v>0</v>
      </c>
      <c r="AX135" s="472">
        <f>COUNTIF(ParticipationJanvier1[[#This Row],[1]:[31]],Code15)</f>
        <v>0</v>
      </c>
      <c r="AY135" s="472">
        <f>COUNTIF(ParticipationJanvier1[[#This Row],[1]:[31]],Code16)</f>
        <v>0</v>
      </c>
      <c r="AZ135" s="472">
        <f>COUNTIF(ParticipationJanvier1[[#This Row],[1]:[31]],Code17)</f>
        <v>0</v>
      </c>
      <c r="BA135" s="474">
        <f>COUNTIF(ParticipationJanvier1[[#This Row],[1]:[31]],Code25)</f>
        <v>0</v>
      </c>
      <c r="BB135" s="474">
        <f>COUNTIF(ParticipationJanvier1[[#This Row],[1]:[31]],Code26)</f>
        <v>0</v>
      </c>
      <c r="BC135" s="474">
        <f>COUNTIF(ParticipationJanvier1[[#This Row],[1]:[31]],Code27)</f>
        <v>0</v>
      </c>
      <c r="BD135" s="474">
        <f>COUNTIF(ParticipationJanvier1[[#This Row],[1]:[31]],Code28)</f>
        <v>0</v>
      </c>
      <c r="BE135" s="474">
        <f>COUNTIF(ParticipationJanvier1[[#This Row],[1]:[31]],code30)</f>
        <v>0</v>
      </c>
      <c r="BF135" s="474">
        <f>COUNTIF(ParticipationJanvier1[[#This Row],[1]:[31]],Code31)</f>
        <v>0</v>
      </c>
      <c r="BG135" s="472">
        <f>COUNTIF(ParticipationJanvier1[[#This Row],[1]:[31]],code21)</f>
        <v>0</v>
      </c>
      <c r="BH135" s="472">
        <f>COUNTIF(ParticipationJanvier1[[#This Row],[1]:[31]],Code24)</f>
        <v>0</v>
      </c>
      <c r="BI135" s="472">
        <f>COUNTIF(ParticipationJanvier1[[#This Row],[1]:[31]],code18)</f>
        <v>0</v>
      </c>
      <c r="BJ135" s="472">
        <f>COUNTIF(ParticipationJanvier1[[#This Row],[1]:[31]],code19)</f>
        <v>0</v>
      </c>
      <c r="BK135" s="472">
        <f>COUNTIF(ParticipationJanvier1[[#This Row],[1]:[31]],code20)</f>
        <v>0</v>
      </c>
      <c r="BL135" s="476">
        <f>COUNTIF(ParticipationJanvier1[[#This Row],[1]:[31]],code29)</f>
        <v>0</v>
      </c>
      <c r="BM135" s="472">
        <f t="shared" si="7"/>
        <v>0</v>
      </c>
      <c r="BN135" s="472"/>
      <c r="BO135" s="472"/>
      <c r="BP135" s="472"/>
      <c r="BQ135" s="472"/>
      <c r="BR135" s="473"/>
      <c r="BS135" s="472"/>
      <c r="BT135" s="472"/>
      <c r="BU135" s="472"/>
      <c r="BV135" s="472"/>
      <c r="BW135" s="472"/>
      <c r="BX135" s="472"/>
      <c r="BY135" s="472"/>
      <c r="BZ135" s="472"/>
      <c r="CA135" s="472"/>
      <c r="CB135" s="472"/>
      <c r="CC135" s="472"/>
      <c r="CD135" s="472"/>
      <c r="CE135" s="472"/>
      <c r="CF135" s="472"/>
      <c r="CG135" s="472"/>
      <c r="CH135" s="472"/>
      <c r="CI135" s="472"/>
      <c r="CJ135" s="472"/>
      <c r="CK135" s="472"/>
      <c r="CL135" s="472"/>
      <c r="CM135" s="472"/>
      <c r="CN135" s="472"/>
      <c r="CO135" s="472"/>
      <c r="CP135" s="472"/>
      <c r="CQ135" s="472"/>
      <c r="CR135" s="472"/>
      <c r="CS135" s="472"/>
      <c r="CT135" s="472"/>
      <c r="CU135" s="516">
        <f t="shared" si="8"/>
        <v>0</v>
      </c>
      <c r="CV135" s="521">
        <f t="shared" si="9"/>
        <v>0</v>
      </c>
      <c r="CW135" s="472">
        <f t="shared" si="10"/>
        <v>0</v>
      </c>
      <c r="CX135" s="472">
        <f t="shared" si="11"/>
        <v>0</v>
      </c>
      <c r="CY135" s="512"/>
    </row>
    <row r="136" spans="1:103">
      <c r="A136" s="510" t="s">
        <v>477</v>
      </c>
      <c r="B136" s="372" t="str">
        <f>IFERROR(VLOOKUP(ParticipationJanvier1[[#This Row],[Référence]],ListeÉtudiants1[],18,FALSE),"")</f>
        <v>UGOLIN MARIE-ROSE</v>
      </c>
      <c r="G136" s="525"/>
      <c r="I136" s="525"/>
      <c r="K136" s="525"/>
      <c r="M136" s="525"/>
      <c r="O136" s="525"/>
      <c r="Q136" s="525"/>
      <c r="S136" s="525"/>
      <c r="U136" s="525"/>
      <c r="W136" s="525"/>
      <c r="Y136" s="525"/>
      <c r="AA136" s="525"/>
      <c r="AC136" s="525"/>
      <c r="AE136" s="525"/>
      <c r="AG136" s="519"/>
      <c r="AH136" s="474">
        <f>COUNTIF(ParticipationJanvier1[[#This Row],[1]:[31]],Code1)</f>
        <v>0</v>
      </c>
      <c r="AI136" s="525">
        <f>COUNTIF(ParticipationJanvier1[[#This Row],[1]:[31]],code22)</f>
        <v>0</v>
      </c>
      <c r="AJ136" s="472">
        <f>COUNTIF(ParticipationJanvier1[[#This Row],[1]:[31]],Code2)</f>
        <v>0</v>
      </c>
      <c r="AK136" s="526">
        <f>COUNTIF(ParticipationJanvier1[[#This Row],[1]:[31]],Code3)</f>
        <v>0</v>
      </c>
      <c r="AL136" s="472">
        <f>COUNTIF(ParticipationJanvier1[[#This Row],[1]:[31]],Code4)</f>
        <v>0</v>
      </c>
      <c r="AM136" s="526">
        <f>COUNTIF(ParticipationJanvier1[[#This Row],[1]:[31]],Code5)</f>
        <v>0</v>
      </c>
      <c r="AN136" s="527">
        <f>COUNTIF(ParticipationJanvier1[[#This Row],[1]:[31]],Code23)</f>
        <v>0</v>
      </c>
      <c r="AO136" s="472">
        <f>COUNTIF(ParticipationJanvier1[[#This Row],[1]:[31]],Code6)</f>
        <v>0</v>
      </c>
      <c r="AP136" s="528">
        <f>COUNTIF(ParticipationJanvier1[[#This Row],[1]:[31]],Code7)</f>
        <v>0</v>
      </c>
      <c r="AQ136" s="527">
        <f>COUNTIF(ParticipationJanvier1[[#This Row],[1]:[31]],Code8)</f>
        <v>0</v>
      </c>
      <c r="AR136" s="527">
        <f>COUNTIF(ParticipationJanvier1[[#This Row],[1]:[31]],Code9)</f>
        <v>0</v>
      </c>
      <c r="AS136" s="472">
        <f>COUNTIF(ParticipationJanvier1[[#This Row],[1]:[31]],Code10)</f>
        <v>0</v>
      </c>
      <c r="AT136" s="472">
        <f>COUNTIF(ParticipationJanvier1[[#This Row],[1]:[31]],Code11)</f>
        <v>0</v>
      </c>
      <c r="AU136" s="472">
        <f>COUNTIF(ParticipationJanvier1[[#This Row],[1]:[31]],Code12)</f>
        <v>0</v>
      </c>
      <c r="AV136" s="472">
        <f>COUNTIF(ParticipationJanvier1[[#This Row],[1]:[31]],Code13)</f>
        <v>0</v>
      </c>
      <c r="AW136" s="472">
        <f>COUNTIF(ParticipationJanvier1[[#This Row],[1]:[31]],Code14)</f>
        <v>0</v>
      </c>
      <c r="AX136" s="472">
        <f>COUNTIF(ParticipationJanvier1[[#This Row],[1]:[31]],Code15)</f>
        <v>0</v>
      </c>
      <c r="AY136" s="472">
        <f>COUNTIF(ParticipationJanvier1[[#This Row],[1]:[31]],Code16)</f>
        <v>0</v>
      </c>
      <c r="AZ136" s="472">
        <f>COUNTIF(ParticipationJanvier1[[#This Row],[1]:[31]],Code17)</f>
        <v>0</v>
      </c>
      <c r="BA136" s="474">
        <f>COUNTIF(ParticipationJanvier1[[#This Row],[1]:[31]],Code25)</f>
        <v>0</v>
      </c>
      <c r="BB136" s="474">
        <f>COUNTIF(ParticipationJanvier1[[#This Row],[1]:[31]],Code26)</f>
        <v>0</v>
      </c>
      <c r="BC136" s="474">
        <f>COUNTIF(ParticipationJanvier1[[#This Row],[1]:[31]],Code27)</f>
        <v>0</v>
      </c>
      <c r="BD136" s="474">
        <f>COUNTIF(ParticipationJanvier1[[#This Row],[1]:[31]],Code28)</f>
        <v>0</v>
      </c>
      <c r="BE136" s="474">
        <f>COUNTIF(ParticipationJanvier1[[#This Row],[1]:[31]],code30)</f>
        <v>0</v>
      </c>
      <c r="BF136" s="474">
        <f>COUNTIF(ParticipationJanvier1[[#This Row],[1]:[31]],Code31)</f>
        <v>0</v>
      </c>
      <c r="BG136" s="472">
        <f>COUNTIF(ParticipationJanvier1[[#This Row],[1]:[31]],code21)</f>
        <v>0</v>
      </c>
      <c r="BH136" s="472">
        <f>COUNTIF(ParticipationJanvier1[[#This Row],[1]:[31]],Code24)</f>
        <v>0</v>
      </c>
      <c r="BI136" s="472">
        <f>COUNTIF(ParticipationJanvier1[[#This Row],[1]:[31]],code18)</f>
        <v>0</v>
      </c>
      <c r="BJ136" s="472">
        <f>COUNTIF(ParticipationJanvier1[[#This Row],[1]:[31]],code19)</f>
        <v>0</v>
      </c>
      <c r="BK136" s="472">
        <f>COUNTIF(ParticipationJanvier1[[#This Row],[1]:[31]],code20)</f>
        <v>0</v>
      </c>
      <c r="BL136" s="476">
        <f>COUNTIF(ParticipationJanvier1[[#This Row],[1]:[31]],code29)</f>
        <v>0</v>
      </c>
      <c r="BM136" s="472">
        <f t="shared" si="7"/>
        <v>0</v>
      </c>
      <c r="BN136" s="472"/>
      <c r="BO136" s="472"/>
      <c r="BP136" s="472"/>
      <c r="BQ136" s="472"/>
      <c r="BR136" s="473"/>
      <c r="BS136" s="472"/>
      <c r="BT136" s="472"/>
      <c r="BU136" s="472"/>
      <c r="BV136" s="472"/>
      <c r="BW136" s="472"/>
      <c r="BX136" s="472"/>
      <c r="BY136" s="472"/>
      <c r="BZ136" s="472"/>
      <c r="CA136" s="472"/>
      <c r="CB136" s="472"/>
      <c r="CC136" s="472"/>
      <c r="CD136" s="472"/>
      <c r="CE136" s="472"/>
      <c r="CF136" s="472"/>
      <c r="CG136" s="472"/>
      <c r="CH136" s="472"/>
      <c r="CI136" s="472"/>
      <c r="CJ136" s="472"/>
      <c r="CK136" s="472"/>
      <c r="CL136" s="472"/>
      <c r="CM136" s="472"/>
      <c r="CN136" s="472"/>
      <c r="CO136" s="472"/>
      <c r="CP136" s="472"/>
      <c r="CQ136" s="472"/>
      <c r="CR136" s="472"/>
      <c r="CS136" s="472"/>
      <c r="CT136" s="472"/>
      <c r="CU136" s="516">
        <f t="shared" si="8"/>
        <v>0</v>
      </c>
      <c r="CV136" s="521">
        <f t="shared" si="9"/>
        <v>0</v>
      </c>
      <c r="CW136" s="472">
        <f t="shared" si="10"/>
        <v>0</v>
      </c>
      <c r="CX136" s="472">
        <f t="shared" si="11"/>
        <v>0</v>
      </c>
      <c r="CY136" s="512"/>
    </row>
    <row r="137" spans="1:103">
      <c r="A137" s="510" t="s">
        <v>478</v>
      </c>
      <c r="B137" s="372" t="str">
        <f>IFERROR(VLOOKUP(ParticipationJanvier1[[#This Row],[Référence]],ListeÉtudiants1[],18,FALSE),"")</f>
        <v>VERKEST LEA</v>
      </c>
      <c r="G137" s="525"/>
      <c r="I137" s="525"/>
      <c r="K137" s="525"/>
      <c r="M137" s="525"/>
      <c r="O137" s="525"/>
      <c r="Q137" s="525"/>
      <c r="S137" s="525"/>
      <c r="U137" s="525"/>
      <c r="W137" s="525"/>
      <c r="Y137" s="525"/>
      <c r="AA137" s="525"/>
      <c r="AC137" s="525"/>
      <c r="AE137" s="525"/>
      <c r="AG137" s="519"/>
      <c r="AH137" s="474">
        <f>COUNTIF(ParticipationJanvier1[[#This Row],[1]:[31]],Code1)</f>
        <v>0</v>
      </c>
      <c r="AI137" s="525">
        <f>COUNTIF(ParticipationJanvier1[[#This Row],[1]:[31]],code22)</f>
        <v>0</v>
      </c>
      <c r="AJ137" s="472">
        <f>COUNTIF(ParticipationJanvier1[[#This Row],[1]:[31]],Code2)</f>
        <v>0</v>
      </c>
      <c r="AK137" s="526">
        <f>COUNTIF(ParticipationJanvier1[[#This Row],[1]:[31]],Code3)</f>
        <v>0</v>
      </c>
      <c r="AL137" s="472">
        <f>COUNTIF(ParticipationJanvier1[[#This Row],[1]:[31]],Code4)</f>
        <v>0</v>
      </c>
      <c r="AM137" s="526">
        <f>COUNTIF(ParticipationJanvier1[[#This Row],[1]:[31]],Code5)</f>
        <v>0</v>
      </c>
      <c r="AN137" s="527">
        <f>COUNTIF(ParticipationJanvier1[[#This Row],[1]:[31]],Code23)</f>
        <v>0</v>
      </c>
      <c r="AO137" s="472">
        <f>COUNTIF(ParticipationJanvier1[[#This Row],[1]:[31]],Code6)</f>
        <v>0</v>
      </c>
      <c r="AP137" s="528">
        <f>COUNTIF(ParticipationJanvier1[[#This Row],[1]:[31]],Code7)</f>
        <v>0</v>
      </c>
      <c r="AQ137" s="527">
        <f>COUNTIF(ParticipationJanvier1[[#This Row],[1]:[31]],Code8)</f>
        <v>0</v>
      </c>
      <c r="AR137" s="527">
        <f>COUNTIF(ParticipationJanvier1[[#This Row],[1]:[31]],Code9)</f>
        <v>0</v>
      </c>
      <c r="AS137" s="472">
        <f>COUNTIF(ParticipationJanvier1[[#This Row],[1]:[31]],Code10)</f>
        <v>0</v>
      </c>
      <c r="AT137" s="472">
        <f>COUNTIF(ParticipationJanvier1[[#This Row],[1]:[31]],Code11)</f>
        <v>0</v>
      </c>
      <c r="AU137" s="472">
        <f>COUNTIF(ParticipationJanvier1[[#This Row],[1]:[31]],Code12)</f>
        <v>0</v>
      </c>
      <c r="AV137" s="472">
        <f>COUNTIF(ParticipationJanvier1[[#This Row],[1]:[31]],Code13)</f>
        <v>0</v>
      </c>
      <c r="AW137" s="472">
        <f>COUNTIF(ParticipationJanvier1[[#This Row],[1]:[31]],Code14)</f>
        <v>0</v>
      </c>
      <c r="AX137" s="472">
        <f>COUNTIF(ParticipationJanvier1[[#This Row],[1]:[31]],Code15)</f>
        <v>0</v>
      </c>
      <c r="AY137" s="472">
        <f>COUNTIF(ParticipationJanvier1[[#This Row],[1]:[31]],Code16)</f>
        <v>0</v>
      </c>
      <c r="AZ137" s="472">
        <f>COUNTIF(ParticipationJanvier1[[#This Row],[1]:[31]],Code17)</f>
        <v>0</v>
      </c>
      <c r="BA137" s="474">
        <f>COUNTIF(ParticipationJanvier1[[#This Row],[1]:[31]],Code25)</f>
        <v>0</v>
      </c>
      <c r="BB137" s="474">
        <f>COUNTIF(ParticipationJanvier1[[#This Row],[1]:[31]],Code26)</f>
        <v>0</v>
      </c>
      <c r="BC137" s="474">
        <f>COUNTIF(ParticipationJanvier1[[#This Row],[1]:[31]],Code27)</f>
        <v>0</v>
      </c>
      <c r="BD137" s="474">
        <f>COUNTIF(ParticipationJanvier1[[#This Row],[1]:[31]],Code28)</f>
        <v>0</v>
      </c>
      <c r="BE137" s="474">
        <f>COUNTIF(ParticipationJanvier1[[#This Row],[1]:[31]],code30)</f>
        <v>0</v>
      </c>
      <c r="BF137" s="474">
        <f>COUNTIF(ParticipationJanvier1[[#This Row],[1]:[31]],Code31)</f>
        <v>0</v>
      </c>
      <c r="BG137" s="472">
        <f>COUNTIF(ParticipationJanvier1[[#This Row],[1]:[31]],code21)</f>
        <v>0</v>
      </c>
      <c r="BH137" s="472">
        <f>COUNTIF(ParticipationJanvier1[[#This Row],[1]:[31]],Code24)</f>
        <v>0</v>
      </c>
      <c r="BI137" s="472">
        <f>COUNTIF(ParticipationJanvier1[[#This Row],[1]:[31]],code18)</f>
        <v>0</v>
      </c>
      <c r="BJ137" s="472">
        <f>COUNTIF(ParticipationJanvier1[[#This Row],[1]:[31]],code19)</f>
        <v>0</v>
      </c>
      <c r="BK137" s="472">
        <f>COUNTIF(ParticipationJanvier1[[#This Row],[1]:[31]],code20)</f>
        <v>0</v>
      </c>
      <c r="BL137" s="476">
        <f>COUNTIF(ParticipationJanvier1[[#This Row],[1]:[31]],code29)</f>
        <v>0</v>
      </c>
      <c r="BM137" s="472">
        <f t="shared" si="7"/>
        <v>0</v>
      </c>
      <c r="BN137" s="472"/>
      <c r="BO137" s="472"/>
      <c r="BP137" s="472"/>
      <c r="BQ137" s="472"/>
      <c r="BR137" s="473"/>
      <c r="BS137" s="472"/>
      <c r="BT137" s="472"/>
      <c r="BU137" s="472"/>
      <c r="BV137" s="472"/>
      <c r="BW137" s="472"/>
      <c r="BX137" s="472"/>
      <c r="BY137" s="472"/>
      <c r="BZ137" s="472"/>
      <c r="CA137" s="472"/>
      <c r="CB137" s="472"/>
      <c r="CC137" s="472"/>
      <c r="CD137" s="472"/>
      <c r="CE137" s="472"/>
      <c r="CF137" s="472"/>
      <c r="CG137" s="472"/>
      <c r="CH137" s="472"/>
      <c r="CI137" s="472"/>
      <c r="CJ137" s="472"/>
      <c r="CK137" s="472"/>
      <c r="CL137" s="472"/>
      <c r="CM137" s="472"/>
      <c r="CN137" s="472"/>
      <c r="CO137" s="472"/>
      <c r="CP137" s="472"/>
      <c r="CQ137" s="472"/>
      <c r="CR137" s="472"/>
      <c r="CS137" s="472"/>
      <c r="CT137" s="472"/>
      <c r="CU137" s="516">
        <f t="shared" si="8"/>
        <v>0</v>
      </c>
      <c r="CV137" s="521">
        <f t="shared" si="9"/>
        <v>0</v>
      </c>
      <c r="CW137" s="472">
        <f t="shared" si="10"/>
        <v>0</v>
      </c>
      <c r="CX137" s="472">
        <f t="shared" si="11"/>
        <v>0</v>
      </c>
      <c r="CY137" s="512"/>
    </row>
    <row r="138" spans="1:103">
      <c r="A138" s="534" t="s">
        <v>479</v>
      </c>
      <c r="B138" s="372" t="str">
        <f>IFERROR(VLOOKUP(ParticipationJanvier1[[#This Row],[Référence]],ListeÉtudiants1[],18,FALSE),"")</f>
        <v>VIRIN AMANDINE</v>
      </c>
      <c r="G138" s="525"/>
      <c r="I138" s="525"/>
      <c r="K138" s="525"/>
      <c r="M138" s="525"/>
      <c r="O138" s="525"/>
      <c r="Q138" s="525"/>
      <c r="S138" s="525"/>
      <c r="U138" s="525"/>
      <c r="W138" s="525"/>
      <c r="Y138" s="525"/>
      <c r="AA138" s="525"/>
      <c r="AC138" s="525"/>
      <c r="AE138" s="525"/>
      <c r="AG138" s="519"/>
      <c r="AH138" s="474">
        <f>COUNTIF(ParticipationJanvier1[[#This Row],[1]:[31]],Code1)</f>
        <v>0</v>
      </c>
      <c r="AI138" s="525">
        <f>COUNTIF(ParticipationJanvier1[[#This Row],[1]:[31]],code22)</f>
        <v>0</v>
      </c>
      <c r="AJ138" s="472">
        <f>COUNTIF(ParticipationJanvier1[[#This Row],[1]:[31]],Code2)</f>
        <v>0</v>
      </c>
      <c r="AK138" s="526">
        <f>COUNTIF(ParticipationJanvier1[[#This Row],[1]:[31]],Code3)</f>
        <v>0</v>
      </c>
      <c r="AL138" s="472">
        <f>COUNTIF(ParticipationJanvier1[[#This Row],[1]:[31]],Code4)</f>
        <v>0</v>
      </c>
      <c r="AM138" s="526">
        <f>COUNTIF(ParticipationJanvier1[[#This Row],[1]:[31]],Code5)</f>
        <v>0</v>
      </c>
      <c r="AN138" s="527">
        <f>COUNTIF(ParticipationJanvier1[[#This Row],[1]:[31]],Code23)</f>
        <v>0</v>
      </c>
      <c r="AO138" s="472">
        <f>COUNTIF(ParticipationJanvier1[[#This Row],[1]:[31]],Code6)</f>
        <v>0</v>
      </c>
      <c r="AP138" s="528">
        <f>COUNTIF(ParticipationJanvier1[[#This Row],[1]:[31]],Code7)</f>
        <v>0</v>
      </c>
      <c r="AQ138" s="527">
        <f>COUNTIF(ParticipationJanvier1[[#This Row],[1]:[31]],Code8)</f>
        <v>0</v>
      </c>
      <c r="AR138" s="527">
        <f>COUNTIF(ParticipationJanvier1[[#This Row],[1]:[31]],Code9)</f>
        <v>0</v>
      </c>
      <c r="AS138" s="472">
        <f>COUNTIF(ParticipationJanvier1[[#This Row],[1]:[31]],Code10)</f>
        <v>0</v>
      </c>
      <c r="AT138" s="472">
        <f>COUNTIF(ParticipationJanvier1[[#This Row],[1]:[31]],Code11)</f>
        <v>0</v>
      </c>
      <c r="AU138" s="472">
        <f>COUNTIF(ParticipationJanvier1[[#This Row],[1]:[31]],Code12)</f>
        <v>0</v>
      </c>
      <c r="AV138" s="472">
        <f>COUNTIF(ParticipationJanvier1[[#This Row],[1]:[31]],Code13)</f>
        <v>0</v>
      </c>
      <c r="AW138" s="472">
        <f>COUNTIF(ParticipationJanvier1[[#This Row],[1]:[31]],Code14)</f>
        <v>0</v>
      </c>
      <c r="AX138" s="472">
        <f>COUNTIF(ParticipationJanvier1[[#This Row],[1]:[31]],Code15)</f>
        <v>0</v>
      </c>
      <c r="AY138" s="472">
        <f>COUNTIF(ParticipationJanvier1[[#This Row],[1]:[31]],Code16)</f>
        <v>0</v>
      </c>
      <c r="AZ138" s="472">
        <f>COUNTIF(ParticipationJanvier1[[#This Row],[1]:[31]],Code17)</f>
        <v>0</v>
      </c>
      <c r="BA138" s="474">
        <f>COUNTIF(ParticipationJanvier1[[#This Row],[1]:[31]],Code25)</f>
        <v>0</v>
      </c>
      <c r="BB138" s="474">
        <f>COUNTIF(ParticipationJanvier1[[#This Row],[1]:[31]],Code26)</f>
        <v>0</v>
      </c>
      <c r="BC138" s="474">
        <f>COUNTIF(ParticipationJanvier1[[#This Row],[1]:[31]],Code27)</f>
        <v>0</v>
      </c>
      <c r="BD138" s="474">
        <f>COUNTIF(ParticipationJanvier1[[#This Row],[1]:[31]],Code28)</f>
        <v>0</v>
      </c>
      <c r="BE138" s="474">
        <f>COUNTIF(ParticipationJanvier1[[#This Row],[1]:[31]],code30)</f>
        <v>0</v>
      </c>
      <c r="BF138" s="474">
        <f>COUNTIF(ParticipationJanvier1[[#This Row],[1]:[31]],Code31)</f>
        <v>0</v>
      </c>
      <c r="BG138" s="472">
        <f>COUNTIF(ParticipationJanvier1[[#This Row],[1]:[31]],code21)</f>
        <v>0</v>
      </c>
      <c r="BH138" s="472">
        <f>COUNTIF(ParticipationJanvier1[[#This Row],[1]:[31]],Code24)</f>
        <v>0</v>
      </c>
      <c r="BI138" s="472">
        <f>COUNTIF(ParticipationJanvier1[[#This Row],[1]:[31]],code18)</f>
        <v>0</v>
      </c>
      <c r="BJ138" s="472">
        <f>COUNTIF(ParticipationJanvier1[[#This Row],[1]:[31]],code19)</f>
        <v>0</v>
      </c>
      <c r="BK138" s="472">
        <f>COUNTIF(ParticipationJanvier1[[#This Row],[1]:[31]],code20)</f>
        <v>0</v>
      </c>
      <c r="BL138" s="476">
        <f>COUNTIF(ParticipationJanvier1[[#This Row],[1]:[31]],code29)</f>
        <v>0</v>
      </c>
      <c r="BM138" s="472">
        <f t="shared" si="7"/>
        <v>0</v>
      </c>
      <c r="BN138" s="472"/>
      <c r="BO138" s="472"/>
      <c r="BP138" s="472"/>
      <c r="BQ138" s="472"/>
      <c r="BR138" s="473"/>
      <c r="BS138" s="472"/>
      <c r="BT138" s="472"/>
      <c r="BU138" s="472"/>
      <c r="BV138" s="472"/>
      <c r="BW138" s="472"/>
      <c r="BX138" s="472"/>
      <c r="BY138" s="472"/>
      <c r="BZ138" s="472"/>
      <c r="CA138" s="472"/>
      <c r="CB138" s="472"/>
      <c r="CC138" s="472"/>
      <c r="CD138" s="472"/>
      <c r="CE138" s="472"/>
      <c r="CF138" s="472"/>
      <c r="CG138" s="472"/>
      <c r="CH138" s="472"/>
      <c r="CI138" s="472"/>
      <c r="CJ138" s="472"/>
      <c r="CK138" s="472"/>
      <c r="CL138" s="472"/>
      <c r="CM138" s="472"/>
      <c r="CN138" s="472"/>
      <c r="CO138" s="472"/>
      <c r="CP138" s="472"/>
      <c r="CQ138" s="472"/>
      <c r="CR138" s="472"/>
      <c r="CS138" s="472"/>
      <c r="CT138" s="472"/>
      <c r="CU138" s="516">
        <f t="shared" si="8"/>
        <v>0</v>
      </c>
      <c r="CV138" s="521">
        <f t="shared" si="9"/>
        <v>0</v>
      </c>
      <c r="CW138" s="472">
        <f t="shared" si="10"/>
        <v>0</v>
      </c>
      <c r="CX138" s="472">
        <f t="shared" si="11"/>
        <v>0</v>
      </c>
      <c r="CY138" s="512"/>
    </row>
    <row r="139" spans="1:103">
      <c r="A139" s="567" t="s">
        <v>578</v>
      </c>
      <c r="B139" s="372" t="str">
        <f>IFERROR(VLOOKUP(ParticipationJanvier1[[#This Row],[Référence]],ListeÉtudiants1[],18,FALSE),"")</f>
        <v>ASSOUMANI ASMINA</v>
      </c>
      <c r="G139" s="525"/>
      <c r="I139" s="525"/>
      <c r="K139" s="525"/>
      <c r="M139" s="525"/>
      <c r="O139" s="525"/>
      <c r="Q139" s="525"/>
      <c r="S139" s="525"/>
      <c r="U139" s="525"/>
      <c r="W139" s="525"/>
      <c r="Y139" s="525"/>
      <c r="AA139" s="525"/>
      <c r="AC139" s="525"/>
      <c r="AE139" s="525"/>
      <c r="AG139" s="519"/>
      <c r="AH139" s="474">
        <f>COUNTIF(ParticipationJanvier1[[#This Row],[1]:[31]],Code1)</f>
        <v>0</v>
      </c>
      <c r="AI139" s="525">
        <f>COUNTIF(ParticipationJanvier1[[#This Row],[1]:[31]],code22)</f>
        <v>0</v>
      </c>
      <c r="AJ139" s="472">
        <f>COUNTIF(ParticipationJanvier1[[#This Row],[1]:[31]],Code2)</f>
        <v>0</v>
      </c>
      <c r="AK139" s="526">
        <f>COUNTIF(ParticipationJanvier1[[#This Row],[1]:[31]],Code3)</f>
        <v>0</v>
      </c>
      <c r="AL139" s="472">
        <f>COUNTIF(ParticipationJanvier1[[#This Row],[1]:[31]],Code4)</f>
        <v>0</v>
      </c>
      <c r="AM139" s="526">
        <f>COUNTIF(ParticipationJanvier1[[#This Row],[1]:[31]],Code5)</f>
        <v>0</v>
      </c>
      <c r="AN139" s="527">
        <f>COUNTIF(ParticipationJanvier1[[#This Row],[1]:[31]],Code23)</f>
        <v>0</v>
      </c>
      <c r="AO139" s="472">
        <f>COUNTIF(ParticipationJanvier1[[#This Row],[1]:[31]],Code6)</f>
        <v>0</v>
      </c>
      <c r="AP139" s="528">
        <f>COUNTIF(ParticipationJanvier1[[#This Row],[1]:[31]],Code7)</f>
        <v>0</v>
      </c>
      <c r="AQ139" s="527">
        <f>COUNTIF(ParticipationJanvier1[[#This Row],[1]:[31]],Code8)</f>
        <v>0</v>
      </c>
      <c r="AR139" s="527">
        <f>COUNTIF(ParticipationJanvier1[[#This Row],[1]:[31]],Code9)</f>
        <v>0</v>
      </c>
      <c r="AS139" s="472">
        <f>COUNTIF(ParticipationJanvier1[[#This Row],[1]:[31]],Code10)</f>
        <v>0</v>
      </c>
      <c r="AT139" s="472">
        <f>COUNTIF(ParticipationJanvier1[[#This Row],[1]:[31]],Code11)</f>
        <v>0</v>
      </c>
      <c r="AU139" s="472">
        <f>COUNTIF(ParticipationJanvier1[[#This Row],[1]:[31]],Code12)</f>
        <v>0</v>
      </c>
      <c r="AV139" s="472">
        <f>COUNTIF(ParticipationJanvier1[[#This Row],[1]:[31]],Code13)</f>
        <v>0</v>
      </c>
      <c r="AW139" s="472">
        <f>COUNTIF(ParticipationJanvier1[[#This Row],[1]:[31]],Code14)</f>
        <v>0</v>
      </c>
      <c r="AX139" s="472">
        <f>COUNTIF(ParticipationJanvier1[[#This Row],[1]:[31]],Code15)</f>
        <v>0</v>
      </c>
      <c r="AY139" s="472">
        <f>COUNTIF(ParticipationJanvier1[[#This Row],[1]:[31]],Code16)</f>
        <v>0</v>
      </c>
      <c r="AZ139" s="472">
        <f>COUNTIF(ParticipationJanvier1[[#This Row],[1]:[31]],Code17)</f>
        <v>0</v>
      </c>
      <c r="BA139" s="474">
        <f>COUNTIF(ParticipationJanvier1[[#This Row],[1]:[31]],Code25)</f>
        <v>0</v>
      </c>
      <c r="BB139" s="474">
        <f>COUNTIF(ParticipationJanvier1[[#This Row],[1]:[31]],Code26)</f>
        <v>0</v>
      </c>
      <c r="BC139" s="474">
        <f>COUNTIF(ParticipationJanvier1[[#This Row],[1]:[31]],Code27)</f>
        <v>0</v>
      </c>
      <c r="BD139" s="474">
        <f>COUNTIF(ParticipationJanvier1[[#This Row],[1]:[31]],Code28)</f>
        <v>0</v>
      </c>
      <c r="BE139" s="474">
        <f>COUNTIF(ParticipationJanvier1[[#This Row],[1]:[31]],code30)</f>
        <v>0</v>
      </c>
      <c r="BF139" s="474">
        <f>COUNTIF(ParticipationJanvier1[[#This Row],[1]:[31]],Code31)</f>
        <v>0</v>
      </c>
      <c r="BG139" s="472">
        <f>COUNTIF(ParticipationJanvier1[[#This Row],[1]:[31]],code21)</f>
        <v>0</v>
      </c>
      <c r="BH139" s="472">
        <f>COUNTIF(ParticipationJanvier1[[#This Row],[1]:[31]],Code24)</f>
        <v>0</v>
      </c>
      <c r="BI139" s="472">
        <f>COUNTIF(ParticipationJanvier1[[#This Row],[1]:[31]],code18)</f>
        <v>0</v>
      </c>
      <c r="BJ139" s="472">
        <f>COUNTIF(ParticipationJanvier1[[#This Row],[1]:[31]],code19)</f>
        <v>0</v>
      </c>
      <c r="BK139" s="472">
        <f>COUNTIF(ParticipationJanvier1[[#This Row],[1]:[31]],code20)</f>
        <v>0</v>
      </c>
      <c r="BL139" s="476">
        <f>COUNTIF(ParticipationJanvier1[[#This Row],[1]:[31]],code29)</f>
        <v>0</v>
      </c>
      <c r="BM139" s="472">
        <f t="shared" si="7"/>
        <v>0</v>
      </c>
      <c r="BN139" s="472"/>
      <c r="BO139" s="472"/>
      <c r="BP139" s="472"/>
      <c r="BQ139" s="472"/>
      <c r="BR139" s="473"/>
      <c r="BS139" s="472"/>
      <c r="BT139" s="472"/>
      <c r="BU139" s="472"/>
      <c r="BV139" s="472"/>
      <c r="BW139" s="472"/>
      <c r="BX139" s="472"/>
      <c r="BY139" s="472"/>
      <c r="BZ139" s="472"/>
      <c r="CA139" s="472"/>
      <c r="CB139" s="472"/>
      <c r="CC139" s="472"/>
      <c r="CD139" s="472"/>
      <c r="CE139" s="472"/>
      <c r="CF139" s="472"/>
      <c r="CG139" s="472"/>
      <c r="CH139" s="472"/>
      <c r="CI139" s="472"/>
      <c r="CJ139" s="472"/>
      <c r="CK139" s="472"/>
      <c r="CL139" s="472"/>
      <c r="CM139" s="472"/>
      <c r="CN139" s="472"/>
      <c r="CO139" s="472"/>
      <c r="CP139" s="472"/>
      <c r="CQ139" s="472"/>
      <c r="CR139" s="472"/>
      <c r="CS139" s="472"/>
      <c r="CT139" s="472"/>
      <c r="CU139" s="516">
        <f t="shared" si="8"/>
        <v>0</v>
      </c>
      <c r="CV139" s="521">
        <f t="shared" si="9"/>
        <v>0</v>
      </c>
      <c r="CW139" s="472">
        <f t="shared" si="10"/>
        <v>0</v>
      </c>
      <c r="CX139" s="472">
        <f t="shared" si="11"/>
        <v>0</v>
      </c>
      <c r="CY139" s="512"/>
    </row>
    <row r="140" spans="1:103">
      <c r="A140" s="567" t="s">
        <v>579</v>
      </c>
      <c r="B140" s="372" t="str">
        <f>IFERROR(VLOOKUP(ParticipationJanvier1[[#This Row],[Référence]],ListeÉtudiants1[],18,FALSE),"")</f>
        <v>ATSE KIMBERLEY</v>
      </c>
      <c r="G140" s="525"/>
      <c r="I140" s="525"/>
      <c r="K140" s="525"/>
      <c r="M140" s="525"/>
      <c r="O140" s="525"/>
      <c r="Q140" s="525"/>
      <c r="S140" s="525"/>
      <c r="U140" s="525"/>
      <c r="W140" s="525"/>
      <c r="Y140" s="525"/>
      <c r="AA140" s="525"/>
      <c r="AC140" s="525"/>
      <c r="AE140" s="525"/>
      <c r="AG140" s="519"/>
      <c r="AH140" s="474">
        <f>COUNTIF(ParticipationJanvier1[[#This Row],[1]:[31]],Code1)</f>
        <v>0</v>
      </c>
      <c r="AI140" s="525">
        <f>COUNTIF(ParticipationJanvier1[[#This Row],[1]:[31]],code22)</f>
        <v>0</v>
      </c>
      <c r="AJ140" s="472">
        <f>COUNTIF(ParticipationJanvier1[[#This Row],[1]:[31]],Code2)</f>
        <v>0</v>
      </c>
      <c r="AK140" s="526">
        <f>COUNTIF(ParticipationJanvier1[[#This Row],[1]:[31]],Code3)</f>
        <v>0</v>
      </c>
      <c r="AL140" s="472">
        <f>COUNTIF(ParticipationJanvier1[[#This Row],[1]:[31]],Code4)</f>
        <v>0</v>
      </c>
      <c r="AM140" s="526">
        <f>COUNTIF(ParticipationJanvier1[[#This Row],[1]:[31]],Code5)</f>
        <v>0</v>
      </c>
      <c r="AN140" s="527">
        <f>COUNTIF(ParticipationJanvier1[[#This Row],[1]:[31]],Code23)</f>
        <v>0</v>
      </c>
      <c r="AO140" s="472">
        <f>COUNTIF(ParticipationJanvier1[[#This Row],[1]:[31]],Code6)</f>
        <v>0</v>
      </c>
      <c r="AP140" s="528">
        <f>COUNTIF(ParticipationJanvier1[[#This Row],[1]:[31]],Code7)</f>
        <v>0</v>
      </c>
      <c r="AQ140" s="527">
        <f>COUNTIF(ParticipationJanvier1[[#This Row],[1]:[31]],Code8)</f>
        <v>0</v>
      </c>
      <c r="AR140" s="527">
        <f>COUNTIF(ParticipationJanvier1[[#This Row],[1]:[31]],Code9)</f>
        <v>0</v>
      </c>
      <c r="AS140" s="472">
        <f>COUNTIF(ParticipationJanvier1[[#This Row],[1]:[31]],Code10)</f>
        <v>0</v>
      </c>
      <c r="AT140" s="472">
        <f>COUNTIF(ParticipationJanvier1[[#This Row],[1]:[31]],Code11)</f>
        <v>0</v>
      </c>
      <c r="AU140" s="472">
        <f>COUNTIF(ParticipationJanvier1[[#This Row],[1]:[31]],Code12)</f>
        <v>0</v>
      </c>
      <c r="AV140" s="472">
        <f>COUNTIF(ParticipationJanvier1[[#This Row],[1]:[31]],Code13)</f>
        <v>0</v>
      </c>
      <c r="AW140" s="472">
        <f>COUNTIF(ParticipationJanvier1[[#This Row],[1]:[31]],Code14)</f>
        <v>0</v>
      </c>
      <c r="AX140" s="472">
        <f>COUNTIF(ParticipationJanvier1[[#This Row],[1]:[31]],Code15)</f>
        <v>0</v>
      </c>
      <c r="AY140" s="472">
        <f>COUNTIF(ParticipationJanvier1[[#This Row],[1]:[31]],Code16)</f>
        <v>0</v>
      </c>
      <c r="AZ140" s="472">
        <f>COUNTIF(ParticipationJanvier1[[#This Row],[1]:[31]],Code17)</f>
        <v>0</v>
      </c>
      <c r="BA140" s="474">
        <f>COUNTIF(ParticipationJanvier1[[#This Row],[1]:[31]],Code25)</f>
        <v>0</v>
      </c>
      <c r="BB140" s="474">
        <f>COUNTIF(ParticipationJanvier1[[#This Row],[1]:[31]],Code26)</f>
        <v>0</v>
      </c>
      <c r="BC140" s="474">
        <f>COUNTIF(ParticipationJanvier1[[#This Row],[1]:[31]],Code27)</f>
        <v>0</v>
      </c>
      <c r="BD140" s="474">
        <f>COUNTIF(ParticipationJanvier1[[#This Row],[1]:[31]],Code28)</f>
        <v>0</v>
      </c>
      <c r="BE140" s="474">
        <f>COUNTIF(ParticipationJanvier1[[#This Row],[1]:[31]],code30)</f>
        <v>0</v>
      </c>
      <c r="BF140" s="474">
        <f>COUNTIF(ParticipationJanvier1[[#This Row],[1]:[31]],Code31)</f>
        <v>0</v>
      </c>
      <c r="BG140" s="472">
        <f>COUNTIF(ParticipationJanvier1[[#This Row],[1]:[31]],code21)</f>
        <v>0</v>
      </c>
      <c r="BH140" s="472">
        <f>COUNTIF(ParticipationJanvier1[[#This Row],[1]:[31]],Code24)</f>
        <v>0</v>
      </c>
      <c r="BI140" s="472">
        <f>COUNTIF(ParticipationJanvier1[[#This Row],[1]:[31]],code18)</f>
        <v>0</v>
      </c>
      <c r="BJ140" s="472">
        <f>COUNTIF(ParticipationJanvier1[[#This Row],[1]:[31]],code19)</f>
        <v>0</v>
      </c>
      <c r="BK140" s="472">
        <f>COUNTIF(ParticipationJanvier1[[#This Row],[1]:[31]],code20)</f>
        <v>0</v>
      </c>
      <c r="BL140" s="476">
        <f>COUNTIF(ParticipationJanvier1[[#This Row],[1]:[31]],code29)</f>
        <v>0</v>
      </c>
      <c r="BM140" s="472">
        <f t="shared" si="7"/>
        <v>0</v>
      </c>
      <c r="BN140" s="472"/>
      <c r="BO140" s="472"/>
      <c r="BP140" s="472"/>
      <c r="BQ140" s="472"/>
      <c r="BR140" s="473"/>
      <c r="BS140" s="472"/>
      <c r="BT140" s="472"/>
      <c r="BU140" s="472"/>
      <c r="BV140" s="472"/>
      <c r="BW140" s="472"/>
      <c r="BX140" s="472"/>
      <c r="BY140" s="472"/>
      <c r="BZ140" s="472"/>
      <c r="CA140" s="472"/>
      <c r="CB140" s="472"/>
      <c r="CC140" s="472"/>
      <c r="CD140" s="472"/>
      <c r="CE140" s="472"/>
      <c r="CF140" s="472"/>
      <c r="CG140" s="472"/>
      <c r="CH140" s="472"/>
      <c r="CI140" s="472"/>
      <c r="CJ140" s="472"/>
      <c r="CK140" s="472"/>
      <c r="CL140" s="472"/>
      <c r="CM140" s="472"/>
      <c r="CN140" s="472"/>
      <c r="CO140" s="472"/>
      <c r="CP140" s="472"/>
      <c r="CQ140" s="472"/>
      <c r="CR140" s="472"/>
      <c r="CS140" s="472"/>
      <c r="CT140" s="472"/>
      <c r="CU140" s="516">
        <f t="shared" si="8"/>
        <v>0</v>
      </c>
      <c r="CV140" s="521">
        <f t="shared" si="9"/>
        <v>0</v>
      </c>
      <c r="CW140" s="472">
        <f t="shared" si="10"/>
        <v>0</v>
      </c>
      <c r="CX140" s="472">
        <f t="shared" si="11"/>
        <v>0</v>
      </c>
      <c r="CY140" s="512"/>
    </row>
    <row r="141" spans="1:103">
      <c r="A141" s="567" t="s">
        <v>582</v>
      </c>
      <c r="B141" s="372" t="str">
        <f>IFERROR(VLOOKUP(ParticipationJanvier1[[#This Row],[Référence]],ListeÉtudiants1[],18,FALSE),"")</f>
        <v>BOLINGO  Malise</v>
      </c>
      <c r="G141" s="525"/>
      <c r="I141" s="525"/>
      <c r="K141" s="525"/>
      <c r="M141" s="525"/>
      <c r="O141" s="525"/>
      <c r="Q141" s="525"/>
      <c r="S141" s="525"/>
      <c r="U141" s="525"/>
      <c r="W141" s="525"/>
      <c r="Y141" s="525"/>
      <c r="AA141" s="525"/>
      <c r="AC141" s="525"/>
      <c r="AE141" s="525"/>
      <c r="AG141" s="519"/>
      <c r="AH141" s="474">
        <f>COUNTIF(ParticipationJanvier1[[#This Row],[1]:[31]],Code1)</f>
        <v>0</v>
      </c>
      <c r="AI141" s="525">
        <f>COUNTIF(ParticipationJanvier1[[#This Row],[1]:[31]],code22)</f>
        <v>0</v>
      </c>
      <c r="AJ141" s="472">
        <f>COUNTIF(ParticipationJanvier1[[#This Row],[1]:[31]],Code2)</f>
        <v>0</v>
      </c>
      <c r="AK141" s="526">
        <f>COUNTIF(ParticipationJanvier1[[#This Row],[1]:[31]],Code3)</f>
        <v>0</v>
      </c>
      <c r="AL141" s="472">
        <f>COUNTIF(ParticipationJanvier1[[#This Row],[1]:[31]],Code4)</f>
        <v>0</v>
      </c>
      <c r="AM141" s="526">
        <f>COUNTIF(ParticipationJanvier1[[#This Row],[1]:[31]],Code5)</f>
        <v>0</v>
      </c>
      <c r="AN141" s="527">
        <f>COUNTIF(ParticipationJanvier1[[#This Row],[1]:[31]],Code23)</f>
        <v>0</v>
      </c>
      <c r="AO141" s="472">
        <f>COUNTIF(ParticipationJanvier1[[#This Row],[1]:[31]],Code6)</f>
        <v>0</v>
      </c>
      <c r="AP141" s="528">
        <f>COUNTIF(ParticipationJanvier1[[#This Row],[1]:[31]],Code7)</f>
        <v>0</v>
      </c>
      <c r="AQ141" s="527">
        <f>COUNTIF(ParticipationJanvier1[[#This Row],[1]:[31]],Code8)</f>
        <v>0</v>
      </c>
      <c r="AR141" s="527">
        <f>COUNTIF(ParticipationJanvier1[[#This Row],[1]:[31]],Code9)</f>
        <v>0</v>
      </c>
      <c r="AS141" s="472">
        <f>COUNTIF(ParticipationJanvier1[[#This Row],[1]:[31]],Code10)</f>
        <v>0</v>
      </c>
      <c r="AT141" s="472">
        <f>COUNTIF(ParticipationJanvier1[[#This Row],[1]:[31]],Code11)</f>
        <v>0</v>
      </c>
      <c r="AU141" s="472">
        <f>COUNTIF(ParticipationJanvier1[[#This Row],[1]:[31]],Code12)</f>
        <v>0</v>
      </c>
      <c r="AV141" s="472">
        <f>COUNTIF(ParticipationJanvier1[[#This Row],[1]:[31]],Code13)</f>
        <v>0</v>
      </c>
      <c r="AW141" s="472">
        <f>COUNTIF(ParticipationJanvier1[[#This Row],[1]:[31]],Code14)</f>
        <v>0</v>
      </c>
      <c r="AX141" s="472">
        <f>COUNTIF(ParticipationJanvier1[[#This Row],[1]:[31]],Code15)</f>
        <v>0</v>
      </c>
      <c r="AY141" s="472">
        <f>COUNTIF(ParticipationJanvier1[[#This Row],[1]:[31]],Code16)</f>
        <v>0</v>
      </c>
      <c r="AZ141" s="472">
        <f>COUNTIF(ParticipationJanvier1[[#This Row],[1]:[31]],Code17)</f>
        <v>0</v>
      </c>
      <c r="BA141" s="474">
        <f>COUNTIF(ParticipationJanvier1[[#This Row],[1]:[31]],Code25)</f>
        <v>0</v>
      </c>
      <c r="BB141" s="474">
        <f>COUNTIF(ParticipationJanvier1[[#This Row],[1]:[31]],Code26)</f>
        <v>0</v>
      </c>
      <c r="BC141" s="474">
        <f>COUNTIF(ParticipationJanvier1[[#This Row],[1]:[31]],Code27)</f>
        <v>0</v>
      </c>
      <c r="BD141" s="474">
        <f>COUNTIF(ParticipationJanvier1[[#This Row],[1]:[31]],Code28)</f>
        <v>0</v>
      </c>
      <c r="BE141" s="474">
        <f>COUNTIF(ParticipationJanvier1[[#This Row],[1]:[31]],code30)</f>
        <v>0</v>
      </c>
      <c r="BF141" s="474">
        <f>COUNTIF(ParticipationJanvier1[[#This Row],[1]:[31]],Code31)</f>
        <v>0</v>
      </c>
      <c r="BG141" s="472">
        <f>COUNTIF(ParticipationJanvier1[[#This Row],[1]:[31]],code21)</f>
        <v>0</v>
      </c>
      <c r="BH141" s="472">
        <f>COUNTIF(ParticipationJanvier1[[#This Row],[1]:[31]],Code24)</f>
        <v>0</v>
      </c>
      <c r="BI141" s="472">
        <f>COUNTIF(ParticipationJanvier1[[#This Row],[1]:[31]],code18)</f>
        <v>0</v>
      </c>
      <c r="BJ141" s="472">
        <f>COUNTIF(ParticipationJanvier1[[#This Row],[1]:[31]],code19)</f>
        <v>0</v>
      </c>
      <c r="BK141" s="472">
        <f>COUNTIF(ParticipationJanvier1[[#This Row],[1]:[31]],code20)</f>
        <v>0</v>
      </c>
      <c r="BL141" s="476">
        <f>COUNTIF(ParticipationJanvier1[[#This Row],[1]:[31]],code29)</f>
        <v>0</v>
      </c>
      <c r="BM141" s="472">
        <f t="shared" si="7"/>
        <v>0</v>
      </c>
      <c r="BN141" s="472"/>
      <c r="BO141" s="472"/>
      <c r="BP141" s="472"/>
      <c r="BQ141" s="472"/>
      <c r="BR141" s="473"/>
      <c r="BS141" s="472"/>
      <c r="BT141" s="472"/>
      <c r="BU141" s="472"/>
      <c r="BV141" s="472"/>
      <c r="BW141" s="472"/>
      <c r="BX141" s="472"/>
      <c r="BY141" s="472"/>
      <c r="BZ141" s="472"/>
      <c r="CA141" s="472"/>
      <c r="CB141" s="472"/>
      <c r="CC141" s="472"/>
      <c r="CD141" s="472"/>
      <c r="CE141" s="472"/>
      <c r="CF141" s="472"/>
      <c r="CG141" s="472"/>
      <c r="CH141" s="472"/>
      <c r="CI141" s="472"/>
      <c r="CJ141" s="472"/>
      <c r="CK141" s="472"/>
      <c r="CL141" s="472"/>
      <c r="CM141" s="472"/>
      <c r="CN141" s="472"/>
      <c r="CO141" s="472"/>
      <c r="CP141" s="472"/>
      <c r="CQ141" s="472"/>
      <c r="CR141" s="472"/>
      <c r="CS141" s="472"/>
      <c r="CT141" s="472"/>
      <c r="CU141" s="516">
        <f t="shared" si="8"/>
        <v>0</v>
      </c>
      <c r="CV141" s="521">
        <f t="shared" si="9"/>
        <v>0</v>
      </c>
      <c r="CW141" s="472">
        <f t="shared" si="10"/>
        <v>0</v>
      </c>
      <c r="CX141" s="472">
        <f t="shared" si="11"/>
        <v>0</v>
      </c>
      <c r="CY141" s="512"/>
    </row>
    <row r="142" spans="1:103">
      <c r="A142" s="567" t="s">
        <v>584</v>
      </c>
      <c r="B142" s="372" t="str">
        <f>IFERROR(VLOOKUP(ParticipationJanvier1[[#This Row],[Référence]],ListeÉtudiants1[],18,FALSE),"")</f>
        <v>CAPAROS Maia</v>
      </c>
      <c r="G142" s="525"/>
      <c r="I142" s="525"/>
      <c r="K142" s="525"/>
      <c r="M142" s="525"/>
      <c r="O142" s="525"/>
      <c r="Q142" s="525"/>
      <c r="S142" s="525"/>
      <c r="U142" s="525"/>
      <c r="W142" s="525"/>
      <c r="Y142" s="525"/>
      <c r="AA142" s="525"/>
      <c r="AC142" s="525"/>
      <c r="AE142" s="525"/>
      <c r="AG142" s="519"/>
      <c r="AH142" s="474">
        <f>COUNTIF(ParticipationJanvier1[[#This Row],[1]:[31]],Code1)</f>
        <v>0</v>
      </c>
      <c r="AI142" s="525">
        <f>COUNTIF(ParticipationJanvier1[[#This Row],[1]:[31]],code22)</f>
        <v>0</v>
      </c>
      <c r="AJ142" s="472">
        <f>COUNTIF(ParticipationJanvier1[[#This Row],[1]:[31]],Code2)</f>
        <v>0</v>
      </c>
      <c r="AK142" s="526">
        <f>COUNTIF(ParticipationJanvier1[[#This Row],[1]:[31]],Code3)</f>
        <v>0</v>
      </c>
      <c r="AL142" s="472">
        <f>COUNTIF(ParticipationJanvier1[[#This Row],[1]:[31]],Code4)</f>
        <v>0</v>
      </c>
      <c r="AM142" s="526">
        <f>COUNTIF(ParticipationJanvier1[[#This Row],[1]:[31]],Code5)</f>
        <v>0</v>
      </c>
      <c r="AN142" s="527">
        <f>COUNTIF(ParticipationJanvier1[[#This Row],[1]:[31]],Code23)</f>
        <v>0</v>
      </c>
      <c r="AO142" s="472">
        <f>COUNTIF(ParticipationJanvier1[[#This Row],[1]:[31]],Code6)</f>
        <v>0</v>
      </c>
      <c r="AP142" s="528">
        <f>COUNTIF(ParticipationJanvier1[[#This Row],[1]:[31]],Code7)</f>
        <v>0</v>
      </c>
      <c r="AQ142" s="527">
        <f>COUNTIF(ParticipationJanvier1[[#This Row],[1]:[31]],Code8)</f>
        <v>0</v>
      </c>
      <c r="AR142" s="527">
        <f>COUNTIF(ParticipationJanvier1[[#This Row],[1]:[31]],Code9)</f>
        <v>0</v>
      </c>
      <c r="AS142" s="472">
        <f>COUNTIF(ParticipationJanvier1[[#This Row],[1]:[31]],Code10)</f>
        <v>0</v>
      </c>
      <c r="AT142" s="472">
        <f>COUNTIF(ParticipationJanvier1[[#This Row],[1]:[31]],Code11)</f>
        <v>0</v>
      </c>
      <c r="AU142" s="472">
        <f>COUNTIF(ParticipationJanvier1[[#This Row],[1]:[31]],Code12)</f>
        <v>0</v>
      </c>
      <c r="AV142" s="472">
        <f>COUNTIF(ParticipationJanvier1[[#This Row],[1]:[31]],Code13)</f>
        <v>0</v>
      </c>
      <c r="AW142" s="472">
        <f>COUNTIF(ParticipationJanvier1[[#This Row],[1]:[31]],Code14)</f>
        <v>0</v>
      </c>
      <c r="AX142" s="472">
        <f>COUNTIF(ParticipationJanvier1[[#This Row],[1]:[31]],Code15)</f>
        <v>0</v>
      </c>
      <c r="AY142" s="472">
        <f>COUNTIF(ParticipationJanvier1[[#This Row],[1]:[31]],Code16)</f>
        <v>0</v>
      </c>
      <c r="AZ142" s="472">
        <f>COUNTIF(ParticipationJanvier1[[#This Row],[1]:[31]],Code17)</f>
        <v>0</v>
      </c>
      <c r="BA142" s="474">
        <f>COUNTIF(ParticipationJanvier1[[#This Row],[1]:[31]],Code25)</f>
        <v>0</v>
      </c>
      <c r="BB142" s="474">
        <f>COUNTIF(ParticipationJanvier1[[#This Row],[1]:[31]],Code26)</f>
        <v>0</v>
      </c>
      <c r="BC142" s="474">
        <f>COUNTIF(ParticipationJanvier1[[#This Row],[1]:[31]],Code27)</f>
        <v>0</v>
      </c>
      <c r="BD142" s="474">
        <f>COUNTIF(ParticipationJanvier1[[#This Row],[1]:[31]],Code28)</f>
        <v>0</v>
      </c>
      <c r="BE142" s="474">
        <f>COUNTIF(ParticipationJanvier1[[#This Row],[1]:[31]],code30)</f>
        <v>0</v>
      </c>
      <c r="BF142" s="474">
        <f>COUNTIF(ParticipationJanvier1[[#This Row],[1]:[31]],Code31)</f>
        <v>0</v>
      </c>
      <c r="BG142" s="472">
        <f>COUNTIF(ParticipationJanvier1[[#This Row],[1]:[31]],code21)</f>
        <v>0</v>
      </c>
      <c r="BH142" s="472">
        <f>COUNTIF(ParticipationJanvier1[[#This Row],[1]:[31]],Code24)</f>
        <v>0</v>
      </c>
      <c r="BI142" s="472">
        <f>COUNTIF(ParticipationJanvier1[[#This Row],[1]:[31]],code18)</f>
        <v>0</v>
      </c>
      <c r="BJ142" s="472">
        <f>COUNTIF(ParticipationJanvier1[[#This Row],[1]:[31]],code19)</f>
        <v>0</v>
      </c>
      <c r="BK142" s="472">
        <f>COUNTIF(ParticipationJanvier1[[#This Row],[1]:[31]],code20)</f>
        <v>0</v>
      </c>
      <c r="BL142" s="476">
        <f>COUNTIF(ParticipationJanvier1[[#This Row],[1]:[31]],code29)</f>
        <v>0</v>
      </c>
      <c r="BM142" s="472">
        <f t="shared" si="7"/>
        <v>0</v>
      </c>
      <c r="BN142" s="472"/>
      <c r="BO142" s="472"/>
      <c r="BP142" s="472"/>
      <c r="BQ142" s="472"/>
      <c r="BR142" s="473"/>
      <c r="BS142" s="472"/>
      <c r="BT142" s="472"/>
      <c r="BU142" s="472"/>
      <c r="BV142" s="472"/>
      <c r="BW142" s="472"/>
      <c r="BX142" s="472"/>
      <c r="BY142" s="472"/>
      <c r="BZ142" s="472"/>
      <c r="CA142" s="472"/>
      <c r="CB142" s="472"/>
      <c r="CC142" s="472"/>
      <c r="CD142" s="472"/>
      <c r="CE142" s="472"/>
      <c r="CF142" s="472"/>
      <c r="CG142" s="472"/>
      <c r="CH142" s="472"/>
      <c r="CI142" s="472"/>
      <c r="CJ142" s="472"/>
      <c r="CK142" s="472"/>
      <c r="CL142" s="472"/>
      <c r="CM142" s="472"/>
      <c r="CN142" s="472"/>
      <c r="CO142" s="472"/>
      <c r="CP142" s="472"/>
      <c r="CQ142" s="472"/>
      <c r="CR142" s="472"/>
      <c r="CS142" s="472"/>
      <c r="CT142" s="472"/>
      <c r="CU142" s="516">
        <f t="shared" si="8"/>
        <v>0</v>
      </c>
      <c r="CV142" s="521">
        <f t="shared" si="9"/>
        <v>0</v>
      </c>
      <c r="CW142" s="472">
        <f t="shared" si="10"/>
        <v>0</v>
      </c>
      <c r="CX142" s="472">
        <f t="shared" si="11"/>
        <v>0</v>
      </c>
      <c r="CY142" s="512"/>
    </row>
    <row r="143" spans="1:103">
      <c r="A143" s="534" t="s">
        <v>585</v>
      </c>
      <c r="B143" s="372" t="str">
        <f>IFERROR(VLOOKUP(ParticipationJanvier1[[#This Row],[Référence]],ListeÉtudiants1[],18,FALSE),"")</f>
        <v>COLLADO ALICIA</v>
      </c>
      <c r="G143" s="525"/>
      <c r="I143" s="525"/>
      <c r="K143" s="525"/>
      <c r="M143" s="525"/>
      <c r="O143" s="525"/>
      <c r="Q143" s="525"/>
      <c r="S143" s="525"/>
      <c r="U143" s="525"/>
      <c r="W143" s="525"/>
      <c r="Y143" s="525"/>
      <c r="AA143" s="525"/>
      <c r="AC143" s="525"/>
      <c r="AE143" s="525"/>
      <c r="AG143" s="519"/>
      <c r="AH143" s="474">
        <f>COUNTIF(ParticipationJanvier1[[#This Row],[1]:[31]],Code1)</f>
        <v>0</v>
      </c>
      <c r="AI143" s="525">
        <f>COUNTIF(ParticipationJanvier1[[#This Row],[1]:[31]],code22)</f>
        <v>0</v>
      </c>
      <c r="AJ143" s="472">
        <f>COUNTIF(ParticipationJanvier1[[#This Row],[1]:[31]],Code2)</f>
        <v>0</v>
      </c>
      <c r="AK143" s="526">
        <f>COUNTIF(ParticipationJanvier1[[#This Row],[1]:[31]],Code3)</f>
        <v>0</v>
      </c>
      <c r="AL143" s="472">
        <f>COUNTIF(ParticipationJanvier1[[#This Row],[1]:[31]],Code4)</f>
        <v>0</v>
      </c>
      <c r="AM143" s="526">
        <f>COUNTIF(ParticipationJanvier1[[#This Row],[1]:[31]],Code5)</f>
        <v>0</v>
      </c>
      <c r="AN143" s="527">
        <f>COUNTIF(ParticipationJanvier1[[#This Row],[1]:[31]],Code23)</f>
        <v>0</v>
      </c>
      <c r="AO143" s="472">
        <f>COUNTIF(ParticipationJanvier1[[#This Row],[1]:[31]],Code6)</f>
        <v>0</v>
      </c>
      <c r="AP143" s="528">
        <f>COUNTIF(ParticipationJanvier1[[#This Row],[1]:[31]],Code7)</f>
        <v>0</v>
      </c>
      <c r="AQ143" s="527">
        <f>COUNTIF(ParticipationJanvier1[[#This Row],[1]:[31]],Code8)</f>
        <v>0</v>
      </c>
      <c r="AR143" s="527">
        <f>COUNTIF(ParticipationJanvier1[[#This Row],[1]:[31]],Code9)</f>
        <v>0</v>
      </c>
      <c r="AS143" s="472">
        <f>COUNTIF(ParticipationJanvier1[[#This Row],[1]:[31]],Code10)</f>
        <v>0</v>
      </c>
      <c r="AT143" s="472">
        <f>COUNTIF(ParticipationJanvier1[[#This Row],[1]:[31]],Code11)</f>
        <v>0</v>
      </c>
      <c r="AU143" s="472">
        <f>COUNTIF(ParticipationJanvier1[[#This Row],[1]:[31]],Code12)</f>
        <v>0</v>
      </c>
      <c r="AV143" s="472">
        <f>COUNTIF(ParticipationJanvier1[[#This Row],[1]:[31]],Code13)</f>
        <v>0</v>
      </c>
      <c r="AW143" s="472">
        <f>COUNTIF(ParticipationJanvier1[[#This Row],[1]:[31]],Code14)</f>
        <v>0</v>
      </c>
      <c r="AX143" s="472">
        <f>COUNTIF(ParticipationJanvier1[[#This Row],[1]:[31]],Code15)</f>
        <v>0</v>
      </c>
      <c r="AY143" s="472">
        <f>COUNTIF(ParticipationJanvier1[[#This Row],[1]:[31]],Code16)</f>
        <v>0</v>
      </c>
      <c r="AZ143" s="472">
        <f>COUNTIF(ParticipationJanvier1[[#This Row],[1]:[31]],Code17)</f>
        <v>0</v>
      </c>
      <c r="BA143" s="474">
        <f>COUNTIF(ParticipationJanvier1[[#This Row],[1]:[31]],Code25)</f>
        <v>0</v>
      </c>
      <c r="BB143" s="474">
        <f>COUNTIF(ParticipationJanvier1[[#This Row],[1]:[31]],Code26)</f>
        <v>0</v>
      </c>
      <c r="BC143" s="474">
        <f>COUNTIF(ParticipationJanvier1[[#This Row],[1]:[31]],Code27)</f>
        <v>0</v>
      </c>
      <c r="BD143" s="474">
        <f>COUNTIF(ParticipationJanvier1[[#This Row],[1]:[31]],Code28)</f>
        <v>0</v>
      </c>
      <c r="BE143" s="474">
        <f>COUNTIF(ParticipationJanvier1[[#This Row],[1]:[31]],code30)</f>
        <v>0</v>
      </c>
      <c r="BF143" s="474">
        <f>COUNTIF(ParticipationJanvier1[[#This Row],[1]:[31]],Code31)</f>
        <v>0</v>
      </c>
      <c r="BG143" s="472">
        <f>COUNTIF(ParticipationJanvier1[[#This Row],[1]:[31]],code21)</f>
        <v>0</v>
      </c>
      <c r="BH143" s="472">
        <f>COUNTIF(ParticipationJanvier1[[#This Row],[1]:[31]],Code24)</f>
        <v>0</v>
      </c>
      <c r="BI143" s="472">
        <f>COUNTIF(ParticipationJanvier1[[#This Row],[1]:[31]],code18)</f>
        <v>0</v>
      </c>
      <c r="BJ143" s="472">
        <f>COUNTIF(ParticipationJanvier1[[#This Row],[1]:[31]],code19)</f>
        <v>0</v>
      </c>
      <c r="BK143" s="472">
        <f>COUNTIF(ParticipationJanvier1[[#This Row],[1]:[31]],code20)</f>
        <v>0</v>
      </c>
      <c r="BL143" s="476">
        <f>COUNTIF(ParticipationJanvier1[[#This Row],[1]:[31]],code29)</f>
        <v>0</v>
      </c>
      <c r="BM143" s="472">
        <f t="shared" si="7"/>
        <v>0</v>
      </c>
      <c r="BN143" s="472"/>
      <c r="BO143" s="472"/>
      <c r="BP143" s="472"/>
      <c r="BQ143" s="472"/>
      <c r="BR143" s="473"/>
      <c r="BS143" s="472"/>
      <c r="BT143" s="472"/>
      <c r="BU143" s="472"/>
      <c r="BV143" s="472"/>
      <c r="BW143" s="472"/>
      <c r="BX143" s="472"/>
      <c r="BY143" s="472"/>
      <c r="BZ143" s="472"/>
      <c r="CA143" s="472"/>
      <c r="CB143" s="472"/>
      <c r="CC143" s="472"/>
      <c r="CD143" s="472"/>
      <c r="CE143" s="472"/>
      <c r="CF143" s="472"/>
      <c r="CG143" s="472"/>
      <c r="CH143" s="472"/>
      <c r="CI143" s="472"/>
      <c r="CJ143" s="472"/>
      <c r="CK143" s="472"/>
      <c r="CL143" s="472"/>
      <c r="CM143" s="472"/>
      <c r="CN143" s="472"/>
      <c r="CO143" s="472"/>
      <c r="CP143" s="472"/>
      <c r="CQ143" s="472"/>
      <c r="CR143" s="472"/>
      <c r="CS143" s="472"/>
      <c r="CT143" s="472"/>
      <c r="CU143" s="516">
        <f t="shared" si="8"/>
        <v>0</v>
      </c>
      <c r="CV143" s="521">
        <f t="shared" si="9"/>
        <v>0</v>
      </c>
      <c r="CW143" s="472">
        <f t="shared" si="10"/>
        <v>0</v>
      </c>
      <c r="CX143" s="472">
        <f t="shared" si="11"/>
        <v>0</v>
      </c>
      <c r="CY143" s="512"/>
    </row>
    <row r="144" spans="1:103">
      <c r="A144" s="567" t="s">
        <v>588</v>
      </c>
      <c r="B144" s="372" t="str">
        <f>IFERROR(VLOOKUP(ParticipationJanvier1[[#This Row],[Référence]],ListeÉtudiants1[],18,FALSE),"")</f>
        <v>FERGUENE Chaineze</v>
      </c>
      <c r="G144" s="525"/>
      <c r="I144" s="525"/>
      <c r="K144" s="525"/>
      <c r="M144" s="525"/>
      <c r="O144" s="525"/>
      <c r="Q144" s="525"/>
      <c r="S144" s="525"/>
      <c r="U144" s="525"/>
      <c r="W144" s="525"/>
      <c r="Y144" s="525"/>
      <c r="AA144" s="525"/>
      <c r="AC144" s="525"/>
      <c r="AE144" s="525"/>
      <c r="AG144" s="519"/>
      <c r="AH144" s="474">
        <f>COUNTIF(ParticipationJanvier1[[#This Row],[1]:[31]],Code1)</f>
        <v>0</v>
      </c>
      <c r="AI144" s="525">
        <f>COUNTIF(ParticipationJanvier1[[#This Row],[1]:[31]],code22)</f>
        <v>0</v>
      </c>
      <c r="AJ144" s="472">
        <f>COUNTIF(ParticipationJanvier1[[#This Row],[1]:[31]],Code2)</f>
        <v>0</v>
      </c>
      <c r="AK144" s="526">
        <f>COUNTIF(ParticipationJanvier1[[#This Row],[1]:[31]],Code3)</f>
        <v>0</v>
      </c>
      <c r="AL144" s="472">
        <f>COUNTIF(ParticipationJanvier1[[#This Row],[1]:[31]],Code4)</f>
        <v>0</v>
      </c>
      <c r="AM144" s="526">
        <f>COUNTIF(ParticipationJanvier1[[#This Row],[1]:[31]],Code5)</f>
        <v>0</v>
      </c>
      <c r="AN144" s="527">
        <f>COUNTIF(ParticipationJanvier1[[#This Row],[1]:[31]],Code23)</f>
        <v>0</v>
      </c>
      <c r="AO144" s="472">
        <f>COUNTIF(ParticipationJanvier1[[#This Row],[1]:[31]],Code6)</f>
        <v>0</v>
      </c>
      <c r="AP144" s="528">
        <f>COUNTIF(ParticipationJanvier1[[#This Row],[1]:[31]],Code7)</f>
        <v>0</v>
      </c>
      <c r="AQ144" s="527">
        <f>COUNTIF(ParticipationJanvier1[[#This Row],[1]:[31]],Code8)</f>
        <v>0</v>
      </c>
      <c r="AR144" s="527">
        <f>COUNTIF(ParticipationJanvier1[[#This Row],[1]:[31]],Code9)</f>
        <v>0</v>
      </c>
      <c r="AS144" s="472">
        <f>COUNTIF(ParticipationJanvier1[[#This Row],[1]:[31]],Code10)</f>
        <v>0</v>
      </c>
      <c r="AT144" s="472">
        <f>COUNTIF(ParticipationJanvier1[[#This Row],[1]:[31]],Code11)</f>
        <v>0</v>
      </c>
      <c r="AU144" s="472">
        <f>COUNTIF(ParticipationJanvier1[[#This Row],[1]:[31]],Code12)</f>
        <v>0</v>
      </c>
      <c r="AV144" s="472">
        <f>COUNTIF(ParticipationJanvier1[[#This Row],[1]:[31]],Code13)</f>
        <v>0</v>
      </c>
      <c r="AW144" s="472">
        <f>COUNTIF(ParticipationJanvier1[[#This Row],[1]:[31]],Code14)</f>
        <v>0</v>
      </c>
      <c r="AX144" s="472">
        <f>COUNTIF(ParticipationJanvier1[[#This Row],[1]:[31]],Code15)</f>
        <v>0</v>
      </c>
      <c r="AY144" s="472">
        <f>COUNTIF(ParticipationJanvier1[[#This Row],[1]:[31]],Code16)</f>
        <v>0</v>
      </c>
      <c r="AZ144" s="472">
        <f>COUNTIF(ParticipationJanvier1[[#This Row],[1]:[31]],Code17)</f>
        <v>0</v>
      </c>
      <c r="BA144" s="474">
        <f>COUNTIF(ParticipationJanvier1[[#This Row],[1]:[31]],Code25)</f>
        <v>0</v>
      </c>
      <c r="BB144" s="474">
        <f>COUNTIF(ParticipationJanvier1[[#This Row],[1]:[31]],Code26)</f>
        <v>0</v>
      </c>
      <c r="BC144" s="474">
        <f>COUNTIF(ParticipationJanvier1[[#This Row],[1]:[31]],Code27)</f>
        <v>0</v>
      </c>
      <c r="BD144" s="474">
        <f>COUNTIF(ParticipationJanvier1[[#This Row],[1]:[31]],Code28)</f>
        <v>0</v>
      </c>
      <c r="BE144" s="474">
        <f>COUNTIF(ParticipationJanvier1[[#This Row],[1]:[31]],code30)</f>
        <v>0</v>
      </c>
      <c r="BF144" s="474">
        <f>COUNTIF(ParticipationJanvier1[[#This Row],[1]:[31]],Code31)</f>
        <v>0</v>
      </c>
      <c r="BG144" s="472">
        <f>COUNTIF(ParticipationJanvier1[[#This Row],[1]:[31]],code21)</f>
        <v>0</v>
      </c>
      <c r="BH144" s="472">
        <f>COUNTIF(ParticipationJanvier1[[#This Row],[1]:[31]],Code24)</f>
        <v>0</v>
      </c>
      <c r="BI144" s="472">
        <f>COUNTIF(ParticipationJanvier1[[#This Row],[1]:[31]],code18)</f>
        <v>0</v>
      </c>
      <c r="BJ144" s="472">
        <f>COUNTIF(ParticipationJanvier1[[#This Row],[1]:[31]],code19)</f>
        <v>0</v>
      </c>
      <c r="BK144" s="472">
        <f>COUNTIF(ParticipationJanvier1[[#This Row],[1]:[31]],code20)</f>
        <v>0</v>
      </c>
      <c r="BL144" s="476">
        <f>COUNTIF(ParticipationJanvier1[[#This Row],[1]:[31]],code29)</f>
        <v>0</v>
      </c>
      <c r="BM144" s="472">
        <f t="shared" si="7"/>
        <v>0</v>
      </c>
      <c r="BN144" s="472"/>
      <c r="BO144" s="472"/>
      <c r="BP144" s="472"/>
      <c r="BQ144" s="472"/>
      <c r="BR144" s="473"/>
      <c r="BS144" s="472"/>
      <c r="BT144" s="472"/>
      <c r="BU144" s="472"/>
      <c r="BV144" s="472"/>
      <c r="BW144" s="472"/>
      <c r="BX144" s="472"/>
      <c r="BY144" s="472"/>
      <c r="BZ144" s="472"/>
      <c r="CA144" s="472"/>
      <c r="CB144" s="472"/>
      <c r="CC144" s="472"/>
      <c r="CD144" s="472"/>
      <c r="CE144" s="472"/>
      <c r="CF144" s="472"/>
      <c r="CG144" s="472"/>
      <c r="CH144" s="472"/>
      <c r="CI144" s="472"/>
      <c r="CJ144" s="472"/>
      <c r="CK144" s="472"/>
      <c r="CL144" s="472"/>
      <c r="CM144" s="472"/>
      <c r="CN144" s="472"/>
      <c r="CO144" s="472"/>
      <c r="CP144" s="472"/>
      <c r="CQ144" s="472"/>
      <c r="CR144" s="472"/>
      <c r="CS144" s="472"/>
      <c r="CT144" s="472"/>
      <c r="CU144" s="516">
        <f t="shared" si="8"/>
        <v>0</v>
      </c>
      <c r="CV144" s="521">
        <f t="shared" si="9"/>
        <v>0</v>
      </c>
      <c r="CW144" s="472">
        <f t="shared" si="10"/>
        <v>0</v>
      </c>
      <c r="CX144" s="472">
        <f t="shared" si="11"/>
        <v>0</v>
      </c>
      <c r="CY144" s="512"/>
    </row>
    <row r="145" spans="1:103">
      <c r="A145" s="567" t="s">
        <v>590</v>
      </c>
      <c r="B145" s="372" t="str">
        <f>IFERROR(VLOOKUP(ParticipationJanvier1[[#This Row],[Référence]],ListeÉtudiants1[],18,FALSE),"")</f>
        <v>HAMEAU KEVIN</v>
      </c>
      <c r="G145" s="525"/>
      <c r="I145" s="525"/>
      <c r="K145" s="525"/>
      <c r="M145" s="525"/>
      <c r="O145" s="525"/>
      <c r="Q145" s="525"/>
      <c r="S145" s="525"/>
      <c r="U145" s="525"/>
      <c r="W145" s="525"/>
      <c r="Y145" s="525"/>
      <c r="AA145" s="525"/>
      <c r="AC145" s="525"/>
      <c r="AE145" s="525"/>
      <c r="AG145" s="519"/>
      <c r="AH145" s="474">
        <f>COUNTIF(ParticipationJanvier1[[#This Row],[1]:[31]],Code1)</f>
        <v>0</v>
      </c>
      <c r="AI145" s="525">
        <f>COUNTIF(ParticipationJanvier1[[#This Row],[1]:[31]],code22)</f>
        <v>0</v>
      </c>
      <c r="AJ145" s="472">
        <f>COUNTIF(ParticipationJanvier1[[#This Row],[1]:[31]],Code2)</f>
        <v>0</v>
      </c>
      <c r="AK145" s="526">
        <f>COUNTIF(ParticipationJanvier1[[#This Row],[1]:[31]],Code3)</f>
        <v>0</v>
      </c>
      <c r="AL145" s="472">
        <f>COUNTIF(ParticipationJanvier1[[#This Row],[1]:[31]],Code4)</f>
        <v>0</v>
      </c>
      <c r="AM145" s="526">
        <f>COUNTIF(ParticipationJanvier1[[#This Row],[1]:[31]],Code5)</f>
        <v>0</v>
      </c>
      <c r="AN145" s="527">
        <f>COUNTIF(ParticipationJanvier1[[#This Row],[1]:[31]],Code23)</f>
        <v>0</v>
      </c>
      <c r="AO145" s="472">
        <f>COUNTIF(ParticipationJanvier1[[#This Row],[1]:[31]],Code6)</f>
        <v>0</v>
      </c>
      <c r="AP145" s="528">
        <f>COUNTIF(ParticipationJanvier1[[#This Row],[1]:[31]],Code7)</f>
        <v>0</v>
      </c>
      <c r="AQ145" s="527">
        <f>COUNTIF(ParticipationJanvier1[[#This Row],[1]:[31]],Code8)</f>
        <v>0</v>
      </c>
      <c r="AR145" s="527">
        <f>COUNTIF(ParticipationJanvier1[[#This Row],[1]:[31]],Code9)</f>
        <v>0</v>
      </c>
      <c r="AS145" s="472">
        <f>COUNTIF(ParticipationJanvier1[[#This Row],[1]:[31]],Code10)</f>
        <v>0</v>
      </c>
      <c r="AT145" s="472">
        <f>COUNTIF(ParticipationJanvier1[[#This Row],[1]:[31]],Code11)</f>
        <v>0</v>
      </c>
      <c r="AU145" s="472">
        <f>COUNTIF(ParticipationJanvier1[[#This Row],[1]:[31]],Code12)</f>
        <v>0</v>
      </c>
      <c r="AV145" s="472">
        <f>COUNTIF(ParticipationJanvier1[[#This Row],[1]:[31]],Code13)</f>
        <v>0</v>
      </c>
      <c r="AW145" s="472">
        <f>COUNTIF(ParticipationJanvier1[[#This Row],[1]:[31]],Code14)</f>
        <v>0</v>
      </c>
      <c r="AX145" s="472">
        <f>COUNTIF(ParticipationJanvier1[[#This Row],[1]:[31]],Code15)</f>
        <v>0</v>
      </c>
      <c r="AY145" s="472">
        <f>COUNTIF(ParticipationJanvier1[[#This Row],[1]:[31]],Code16)</f>
        <v>0</v>
      </c>
      <c r="AZ145" s="472">
        <f>COUNTIF(ParticipationJanvier1[[#This Row],[1]:[31]],Code17)</f>
        <v>0</v>
      </c>
      <c r="BA145" s="474">
        <f>COUNTIF(ParticipationJanvier1[[#This Row],[1]:[31]],Code25)</f>
        <v>0</v>
      </c>
      <c r="BB145" s="474">
        <f>COUNTIF(ParticipationJanvier1[[#This Row],[1]:[31]],Code26)</f>
        <v>0</v>
      </c>
      <c r="BC145" s="474">
        <f>COUNTIF(ParticipationJanvier1[[#This Row],[1]:[31]],Code27)</f>
        <v>0</v>
      </c>
      <c r="BD145" s="474">
        <f>COUNTIF(ParticipationJanvier1[[#This Row],[1]:[31]],Code28)</f>
        <v>0</v>
      </c>
      <c r="BE145" s="474">
        <f>COUNTIF(ParticipationJanvier1[[#This Row],[1]:[31]],code30)</f>
        <v>0</v>
      </c>
      <c r="BF145" s="474">
        <f>COUNTIF(ParticipationJanvier1[[#This Row],[1]:[31]],Code31)</f>
        <v>0</v>
      </c>
      <c r="BG145" s="472">
        <f>COUNTIF(ParticipationJanvier1[[#This Row],[1]:[31]],code21)</f>
        <v>0</v>
      </c>
      <c r="BH145" s="472">
        <f>COUNTIF(ParticipationJanvier1[[#This Row],[1]:[31]],Code24)</f>
        <v>0</v>
      </c>
      <c r="BI145" s="472">
        <f>COUNTIF(ParticipationJanvier1[[#This Row],[1]:[31]],code18)</f>
        <v>0</v>
      </c>
      <c r="BJ145" s="472">
        <f>COUNTIF(ParticipationJanvier1[[#This Row],[1]:[31]],code19)</f>
        <v>0</v>
      </c>
      <c r="BK145" s="472">
        <f>COUNTIF(ParticipationJanvier1[[#This Row],[1]:[31]],code20)</f>
        <v>0</v>
      </c>
      <c r="BL145" s="476">
        <f>COUNTIF(ParticipationJanvier1[[#This Row],[1]:[31]],code29)</f>
        <v>0</v>
      </c>
      <c r="BM145" s="472">
        <f t="shared" si="7"/>
        <v>0</v>
      </c>
      <c r="BN145" s="472"/>
      <c r="BO145" s="472"/>
      <c r="BP145" s="472"/>
      <c r="BQ145" s="472"/>
      <c r="BR145" s="473"/>
      <c r="BS145" s="472"/>
      <c r="BT145" s="472"/>
      <c r="BU145" s="472"/>
      <c r="BV145" s="472"/>
      <c r="BW145" s="472"/>
      <c r="BX145" s="472"/>
      <c r="BY145" s="472"/>
      <c r="BZ145" s="472"/>
      <c r="CA145" s="472"/>
      <c r="CB145" s="472"/>
      <c r="CC145" s="472"/>
      <c r="CD145" s="472"/>
      <c r="CE145" s="472"/>
      <c r="CF145" s="472"/>
      <c r="CG145" s="472"/>
      <c r="CH145" s="472"/>
      <c r="CI145" s="472"/>
      <c r="CJ145" s="472"/>
      <c r="CK145" s="472"/>
      <c r="CL145" s="472"/>
      <c r="CM145" s="472"/>
      <c r="CN145" s="472"/>
      <c r="CO145" s="472"/>
      <c r="CP145" s="472"/>
      <c r="CQ145" s="472"/>
      <c r="CR145" s="472"/>
      <c r="CS145" s="472"/>
      <c r="CT145" s="472"/>
      <c r="CU145" s="516">
        <f t="shared" si="8"/>
        <v>0</v>
      </c>
      <c r="CV145" s="521">
        <f t="shared" si="9"/>
        <v>0</v>
      </c>
      <c r="CW145" s="472">
        <f t="shared" si="10"/>
        <v>0</v>
      </c>
      <c r="CX145" s="472">
        <f t="shared" si="11"/>
        <v>0</v>
      </c>
      <c r="CY145" s="512"/>
    </row>
    <row r="146" spans="1:103">
      <c r="A146" s="567" t="s">
        <v>593</v>
      </c>
      <c r="B146" s="372" t="str">
        <f>IFERROR(VLOOKUP(ParticipationJanvier1[[#This Row],[Référence]],ListeÉtudiants1[],18,FALSE),"")</f>
        <v>KIOLO Carine Laure</v>
      </c>
      <c r="G146" s="525"/>
      <c r="I146" s="525"/>
      <c r="K146" s="525"/>
      <c r="M146" s="525"/>
      <c r="O146" s="525"/>
      <c r="Q146" s="525"/>
      <c r="S146" s="525"/>
      <c r="U146" s="525"/>
      <c r="W146" s="525"/>
      <c r="Y146" s="525"/>
      <c r="AA146" s="525"/>
      <c r="AC146" s="525"/>
      <c r="AE146" s="525"/>
      <c r="AG146" s="519"/>
      <c r="AH146" s="474">
        <f>COUNTIF(ParticipationJanvier1[[#This Row],[1]:[31]],Code1)</f>
        <v>0</v>
      </c>
      <c r="AI146" s="525">
        <f>COUNTIF(ParticipationJanvier1[[#This Row],[1]:[31]],code22)</f>
        <v>0</v>
      </c>
      <c r="AJ146" s="472">
        <f>COUNTIF(ParticipationJanvier1[[#This Row],[1]:[31]],Code2)</f>
        <v>0</v>
      </c>
      <c r="AK146" s="526">
        <f>COUNTIF(ParticipationJanvier1[[#This Row],[1]:[31]],Code3)</f>
        <v>0</v>
      </c>
      <c r="AL146" s="472">
        <f>COUNTIF(ParticipationJanvier1[[#This Row],[1]:[31]],Code4)</f>
        <v>0</v>
      </c>
      <c r="AM146" s="526">
        <f>COUNTIF(ParticipationJanvier1[[#This Row],[1]:[31]],Code5)</f>
        <v>0</v>
      </c>
      <c r="AN146" s="527">
        <f>COUNTIF(ParticipationJanvier1[[#This Row],[1]:[31]],Code23)</f>
        <v>0</v>
      </c>
      <c r="AO146" s="472">
        <f>COUNTIF(ParticipationJanvier1[[#This Row],[1]:[31]],Code6)</f>
        <v>0</v>
      </c>
      <c r="AP146" s="528">
        <f>COUNTIF(ParticipationJanvier1[[#This Row],[1]:[31]],Code7)</f>
        <v>0</v>
      </c>
      <c r="AQ146" s="527">
        <f>COUNTIF(ParticipationJanvier1[[#This Row],[1]:[31]],Code8)</f>
        <v>0</v>
      </c>
      <c r="AR146" s="527">
        <f>COUNTIF(ParticipationJanvier1[[#This Row],[1]:[31]],Code9)</f>
        <v>0</v>
      </c>
      <c r="AS146" s="472">
        <f>COUNTIF(ParticipationJanvier1[[#This Row],[1]:[31]],Code10)</f>
        <v>0</v>
      </c>
      <c r="AT146" s="472">
        <f>COUNTIF(ParticipationJanvier1[[#This Row],[1]:[31]],Code11)</f>
        <v>0</v>
      </c>
      <c r="AU146" s="472">
        <f>COUNTIF(ParticipationJanvier1[[#This Row],[1]:[31]],Code12)</f>
        <v>0</v>
      </c>
      <c r="AV146" s="472">
        <f>COUNTIF(ParticipationJanvier1[[#This Row],[1]:[31]],Code13)</f>
        <v>0</v>
      </c>
      <c r="AW146" s="472">
        <f>COUNTIF(ParticipationJanvier1[[#This Row],[1]:[31]],Code14)</f>
        <v>0</v>
      </c>
      <c r="AX146" s="472">
        <f>COUNTIF(ParticipationJanvier1[[#This Row],[1]:[31]],Code15)</f>
        <v>0</v>
      </c>
      <c r="AY146" s="472">
        <f>COUNTIF(ParticipationJanvier1[[#This Row],[1]:[31]],Code16)</f>
        <v>0</v>
      </c>
      <c r="AZ146" s="472">
        <f>COUNTIF(ParticipationJanvier1[[#This Row],[1]:[31]],Code17)</f>
        <v>0</v>
      </c>
      <c r="BA146" s="474">
        <f>COUNTIF(ParticipationJanvier1[[#This Row],[1]:[31]],Code25)</f>
        <v>0</v>
      </c>
      <c r="BB146" s="474">
        <f>COUNTIF(ParticipationJanvier1[[#This Row],[1]:[31]],Code26)</f>
        <v>0</v>
      </c>
      <c r="BC146" s="474">
        <f>COUNTIF(ParticipationJanvier1[[#This Row],[1]:[31]],Code27)</f>
        <v>0</v>
      </c>
      <c r="BD146" s="474">
        <f>COUNTIF(ParticipationJanvier1[[#This Row],[1]:[31]],Code28)</f>
        <v>0</v>
      </c>
      <c r="BE146" s="474">
        <f>COUNTIF(ParticipationJanvier1[[#This Row],[1]:[31]],code30)</f>
        <v>0</v>
      </c>
      <c r="BF146" s="474">
        <f>COUNTIF(ParticipationJanvier1[[#This Row],[1]:[31]],Code31)</f>
        <v>0</v>
      </c>
      <c r="BG146" s="472">
        <f>COUNTIF(ParticipationJanvier1[[#This Row],[1]:[31]],code21)</f>
        <v>0</v>
      </c>
      <c r="BH146" s="472">
        <f>COUNTIF(ParticipationJanvier1[[#This Row],[1]:[31]],Code24)</f>
        <v>0</v>
      </c>
      <c r="BI146" s="472">
        <f>COUNTIF(ParticipationJanvier1[[#This Row],[1]:[31]],code18)</f>
        <v>0</v>
      </c>
      <c r="BJ146" s="472">
        <f>COUNTIF(ParticipationJanvier1[[#This Row],[1]:[31]],code19)</f>
        <v>0</v>
      </c>
      <c r="BK146" s="472">
        <f>COUNTIF(ParticipationJanvier1[[#This Row],[1]:[31]],code20)</f>
        <v>0</v>
      </c>
      <c r="BL146" s="476">
        <f>COUNTIF(ParticipationJanvier1[[#This Row],[1]:[31]],code29)</f>
        <v>0</v>
      </c>
      <c r="BM146" s="472">
        <f t="shared" si="7"/>
        <v>0</v>
      </c>
      <c r="BN146" s="472"/>
      <c r="BO146" s="472"/>
      <c r="BP146" s="472"/>
      <c r="BQ146" s="472"/>
      <c r="BR146" s="473"/>
      <c r="BS146" s="472"/>
      <c r="BT146" s="472"/>
      <c r="BU146" s="472"/>
      <c r="BV146" s="472"/>
      <c r="BW146" s="472"/>
      <c r="BX146" s="472"/>
      <c r="BY146" s="472"/>
      <c r="BZ146" s="472"/>
      <c r="CA146" s="472"/>
      <c r="CB146" s="472"/>
      <c r="CC146" s="472"/>
      <c r="CD146" s="472"/>
      <c r="CE146" s="472"/>
      <c r="CF146" s="472"/>
      <c r="CG146" s="472"/>
      <c r="CH146" s="472"/>
      <c r="CI146" s="472"/>
      <c r="CJ146" s="472"/>
      <c r="CK146" s="472"/>
      <c r="CL146" s="472"/>
      <c r="CM146" s="472"/>
      <c r="CN146" s="472"/>
      <c r="CO146" s="472"/>
      <c r="CP146" s="472"/>
      <c r="CQ146" s="472"/>
      <c r="CR146" s="472"/>
      <c r="CS146" s="472"/>
      <c r="CT146" s="472"/>
      <c r="CU146" s="516">
        <f t="shared" si="8"/>
        <v>0</v>
      </c>
      <c r="CV146" s="521">
        <f t="shared" si="9"/>
        <v>0</v>
      </c>
      <c r="CW146" s="472">
        <f t="shared" si="10"/>
        <v>0</v>
      </c>
      <c r="CX146" s="472">
        <f t="shared" si="11"/>
        <v>0</v>
      </c>
      <c r="CY146" s="512"/>
    </row>
    <row r="147" spans="1:103">
      <c r="A147" s="567" t="s">
        <v>596</v>
      </c>
      <c r="B147" s="372" t="str">
        <f>IFERROR(VLOOKUP(ParticipationJanvier1[[#This Row],[Référence]],ListeÉtudiants1[],18,FALSE),"")</f>
        <v>LESUEUR GERALDINE</v>
      </c>
      <c r="G147" s="525"/>
      <c r="I147" s="525"/>
      <c r="K147" s="525"/>
      <c r="M147" s="525"/>
      <c r="O147" s="525"/>
      <c r="Q147" s="525"/>
      <c r="S147" s="525"/>
      <c r="U147" s="525"/>
      <c r="W147" s="525"/>
      <c r="Y147" s="525"/>
      <c r="AA147" s="525"/>
      <c r="AC147" s="525"/>
      <c r="AE147" s="525"/>
      <c r="AG147" s="519"/>
      <c r="AH147" s="474">
        <f>COUNTIF(ParticipationJanvier1[[#This Row],[1]:[31]],Code1)</f>
        <v>0</v>
      </c>
      <c r="AI147" s="525">
        <f>COUNTIF(ParticipationJanvier1[[#This Row],[1]:[31]],code22)</f>
        <v>0</v>
      </c>
      <c r="AJ147" s="472">
        <f>COUNTIF(ParticipationJanvier1[[#This Row],[1]:[31]],Code2)</f>
        <v>0</v>
      </c>
      <c r="AK147" s="526">
        <f>COUNTIF(ParticipationJanvier1[[#This Row],[1]:[31]],Code3)</f>
        <v>0</v>
      </c>
      <c r="AL147" s="472">
        <f>COUNTIF(ParticipationJanvier1[[#This Row],[1]:[31]],Code4)</f>
        <v>0</v>
      </c>
      <c r="AM147" s="526">
        <f>COUNTIF(ParticipationJanvier1[[#This Row],[1]:[31]],Code5)</f>
        <v>0</v>
      </c>
      <c r="AN147" s="527">
        <f>COUNTIF(ParticipationJanvier1[[#This Row],[1]:[31]],Code23)</f>
        <v>0</v>
      </c>
      <c r="AO147" s="472">
        <f>COUNTIF(ParticipationJanvier1[[#This Row],[1]:[31]],Code6)</f>
        <v>0</v>
      </c>
      <c r="AP147" s="528">
        <f>COUNTIF(ParticipationJanvier1[[#This Row],[1]:[31]],Code7)</f>
        <v>0</v>
      </c>
      <c r="AQ147" s="527">
        <f>COUNTIF(ParticipationJanvier1[[#This Row],[1]:[31]],Code8)</f>
        <v>0</v>
      </c>
      <c r="AR147" s="527">
        <f>COUNTIF(ParticipationJanvier1[[#This Row],[1]:[31]],Code9)</f>
        <v>0</v>
      </c>
      <c r="AS147" s="472">
        <f>COUNTIF(ParticipationJanvier1[[#This Row],[1]:[31]],Code10)</f>
        <v>0</v>
      </c>
      <c r="AT147" s="472">
        <f>COUNTIF(ParticipationJanvier1[[#This Row],[1]:[31]],Code11)</f>
        <v>0</v>
      </c>
      <c r="AU147" s="472">
        <f>COUNTIF(ParticipationJanvier1[[#This Row],[1]:[31]],Code12)</f>
        <v>0</v>
      </c>
      <c r="AV147" s="472">
        <f>COUNTIF(ParticipationJanvier1[[#This Row],[1]:[31]],Code13)</f>
        <v>0</v>
      </c>
      <c r="AW147" s="472">
        <f>COUNTIF(ParticipationJanvier1[[#This Row],[1]:[31]],Code14)</f>
        <v>0</v>
      </c>
      <c r="AX147" s="472">
        <f>COUNTIF(ParticipationJanvier1[[#This Row],[1]:[31]],Code15)</f>
        <v>0</v>
      </c>
      <c r="AY147" s="472">
        <f>COUNTIF(ParticipationJanvier1[[#This Row],[1]:[31]],Code16)</f>
        <v>0</v>
      </c>
      <c r="AZ147" s="472">
        <f>COUNTIF(ParticipationJanvier1[[#This Row],[1]:[31]],Code17)</f>
        <v>0</v>
      </c>
      <c r="BA147" s="474">
        <f>COUNTIF(ParticipationJanvier1[[#This Row],[1]:[31]],Code25)</f>
        <v>0</v>
      </c>
      <c r="BB147" s="474">
        <f>COUNTIF(ParticipationJanvier1[[#This Row],[1]:[31]],Code26)</f>
        <v>0</v>
      </c>
      <c r="BC147" s="474">
        <f>COUNTIF(ParticipationJanvier1[[#This Row],[1]:[31]],Code27)</f>
        <v>0</v>
      </c>
      <c r="BD147" s="474">
        <f>COUNTIF(ParticipationJanvier1[[#This Row],[1]:[31]],Code28)</f>
        <v>0</v>
      </c>
      <c r="BE147" s="474">
        <f>COUNTIF(ParticipationJanvier1[[#This Row],[1]:[31]],code30)</f>
        <v>0</v>
      </c>
      <c r="BF147" s="474">
        <f>COUNTIF(ParticipationJanvier1[[#This Row],[1]:[31]],Code31)</f>
        <v>0</v>
      </c>
      <c r="BG147" s="472">
        <f>COUNTIF(ParticipationJanvier1[[#This Row],[1]:[31]],code21)</f>
        <v>0</v>
      </c>
      <c r="BH147" s="472">
        <f>COUNTIF(ParticipationJanvier1[[#This Row],[1]:[31]],Code24)</f>
        <v>0</v>
      </c>
      <c r="BI147" s="472">
        <f>COUNTIF(ParticipationJanvier1[[#This Row],[1]:[31]],code18)</f>
        <v>0</v>
      </c>
      <c r="BJ147" s="472">
        <f>COUNTIF(ParticipationJanvier1[[#This Row],[1]:[31]],code19)</f>
        <v>0</v>
      </c>
      <c r="BK147" s="472">
        <f>COUNTIF(ParticipationJanvier1[[#This Row],[1]:[31]],code20)</f>
        <v>0</v>
      </c>
      <c r="BL147" s="476">
        <f>COUNTIF(ParticipationJanvier1[[#This Row],[1]:[31]],code29)</f>
        <v>0</v>
      </c>
      <c r="BM147" s="472">
        <f t="shared" si="7"/>
        <v>0</v>
      </c>
      <c r="BN147" s="472"/>
      <c r="BO147" s="472"/>
      <c r="BP147" s="472"/>
      <c r="BQ147" s="472"/>
      <c r="BR147" s="473"/>
      <c r="BS147" s="472"/>
      <c r="BT147" s="472"/>
      <c r="BU147" s="472"/>
      <c r="BV147" s="472"/>
      <c r="BW147" s="472"/>
      <c r="BX147" s="472"/>
      <c r="BY147" s="472"/>
      <c r="BZ147" s="472"/>
      <c r="CA147" s="472"/>
      <c r="CB147" s="472"/>
      <c r="CC147" s="472"/>
      <c r="CD147" s="472"/>
      <c r="CE147" s="472"/>
      <c r="CF147" s="472"/>
      <c r="CG147" s="472"/>
      <c r="CH147" s="472"/>
      <c r="CI147" s="472"/>
      <c r="CJ147" s="472"/>
      <c r="CK147" s="472"/>
      <c r="CL147" s="472"/>
      <c r="CM147" s="472"/>
      <c r="CN147" s="472"/>
      <c r="CO147" s="472"/>
      <c r="CP147" s="472"/>
      <c r="CQ147" s="472"/>
      <c r="CR147" s="472"/>
      <c r="CS147" s="472"/>
      <c r="CT147" s="472"/>
      <c r="CU147" s="516">
        <f t="shared" si="8"/>
        <v>0</v>
      </c>
      <c r="CV147" s="521">
        <f t="shared" si="9"/>
        <v>0</v>
      </c>
      <c r="CW147" s="472">
        <f t="shared" si="10"/>
        <v>0</v>
      </c>
      <c r="CX147" s="472">
        <f t="shared" si="11"/>
        <v>0</v>
      </c>
      <c r="CY147" s="512"/>
    </row>
    <row r="148" spans="1:103">
      <c r="A148" s="567" t="s">
        <v>599</v>
      </c>
      <c r="B148" s="372" t="str">
        <f>IFERROR(VLOOKUP(ParticipationJanvier1[[#This Row],[Référence]],ListeÉtudiants1[],18,FALSE),"")</f>
        <v>LOVE SAMUEL</v>
      </c>
      <c r="G148" s="525"/>
      <c r="I148" s="525"/>
      <c r="K148" s="525"/>
      <c r="M148" s="525"/>
      <c r="O148" s="525"/>
      <c r="Q148" s="525"/>
      <c r="S148" s="525"/>
      <c r="U148" s="525"/>
      <c r="W148" s="525"/>
      <c r="Y148" s="525"/>
      <c r="AA148" s="525"/>
      <c r="AC148" s="525"/>
      <c r="AE148" s="525"/>
      <c r="AG148" s="519"/>
      <c r="AH148" s="474">
        <f>COUNTIF(ParticipationJanvier1[[#This Row],[1]:[31]],Code1)</f>
        <v>0</v>
      </c>
      <c r="AI148" s="525">
        <f>COUNTIF(ParticipationJanvier1[[#This Row],[1]:[31]],code22)</f>
        <v>0</v>
      </c>
      <c r="AJ148" s="472">
        <f>COUNTIF(ParticipationJanvier1[[#This Row],[1]:[31]],Code2)</f>
        <v>0</v>
      </c>
      <c r="AK148" s="526">
        <f>COUNTIF(ParticipationJanvier1[[#This Row],[1]:[31]],Code3)</f>
        <v>0</v>
      </c>
      <c r="AL148" s="472">
        <f>COUNTIF(ParticipationJanvier1[[#This Row],[1]:[31]],Code4)</f>
        <v>0</v>
      </c>
      <c r="AM148" s="526">
        <f>COUNTIF(ParticipationJanvier1[[#This Row],[1]:[31]],Code5)</f>
        <v>0</v>
      </c>
      <c r="AN148" s="527">
        <f>COUNTIF(ParticipationJanvier1[[#This Row],[1]:[31]],Code23)</f>
        <v>0</v>
      </c>
      <c r="AO148" s="472">
        <f>COUNTIF(ParticipationJanvier1[[#This Row],[1]:[31]],Code6)</f>
        <v>0</v>
      </c>
      <c r="AP148" s="528">
        <f>COUNTIF(ParticipationJanvier1[[#This Row],[1]:[31]],Code7)</f>
        <v>0</v>
      </c>
      <c r="AQ148" s="527">
        <f>COUNTIF(ParticipationJanvier1[[#This Row],[1]:[31]],Code8)</f>
        <v>0</v>
      </c>
      <c r="AR148" s="527">
        <f>COUNTIF(ParticipationJanvier1[[#This Row],[1]:[31]],Code9)</f>
        <v>0</v>
      </c>
      <c r="AS148" s="472">
        <f>COUNTIF(ParticipationJanvier1[[#This Row],[1]:[31]],Code10)</f>
        <v>0</v>
      </c>
      <c r="AT148" s="472">
        <f>COUNTIF(ParticipationJanvier1[[#This Row],[1]:[31]],Code11)</f>
        <v>0</v>
      </c>
      <c r="AU148" s="472">
        <f>COUNTIF(ParticipationJanvier1[[#This Row],[1]:[31]],Code12)</f>
        <v>0</v>
      </c>
      <c r="AV148" s="472">
        <f>COUNTIF(ParticipationJanvier1[[#This Row],[1]:[31]],Code13)</f>
        <v>0</v>
      </c>
      <c r="AW148" s="472">
        <f>COUNTIF(ParticipationJanvier1[[#This Row],[1]:[31]],Code14)</f>
        <v>0</v>
      </c>
      <c r="AX148" s="472">
        <f>COUNTIF(ParticipationJanvier1[[#This Row],[1]:[31]],Code15)</f>
        <v>0</v>
      </c>
      <c r="AY148" s="472">
        <f>COUNTIF(ParticipationJanvier1[[#This Row],[1]:[31]],Code16)</f>
        <v>0</v>
      </c>
      <c r="AZ148" s="472">
        <f>COUNTIF(ParticipationJanvier1[[#This Row],[1]:[31]],Code17)</f>
        <v>0</v>
      </c>
      <c r="BA148" s="474">
        <f>COUNTIF(ParticipationJanvier1[[#This Row],[1]:[31]],Code25)</f>
        <v>0</v>
      </c>
      <c r="BB148" s="474">
        <f>COUNTIF(ParticipationJanvier1[[#This Row],[1]:[31]],Code26)</f>
        <v>0</v>
      </c>
      <c r="BC148" s="474">
        <f>COUNTIF(ParticipationJanvier1[[#This Row],[1]:[31]],Code27)</f>
        <v>0</v>
      </c>
      <c r="BD148" s="474">
        <f>COUNTIF(ParticipationJanvier1[[#This Row],[1]:[31]],Code28)</f>
        <v>0</v>
      </c>
      <c r="BE148" s="474">
        <f>COUNTIF(ParticipationJanvier1[[#This Row],[1]:[31]],code30)</f>
        <v>0</v>
      </c>
      <c r="BF148" s="474">
        <f>COUNTIF(ParticipationJanvier1[[#This Row],[1]:[31]],Code31)</f>
        <v>0</v>
      </c>
      <c r="BG148" s="472">
        <f>COUNTIF(ParticipationJanvier1[[#This Row],[1]:[31]],code21)</f>
        <v>0</v>
      </c>
      <c r="BH148" s="472">
        <f>COUNTIF(ParticipationJanvier1[[#This Row],[1]:[31]],Code24)</f>
        <v>0</v>
      </c>
      <c r="BI148" s="472">
        <f>COUNTIF(ParticipationJanvier1[[#This Row],[1]:[31]],code18)</f>
        <v>0</v>
      </c>
      <c r="BJ148" s="472">
        <f>COUNTIF(ParticipationJanvier1[[#This Row],[1]:[31]],code19)</f>
        <v>0</v>
      </c>
      <c r="BK148" s="472">
        <f>COUNTIF(ParticipationJanvier1[[#This Row],[1]:[31]],code20)</f>
        <v>0</v>
      </c>
      <c r="BL148" s="476">
        <f>COUNTIF(ParticipationJanvier1[[#This Row],[1]:[31]],code29)</f>
        <v>0</v>
      </c>
      <c r="BM148" s="472">
        <f t="shared" si="7"/>
        <v>0</v>
      </c>
      <c r="BN148" s="472"/>
      <c r="BO148" s="472"/>
      <c r="BP148" s="472"/>
      <c r="BQ148" s="472"/>
      <c r="BR148" s="473"/>
      <c r="BS148" s="472"/>
      <c r="BT148" s="472"/>
      <c r="BU148" s="472"/>
      <c r="BV148" s="472"/>
      <c r="BW148" s="472"/>
      <c r="BX148" s="472"/>
      <c r="BY148" s="472"/>
      <c r="BZ148" s="472"/>
      <c r="CA148" s="472"/>
      <c r="CB148" s="472"/>
      <c r="CC148" s="472"/>
      <c r="CD148" s="472"/>
      <c r="CE148" s="472"/>
      <c r="CF148" s="472"/>
      <c r="CG148" s="472"/>
      <c r="CH148" s="472"/>
      <c r="CI148" s="472"/>
      <c r="CJ148" s="472"/>
      <c r="CK148" s="472"/>
      <c r="CL148" s="472"/>
      <c r="CM148" s="472"/>
      <c r="CN148" s="472"/>
      <c r="CO148" s="472"/>
      <c r="CP148" s="472"/>
      <c r="CQ148" s="472"/>
      <c r="CR148" s="472"/>
      <c r="CS148" s="472"/>
      <c r="CT148" s="472"/>
      <c r="CU148" s="516">
        <f t="shared" si="8"/>
        <v>0</v>
      </c>
      <c r="CV148" s="521">
        <f t="shared" si="9"/>
        <v>0</v>
      </c>
      <c r="CW148" s="472">
        <f t="shared" si="10"/>
        <v>0</v>
      </c>
      <c r="CX148" s="472">
        <f t="shared" si="11"/>
        <v>0</v>
      </c>
      <c r="CY148" s="512"/>
    </row>
    <row r="149" spans="1:103">
      <c r="A149" s="567" t="s">
        <v>602</v>
      </c>
      <c r="B149" s="372" t="str">
        <f>IFERROR(VLOOKUP(ParticipationJanvier1[[#This Row],[Référence]],ListeÉtudiants1[],18,FALSE),"")</f>
        <v>LOVELY JOSELITA</v>
      </c>
      <c r="G149" s="525"/>
      <c r="I149" s="525"/>
      <c r="K149" s="525"/>
      <c r="M149" s="525"/>
      <c r="O149" s="525"/>
      <c r="Q149" s="525"/>
      <c r="S149" s="525"/>
      <c r="U149" s="525"/>
      <c r="W149" s="525"/>
      <c r="Y149" s="525"/>
      <c r="AA149" s="525"/>
      <c r="AC149" s="525"/>
      <c r="AE149" s="525"/>
      <c r="AG149" s="519"/>
      <c r="AH149" s="474">
        <f>COUNTIF(ParticipationJanvier1[[#This Row],[1]:[31]],Code1)</f>
        <v>0</v>
      </c>
      <c r="AI149" s="525">
        <f>COUNTIF(ParticipationJanvier1[[#This Row],[1]:[31]],code22)</f>
        <v>0</v>
      </c>
      <c r="AJ149" s="472">
        <f>COUNTIF(ParticipationJanvier1[[#This Row],[1]:[31]],Code2)</f>
        <v>0</v>
      </c>
      <c r="AK149" s="526">
        <f>COUNTIF(ParticipationJanvier1[[#This Row],[1]:[31]],Code3)</f>
        <v>0</v>
      </c>
      <c r="AL149" s="472">
        <f>COUNTIF(ParticipationJanvier1[[#This Row],[1]:[31]],Code4)</f>
        <v>0</v>
      </c>
      <c r="AM149" s="526">
        <f>COUNTIF(ParticipationJanvier1[[#This Row],[1]:[31]],Code5)</f>
        <v>0</v>
      </c>
      <c r="AN149" s="527">
        <f>COUNTIF(ParticipationJanvier1[[#This Row],[1]:[31]],Code23)</f>
        <v>0</v>
      </c>
      <c r="AO149" s="472">
        <f>COUNTIF(ParticipationJanvier1[[#This Row],[1]:[31]],Code6)</f>
        <v>0</v>
      </c>
      <c r="AP149" s="528">
        <f>COUNTIF(ParticipationJanvier1[[#This Row],[1]:[31]],Code7)</f>
        <v>0</v>
      </c>
      <c r="AQ149" s="527">
        <f>COUNTIF(ParticipationJanvier1[[#This Row],[1]:[31]],Code8)</f>
        <v>0</v>
      </c>
      <c r="AR149" s="527">
        <f>COUNTIF(ParticipationJanvier1[[#This Row],[1]:[31]],Code9)</f>
        <v>0</v>
      </c>
      <c r="AS149" s="472">
        <f>COUNTIF(ParticipationJanvier1[[#This Row],[1]:[31]],Code10)</f>
        <v>0</v>
      </c>
      <c r="AT149" s="472">
        <f>COUNTIF(ParticipationJanvier1[[#This Row],[1]:[31]],Code11)</f>
        <v>0</v>
      </c>
      <c r="AU149" s="472">
        <f>COUNTIF(ParticipationJanvier1[[#This Row],[1]:[31]],Code12)</f>
        <v>0</v>
      </c>
      <c r="AV149" s="472">
        <f>COUNTIF(ParticipationJanvier1[[#This Row],[1]:[31]],Code13)</f>
        <v>0</v>
      </c>
      <c r="AW149" s="472">
        <f>COUNTIF(ParticipationJanvier1[[#This Row],[1]:[31]],Code14)</f>
        <v>0</v>
      </c>
      <c r="AX149" s="472">
        <f>COUNTIF(ParticipationJanvier1[[#This Row],[1]:[31]],Code15)</f>
        <v>0</v>
      </c>
      <c r="AY149" s="472">
        <f>COUNTIF(ParticipationJanvier1[[#This Row],[1]:[31]],Code16)</f>
        <v>0</v>
      </c>
      <c r="AZ149" s="472">
        <f>COUNTIF(ParticipationJanvier1[[#This Row],[1]:[31]],Code17)</f>
        <v>0</v>
      </c>
      <c r="BA149" s="474">
        <f>COUNTIF(ParticipationJanvier1[[#This Row],[1]:[31]],Code25)</f>
        <v>0</v>
      </c>
      <c r="BB149" s="474">
        <f>COUNTIF(ParticipationJanvier1[[#This Row],[1]:[31]],Code26)</f>
        <v>0</v>
      </c>
      <c r="BC149" s="474">
        <f>COUNTIF(ParticipationJanvier1[[#This Row],[1]:[31]],Code27)</f>
        <v>0</v>
      </c>
      <c r="BD149" s="474">
        <f>COUNTIF(ParticipationJanvier1[[#This Row],[1]:[31]],Code28)</f>
        <v>0</v>
      </c>
      <c r="BE149" s="474">
        <f>COUNTIF(ParticipationJanvier1[[#This Row],[1]:[31]],code30)</f>
        <v>0</v>
      </c>
      <c r="BF149" s="474">
        <f>COUNTIF(ParticipationJanvier1[[#This Row],[1]:[31]],Code31)</f>
        <v>0</v>
      </c>
      <c r="BG149" s="472">
        <f>COUNTIF(ParticipationJanvier1[[#This Row],[1]:[31]],code21)</f>
        <v>0</v>
      </c>
      <c r="BH149" s="472">
        <f>COUNTIF(ParticipationJanvier1[[#This Row],[1]:[31]],Code24)</f>
        <v>0</v>
      </c>
      <c r="BI149" s="472">
        <f>COUNTIF(ParticipationJanvier1[[#This Row],[1]:[31]],code18)</f>
        <v>0</v>
      </c>
      <c r="BJ149" s="472">
        <f>COUNTIF(ParticipationJanvier1[[#This Row],[1]:[31]],code19)</f>
        <v>0</v>
      </c>
      <c r="BK149" s="472">
        <f>COUNTIF(ParticipationJanvier1[[#This Row],[1]:[31]],code20)</f>
        <v>0</v>
      </c>
      <c r="BL149" s="476">
        <f>COUNTIF(ParticipationJanvier1[[#This Row],[1]:[31]],code29)</f>
        <v>0</v>
      </c>
      <c r="BM149" s="472">
        <f t="shared" si="7"/>
        <v>0</v>
      </c>
      <c r="BN149" s="472"/>
      <c r="BO149" s="472"/>
      <c r="BP149" s="472"/>
      <c r="BQ149" s="472"/>
      <c r="BR149" s="473"/>
      <c r="BS149" s="472"/>
      <c r="BT149" s="472"/>
      <c r="BU149" s="472"/>
      <c r="BV149" s="472"/>
      <c r="BW149" s="472"/>
      <c r="BX149" s="472"/>
      <c r="BY149" s="472"/>
      <c r="BZ149" s="472"/>
      <c r="CA149" s="472"/>
      <c r="CB149" s="472"/>
      <c r="CC149" s="472"/>
      <c r="CD149" s="472"/>
      <c r="CE149" s="472"/>
      <c r="CF149" s="472"/>
      <c r="CG149" s="472"/>
      <c r="CH149" s="472"/>
      <c r="CI149" s="472"/>
      <c r="CJ149" s="472"/>
      <c r="CK149" s="472"/>
      <c r="CL149" s="472"/>
      <c r="CM149" s="472"/>
      <c r="CN149" s="472"/>
      <c r="CO149" s="472"/>
      <c r="CP149" s="472"/>
      <c r="CQ149" s="472"/>
      <c r="CR149" s="472"/>
      <c r="CS149" s="472"/>
      <c r="CT149" s="472"/>
      <c r="CU149" s="516">
        <f t="shared" si="8"/>
        <v>0</v>
      </c>
      <c r="CV149" s="521">
        <f t="shared" si="9"/>
        <v>0</v>
      </c>
      <c r="CW149" s="472">
        <f t="shared" si="10"/>
        <v>0</v>
      </c>
      <c r="CX149" s="472">
        <f t="shared" si="11"/>
        <v>0</v>
      </c>
      <c r="CY149" s="512"/>
    </row>
    <row r="150" spans="1:103">
      <c r="A150" s="567" t="s">
        <v>606</v>
      </c>
      <c r="B150" s="372" t="str">
        <f>IFERROR(VLOOKUP(ParticipationJanvier1[[#This Row],[Référence]],ListeÉtudiants1[],18,FALSE),"")</f>
        <v>MALULU INGRID</v>
      </c>
      <c r="G150" s="525"/>
      <c r="I150" s="525"/>
      <c r="K150" s="525"/>
      <c r="M150" s="525"/>
      <c r="O150" s="525"/>
      <c r="Q150" s="525"/>
      <c r="S150" s="525"/>
      <c r="U150" s="525"/>
      <c r="W150" s="525"/>
      <c r="Y150" s="525"/>
      <c r="AA150" s="525"/>
      <c r="AC150" s="525"/>
      <c r="AE150" s="525"/>
      <c r="AG150" s="519"/>
      <c r="AH150" s="474">
        <f>COUNTIF(ParticipationJanvier1[[#This Row],[1]:[31]],Code1)</f>
        <v>0</v>
      </c>
      <c r="AI150" s="525">
        <f>COUNTIF(ParticipationJanvier1[[#This Row],[1]:[31]],code22)</f>
        <v>0</v>
      </c>
      <c r="AJ150" s="472">
        <f>COUNTIF(ParticipationJanvier1[[#This Row],[1]:[31]],Code2)</f>
        <v>0</v>
      </c>
      <c r="AK150" s="526">
        <f>COUNTIF(ParticipationJanvier1[[#This Row],[1]:[31]],Code3)</f>
        <v>0</v>
      </c>
      <c r="AL150" s="472">
        <f>COUNTIF(ParticipationJanvier1[[#This Row],[1]:[31]],Code4)</f>
        <v>0</v>
      </c>
      <c r="AM150" s="526">
        <f>COUNTIF(ParticipationJanvier1[[#This Row],[1]:[31]],Code5)</f>
        <v>0</v>
      </c>
      <c r="AN150" s="527">
        <f>COUNTIF(ParticipationJanvier1[[#This Row],[1]:[31]],Code23)</f>
        <v>0</v>
      </c>
      <c r="AO150" s="472">
        <f>COUNTIF(ParticipationJanvier1[[#This Row],[1]:[31]],Code6)</f>
        <v>0</v>
      </c>
      <c r="AP150" s="528">
        <f>COUNTIF(ParticipationJanvier1[[#This Row],[1]:[31]],Code7)</f>
        <v>0</v>
      </c>
      <c r="AQ150" s="527">
        <f>COUNTIF(ParticipationJanvier1[[#This Row],[1]:[31]],Code8)</f>
        <v>0</v>
      </c>
      <c r="AR150" s="527">
        <f>COUNTIF(ParticipationJanvier1[[#This Row],[1]:[31]],Code9)</f>
        <v>0</v>
      </c>
      <c r="AS150" s="472">
        <f>COUNTIF(ParticipationJanvier1[[#This Row],[1]:[31]],Code10)</f>
        <v>0</v>
      </c>
      <c r="AT150" s="472">
        <f>COUNTIF(ParticipationJanvier1[[#This Row],[1]:[31]],Code11)</f>
        <v>0</v>
      </c>
      <c r="AU150" s="472">
        <f>COUNTIF(ParticipationJanvier1[[#This Row],[1]:[31]],Code12)</f>
        <v>0</v>
      </c>
      <c r="AV150" s="472">
        <f>COUNTIF(ParticipationJanvier1[[#This Row],[1]:[31]],Code13)</f>
        <v>0</v>
      </c>
      <c r="AW150" s="472">
        <f>COUNTIF(ParticipationJanvier1[[#This Row],[1]:[31]],Code14)</f>
        <v>0</v>
      </c>
      <c r="AX150" s="472">
        <f>COUNTIF(ParticipationJanvier1[[#This Row],[1]:[31]],Code15)</f>
        <v>0</v>
      </c>
      <c r="AY150" s="472">
        <f>COUNTIF(ParticipationJanvier1[[#This Row],[1]:[31]],Code16)</f>
        <v>0</v>
      </c>
      <c r="AZ150" s="472">
        <f>COUNTIF(ParticipationJanvier1[[#This Row],[1]:[31]],Code17)</f>
        <v>0</v>
      </c>
      <c r="BA150" s="474">
        <f>COUNTIF(ParticipationJanvier1[[#This Row],[1]:[31]],Code25)</f>
        <v>0</v>
      </c>
      <c r="BB150" s="474">
        <f>COUNTIF(ParticipationJanvier1[[#This Row],[1]:[31]],Code26)</f>
        <v>0</v>
      </c>
      <c r="BC150" s="474">
        <f>COUNTIF(ParticipationJanvier1[[#This Row],[1]:[31]],Code27)</f>
        <v>0</v>
      </c>
      <c r="BD150" s="474">
        <f>COUNTIF(ParticipationJanvier1[[#This Row],[1]:[31]],Code28)</f>
        <v>0</v>
      </c>
      <c r="BE150" s="474">
        <f>COUNTIF(ParticipationJanvier1[[#This Row],[1]:[31]],code30)</f>
        <v>0</v>
      </c>
      <c r="BF150" s="474">
        <f>COUNTIF(ParticipationJanvier1[[#This Row],[1]:[31]],Code31)</f>
        <v>0</v>
      </c>
      <c r="BG150" s="472">
        <f>COUNTIF(ParticipationJanvier1[[#This Row],[1]:[31]],code21)</f>
        <v>0</v>
      </c>
      <c r="BH150" s="472">
        <f>COUNTIF(ParticipationJanvier1[[#This Row],[1]:[31]],Code24)</f>
        <v>0</v>
      </c>
      <c r="BI150" s="472">
        <f>COUNTIF(ParticipationJanvier1[[#This Row],[1]:[31]],code18)</f>
        <v>0</v>
      </c>
      <c r="BJ150" s="472">
        <f>COUNTIF(ParticipationJanvier1[[#This Row],[1]:[31]],code19)</f>
        <v>0</v>
      </c>
      <c r="BK150" s="472">
        <f>COUNTIF(ParticipationJanvier1[[#This Row],[1]:[31]],code20)</f>
        <v>0</v>
      </c>
      <c r="BL150" s="476">
        <f>COUNTIF(ParticipationJanvier1[[#This Row],[1]:[31]],code29)</f>
        <v>0</v>
      </c>
      <c r="BM150" s="472">
        <f t="shared" si="7"/>
        <v>0</v>
      </c>
      <c r="BN150" s="472"/>
      <c r="BO150" s="472"/>
      <c r="BP150" s="472"/>
      <c r="BQ150" s="472"/>
      <c r="BR150" s="473"/>
      <c r="BS150" s="472"/>
      <c r="BT150" s="472"/>
      <c r="BU150" s="472"/>
      <c r="BV150" s="472"/>
      <c r="BW150" s="472"/>
      <c r="BX150" s="472"/>
      <c r="BY150" s="472"/>
      <c r="BZ150" s="472"/>
      <c r="CA150" s="472"/>
      <c r="CB150" s="472"/>
      <c r="CC150" s="472"/>
      <c r="CD150" s="472"/>
      <c r="CE150" s="472"/>
      <c r="CF150" s="472"/>
      <c r="CG150" s="472"/>
      <c r="CH150" s="472"/>
      <c r="CI150" s="472"/>
      <c r="CJ150" s="472"/>
      <c r="CK150" s="472"/>
      <c r="CL150" s="472"/>
      <c r="CM150" s="472"/>
      <c r="CN150" s="472"/>
      <c r="CO150" s="472"/>
      <c r="CP150" s="472"/>
      <c r="CQ150" s="472"/>
      <c r="CR150" s="472"/>
      <c r="CS150" s="472"/>
      <c r="CT150" s="472"/>
      <c r="CU150" s="516">
        <f t="shared" si="8"/>
        <v>0</v>
      </c>
      <c r="CV150" s="521">
        <f t="shared" si="9"/>
        <v>0</v>
      </c>
      <c r="CW150" s="472">
        <f t="shared" si="10"/>
        <v>0</v>
      </c>
      <c r="CX150" s="472">
        <f t="shared" si="11"/>
        <v>0</v>
      </c>
      <c r="CY150" s="512"/>
    </row>
    <row r="151" spans="1:103">
      <c r="A151" s="567" t="s">
        <v>608</v>
      </c>
      <c r="B151" s="372" t="str">
        <f>IFERROR(VLOOKUP(ParticipationJanvier1[[#This Row],[Référence]],ListeÉtudiants1[],18,FALSE),"")</f>
        <v>NGOME BEKOMBO CASIMIR</v>
      </c>
      <c r="G151" s="525"/>
      <c r="I151" s="525"/>
      <c r="K151" s="525"/>
      <c r="M151" s="525"/>
      <c r="O151" s="525"/>
      <c r="Q151" s="525"/>
      <c r="S151" s="525"/>
      <c r="U151" s="525"/>
      <c r="W151" s="525"/>
      <c r="Y151" s="525"/>
      <c r="AA151" s="525"/>
      <c r="AC151" s="525"/>
      <c r="AE151" s="525"/>
      <c r="AG151" s="519"/>
      <c r="AH151" s="474">
        <f>COUNTIF(ParticipationJanvier1[[#This Row],[1]:[31]],Code1)</f>
        <v>0</v>
      </c>
      <c r="AI151" s="525">
        <f>COUNTIF(ParticipationJanvier1[[#This Row],[1]:[31]],code22)</f>
        <v>0</v>
      </c>
      <c r="AJ151" s="472">
        <f>COUNTIF(ParticipationJanvier1[[#This Row],[1]:[31]],Code2)</f>
        <v>0</v>
      </c>
      <c r="AK151" s="526">
        <f>COUNTIF(ParticipationJanvier1[[#This Row],[1]:[31]],Code3)</f>
        <v>0</v>
      </c>
      <c r="AL151" s="472">
        <f>COUNTIF(ParticipationJanvier1[[#This Row],[1]:[31]],Code4)</f>
        <v>0</v>
      </c>
      <c r="AM151" s="526">
        <f>COUNTIF(ParticipationJanvier1[[#This Row],[1]:[31]],Code5)</f>
        <v>0</v>
      </c>
      <c r="AN151" s="527">
        <f>COUNTIF(ParticipationJanvier1[[#This Row],[1]:[31]],Code23)</f>
        <v>0</v>
      </c>
      <c r="AO151" s="472">
        <f>COUNTIF(ParticipationJanvier1[[#This Row],[1]:[31]],Code6)</f>
        <v>0</v>
      </c>
      <c r="AP151" s="528">
        <f>COUNTIF(ParticipationJanvier1[[#This Row],[1]:[31]],Code7)</f>
        <v>0</v>
      </c>
      <c r="AQ151" s="527">
        <f>COUNTIF(ParticipationJanvier1[[#This Row],[1]:[31]],Code8)</f>
        <v>0</v>
      </c>
      <c r="AR151" s="527">
        <f>COUNTIF(ParticipationJanvier1[[#This Row],[1]:[31]],Code9)</f>
        <v>0</v>
      </c>
      <c r="AS151" s="472">
        <f>COUNTIF(ParticipationJanvier1[[#This Row],[1]:[31]],Code10)</f>
        <v>0</v>
      </c>
      <c r="AT151" s="472">
        <f>COUNTIF(ParticipationJanvier1[[#This Row],[1]:[31]],Code11)</f>
        <v>0</v>
      </c>
      <c r="AU151" s="472">
        <f>COUNTIF(ParticipationJanvier1[[#This Row],[1]:[31]],Code12)</f>
        <v>0</v>
      </c>
      <c r="AV151" s="472">
        <f>COUNTIF(ParticipationJanvier1[[#This Row],[1]:[31]],Code13)</f>
        <v>0</v>
      </c>
      <c r="AW151" s="472">
        <f>COUNTIF(ParticipationJanvier1[[#This Row],[1]:[31]],Code14)</f>
        <v>0</v>
      </c>
      <c r="AX151" s="472">
        <f>COUNTIF(ParticipationJanvier1[[#This Row],[1]:[31]],Code15)</f>
        <v>0</v>
      </c>
      <c r="AY151" s="472">
        <f>COUNTIF(ParticipationJanvier1[[#This Row],[1]:[31]],Code16)</f>
        <v>0</v>
      </c>
      <c r="AZ151" s="472">
        <f>COUNTIF(ParticipationJanvier1[[#This Row],[1]:[31]],Code17)</f>
        <v>0</v>
      </c>
      <c r="BA151" s="474">
        <f>COUNTIF(ParticipationJanvier1[[#This Row],[1]:[31]],Code25)</f>
        <v>0</v>
      </c>
      <c r="BB151" s="474">
        <f>COUNTIF(ParticipationJanvier1[[#This Row],[1]:[31]],Code26)</f>
        <v>0</v>
      </c>
      <c r="BC151" s="474">
        <f>COUNTIF(ParticipationJanvier1[[#This Row],[1]:[31]],Code27)</f>
        <v>0</v>
      </c>
      <c r="BD151" s="474">
        <f>COUNTIF(ParticipationJanvier1[[#This Row],[1]:[31]],Code28)</f>
        <v>0</v>
      </c>
      <c r="BE151" s="474">
        <f>COUNTIF(ParticipationJanvier1[[#This Row],[1]:[31]],code30)</f>
        <v>0</v>
      </c>
      <c r="BF151" s="474">
        <f>COUNTIF(ParticipationJanvier1[[#This Row],[1]:[31]],Code31)</f>
        <v>0</v>
      </c>
      <c r="BG151" s="472">
        <f>COUNTIF(ParticipationJanvier1[[#This Row],[1]:[31]],code21)</f>
        <v>0</v>
      </c>
      <c r="BH151" s="472">
        <f>COUNTIF(ParticipationJanvier1[[#This Row],[1]:[31]],Code24)</f>
        <v>0</v>
      </c>
      <c r="BI151" s="472">
        <f>COUNTIF(ParticipationJanvier1[[#This Row],[1]:[31]],code18)</f>
        <v>0</v>
      </c>
      <c r="BJ151" s="472">
        <f>COUNTIF(ParticipationJanvier1[[#This Row],[1]:[31]],code19)</f>
        <v>0</v>
      </c>
      <c r="BK151" s="472">
        <f>COUNTIF(ParticipationJanvier1[[#This Row],[1]:[31]],code20)</f>
        <v>0</v>
      </c>
      <c r="BL151" s="476">
        <f>COUNTIF(ParticipationJanvier1[[#This Row],[1]:[31]],code29)</f>
        <v>0</v>
      </c>
      <c r="BM151" s="472">
        <f t="shared" si="7"/>
        <v>0</v>
      </c>
      <c r="BN151" s="472"/>
      <c r="BO151" s="472"/>
      <c r="BP151" s="472"/>
      <c r="BQ151" s="472"/>
      <c r="BR151" s="473"/>
      <c r="BS151" s="472"/>
      <c r="BT151" s="472"/>
      <c r="BU151" s="472"/>
      <c r="BV151" s="472"/>
      <c r="BW151" s="472"/>
      <c r="BX151" s="472"/>
      <c r="BY151" s="472"/>
      <c r="BZ151" s="472"/>
      <c r="CA151" s="472"/>
      <c r="CB151" s="472"/>
      <c r="CC151" s="472"/>
      <c r="CD151" s="472"/>
      <c r="CE151" s="472"/>
      <c r="CF151" s="472"/>
      <c r="CG151" s="472"/>
      <c r="CH151" s="472"/>
      <c r="CI151" s="472"/>
      <c r="CJ151" s="472"/>
      <c r="CK151" s="472"/>
      <c r="CL151" s="472"/>
      <c r="CM151" s="472"/>
      <c r="CN151" s="472"/>
      <c r="CO151" s="472"/>
      <c r="CP151" s="472"/>
      <c r="CQ151" s="472"/>
      <c r="CR151" s="472"/>
      <c r="CS151" s="472"/>
      <c r="CT151" s="472"/>
      <c r="CU151" s="516">
        <f t="shared" si="8"/>
        <v>0</v>
      </c>
      <c r="CV151" s="521">
        <f t="shared" si="9"/>
        <v>0</v>
      </c>
      <c r="CW151" s="472">
        <f t="shared" si="10"/>
        <v>0</v>
      </c>
      <c r="CX151" s="472">
        <f t="shared" si="11"/>
        <v>0</v>
      </c>
      <c r="CY151" s="512"/>
    </row>
    <row r="152" spans="1:103">
      <c r="A152" s="567" t="s">
        <v>609</v>
      </c>
      <c r="B152" s="372" t="str">
        <f>IFERROR(VLOOKUP(ParticipationJanvier1[[#This Row],[Référence]],ListeÉtudiants1[],18,FALSE),"")</f>
        <v>SAINTRAY  Dorian</v>
      </c>
      <c r="G152" s="525"/>
      <c r="I152" s="525"/>
      <c r="K152" s="525"/>
      <c r="M152" s="525"/>
      <c r="O152" s="525"/>
      <c r="Q152" s="525"/>
      <c r="S152" s="525"/>
      <c r="U152" s="525"/>
      <c r="W152" s="525"/>
      <c r="Y152" s="525"/>
      <c r="AA152" s="525"/>
      <c r="AC152" s="525"/>
      <c r="AE152" s="525"/>
      <c r="AG152" s="519"/>
      <c r="AH152" s="474">
        <f>COUNTIF(ParticipationJanvier1[[#This Row],[1]:[31]],Code1)</f>
        <v>0</v>
      </c>
      <c r="AI152" s="525">
        <f>COUNTIF(ParticipationJanvier1[[#This Row],[1]:[31]],code22)</f>
        <v>0</v>
      </c>
      <c r="AJ152" s="472">
        <f>COUNTIF(ParticipationJanvier1[[#This Row],[1]:[31]],Code2)</f>
        <v>0</v>
      </c>
      <c r="AK152" s="526">
        <f>COUNTIF(ParticipationJanvier1[[#This Row],[1]:[31]],Code3)</f>
        <v>0</v>
      </c>
      <c r="AL152" s="472">
        <f>COUNTIF(ParticipationJanvier1[[#This Row],[1]:[31]],Code4)</f>
        <v>0</v>
      </c>
      <c r="AM152" s="526">
        <f>COUNTIF(ParticipationJanvier1[[#This Row],[1]:[31]],Code5)</f>
        <v>0</v>
      </c>
      <c r="AN152" s="527">
        <f>COUNTIF(ParticipationJanvier1[[#This Row],[1]:[31]],Code23)</f>
        <v>0</v>
      </c>
      <c r="AO152" s="472">
        <f>COUNTIF(ParticipationJanvier1[[#This Row],[1]:[31]],Code6)</f>
        <v>0</v>
      </c>
      <c r="AP152" s="528">
        <f>COUNTIF(ParticipationJanvier1[[#This Row],[1]:[31]],Code7)</f>
        <v>0</v>
      </c>
      <c r="AQ152" s="527">
        <f>COUNTIF(ParticipationJanvier1[[#This Row],[1]:[31]],Code8)</f>
        <v>0</v>
      </c>
      <c r="AR152" s="527">
        <f>COUNTIF(ParticipationJanvier1[[#This Row],[1]:[31]],Code9)</f>
        <v>0</v>
      </c>
      <c r="AS152" s="472">
        <f>COUNTIF(ParticipationJanvier1[[#This Row],[1]:[31]],Code10)</f>
        <v>0</v>
      </c>
      <c r="AT152" s="472">
        <f>COUNTIF(ParticipationJanvier1[[#This Row],[1]:[31]],Code11)</f>
        <v>0</v>
      </c>
      <c r="AU152" s="472">
        <f>COUNTIF(ParticipationJanvier1[[#This Row],[1]:[31]],Code12)</f>
        <v>0</v>
      </c>
      <c r="AV152" s="472">
        <f>COUNTIF(ParticipationJanvier1[[#This Row],[1]:[31]],Code13)</f>
        <v>0</v>
      </c>
      <c r="AW152" s="472">
        <f>COUNTIF(ParticipationJanvier1[[#This Row],[1]:[31]],Code14)</f>
        <v>0</v>
      </c>
      <c r="AX152" s="472">
        <f>COUNTIF(ParticipationJanvier1[[#This Row],[1]:[31]],Code15)</f>
        <v>0</v>
      </c>
      <c r="AY152" s="472">
        <f>COUNTIF(ParticipationJanvier1[[#This Row],[1]:[31]],Code16)</f>
        <v>0</v>
      </c>
      <c r="AZ152" s="472">
        <f>COUNTIF(ParticipationJanvier1[[#This Row],[1]:[31]],Code17)</f>
        <v>0</v>
      </c>
      <c r="BA152" s="474">
        <f>COUNTIF(ParticipationJanvier1[[#This Row],[1]:[31]],Code25)</f>
        <v>0</v>
      </c>
      <c r="BB152" s="474">
        <f>COUNTIF(ParticipationJanvier1[[#This Row],[1]:[31]],Code26)</f>
        <v>0</v>
      </c>
      <c r="BC152" s="474">
        <f>COUNTIF(ParticipationJanvier1[[#This Row],[1]:[31]],Code27)</f>
        <v>0</v>
      </c>
      <c r="BD152" s="474">
        <f>COUNTIF(ParticipationJanvier1[[#This Row],[1]:[31]],Code28)</f>
        <v>0</v>
      </c>
      <c r="BE152" s="474">
        <f>COUNTIF(ParticipationJanvier1[[#This Row],[1]:[31]],code30)</f>
        <v>0</v>
      </c>
      <c r="BF152" s="474">
        <f>COUNTIF(ParticipationJanvier1[[#This Row],[1]:[31]],Code31)</f>
        <v>0</v>
      </c>
      <c r="BG152" s="472">
        <f>COUNTIF(ParticipationJanvier1[[#This Row],[1]:[31]],code21)</f>
        <v>0</v>
      </c>
      <c r="BH152" s="472">
        <f>COUNTIF(ParticipationJanvier1[[#This Row],[1]:[31]],Code24)</f>
        <v>0</v>
      </c>
      <c r="BI152" s="472">
        <f>COUNTIF(ParticipationJanvier1[[#This Row],[1]:[31]],code18)</f>
        <v>0</v>
      </c>
      <c r="BJ152" s="472">
        <f>COUNTIF(ParticipationJanvier1[[#This Row],[1]:[31]],code19)</f>
        <v>0</v>
      </c>
      <c r="BK152" s="472">
        <f>COUNTIF(ParticipationJanvier1[[#This Row],[1]:[31]],code20)</f>
        <v>0</v>
      </c>
      <c r="BL152" s="476">
        <f>COUNTIF(ParticipationJanvier1[[#This Row],[1]:[31]],code29)</f>
        <v>0</v>
      </c>
      <c r="BM152" s="472">
        <f t="shared" si="7"/>
        <v>0</v>
      </c>
      <c r="BN152" s="472"/>
      <c r="BO152" s="472"/>
      <c r="BP152" s="472"/>
      <c r="BQ152" s="472"/>
      <c r="BR152" s="473"/>
      <c r="BS152" s="472"/>
      <c r="BT152" s="472"/>
      <c r="BU152" s="472"/>
      <c r="BV152" s="472"/>
      <c r="BW152" s="472"/>
      <c r="BX152" s="472"/>
      <c r="BY152" s="472"/>
      <c r="BZ152" s="472"/>
      <c r="CA152" s="472"/>
      <c r="CB152" s="472"/>
      <c r="CC152" s="472"/>
      <c r="CD152" s="472"/>
      <c r="CE152" s="472"/>
      <c r="CF152" s="472"/>
      <c r="CG152" s="472"/>
      <c r="CH152" s="472"/>
      <c r="CI152" s="472"/>
      <c r="CJ152" s="472"/>
      <c r="CK152" s="472"/>
      <c r="CL152" s="472"/>
      <c r="CM152" s="472"/>
      <c r="CN152" s="472"/>
      <c r="CO152" s="472"/>
      <c r="CP152" s="472"/>
      <c r="CQ152" s="472"/>
      <c r="CR152" s="472"/>
      <c r="CS152" s="472"/>
      <c r="CT152" s="472"/>
      <c r="CU152" s="516">
        <f t="shared" si="8"/>
        <v>0</v>
      </c>
      <c r="CV152" s="521">
        <f t="shared" si="9"/>
        <v>0</v>
      </c>
      <c r="CW152" s="472">
        <f t="shared" si="10"/>
        <v>0</v>
      </c>
      <c r="CX152" s="472">
        <f t="shared" si="11"/>
        <v>0</v>
      </c>
      <c r="CY152" s="512"/>
    </row>
    <row r="153" spans="1:103">
      <c r="A153" s="567" t="s">
        <v>613</v>
      </c>
      <c r="B153" s="372" t="str">
        <f>IFERROR(VLOOKUP(ParticipationJanvier1[[#This Row],[Référence]],ListeÉtudiants1[],18,FALSE),"")</f>
        <v xml:space="preserve">SISSOKO </v>
      </c>
      <c r="G153" s="525"/>
      <c r="I153" s="525"/>
      <c r="K153" s="525"/>
      <c r="M153" s="525"/>
      <c r="O153" s="525"/>
      <c r="Q153" s="525"/>
      <c r="S153" s="525"/>
      <c r="U153" s="525"/>
      <c r="W153" s="525"/>
      <c r="Y153" s="525"/>
      <c r="AA153" s="525"/>
      <c r="AC153" s="525"/>
      <c r="AE153" s="525"/>
      <c r="AG153" s="519"/>
      <c r="AH153" s="474">
        <f>COUNTIF(ParticipationJanvier1[[#This Row],[1]:[31]],Code1)</f>
        <v>0</v>
      </c>
      <c r="AI153" s="525">
        <f>COUNTIF(ParticipationJanvier1[[#This Row],[1]:[31]],code22)</f>
        <v>0</v>
      </c>
      <c r="AJ153" s="472">
        <f>COUNTIF(ParticipationJanvier1[[#This Row],[1]:[31]],Code2)</f>
        <v>0</v>
      </c>
      <c r="AK153" s="526">
        <f>COUNTIF(ParticipationJanvier1[[#This Row],[1]:[31]],Code3)</f>
        <v>0</v>
      </c>
      <c r="AL153" s="472">
        <f>COUNTIF(ParticipationJanvier1[[#This Row],[1]:[31]],Code4)</f>
        <v>0</v>
      </c>
      <c r="AM153" s="526">
        <f>COUNTIF(ParticipationJanvier1[[#This Row],[1]:[31]],Code5)</f>
        <v>0</v>
      </c>
      <c r="AN153" s="527">
        <f>COUNTIF(ParticipationJanvier1[[#This Row],[1]:[31]],Code23)</f>
        <v>0</v>
      </c>
      <c r="AO153" s="472">
        <f>COUNTIF(ParticipationJanvier1[[#This Row],[1]:[31]],Code6)</f>
        <v>0</v>
      </c>
      <c r="AP153" s="528">
        <f>COUNTIF(ParticipationJanvier1[[#This Row],[1]:[31]],Code7)</f>
        <v>0</v>
      </c>
      <c r="AQ153" s="527">
        <f>COUNTIF(ParticipationJanvier1[[#This Row],[1]:[31]],Code8)</f>
        <v>0</v>
      </c>
      <c r="AR153" s="527">
        <f>COUNTIF(ParticipationJanvier1[[#This Row],[1]:[31]],Code9)</f>
        <v>0</v>
      </c>
      <c r="AS153" s="472">
        <f>COUNTIF(ParticipationJanvier1[[#This Row],[1]:[31]],Code10)</f>
        <v>0</v>
      </c>
      <c r="AT153" s="472">
        <f>COUNTIF(ParticipationJanvier1[[#This Row],[1]:[31]],Code11)</f>
        <v>0</v>
      </c>
      <c r="AU153" s="472">
        <f>COUNTIF(ParticipationJanvier1[[#This Row],[1]:[31]],Code12)</f>
        <v>0</v>
      </c>
      <c r="AV153" s="472">
        <f>COUNTIF(ParticipationJanvier1[[#This Row],[1]:[31]],Code13)</f>
        <v>0</v>
      </c>
      <c r="AW153" s="472">
        <f>COUNTIF(ParticipationJanvier1[[#This Row],[1]:[31]],Code14)</f>
        <v>0</v>
      </c>
      <c r="AX153" s="472">
        <f>COUNTIF(ParticipationJanvier1[[#This Row],[1]:[31]],Code15)</f>
        <v>0</v>
      </c>
      <c r="AY153" s="472">
        <f>COUNTIF(ParticipationJanvier1[[#This Row],[1]:[31]],Code16)</f>
        <v>0</v>
      </c>
      <c r="AZ153" s="472">
        <f>COUNTIF(ParticipationJanvier1[[#This Row],[1]:[31]],Code17)</f>
        <v>0</v>
      </c>
      <c r="BA153" s="474">
        <f>COUNTIF(ParticipationJanvier1[[#This Row],[1]:[31]],Code25)</f>
        <v>0</v>
      </c>
      <c r="BB153" s="474">
        <f>COUNTIF(ParticipationJanvier1[[#This Row],[1]:[31]],Code26)</f>
        <v>0</v>
      </c>
      <c r="BC153" s="474">
        <f>COUNTIF(ParticipationJanvier1[[#This Row],[1]:[31]],Code27)</f>
        <v>0</v>
      </c>
      <c r="BD153" s="474">
        <f>COUNTIF(ParticipationJanvier1[[#This Row],[1]:[31]],Code28)</f>
        <v>0</v>
      </c>
      <c r="BE153" s="474">
        <f>COUNTIF(ParticipationJanvier1[[#This Row],[1]:[31]],code30)</f>
        <v>0</v>
      </c>
      <c r="BF153" s="474">
        <f>COUNTIF(ParticipationJanvier1[[#This Row],[1]:[31]],Code31)</f>
        <v>0</v>
      </c>
      <c r="BG153" s="472">
        <f>COUNTIF(ParticipationJanvier1[[#This Row],[1]:[31]],code21)</f>
        <v>0</v>
      </c>
      <c r="BH153" s="472">
        <f>COUNTIF(ParticipationJanvier1[[#This Row],[1]:[31]],Code24)</f>
        <v>0</v>
      </c>
      <c r="BI153" s="472">
        <f>COUNTIF(ParticipationJanvier1[[#This Row],[1]:[31]],code18)</f>
        <v>0</v>
      </c>
      <c r="BJ153" s="472">
        <f>COUNTIF(ParticipationJanvier1[[#This Row],[1]:[31]],code19)</f>
        <v>0</v>
      </c>
      <c r="BK153" s="472">
        <f>COUNTIF(ParticipationJanvier1[[#This Row],[1]:[31]],code20)</f>
        <v>0</v>
      </c>
      <c r="BL153" s="476">
        <f>COUNTIF(ParticipationJanvier1[[#This Row],[1]:[31]],code29)</f>
        <v>0</v>
      </c>
      <c r="BM153" s="472">
        <f t="shared" si="7"/>
        <v>0</v>
      </c>
      <c r="BN153" s="472"/>
      <c r="BO153" s="472"/>
      <c r="BP153" s="472"/>
      <c r="BQ153" s="472"/>
      <c r="BR153" s="473"/>
      <c r="BS153" s="472"/>
      <c r="BT153" s="472"/>
      <c r="BU153" s="472"/>
      <c r="BV153" s="472"/>
      <c r="BW153" s="472"/>
      <c r="BX153" s="472"/>
      <c r="BY153" s="472"/>
      <c r="BZ153" s="472"/>
      <c r="CA153" s="472"/>
      <c r="CB153" s="472"/>
      <c r="CC153" s="472"/>
      <c r="CD153" s="472"/>
      <c r="CE153" s="472"/>
      <c r="CF153" s="472"/>
      <c r="CG153" s="472"/>
      <c r="CH153" s="472"/>
      <c r="CI153" s="472"/>
      <c r="CJ153" s="472"/>
      <c r="CK153" s="472"/>
      <c r="CL153" s="472"/>
      <c r="CM153" s="472"/>
      <c r="CN153" s="472"/>
      <c r="CO153" s="472"/>
      <c r="CP153" s="472"/>
      <c r="CQ153" s="472"/>
      <c r="CR153" s="472"/>
      <c r="CS153" s="472"/>
      <c r="CT153" s="472"/>
      <c r="CU153" s="516">
        <f t="shared" si="8"/>
        <v>0</v>
      </c>
      <c r="CV153" s="521">
        <f t="shared" si="9"/>
        <v>0</v>
      </c>
      <c r="CW153" s="472">
        <f t="shared" si="10"/>
        <v>0</v>
      </c>
      <c r="CX153" s="472">
        <f t="shared" si="11"/>
        <v>0</v>
      </c>
      <c r="CY153" s="512"/>
    </row>
    <row r="154" spans="1:103">
      <c r="A154" s="567" t="s">
        <v>614</v>
      </c>
      <c r="B154" s="372" t="str">
        <f>IFERROR(VLOOKUP(ParticipationJanvier1[[#This Row],[Référence]],ListeÉtudiants1[],18,FALSE),"")</f>
        <v>ZAKHOUR Samantha</v>
      </c>
      <c r="G154" s="525"/>
      <c r="I154" s="525"/>
      <c r="K154" s="525"/>
      <c r="M154" s="525"/>
      <c r="O154" s="525"/>
      <c r="Q154" s="525"/>
      <c r="S154" s="525"/>
      <c r="U154" s="525"/>
      <c r="W154" s="525"/>
      <c r="Y154" s="525"/>
      <c r="AA154" s="525"/>
      <c r="AC154" s="525"/>
      <c r="AE154" s="525"/>
      <c r="AG154" s="519"/>
      <c r="AH154" s="474">
        <f>COUNTIF(ParticipationJanvier1[[#This Row],[1]:[31]],Code1)</f>
        <v>0</v>
      </c>
      <c r="AI154" s="525">
        <f>COUNTIF(ParticipationJanvier1[[#This Row],[1]:[31]],code22)</f>
        <v>0</v>
      </c>
      <c r="AJ154" s="472">
        <f>COUNTIF(ParticipationJanvier1[[#This Row],[1]:[31]],Code2)</f>
        <v>0</v>
      </c>
      <c r="AK154" s="526">
        <f>COUNTIF(ParticipationJanvier1[[#This Row],[1]:[31]],Code3)</f>
        <v>0</v>
      </c>
      <c r="AL154" s="472">
        <f>COUNTIF(ParticipationJanvier1[[#This Row],[1]:[31]],Code4)</f>
        <v>0</v>
      </c>
      <c r="AM154" s="526">
        <f>COUNTIF(ParticipationJanvier1[[#This Row],[1]:[31]],Code5)</f>
        <v>0</v>
      </c>
      <c r="AN154" s="527">
        <f>COUNTIF(ParticipationJanvier1[[#This Row],[1]:[31]],Code23)</f>
        <v>0</v>
      </c>
      <c r="AO154" s="472">
        <f>COUNTIF(ParticipationJanvier1[[#This Row],[1]:[31]],Code6)</f>
        <v>0</v>
      </c>
      <c r="AP154" s="528">
        <f>COUNTIF(ParticipationJanvier1[[#This Row],[1]:[31]],Code7)</f>
        <v>0</v>
      </c>
      <c r="AQ154" s="527">
        <f>COUNTIF(ParticipationJanvier1[[#This Row],[1]:[31]],Code8)</f>
        <v>0</v>
      </c>
      <c r="AR154" s="527">
        <f>COUNTIF(ParticipationJanvier1[[#This Row],[1]:[31]],Code9)</f>
        <v>0</v>
      </c>
      <c r="AS154" s="472">
        <f>COUNTIF(ParticipationJanvier1[[#This Row],[1]:[31]],Code10)</f>
        <v>0</v>
      </c>
      <c r="AT154" s="472">
        <f>COUNTIF(ParticipationJanvier1[[#This Row],[1]:[31]],Code11)</f>
        <v>0</v>
      </c>
      <c r="AU154" s="472">
        <f>COUNTIF(ParticipationJanvier1[[#This Row],[1]:[31]],Code12)</f>
        <v>0</v>
      </c>
      <c r="AV154" s="472">
        <f>COUNTIF(ParticipationJanvier1[[#This Row],[1]:[31]],Code13)</f>
        <v>0</v>
      </c>
      <c r="AW154" s="472">
        <f>COUNTIF(ParticipationJanvier1[[#This Row],[1]:[31]],Code14)</f>
        <v>0</v>
      </c>
      <c r="AX154" s="472">
        <f>COUNTIF(ParticipationJanvier1[[#This Row],[1]:[31]],Code15)</f>
        <v>0</v>
      </c>
      <c r="AY154" s="472">
        <f>COUNTIF(ParticipationJanvier1[[#This Row],[1]:[31]],Code16)</f>
        <v>0</v>
      </c>
      <c r="AZ154" s="472">
        <f>COUNTIF(ParticipationJanvier1[[#This Row],[1]:[31]],Code17)</f>
        <v>0</v>
      </c>
      <c r="BA154" s="474">
        <f>COUNTIF(ParticipationJanvier1[[#This Row],[1]:[31]],Code25)</f>
        <v>0</v>
      </c>
      <c r="BB154" s="474">
        <f>COUNTIF(ParticipationJanvier1[[#This Row],[1]:[31]],Code26)</f>
        <v>0</v>
      </c>
      <c r="BC154" s="474">
        <f>COUNTIF(ParticipationJanvier1[[#This Row],[1]:[31]],Code27)</f>
        <v>0</v>
      </c>
      <c r="BD154" s="474">
        <f>COUNTIF(ParticipationJanvier1[[#This Row],[1]:[31]],Code28)</f>
        <v>0</v>
      </c>
      <c r="BE154" s="474">
        <f>COUNTIF(ParticipationJanvier1[[#This Row],[1]:[31]],code30)</f>
        <v>0</v>
      </c>
      <c r="BF154" s="474">
        <f>COUNTIF(ParticipationJanvier1[[#This Row],[1]:[31]],Code31)</f>
        <v>0</v>
      </c>
      <c r="BG154" s="472">
        <f>COUNTIF(ParticipationJanvier1[[#This Row],[1]:[31]],code21)</f>
        <v>0</v>
      </c>
      <c r="BH154" s="472">
        <f>COUNTIF(ParticipationJanvier1[[#This Row],[1]:[31]],Code24)</f>
        <v>0</v>
      </c>
      <c r="BI154" s="472">
        <f>COUNTIF(ParticipationJanvier1[[#This Row],[1]:[31]],code18)</f>
        <v>0</v>
      </c>
      <c r="BJ154" s="472">
        <f>COUNTIF(ParticipationJanvier1[[#This Row],[1]:[31]],code19)</f>
        <v>0</v>
      </c>
      <c r="BK154" s="472">
        <f>COUNTIF(ParticipationJanvier1[[#This Row],[1]:[31]],code20)</f>
        <v>0</v>
      </c>
      <c r="BL154" s="476">
        <f>COUNTIF(ParticipationJanvier1[[#This Row],[1]:[31]],code29)</f>
        <v>0</v>
      </c>
      <c r="BM154" s="472">
        <f t="shared" si="7"/>
        <v>0</v>
      </c>
      <c r="BN154" s="472"/>
      <c r="BO154" s="472"/>
      <c r="BP154" s="472"/>
      <c r="BQ154" s="472"/>
      <c r="BR154" s="473"/>
      <c r="BS154" s="472"/>
      <c r="BT154" s="472"/>
      <c r="BU154" s="472"/>
      <c r="BV154" s="472"/>
      <c r="BW154" s="472"/>
      <c r="BX154" s="472"/>
      <c r="BY154" s="472"/>
      <c r="BZ154" s="472"/>
      <c r="CA154" s="472"/>
      <c r="CB154" s="472"/>
      <c r="CC154" s="472"/>
      <c r="CD154" s="472"/>
      <c r="CE154" s="472"/>
      <c r="CF154" s="472"/>
      <c r="CG154" s="472"/>
      <c r="CH154" s="472"/>
      <c r="CI154" s="472"/>
      <c r="CJ154" s="472"/>
      <c r="CK154" s="472"/>
      <c r="CL154" s="472"/>
      <c r="CM154" s="472"/>
      <c r="CN154" s="472"/>
      <c r="CO154" s="472"/>
      <c r="CP154" s="472"/>
      <c r="CQ154" s="472"/>
      <c r="CR154" s="472"/>
      <c r="CS154" s="472"/>
      <c r="CT154" s="472"/>
      <c r="CU154" s="516">
        <f t="shared" si="8"/>
        <v>0</v>
      </c>
      <c r="CV154" s="521">
        <f t="shared" si="9"/>
        <v>0</v>
      </c>
      <c r="CW154" s="472">
        <f t="shared" si="10"/>
        <v>0</v>
      </c>
      <c r="CX154" s="472">
        <f t="shared" si="11"/>
        <v>0</v>
      </c>
      <c r="CY154" s="512"/>
    </row>
    <row r="155" spans="1:103">
      <c r="A155" s="29"/>
      <c r="B155" s="372" t="str">
        <f>IFERROR(VLOOKUP(ParticipationJanvier1[[#This Row],[Référence]],ListeÉtudiants1[],18,FALSE),"")</f>
        <v/>
      </c>
      <c r="G155" s="525"/>
      <c r="I155" s="525"/>
      <c r="K155" s="525"/>
      <c r="M155" s="525"/>
      <c r="O155" s="525"/>
      <c r="Q155" s="525"/>
      <c r="S155" s="525"/>
      <c r="U155" s="525"/>
      <c r="W155" s="525"/>
      <c r="Y155" s="525"/>
      <c r="AA155" s="525"/>
      <c r="AC155" s="525"/>
      <c r="AE155" s="525"/>
      <c r="AG155" s="519"/>
      <c r="AH155" s="474">
        <f>COUNTIF(ParticipationJanvier1[[#This Row],[1]:[31]],Code1)</f>
        <v>0</v>
      </c>
      <c r="AI155" s="525">
        <f>COUNTIF(ParticipationJanvier1[[#This Row],[1]:[31]],code22)</f>
        <v>0</v>
      </c>
      <c r="AJ155" s="472">
        <f>COUNTIF(ParticipationJanvier1[[#This Row],[1]:[31]],Code2)</f>
        <v>0</v>
      </c>
      <c r="AK155" s="526">
        <f>COUNTIF(ParticipationJanvier1[[#This Row],[1]:[31]],Code3)</f>
        <v>0</v>
      </c>
      <c r="AL155" s="472">
        <f>COUNTIF(ParticipationJanvier1[[#This Row],[1]:[31]],Code4)</f>
        <v>0</v>
      </c>
      <c r="AM155" s="526">
        <f>COUNTIF(ParticipationJanvier1[[#This Row],[1]:[31]],Code5)</f>
        <v>0</v>
      </c>
      <c r="AN155" s="527">
        <f>COUNTIF(ParticipationJanvier1[[#This Row],[1]:[31]],Code23)</f>
        <v>0</v>
      </c>
      <c r="AO155" s="472">
        <f>COUNTIF(ParticipationJanvier1[[#This Row],[1]:[31]],Code6)</f>
        <v>0</v>
      </c>
      <c r="AP155" s="528">
        <f>COUNTIF(ParticipationJanvier1[[#This Row],[1]:[31]],Code7)</f>
        <v>0</v>
      </c>
      <c r="AQ155" s="527">
        <f>COUNTIF(ParticipationJanvier1[[#This Row],[1]:[31]],Code8)</f>
        <v>0</v>
      </c>
      <c r="AR155" s="527">
        <f>COUNTIF(ParticipationJanvier1[[#This Row],[1]:[31]],Code9)</f>
        <v>0</v>
      </c>
      <c r="AS155" s="472">
        <f>COUNTIF(ParticipationJanvier1[[#This Row],[1]:[31]],Code10)</f>
        <v>0</v>
      </c>
      <c r="AT155" s="472">
        <f>COUNTIF(ParticipationJanvier1[[#This Row],[1]:[31]],Code11)</f>
        <v>0</v>
      </c>
      <c r="AU155" s="472">
        <f>COUNTIF(ParticipationJanvier1[[#This Row],[1]:[31]],Code12)</f>
        <v>0</v>
      </c>
      <c r="AV155" s="472">
        <f>COUNTIF(ParticipationJanvier1[[#This Row],[1]:[31]],Code13)</f>
        <v>0</v>
      </c>
      <c r="AW155" s="472">
        <f>COUNTIF(ParticipationJanvier1[[#This Row],[1]:[31]],Code14)</f>
        <v>0</v>
      </c>
      <c r="AX155" s="472">
        <f>COUNTIF(ParticipationJanvier1[[#This Row],[1]:[31]],Code15)</f>
        <v>0</v>
      </c>
      <c r="AY155" s="472">
        <f>COUNTIF(ParticipationJanvier1[[#This Row],[1]:[31]],Code16)</f>
        <v>0</v>
      </c>
      <c r="AZ155" s="472">
        <f>COUNTIF(ParticipationJanvier1[[#This Row],[1]:[31]],Code17)</f>
        <v>0</v>
      </c>
      <c r="BA155" s="474">
        <f>COUNTIF(ParticipationJanvier1[[#This Row],[1]:[31]],Code25)</f>
        <v>0</v>
      </c>
      <c r="BB155" s="474">
        <f>COUNTIF(ParticipationJanvier1[[#This Row],[1]:[31]],Code26)</f>
        <v>0</v>
      </c>
      <c r="BC155" s="474">
        <f>COUNTIF(ParticipationJanvier1[[#This Row],[1]:[31]],Code27)</f>
        <v>0</v>
      </c>
      <c r="BD155" s="474">
        <f>COUNTIF(ParticipationJanvier1[[#This Row],[1]:[31]],Code28)</f>
        <v>0</v>
      </c>
      <c r="BE155" s="474">
        <f>COUNTIF(ParticipationJanvier1[[#This Row],[1]:[31]],code30)</f>
        <v>0</v>
      </c>
      <c r="BF155" s="474">
        <f>COUNTIF(ParticipationJanvier1[[#This Row],[1]:[31]],Code31)</f>
        <v>0</v>
      </c>
      <c r="BG155" s="472">
        <f>COUNTIF(ParticipationJanvier1[[#This Row],[1]:[31]],code21)</f>
        <v>0</v>
      </c>
      <c r="BH155" s="472">
        <f>COUNTIF(ParticipationJanvier1[[#This Row],[1]:[31]],Code24)</f>
        <v>0</v>
      </c>
      <c r="BI155" s="472">
        <f>COUNTIF(ParticipationJanvier1[[#This Row],[1]:[31]],code18)</f>
        <v>0</v>
      </c>
      <c r="BJ155" s="472">
        <f>COUNTIF(ParticipationJanvier1[[#This Row],[1]:[31]],code19)</f>
        <v>0</v>
      </c>
      <c r="BK155" s="472">
        <f>COUNTIF(ParticipationJanvier1[[#This Row],[1]:[31]],code20)</f>
        <v>0</v>
      </c>
      <c r="BL155" s="476">
        <f>COUNTIF(ParticipationJanvier1[[#This Row],[1]:[31]],code29)</f>
        <v>0</v>
      </c>
      <c r="BM155" s="472" t="e">
        <f>SUM((AH155*1)+(#REF!*1.5)+(AJ155*2)+(AK155*3)+(AL155*4)+(AQ155*5)+(AR155*6)+(AS155*7)+(AW155*2)+(AX155*3)+(AY155*4)+(AZ155*5)+(BG155*2))</f>
        <v>#REF!</v>
      </c>
      <c r="BN155" s="472"/>
      <c r="BO155" s="472"/>
      <c r="BP155" s="472"/>
      <c r="BQ155" s="472"/>
      <c r="BR155" s="473"/>
      <c r="BS155" s="472"/>
      <c r="BT155" s="472"/>
      <c r="BU155" s="472"/>
      <c r="BV155" s="472"/>
      <c r="BW155" s="472"/>
      <c r="BX155" s="472"/>
      <c r="BY155" s="472"/>
      <c r="BZ155" s="472"/>
      <c r="CA155" s="472"/>
      <c r="CB155" s="472"/>
      <c r="CC155" s="472"/>
      <c r="CD155" s="472"/>
      <c r="CE155" s="472"/>
      <c r="CF155" s="472"/>
      <c r="CG155" s="472"/>
      <c r="CH155" s="472"/>
      <c r="CI155" s="472"/>
      <c r="CJ155" s="472"/>
      <c r="CK155" s="472"/>
      <c r="CL155" s="472"/>
      <c r="CM155" s="472"/>
      <c r="CN155" s="472"/>
      <c r="CO155" s="472"/>
      <c r="CP155" s="472"/>
      <c r="CQ155" s="472"/>
      <c r="CR155" s="472"/>
      <c r="CS155" s="472"/>
      <c r="CT155" s="472"/>
      <c r="CU155" s="516">
        <f t="shared" si="8"/>
        <v>0</v>
      </c>
      <c r="CV155" s="521">
        <f t="shared" si="9"/>
        <v>0</v>
      </c>
      <c r="CW155" s="472">
        <f t="shared" si="10"/>
        <v>0</v>
      </c>
      <c r="CX155" s="472">
        <f t="shared" si="11"/>
        <v>0</v>
      </c>
      <c r="CY155" s="512"/>
    </row>
    <row r="156" spans="1:103">
      <c r="A156" s="369"/>
      <c r="B156" s="286" t="str">
        <f>IFERROR(VLOOKUP([2]!ParticipationJanvier1[[#This Row],[Référence]],[2]!ListeÉtudiants1[#Data],18,FALSE),"")</f>
        <v/>
      </c>
      <c r="G156" s="525"/>
      <c r="I156" s="525"/>
      <c r="K156" s="525"/>
      <c r="M156" s="525"/>
      <c r="O156" s="525"/>
      <c r="Q156" s="525"/>
      <c r="S156" s="525"/>
      <c r="U156" s="525"/>
      <c r="W156" s="525"/>
      <c r="Y156" s="525"/>
      <c r="AA156" s="525"/>
      <c r="AC156" s="525"/>
      <c r="AE156" s="525"/>
      <c r="AG156" s="519"/>
      <c r="AH156" s="474">
        <f>COUNTIF(ParticipationJanvier1[[#This Row],[1]:[31]],Code1)</f>
        <v>0</v>
      </c>
      <c r="AI156" s="525">
        <f>COUNTIF(ParticipationJanvier1[[#This Row],[1]:[31]],code22)</f>
        <v>0</v>
      </c>
      <c r="AJ156" s="472">
        <f>COUNTIF(ParticipationJanvier1[[#This Row],[1]:[31]],Code2)</f>
        <v>0</v>
      </c>
      <c r="AK156" s="526">
        <f>COUNTIF(ParticipationJanvier1[[#This Row],[1]:[31]],Code3)</f>
        <v>0</v>
      </c>
      <c r="AL156" s="472">
        <f>COUNTIF(ParticipationJanvier1[[#This Row],[1]:[31]],Code4)</f>
        <v>0</v>
      </c>
      <c r="AM156" s="526">
        <f>COUNTIF(ParticipationJanvier1[[#This Row],[1]:[31]],Code5)</f>
        <v>0</v>
      </c>
      <c r="AN156" s="527">
        <f>COUNTIF(ParticipationJanvier1[[#This Row],[1]:[31]],Code23)</f>
        <v>0</v>
      </c>
      <c r="AO156" s="472">
        <f>COUNTIF(ParticipationJanvier1[[#This Row],[1]:[31]],Code6)</f>
        <v>0</v>
      </c>
      <c r="AP156" s="528">
        <f>COUNTIF(ParticipationJanvier1[[#This Row],[1]:[31]],Code7)</f>
        <v>0</v>
      </c>
      <c r="AQ156" s="527">
        <f>COUNTIF(ParticipationJanvier1[[#This Row],[1]:[31]],Code8)</f>
        <v>0</v>
      </c>
      <c r="AR156" s="527">
        <f>COUNTIF(ParticipationJanvier1[[#This Row],[1]:[31]],Code9)</f>
        <v>0</v>
      </c>
      <c r="AS156" s="472">
        <f>COUNTIF(ParticipationJanvier1[[#This Row],[1]:[31]],Code10)</f>
        <v>0</v>
      </c>
      <c r="AT156" s="472">
        <f>COUNTIF(ParticipationJanvier1[[#This Row],[1]:[31]],Code11)</f>
        <v>0</v>
      </c>
      <c r="AU156" s="472">
        <f>COUNTIF(ParticipationJanvier1[[#This Row],[1]:[31]],Code12)</f>
        <v>0</v>
      </c>
      <c r="AV156" s="472">
        <f>COUNTIF(ParticipationJanvier1[[#This Row],[1]:[31]],Code13)</f>
        <v>0</v>
      </c>
      <c r="AW156" s="472">
        <f>COUNTIF(ParticipationJanvier1[[#This Row],[1]:[31]],Code14)</f>
        <v>0</v>
      </c>
      <c r="AX156" s="472">
        <f>COUNTIF(ParticipationJanvier1[[#This Row],[1]:[31]],Code15)</f>
        <v>0</v>
      </c>
      <c r="AY156" s="472">
        <f>COUNTIF(ParticipationJanvier1[[#This Row],[1]:[31]],Code16)</f>
        <v>0</v>
      </c>
      <c r="AZ156" s="472">
        <f>COUNTIF(ParticipationJanvier1[[#This Row],[1]:[31]],Code17)</f>
        <v>0</v>
      </c>
      <c r="BA156" s="474">
        <f>COUNTIF(ParticipationJanvier1[[#This Row],[1]:[31]],Code25)</f>
        <v>0</v>
      </c>
      <c r="BB156" s="474">
        <f>COUNTIF(ParticipationJanvier1[[#This Row],[1]:[31]],Code26)</f>
        <v>0</v>
      </c>
      <c r="BC156" s="474">
        <f>COUNTIF(ParticipationJanvier1[[#This Row],[1]:[31]],Code27)</f>
        <v>0</v>
      </c>
      <c r="BD156" s="474">
        <f>COUNTIF(ParticipationJanvier1[[#This Row],[1]:[31]],Code28)</f>
        <v>0</v>
      </c>
      <c r="BE156" s="474">
        <f>COUNTIF(ParticipationJanvier1[[#This Row],[1]:[31]],code30)</f>
        <v>0</v>
      </c>
      <c r="BF156" s="474">
        <f>COUNTIF(ParticipationJanvier1[[#This Row],[1]:[31]],Code31)</f>
        <v>0</v>
      </c>
      <c r="BG156" s="472">
        <f>COUNTIF(ParticipationJanvier1[[#This Row],[1]:[31]],code21)</f>
        <v>0</v>
      </c>
      <c r="BH156" s="472">
        <f>COUNTIF(ParticipationJanvier1[[#This Row],[1]:[31]],Code24)</f>
        <v>0</v>
      </c>
      <c r="BI156" s="472">
        <f>COUNTIF(ParticipationJanvier1[[#This Row],[1]:[31]],code18)</f>
        <v>0</v>
      </c>
      <c r="BJ156" s="472">
        <f>COUNTIF(ParticipationJanvier1[[#This Row],[1]:[31]],code19)</f>
        <v>0</v>
      </c>
      <c r="BK156" s="472">
        <f>COUNTIF(ParticipationJanvier1[[#This Row],[1]:[31]],code20)</f>
        <v>0</v>
      </c>
      <c r="BL156" s="476">
        <f>COUNTIF(ParticipationJanvier1[[#This Row],[1]:[31]],code29)</f>
        <v>0</v>
      </c>
      <c r="BM156" s="472" t="e">
        <f>SUM((AH156*1)+(#REF!*1.5)+(AJ156*2)+(AK156*3)+(AL156*4)+(AQ156*5)+(AR156*6)+(AS156*7)+(AW156*2)+(AX156*3)+(AY156*4)+(AZ156*5)+(BG156*2))</f>
        <v>#REF!</v>
      </c>
      <c r="BN156" s="472"/>
      <c r="BO156" s="472"/>
      <c r="BP156" s="472"/>
      <c r="BQ156" s="472"/>
      <c r="BR156" s="473"/>
      <c r="BS156" s="472"/>
      <c r="BT156" s="472"/>
      <c r="BU156" s="472"/>
      <c r="BV156" s="472"/>
      <c r="BW156" s="472"/>
      <c r="BX156" s="472"/>
      <c r="BY156" s="472"/>
      <c r="BZ156" s="472"/>
      <c r="CA156" s="472"/>
      <c r="CB156" s="472"/>
      <c r="CC156" s="472"/>
      <c r="CD156" s="472"/>
      <c r="CE156" s="472"/>
      <c r="CF156" s="472"/>
      <c r="CG156" s="472"/>
      <c r="CH156" s="472"/>
      <c r="CI156" s="472"/>
      <c r="CJ156" s="472"/>
      <c r="CK156" s="472"/>
      <c r="CL156" s="472"/>
      <c r="CM156" s="472"/>
      <c r="CN156" s="472"/>
      <c r="CO156" s="472"/>
      <c r="CP156" s="472"/>
      <c r="CQ156" s="472"/>
      <c r="CR156" s="472"/>
      <c r="CS156" s="472"/>
      <c r="CT156" s="472"/>
      <c r="CU156" s="516">
        <f t="shared" si="8"/>
        <v>0</v>
      </c>
      <c r="CV156" s="521">
        <f t="shared" si="9"/>
        <v>0</v>
      </c>
      <c r="CW156" s="472">
        <f t="shared" si="10"/>
        <v>0</v>
      </c>
      <c r="CX156" s="472">
        <f t="shared" si="11"/>
        <v>0</v>
      </c>
      <c r="CY156" s="512"/>
    </row>
    <row r="157" spans="1:103" ht="14.25" thickBot="1">
      <c r="A157" s="369"/>
      <c r="B157" s="286" t="str">
        <f>IFERROR(VLOOKUP([2]!ParticipationJanvier1[[#This Row],[Référence]],[2]!ListeÉtudiants1[#Data],18,FALSE),"")</f>
        <v/>
      </c>
      <c r="G157" s="525"/>
      <c r="I157" s="525"/>
      <c r="K157" s="525"/>
      <c r="M157" s="525"/>
      <c r="O157" s="525"/>
      <c r="Q157" s="525"/>
      <c r="S157" s="525"/>
      <c r="U157" s="525"/>
      <c r="W157" s="525"/>
      <c r="Y157" s="525"/>
      <c r="AA157" s="525"/>
      <c r="AC157" s="525"/>
      <c r="AE157" s="525"/>
      <c r="AG157" s="519"/>
      <c r="AH157" s="474">
        <f>COUNTIF(ParticipationJanvier1[[#This Row],[1]:[31]],Code1)</f>
        <v>0</v>
      </c>
      <c r="AI157" s="525">
        <f>COUNTIF(ParticipationJanvier1[[#This Row],[1]:[31]],code22)</f>
        <v>0</v>
      </c>
      <c r="AJ157" s="472">
        <f>COUNTIF(ParticipationJanvier1[[#This Row],[1]:[31]],Code2)</f>
        <v>0</v>
      </c>
      <c r="AK157" s="526">
        <f>COUNTIF(ParticipationJanvier1[[#This Row],[1]:[31]],Code3)</f>
        <v>0</v>
      </c>
      <c r="AL157" s="472">
        <f>COUNTIF(ParticipationJanvier1[[#This Row],[1]:[31]],Code4)</f>
        <v>0</v>
      </c>
      <c r="AM157" s="526">
        <f>COUNTIF(ParticipationJanvier1[[#This Row],[1]:[31]],Code5)</f>
        <v>0</v>
      </c>
      <c r="AN157" s="527">
        <f>COUNTIF(ParticipationJanvier1[[#This Row],[1]:[31]],Code23)</f>
        <v>0</v>
      </c>
      <c r="AO157" s="472">
        <f>COUNTIF(ParticipationJanvier1[[#This Row],[1]:[31]],Code6)</f>
        <v>0</v>
      </c>
      <c r="AP157" s="528">
        <f>COUNTIF(ParticipationJanvier1[[#This Row],[1]:[31]],Code7)</f>
        <v>0</v>
      </c>
      <c r="AQ157" s="527">
        <f>COUNTIF(ParticipationJanvier1[[#This Row],[1]:[31]],Code8)</f>
        <v>0</v>
      </c>
      <c r="AR157" s="527">
        <f>COUNTIF(ParticipationJanvier1[[#This Row],[1]:[31]],Code9)</f>
        <v>0</v>
      </c>
      <c r="AS157" s="472">
        <f>COUNTIF(ParticipationJanvier1[[#This Row],[1]:[31]],Code10)</f>
        <v>0</v>
      </c>
      <c r="AT157" s="472">
        <f>COUNTIF(ParticipationJanvier1[[#This Row],[1]:[31]],Code11)</f>
        <v>0</v>
      </c>
      <c r="AU157" s="472">
        <f>COUNTIF(ParticipationJanvier1[[#This Row],[1]:[31]],Code12)</f>
        <v>0</v>
      </c>
      <c r="AV157" s="472">
        <f>COUNTIF(ParticipationJanvier1[[#This Row],[1]:[31]],Code13)</f>
        <v>0</v>
      </c>
      <c r="AW157" s="472">
        <f>COUNTIF(ParticipationJanvier1[[#This Row],[1]:[31]],Code14)</f>
        <v>0</v>
      </c>
      <c r="AX157" s="472">
        <f>COUNTIF(ParticipationJanvier1[[#This Row],[1]:[31]],Code15)</f>
        <v>0</v>
      </c>
      <c r="AY157" s="472">
        <f>COUNTIF(ParticipationJanvier1[[#This Row],[1]:[31]],Code16)</f>
        <v>0</v>
      </c>
      <c r="AZ157" s="472">
        <f>COUNTIF(ParticipationJanvier1[[#This Row],[1]:[31]],Code17)</f>
        <v>0</v>
      </c>
      <c r="BA157" s="474">
        <f>COUNTIF(ParticipationJanvier1[[#This Row],[1]:[31]],Code25)</f>
        <v>0</v>
      </c>
      <c r="BB157" s="474">
        <f>COUNTIF(ParticipationJanvier1[[#This Row],[1]:[31]],Code26)</f>
        <v>0</v>
      </c>
      <c r="BC157" s="474">
        <f>COUNTIF(ParticipationJanvier1[[#This Row],[1]:[31]],Code27)</f>
        <v>0</v>
      </c>
      <c r="BD157" s="474">
        <f>COUNTIF(ParticipationJanvier1[[#This Row],[1]:[31]],Code28)</f>
        <v>0</v>
      </c>
      <c r="BE157" s="474">
        <f>COUNTIF(ParticipationJanvier1[[#This Row],[1]:[31]],code30)</f>
        <v>0</v>
      </c>
      <c r="BF157" s="474">
        <f>COUNTIF(ParticipationJanvier1[[#This Row],[1]:[31]],Code31)</f>
        <v>0</v>
      </c>
      <c r="BG157" s="472">
        <f>COUNTIF(ParticipationJanvier1[[#This Row],[1]:[31]],code21)</f>
        <v>0</v>
      </c>
      <c r="BH157" s="472">
        <f>COUNTIF(ParticipationJanvier1[[#This Row],[1]:[31]],Code24)</f>
        <v>0</v>
      </c>
      <c r="BI157" s="472">
        <f>COUNTIF(ParticipationJanvier1[[#This Row],[1]:[31]],code18)</f>
        <v>0</v>
      </c>
      <c r="BJ157" s="472">
        <f>COUNTIF(ParticipationJanvier1[[#This Row],[1]:[31]],code19)</f>
        <v>0</v>
      </c>
      <c r="BK157" s="472">
        <f>COUNTIF(ParticipationJanvier1[[#This Row],[1]:[31]],code20)</f>
        <v>0</v>
      </c>
      <c r="BL157" s="476">
        <f>COUNTIF(ParticipationJanvier1[[#This Row],[1]:[31]],code29)</f>
        <v>0</v>
      </c>
      <c r="BM157" s="472" t="e">
        <f>SUM((AH157*1)+(#REF!*1.5)+(AJ157*2)+(AK157*3)+(AL157*4)+(AQ157*5)+(AR157*6)+(AS157*7)+(AW157*2)+(AX157*3)+(AY157*4)+(AZ157*5)+(BG157*2))</f>
        <v>#REF!</v>
      </c>
      <c r="BN157" s="472"/>
      <c r="BO157" s="472"/>
      <c r="BP157" s="472"/>
      <c r="BQ157" s="472"/>
      <c r="BR157" s="473"/>
      <c r="BS157" s="472"/>
      <c r="BT157" s="472"/>
      <c r="BU157" s="472"/>
      <c r="BV157" s="472"/>
      <c r="BW157" s="472"/>
      <c r="BX157" s="472"/>
      <c r="BY157" s="472"/>
      <c r="BZ157" s="472"/>
      <c r="CA157" s="472"/>
      <c r="CB157" s="472"/>
      <c r="CC157" s="472"/>
      <c r="CD157" s="472"/>
      <c r="CE157" s="472"/>
      <c r="CF157" s="472"/>
      <c r="CG157" s="472"/>
      <c r="CH157" s="472"/>
      <c r="CI157" s="472"/>
      <c r="CJ157" s="472"/>
      <c r="CK157" s="472"/>
      <c r="CL157" s="472"/>
      <c r="CM157" s="472"/>
      <c r="CN157" s="472"/>
      <c r="CO157" s="472"/>
      <c r="CP157" s="472"/>
      <c r="CQ157" s="472"/>
      <c r="CR157" s="472"/>
      <c r="CS157" s="472"/>
      <c r="CT157" s="472"/>
      <c r="CU157" s="516">
        <f t="shared" si="8"/>
        <v>0</v>
      </c>
      <c r="CV157" s="521">
        <f t="shared" si="9"/>
        <v>0</v>
      </c>
      <c r="CW157" s="472">
        <f t="shared" si="10"/>
        <v>0</v>
      </c>
      <c r="CX157" s="472">
        <f t="shared" si="11"/>
        <v>0</v>
      </c>
      <c r="CY157" s="512"/>
    </row>
    <row r="158" spans="1:103" ht="14.25" thickTop="1">
      <c r="A158" s="469"/>
      <c r="B158" s="470"/>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1"/>
      <c r="AJ158" s="471"/>
      <c r="AK158" s="471"/>
      <c r="AL158" s="471"/>
      <c r="AM158" s="471"/>
      <c r="AN158" s="471"/>
      <c r="AO158" s="471"/>
      <c r="AP158" s="471"/>
      <c r="AQ158" s="471"/>
      <c r="AR158" s="471"/>
      <c r="AS158" s="471"/>
      <c r="AT158" s="471"/>
      <c r="AU158" s="471"/>
      <c r="AV158" s="471"/>
      <c r="AW158" s="471"/>
      <c r="AX158" s="471"/>
      <c r="AY158" s="471"/>
      <c r="AZ158" s="471"/>
      <c r="BA158" s="471"/>
      <c r="BB158" s="471"/>
      <c r="BC158" s="471"/>
      <c r="BD158" s="471"/>
      <c r="BE158" s="471"/>
      <c r="BF158" s="471"/>
      <c r="BG158" s="471"/>
      <c r="BH158" s="471"/>
      <c r="BI158" s="471"/>
      <c r="BJ158" s="471"/>
      <c r="BK158" s="471"/>
      <c r="BL158" s="471"/>
      <c r="BM158" s="471"/>
      <c r="BN158" s="524"/>
      <c r="BO158" s="524"/>
      <c r="BP158" s="469"/>
      <c r="BQ158" s="469"/>
      <c r="BR158" s="469"/>
      <c r="BS158" s="469"/>
      <c r="BT158" s="469"/>
      <c r="BU158" s="469"/>
      <c r="BV158" s="469"/>
      <c r="BW158" s="469"/>
      <c r="BX158" s="469"/>
      <c r="BY158" s="469"/>
      <c r="BZ158" s="469"/>
      <c r="CA158" s="469"/>
      <c r="CB158" s="469"/>
      <c r="CC158" s="469"/>
      <c r="CD158" s="469"/>
      <c r="CE158" s="469"/>
      <c r="CF158" s="469"/>
      <c r="CG158" s="469"/>
      <c r="CH158" s="469"/>
      <c r="CI158" s="469"/>
      <c r="CJ158" s="469"/>
      <c r="CK158" s="469"/>
      <c r="CL158" s="469"/>
      <c r="CM158" s="469"/>
      <c r="CN158" s="469"/>
      <c r="CO158" s="469"/>
      <c r="CP158" s="469"/>
      <c r="CQ158" s="469"/>
      <c r="CR158" s="469"/>
      <c r="CS158" s="469"/>
      <c r="CT158" s="469"/>
      <c r="CU158" s="469"/>
      <c r="CV158" s="469"/>
      <c r="CW158" s="469"/>
      <c r="CX158" s="469"/>
      <c r="CY158" s="469"/>
    </row>
    <row r="159" spans="1:103">
      <c r="AP159" s="88"/>
    </row>
    <row r="160" spans="1:103">
      <c r="AP160" s="88"/>
    </row>
    <row r="161" spans="42:42">
      <c r="AP161" s="88"/>
    </row>
    <row r="162" spans="42:42">
      <c r="AP162" s="88"/>
    </row>
    <row r="163" spans="42:42">
      <c r="AP163" s="88"/>
    </row>
    <row r="164" spans="42:42">
      <c r="AP164" s="88"/>
    </row>
    <row r="165" spans="42:42">
      <c r="AP165" s="88"/>
    </row>
    <row r="166" spans="42:42">
      <c r="AP166" s="88"/>
    </row>
    <row r="167" spans="42:42">
      <c r="AP167" s="88"/>
    </row>
    <row r="168" spans="42:42">
      <c r="AP168" s="88"/>
    </row>
    <row r="169" spans="42:42">
      <c r="AP169" s="88"/>
    </row>
    <row r="170" spans="42:42">
      <c r="AP170" s="88"/>
    </row>
    <row r="171" spans="42:42">
      <c r="AP171" s="88"/>
    </row>
    <row r="172" spans="42:42">
      <c r="AP172" s="88"/>
    </row>
    <row r="173" spans="42:42">
      <c r="AP173" s="88"/>
    </row>
    <row r="174" spans="42:42">
      <c r="AP174" s="88"/>
    </row>
    <row r="175" spans="42:42">
      <c r="AP175" s="88"/>
    </row>
    <row r="176" spans="42:42">
      <c r="AP176" s="88"/>
    </row>
    <row r="177" spans="42:42">
      <c r="AP177" s="88"/>
    </row>
    <row r="178" spans="42:42">
      <c r="AP178" s="88"/>
    </row>
    <row r="179" spans="42:42">
      <c r="AP179" s="88"/>
    </row>
    <row r="180" spans="42:42">
      <c r="AP180" s="88"/>
    </row>
    <row r="181" spans="42:42">
      <c r="AP181" s="88"/>
    </row>
    <row r="182" spans="42:42">
      <c r="AP182" s="88"/>
    </row>
    <row r="183" spans="42:42">
      <c r="AP183" s="88"/>
    </row>
    <row r="184" spans="42:42">
      <c r="AP184" s="88"/>
    </row>
    <row r="185" spans="42:42">
      <c r="AP185" s="88"/>
    </row>
    <row r="186" spans="42:42">
      <c r="AP186" s="88"/>
    </row>
    <row r="187" spans="42:42">
      <c r="AP187" s="88"/>
    </row>
    <row r="188" spans="42:42">
      <c r="AP188" s="88"/>
    </row>
    <row r="189" spans="42:42">
      <c r="AP189" s="88"/>
    </row>
    <row r="190" spans="42:42">
      <c r="AP190" s="88"/>
    </row>
    <row r="191" spans="42:42">
      <c r="AP191" s="88"/>
    </row>
    <row r="192" spans="42:42">
      <c r="AP192" s="88"/>
    </row>
    <row r="193" spans="42:42">
      <c r="AP193" s="88"/>
    </row>
    <row r="194" spans="42:42">
      <c r="AP194" s="88"/>
    </row>
    <row r="195" spans="42:42">
      <c r="AP195" s="88"/>
    </row>
    <row r="196" spans="42:42">
      <c r="AP196" s="88"/>
    </row>
    <row r="197" spans="42:42">
      <c r="AP197" s="88"/>
    </row>
    <row r="198" spans="42:42">
      <c r="AP198" s="88"/>
    </row>
  </sheetData>
  <mergeCells count="5">
    <mergeCell ref="A1:B1"/>
    <mergeCell ref="AH9:BK9"/>
    <mergeCell ref="H7:I7"/>
    <mergeCell ref="L7:M7"/>
    <mergeCell ref="P7:Q7"/>
  </mergeCells>
  <conditionalFormatting sqref="C25:F25 H25:M25 U60:AG64 C11:M24 C26:M64 W11:AG59 U11:U59">
    <cfRule type="expression" dxfId="400" priority="3">
      <formula>C11=Code26</formula>
    </cfRule>
    <cfRule type="expression" dxfId="399" priority="5">
      <formula>C11=Code25</formula>
    </cfRule>
    <cfRule type="expression" dxfId="398" priority="31">
      <formula>C11=Code24</formula>
    </cfRule>
    <cfRule type="expression" dxfId="397" priority="32">
      <formula>C11=Code23</formula>
    </cfRule>
    <cfRule type="expression" dxfId="396" priority="33">
      <formula>C11=code22</formula>
    </cfRule>
    <cfRule type="expression" dxfId="395" priority="38" stopIfTrue="1">
      <formula>C11=code21</formula>
    </cfRule>
    <cfRule type="expression" dxfId="394" priority="40" stopIfTrue="1">
      <formula>C11=code20</formula>
    </cfRule>
    <cfRule type="expression" dxfId="393" priority="41">
      <formula>C11=code19</formula>
    </cfRule>
    <cfRule type="expression" dxfId="392" priority="42" stopIfTrue="1">
      <formula>C11=code18</formula>
    </cfRule>
    <cfRule type="expression" dxfId="391" priority="54" stopIfTrue="1">
      <formula>C11=Code17</formula>
    </cfRule>
    <cfRule type="expression" dxfId="390" priority="55" stopIfTrue="1">
      <formula>C11=Code16</formula>
    </cfRule>
    <cfRule type="expression" dxfId="389" priority="56" stopIfTrue="1">
      <formula>C11=Code15</formula>
    </cfRule>
    <cfRule type="expression" dxfId="388" priority="57" stopIfTrue="1">
      <formula>C11=Code13</formula>
    </cfRule>
    <cfRule type="expression" dxfId="387" priority="58" stopIfTrue="1">
      <formula>C11=Code14</formula>
    </cfRule>
    <cfRule type="expression" dxfId="386" priority="59" stopIfTrue="1">
      <formula>C11=Code12</formula>
    </cfRule>
    <cfRule type="expression" dxfId="385" priority="60" stopIfTrue="1">
      <formula>C11=Code11</formula>
    </cfRule>
    <cfRule type="expression" dxfId="384" priority="61" stopIfTrue="1">
      <formula>C11=Code10</formula>
    </cfRule>
    <cfRule type="expression" dxfId="383" priority="62" stopIfTrue="1">
      <formula>C11=Code9</formula>
    </cfRule>
    <cfRule type="expression" dxfId="382" priority="63" stopIfTrue="1">
      <formula>C11=Code8</formula>
    </cfRule>
    <cfRule type="expression" dxfId="381" priority="69" stopIfTrue="1">
      <formula>C11=Code7</formula>
    </cfRule>
    <cfRule type="expression" dxfId="380" priority="72" stopIfTrue="1">
      <formula>C11=Code6</formula>
    </cfRule>
    <cfRule type="expression" dxfId="379" priority="75" stopIfTrue="1">
      <formula>C11=Code5</formula>
    </cfRule>
    <cfRule type="expression" dxfId="378" priority="76" stopIfTrue="1">
      <formula>C11=Code4</formula>
    </cfRule>
    <cfRule type="expression" dxfId="377" priority="77" stopIfTrue="1">
      <formula>C11=Code3</formula>
    </cfRule>
    <cfRule type="expression" dxfId="376" priority="78" stopIfTrue="1">
      <formula>C11=Code1</formula>
    </cfRule>
  </conditionalFormatting>
  <conditionalFormatting sqref="C25:F25 H25:M25 U60:AG64 C11:M24 C26:M64 W11:AG59 U11:U59 AH11:BL157 N11:T131">
    <cfRule type="expression" dxfId="375" priority="74" stopIfTrue="1">
      <formula>C11=Code2</formula>
    </cfRule>
  </conditionalFormatting>
  <conditionalFormatting sqref="CY45:CY46">
    <cfRule type="dataBar" priority="43">
      <dataBar>
        <cfvo type="min"/>
        <cfvo type="num" val="31"/>
        <color theme="4"/>
      </dataBar>
      <extLst>
        <ext xmlns:x14="http://schemas.microsoft.com/office/spreadsheetml/2009/9/main" uri="{B025F937-C7B1-47D3-B67F-A62EFF666E3E}">
          <x14:id>{EB1610DD-450E-4150-809A-685DB9977E55}</x14:id>
        </ext>
      </extLst>
    </cfRule>
  </conditionalFormatting>
  <conditionalFormatting sqref="AI3">
    <cfRule type="cellIs" priority="37" operator="equal">
      <formula>"V"</formula>
    </cfRule>
  </conditionalFormatting>
  <conditionalFormatting sqref="Z5:Z8">
    <cfRule type="cellIs" dxfId="374" priority="36" operator="equal">
      <formula>"St1"</formula>
    </cfRule>
  </conditionalFormatting>
  <conditionalFormatting sqref="AC5:AC8">
    <cfRule type="cellIs" dxfId="373" priority="35" operator="equal">
      <formula>"St2"</formula>
    </cfRule>
  </conditionalFormatting>
  <conditionalFormatting sqref="AF5:AF8">
    <cfRule type="cellIs" dxfId="372" priority="34" operator="equal">
      <formula>"St3"</formula>
    </cfRule>
  </conditionalFormatting>
  <conditionalFormatting sqref="N11:T131">
    <cfRule type="expression" dxfId="371" priority="4">
      <formula>N11=Code26</formula>
    </cfRule>
    <cfRule type="expression" dxfId="370" priority="6">
      <formula>N11=Code25</formula>
    </cfRule>
    <cfRule type="expression" dxfId="369" priority="7">
      <formula>N11=Code24</formula>
    </cfRule>
    <cfRule type="expression" dxfId="368" priority="8">
      <formula>N11=Code23</formula>
    </cfRule>
    <cfRule type="expression" dxfId="367" priority="9">
      <formula>N11=code22</formula>
    </cfRule>
    <cfRule type="expression" dxfId="366" priority="10" stopIfTrue="1">
      <formula>N11=code21</formula>
    </cfRule>
    <cfRule type="expression" dxfId="365" priority="11" stopIfTrue="1">
      <formula>N11=code20</formula>
    </cfRule>
    <cfRule type="expression" dxfId="364" priority="12">
      <formula>N11=code19</formula>
    </cfRule>
    <cfRule type="expression" dxfId="363" priority="13" stopIfTrue="1">
      <formula>N11=code18</formula>
    </cfRule>
    <cfRule type="expression" dxfId="362" priority="14" stopIfTrue="1">
      <formula>N11=Code17</formula>
    </cfRule>
    <cfRule type="expression" dxfId="361" priority="15" stopIfTrue="1">
      <formula>N11=Code16</formula>
    </cfRule>
    <cfRule type="expression" dxfId="360" priority="16" stopIfTrue="1">
      <formula>N11=Code15</formula>
    </cfRule>
    <cfRule type="expression" dxfId="359" priority="17" stopIfTrue="1">
      <formula>N11=Code13</formula>
    </cfRule>
    <cfRule type="expression" dxfId="358" priority="18" stopIfTrue="1">
      <formula>N11=Code14</formula>
    </cfRule>
    <cfRule type="expression" dxfId="357" priority="19" stopIfTrue="1">
      <formula>N11=Code12</formula>
    </cfRule>
    <cfRule type="expression" dxfId="356" priority="20" stopIfTrue="1">
      <formula>N11=Code11</formula>
    </cfRule>
    <cfRule type="expression" dxfId="355" priority="21" stopIfTrue="1">
      <formula>N11=Code10</formula>
    </cfRule>
    <cfRule type="expression" dxfId="354" priority="22" stopIfTrue="1">
      <formula>N11=Code9</formula>
    </cfRule>
    <cfRule type="expression" dxfId="353" priority="23" stopIfTrue="1">
      <formula>N11=Code8</formula>
    </cfRule>
    <cfRule type="expression" dxfId="352" priority="24" stopIfTrue="1">
      <formula>N11=Code7</formula>
    </cfRule>
    <cfRule type="expression" dxfId="351" priority="25" stopIfTrue="1">
      <formula>N11=Code6</formula>
    </cfRule>
    <cfRule type="expression" dxfId="350" priority="27" stopIfTrue="1">
      <formula>N11=Code5</formula>
    </cfRule>
    <cfRule type="expression" dxfId="349" priority="28" stopIfTrue="1">
      <formula>N11=Code4</formula>
    </cfRule>
    <cfRule type="expression" dxfId="348" priority="29" stopIfTrue="1">
      <formula>N11=Code3</formula>
    </cfRule>
    <cfRule type="expression" dxfId="347" priority="30" stopIfTrue="1">
      <formula>N11=Code1</formula>
    </cfRule>
  </conditionalFormatting>
  <conditionalFormatting sqref="V7">
    <cfRule type="cellIs" dxfId="346" priority="2" operator="equal">
      <formula>"St2"</formula>
    </cfRule>
  </conditionalFormatting>
  <conditionalFormatting sqref="X7">
    <cfRule type="cellIs" dxfId="345" priority="1" operator="equal">
      <formula>"St3"</formula>
    </cfRule>
  </conditionalFormatting>
  <conditionalFormatting sqref="CY11:CY44">
    <cfRule type="dataBar" priority="1882">
      <dataBar>
        <cfvo type="min"/>
        <cfvo type="num" val="31"/>
        <color theme="4"/>
      </dataBar>
      <extLst>
        <ext xmlns:x14="http://schemas.microsoft.com/office/spreadsheetml/2009/9/main" uri="{B025F937-C7B1-47D3-B67F-A62EFF666E3E}">
          <x14:id>{8A0A33F4-ABF7-4CB0-955F-9B3DEC2D2B9A}</x14:id>
        </ext>
      </extLst>
    </cfRule>
  </conditionalFormatting>
  <conditionalFormatting sqref="CY47:CY131">
    <cfRule type="dataBar" priority="1887">
      <dataBar>
        <cfvo type="min"/>
        <cfvo type="num" val="31"/>
        <color theme="4"/>
      </dataBar>
      <extLst>
        <ext xmlns:x14="http://schemas.microsoft.com/office/spreadsheetml/2009/9/main" uri="{B025F937-C7B1-47D3-B67F-A62EFF666E3E}">
          <x14:id>{F89B6B72-E28D-46CA-9C6A-A39409B45A11}</x14:id>
        </ext>
      </extLst>
    </cfRule>
  </conditionalFormatting>
  <conditionalFormatting sqref="CV77:CV132 CV11:CX131">
    <cfRule type="dataBar" priority="1939">
      <dataBar>
        <cfvo type="min"/>
        <cfvo type="num" val="31"/>
        <color theme="4"/>
      </dataBar>
      <extLst>
        <ext xmlns:x14="http://schemas.microsoft.com/office/spreadsheetml/2009/9/main" uri="{B025F937-C7B1-47D3-B67F-A62EFF666E3E}">
          <x14:id>{1755CE9F-FFA9-4961-B138-868B32BF60B3}</x14:id>
        </ext>
      </extLst>
    </cfRule>
  </conditionalFormatting>
  <dataValidations count="1">
    <dataValidation type="list" errorStyle="warning" allowBlank="1" showInputMessage="1" showErrorMessage="1" errorTitle="Whoops!" error="The Student ID you entered isn't on the Student List sheet. You can click Yes to use what you entered but that Student ID won't be available on the Student Attendance Report sheet." sqref="A11:A157">
      <formula1>IDÉtudiant1</formula1>
    </dataValidation>
  </dataValidations>
  <pageMargins left="0.7" right="0.7" top="0.75" bottom="0.75" header="0.3" footer="0.3"/>
  <pageSetup paperSize="9" orientation="portrait" r:id="rId1"/>
  <ignoredErrors>
    <ignoredError sqref="BM130 BM118:BM119 BM111:BM112 BM107 BM101 BM82 BM73 BM64:BM66 BM52:BM53 BM43 BM38 BM34:BM35 BM25 BM17 BM15 B129:B132 BM11 BM22 BM32 BM45 BM47 BM50 BM59:BM60 BM70:BM71 BM78 BM80 BM90 BM93 BM96:BM97 BM99 B11:B124 B125:B128 BM127" calculatedColumn="1"/>
    <ignoredError sqref="AI12"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B1610DD-450E-4150-809A-685DB9977E55}">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CY45:CY46</xm:sqref>
        </x14:conditionalFormatting>
        <x14:conditionalFormatting xmlns:xm="http://schemas.microsoft.com/office/excel/2006/main">
          <x14:cfRule type="dataBar" id="{8A0A33F4-ABF7-4CB0-955F-9B3DEC2D2B9A}">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CY11:CY44</xm:sqref>
        </x14:conditionalFormatting>
        <x14:conditionalFormatting xmlns:xm="http://schemas.microsoft.com/office/excel/2006/main">
          <x14:cfRule type="dataBar" id="{F89B6B72-E28D-46CA-9C6A-A39409B45A11}">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CY47:CY131</xm:sqref>
        </x14:conditionalFormatting>
        <x14:conditionalFormatting xmlns:xm="http://schemas.microsoft.com/office/excel/2006/main">
          <x14:cfRule type="dataBar" id="{1755CE9F-FFA9-4961-B138-868B32BF60B3}">
            <x14:dataBar minLength="0" maxLength="100" border="1" negativeBarBorderColorSameAsPositive="0">
              <x14:cfvo type="autoMin"/>
              <x14:cfvo type="num">
                <xm:f>31</xm:f>
              </x14:cfvo>
              <x14:borderColor theme="4"/>
              <x14:negativeFillColor rgb="FFFF0000"/>
              <x14:negativeBorderColor rgb="FFFF0000"/>
              <x14:axisColor rgb="FF000000"/>
            </x14:dataBar>
          </x14:cfRule>
          <xm:sqref>CV77:CV132 CV11:CX131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Z159"/>
  <sheetViews>
    <sheetView topLeftCell="A129" workbookViewId="0">
      <selection activeCell="A156" sqref="A156:XFD158"/>
    </sheetView>
  </sheetViews>
  <sheetFormatPr baseColWidth="10" defaultRowHeight="13.5"/>
  <cols>
    <col min="1" max="1" width="11" customWidth="1"/>
    <col min="2" max="2" width="28.140625" customWidth="1"/>
    <col min="3" max="3" width="6.140625" customWidth="1"/>
    <col min="4" max="4" width="4.28515625" customWidth="1"/>
    <col min="5" max="5" width="6.85546875" customWidth="1"/>
    <col min="6" max="6" width="4.42578125" customWidth="1"/>
    <col min="7" max="7" width="7.28515625" customWidth="1"/>
    <col min="8" max="8" width="4.5703125" customWidth="1"/>
    <col min="9" max="9" width="6.28515625" customWidth="1"/>
    <col min="10" max="10" width="4.85546875" customWidth="1"/>
    <col min="11" max="11" width="6.5703125" customWidth="1"/>
    <col min="12" max="12" width="5.140625" customWidth="1"/>
    <col min="13" max="13" width="6.42578125" customWidth="1"/>
    <col min="14" max="14" width="4.42578125" customWidth="1"/>
    <col min="15" max="15" width="6.85546875" customWidth="1"/>
    <col min="16" max="16" width="4" customWidth="1"/>
    <col min="17" max="17" width="6.85546875" customWidth="1"/>
    <col min="18" max="18" width="4.85546875" customWidth="1"/>
    <col min="19" max="19" width="10.5703125" customWidth="1"/>
    <col min="20" max="20" width="3.85546875" customWidth="1"/>
    <col min="21" max="21" width="10" customWidth="1"/>
    <col min="22" max="22" width="6.42578125" customWidth="1"/>
    <col min="23" max="23" width="9.7109375" customWidth="1"/>
    <col min="24" max="24" width="6.85546875" customWidth="1"/>
    <col min="25" max="25" width="9.42578125" customWidth="1"/>
    <col min="26" max="26" width="3.42578125" customWidth="1"/>
    <col min="27" max="27" width="9.5703125" customWidth="1"/>
    <col min="28" max="28" width="5.140625" customWidth="1"/>
    <col min="29" max="29" width="4.85546875" customWidth="1"/>
    <col min="30" max="30" width="5.5703125" customWidth="1"/>
    <col min="31" max="31" width="5" customWidth="1"/>
    <col min="32" max="34" width="5.42578125" customWidth="1"/>
    <col min="35" max="35" width="3.42578125" customWidth="1"/>
    <col min="36" max="37" width="3.28515625" customWidth="1"/>
    <col min="38" max="38" width="3" customWidth="1"/>
    <col min="39" max="39" width="2.85546875" customWidth="1"/>
    <col min="40" max="40" width="3.28515625" customWidth="1"/>
    <col min="41" max="41" width="3" customWidth="1"/>
    <col min="42" max="42" width="3.140625" customWidth="1"/>
    <col min="43" max="43" width="2.85546875" customWidth="1"/>
    <col min="44" max="44" width="5.28515625" customWidth="1"/>
    <col min="45" max="45" width="3.140625" customWidth="1"/>
    <col min="46" max="46" width="3" customWidth="1"/>
    <col min="47" max="47" width="3.7109375" customWidth="1"/>
    <col min="48" max="48" width="3.42578125" customWidth="1"/>
    <col min="49" max="49" width="3.140625" customWidth="1"/>
    <col min="50" max="51" width="3.28515625" customWidth="1"/>
    <col min="52" max="58" width="2.85546875" customWidth="1"/>
    <col min="59" max="59" width="3" customWidth="1"/>
    <col min="60" max="60" width="3.140625" customWidth="1"/>
    <col min="61" max="61" width="3.7109375" customWidth="1"/>
    <col min="62" max="62" width="3.28515625" customWidth="1"/>
    <col min="63" max="64" width="3.42578125" customWidth="1"/>
    <col min="65" max="65" width="3.85546875" customWidth="1"/>
    <col min="66" max="68" width="3.140625" customWidth="1"/>
    <col min="69" max="69" width="3.28515625" customWidth="1"/>
    <col min="70" max="70" width="3.7109375" customWidth="1"/>
    <col min="71" max="72" width="3.140625" customWidth="1"/>
    <col min="73" max="73" width="3.42578125" customWidth="1"/>
    <col min="74" max="74" width="3.140625" customWidth="1"/>
    <col min="75" max="76" width="3.28515625" customWidth="1"/>
    <col min="77" max="77" width="3.42578125" customWidth="1"/>
    <col min="78" max="78" width="4.42578125" customWidth="1"/>
    <col min="79" max="79" width="4.28515625" customWidth="1"/>
    <col min="80" max="80" width="3.5703125" customWidth="1"/>
    <col min="81" max="81" width="3.42578125" customWidth="1"/>
    <col min="82" max="83" width="3.7109375" customWidth="1"/>
    <col min="84" max="84" width="4" customWidth="1"/>
    <col min="85" max="85" width="3.42578125" customWidth="1"/>
    <col min="86" max="86" width="3.5703125" customWidth="1"/>
    <col min="87" max="87" width="3.28515625" customWidth="1"/>
    <col min="88" max="88" width="3.5703125" customWidth="1"/>
    <col min="89" max="89" width="3.42578125" customWidth="1"/>
    <col min="90" max="91" width="3.5703125" customWidth="1"/>
    <col min="92" max="92" width="3.140625" customWidth="1"/>
    <col min="93" max="93" width="3" customWidth="1"/>
    <col min="94" max="95" width="3.42578125" customWidth="1"/>
    <col min="96" max="96" width="3.28515625" customWidth="1"/>
    <col min="97" max="98" width="3.42578125" customWidth="1"/>
    <col min="99" max="99" width="5.42578125" customWidth="1"/>
    <col min="100" max="100" width="16.7109375" customWidth="1"/>
    <col min="101" max="101" width="20.42578125" customWidth="1"/>
    <col min="102" max="102" width="11.85546875" customWidth="1"/>
    <col min="103" max="103" width="20.7109375" customWidth="1"/>
    <col min="104" max="104" width="20.42578125" customWidth="1"/>
  </cols>
  <sheetData>
    <row r="1" spans="1:104" ht="28.5">
      <c r="A1" s="654" t="s">
        <v>504</v>
      </c>
      <c r="B1" s="655"/>
      <c r="C1" s="655"/>
      <c r="D1" s="655"/>
      <c r="E1" s="655"/>
      <c r="F1" s="654"/>
      <c r="G1" s="655"/>
      <c r="H1" s="655"/>
      <c r="I1" s="655"/>
      <c r="J1" s="655"/>
      <c r="K1" s="654"/>
      <c r="L1" s="655"/>
      <c r="M1" s="655"/>
      <c r="N1" s="655"/>
      <c r="O1" s="655"/>
      <c r="P1" s="22"/>
      <c r="Q1" s="22"/>
      <c r="R1" s="22"/>
      <c r="S1" s="22"/>
      <c r="T1" s="22"/>
      <c r="U1" s="22"/>
      <c r="V1" s="22"/>
      <c r="W1" s="22"/>
      <c r="X1" s="22"/>
      <c r="Y1" s="22"/>
      <c r="Z1" s="22"/>
      <c r="AA1" s="22"/>
      <c r="AB1" s="22"/>
      <c r="AC1" s="21"/>
      <c r="AD1" s="21"/>
      <c r="AE1" s="21"/>
      <c r="AF1" s="21"/>
      <c r="AG1" s="21"/>
      <c r="AH1" s="23"/>
      <c r="AI1" s="21"/>
      <c r="AJ1" s="24"/>
      <c r="AK1" s="21"/>
      <c r="AL1" s="32" t="s">
        <v>534</v>
      </c>
      <c r="AM1" s="32"/>
      <c r="AN1" s="32"/>
      <c r="AO1" s="32"/>
      <c r="AP1" s="32"/>
      <c r="AQ1" s="32"/>
      <c r="AR1" s="32"/>
      <c r="AS1" s="32"/>
      <c r="AT1" s="32"/>
      <c r="AU1" s="32"/>
      <c r="AV1" s="32"/>
      <c r="AW1" s="32"/>
      <c r="AX1" s="32"/>
      <c r="AY1" s="32"/>
      <c r="AZ1" s="32"/>
      <c r="BA1" s="32"/>
      <c r="BB1" s="32"/>
      <c r="BC1" s="32"/>
      <c r="BD1" s="32"/>
      <c r="BE1" s="32"/>
      <c r="BF1" s="32"/>
      <c r="BG1" s="32"/>
      <c r="BH1" s="32"/>
      <c r="BI1" s="32"/>
      <c r="BJ1" s="33"/>
      <c r="BK1" s="33"/>
      <c r="BL1" s="33"/>
      <c r="BM1" s="33"/>
      <c r="BN1" s="32"/>
      <c r="BO1" s="32"/>
      <c r="BP1" s="32"/>
      <c r="BQ1" s="32"/>
      <c r="BR1" s="32"/>
      <c r="BS1" s="32"/>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2"/>
      <c r="CX1" s="32"/>
      <c r="CY1" s="32"/>
      <c r="CZ1" s="32"/>
    </row>
    <row r="2" spans="1:104">
      <c r="BK2" s="88"/>
      <c r="BL2" s="88"/>
      <c r="BM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row>
    <row r="3" spans="1:104" ht="14.25">
      <c r="D3" s="31" t="s">
        <v>104</v>
      </c>
      <c r="E3" s="208" t="s">
        <v>514</v>
      </c>
      <c r="F3" s="236" t="s">
        <v>527</v>
      </c>
      <c r="G3" s="207" t="s">
        <v>528</v>
      </c>
      <c r="H3" s="209" t="s">
        <v>105</v>
      </c>
      <c r="I3" s="210" t="s">
        <v>515</v>
      </c>
      <c r="J3" s="211" t="s">
        <v>106</v>
      </c>
      <c r="K3" s="210" t="s">
        <v>516</v>
      </c>
      <c r="L3" s="212" t="s">
        <v>107</v>
      </c>
      <c r="M3" s="210" t="s">
        <v>517</v>
      </c>
      <c r="N3" s="213" t="s">
        <v>483</v>
      </c>
      <c r="O3" s="210" t="s">
        <v>518</v>
      </c>
      <c r="P3" s="214" t="s">
        <v>484</v>
      </c>
      <c r="Q3" s="207" t="s">
        <v>526</v>
      </c>
      <c r="R3" s="216" t="s">
        <v>485</v>
      </c>
      <c r="S3" s="207" t="s">
        <v>525</v>
      </c>
      <c r="T3" s="217" t="s">
        <v>489</v>
      </c>
      <c r="U3" s="207" t="s">
        <v>510</v>
      </c>
      <c r="V3" s="218" t="s">
        <v>490</v>
      </c>
      <c r="W3" s="207" t="s">
        <v>511</v>
      </c>
      <c r="X3" s="219" t="s">
        <v>491</v>
      </c>
      <c r="Y3" s="207" t="s">
        <v>512</v>
      </c>
      <c r="Z3" s="220" t="s">
        <v>492</v>
      </c>
      <c r="AA3" s="207" t="s">
        <v>513</v>
      </c>
      <c r="AB3" s="207"/>
      <c r="CY3" s="384"/>
    </row>
    <row r="4" spans="1:104" ht="15" thickBot="1">
      <c r="C4" t="s">
        <v>535</v>
      </c>
      <c r="E4" s="43"/>
      <c r="F4" s="43"/>
      <c r="G4" s="43"/>
      <c r="H4" s="43"/>
      <c r="I4" s="43"/>
      <c r="J4" s="43"/>
      <c r="K4" s="43"/>
      <c r="L4" s="43"/>
      <c r="M4" s="43"/>
      <c r="N4" s="43"/>
      <c r="O4" s="43"/>
      <c r="P4" s="43"/>
      <c r="Q4" s="43"/>
      <c r="R4" s="43"/>
      <c r="S4" s="43"/>
      <c r="T4" s="43"/>
      <c r="U4" s="43"/>
      <c r="V4" s="43"/>
      <c r="W4" s="43"/>
      <c r="X4" s="43"/>
      <c r="Y4" s="43"/>
      <c r="Z4" s="43"/>
      <c r="AA4" s="43"/>
      <c r="AB4" s="43"/>
    </row>
    <row r="5" spans="1:104" ht="14.25">
      <c r="D5" s="234" t="s">
        <v>529</v>
      </c>
      <c r="E5" s="266" t="s">
        <v>530</v>
      </c>
      <c r="F5" s="222" t="s">
        <v>35</v>
      </c>
      <c r="G5" s="210" t="s">
        <v>519</v>
      </c>
      <c r="H5" s="223" t="s">
        <v>108</v>
      </c>
      <c r="I5" s="43" t="s">
        <v>520</v>
      </c>
      <c r="J5" s="224" t="s">
        <v>109</v>
      </c>
      <c r="K5" s="207" t="s">
        <v>521</v>
      </c>
      <c r="L5" s="225" t="s">
        <v>486</v>
      </c>
      <c r="M5" s="207" t="s">
        <v>522</v>
      </c>
      <c r="N5" s="226" t="s">
        <v>487</v>
      </c>
      <c r="O5" s="207" t="s">
        <v>523</v>
      </c>
      <c r="P5" s="227" t="s">
        <v>488</v>
      </c>
      <c r="Q5" s="228" t="s">
        <v>524</v>
      </c>
      <c r="R5" s="233" t="s">
        <v>507</v>
      </c>
      <c r="S5" s="207" t="s">
        <v>508</v>
      </c>
      <c r="T5" s="229" t="s">
        <v>496</v>
      </c>
      <c r="U5" s="207" t="s">
        <v>499</v>
      </c>
      <c r="V5" s="230" t="s">
        <v>497</v>
      </c>
      <c r="W5" s="207" t="s">
        <v>500</v>
      </c>
      <c r="X5" s="231" t="s">
        <v>498</v>
      </c>
      <c r="Y5" s="207" t="s">
        <v>501</v>
      </c>
      <c r="Z5" s="235" t="s">
        <v>531</v>
      </c>
      <c r="AA5" s="43" t="s">
        <v>630</v>
      </c>
      <c r="AH5" s="43"/>
      <c r="BK5" s="88"/>
      <c r="BL5" s="88"/>
      <c r="BM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row>
    <row r="6" spans="1:104" ht="14.25">
      <c r="D6" s="349"/>
      <c r="E6" s="350"/>
      <c r="F6" s="351"/>
      <c r="G6" s="352"/>
      <c r="H6" s="353"/>
      <c r="I6" s="354"/>
      <c r="J6" s="355"/>
      <c r="K6" s="207"/>
      <c r="L6" s="355"/>
      <c r="M6" s="207"/>
      <c r="N6" s="355"/>
      <c r="O6" s="207"/>
      <c r="P6" s="355"/>
      <c r="Q6" s="228"/>
      <c r="R6" s="356"/>
      <c r="S6" s="207"/>
      <c r="T6" s="357"/>
      <c r="U6" s="207"/>
      <c r="V6" s="357"/>
      <c r="W6" s="207"/>
      <c r="X6" s="357"/>
      <c r="Y6" s="207"/>
      <c r="Z6" s="358"/>
      <c r="AA6" s="43"/>
      <c r="AB6" s="367"/>
      <c r="AH6" s="43"/>
      <c r="BK6" s="88"/>
      <c r="BL6" s="88"/>
      <c r="BM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row>
    <row r="7" spans="1:104" ht="14.25">
      <c r="D7" s="334" t="s">
        <v>604</v>
      </c>
      <c r="E7" s="335" t="s">
        <v>610</v>
      </c>
      <c r="F7" s="375"/>
      <c r="G7" s="375"/>
      <c r="H7" s="344" t="s">
        <v>620</v>
      </c>
      <c r="I7" s="656" t="s">
        <v>621</v>
      </c>
      <c r="J7" s="658"/>
      <c r="K7" s="374"/>
      <c r="L7" s="394" t="s">
        <v>627</v>
      </c>
      <c r="M7" s="656" t="s">
        <v>628</v>
      </c>
      <c r="N7" s="658"/>
      <c r="O7" s="418" t="s">
        <v>631</v>
      </c>
      <c r="P7" s="656" t="s">
        <v>632</v>
      </c>
      <c r="Q7" s="658"/>
      <c r="R7" s="356"/>
      <c r="S7" s="445" t="s">
        <v>634</v>
      </c>
      <c r="T7" s="43" t="s">
        <v>633</v>
      </c>
      <c r="U7" s="458" t="s">
        <v>637</v>
      </c>
      <c r="V7" s="357" t="s">
        <v>638</v>
      </c>
      <c r="W7" s="465" t="s">
        <v>639</v>
      </c>
      <c r="X7" s="357" t="s">
        <v>640</v>
      </c>
      <c r="Y7" s="207"/>
      <c r="Z7" s="358"/>
      <c r="AA7" s="43"/>
      <c r="AB7" s="367"/>
      <c r="AH7" s="43"/>
      <c r="BK7" s="88"/>
      <c r="BL7" s="88"/>
      <c r="BM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row>
    <row r="8" spans="1:104" ht="14.25">
      <c r="D8" s="358"/>
      <c r="E8" s="392"/>
      <c r="F8" s="393"/>
      <c r="G8" s="393"/>
      <c r="H8" s="358"/>
      <c r="I8" s="358"/>
      <c r="J8" s="376"/>
      <c r="K8" s="207"/>
      <c r="L8" s="355"/>
      <c r="M8" s="207"/>
      <c r="N8" s="355"/>
      <c r="O8" s="207"/>
      <c r="P8" s="355"/>
      <c r="Q8" s="228"/>
      <c r="R8" s="356"/>
      <c r="S8" s="207"/>
      <c r="T8" s="357"/>
      <c r="U8" s="207"/>
      <c r="V8" s="357"/>
      <c r="W8" s="207"/>
      <c r="X8" s="357"/>
      <c r="Y8" s="207"/>
      <c r="Z8" s="358"/>
      <c r="AA8" s="43"/>
      <c r="AB8" s="374"/>
      <c r="AH8" s="43"/>
      <c r="BK8" s="88"/>
      <c r="BL8" s="88"/>
      <c r="BM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row>
    <row r="9" spans="1:104" ht="15" thickBot="1">
      <c r="A9" s="72">
        <f>DATE(2018,2,1)</f>
        <v>43132</v>
      </c>
      <c r="B9" s="153"/>
      <c r="C9" s="151" t="str">
        <f>TEXT(WEEKDAY(DATE(2018,2,1),1),"[$-40c]aaa")</f>
        <v>1900</v>
      </c>
      <c r="D9" s="25" t="str">
        <f>TEXT(WEEKDAY(DATE(2018,2,2),1),"[$-40c]aaa")</f>
        <v>1900</v>
      </c>
      <c r="E9" s="25" t="str">
        <f>TEXT(WEEKDAY(DATE(2018,2,3),1),"[$-40c]aaa")</f>
        <v>1900</v>
      </c>
      <c r="F9" s="25" t="str">
        <f>TEXT(WEEKDAY(DATE(2018,2,4),1),"[$-40c]aaa")</f>
        <v>1900</v>
      </c>
      <c r="G9" s="25" t="str">
        <f>TEXT(WEEKDAY(DATE(2018,2,5),1),"[$-40c]aaa")</f>
        <v>1900</v>
      </c>
      <c r="H9" s="25" t="str">
        <f>TEXT(WEEKDAY(DATE(2018,2,6),1),"[$-40c]aaa")</f>
        <v>1900</v>
      </c>
      <c r="I9" s="25" t="str">
        <f>TEXT(WEEKDAY(DATE(2018,2,7),1),"[$-40c]aaa")</f>
        <v>1900</v>
      </c>
      <c r="J9" s="25" t="str">
        <f>TEXT(WEEKDAY(DATE(2018,2,8),1),"[$-40c]aaa")</f>
        <v>1900</v>
      </c>
      <c r="K9" s="25" t="str">
        <f>TEXT(WEEKDAY(DATE(2018,2,9),1),"[$-40c]aaa")</f>
        <v>1900</v>
      </c>
      <c r="L9" s="25" t="str">
        <f>TEXT(WEEKDAY(DATE(2018,2,10),1),"[$-40c]aaa")</f>
        <v>1900</v>
      </c>
      <c r="M9" s="25" t="str">
        <f>TEXT(WEEKDAY(DATE(2018,2,11),1),"[$-40c]aaa")</f>
        <v>1900</v>
      </c>
      <c r="N9" s="25" t="str">
        <f>TEXT(WEEKDAY(DATE(2018,2,12),1),"[$-40c]aaa")</f>
        <v>1900</v>
      </c>
      <c r="O9" s="25" t="str">
        <f>TEXT(WEEKDAY(DATE(2018,2,13),1),"[$-40c]aaa")</f>
        <v>1900</v>
      </c>
      <c r="P9" s="25" t="str">
        <f>TEXT(WEEKDAY(DATE(2018,2,14),1),"[$-40c]aaa")</f>
        <v>1900</v>
      </c>
      <c r="Q9" s="25" t="str">
        <f>TEXT(WEEKDAY(DATE(2018,2,15),1),"[$-40c]aaa")</f>
        <v>1900</v>
      </c>
      <c r="R9" s="25" t="str">
        <f>TEXT(WEEKDAY(DATE(2018,2,16),1),"[$-40c]aaa")</f>
        <v>1900</v>
      </c>
      <c r="S9" s="25" t="str">
        <f>TEXT(WEEKDAY(DATE(2018,2,17),1),"[$-40c]aaa")</f>
        <v>1900</v>
      </c>
      <c r="T9" s="25" t="str">
        <f>TEXT(WEEKDAY(DATE(2018,2,18),1),"[$-40c]aaa")</f>
        <v>1900</v>
      </c>
      <c r="U9" s="25" t="str">
        <f>TEXT(WEEKDAY(DATE(2018,2,19),1),"[$-40c]aaa")</f>
        <v>1900</v>
      </c>
      <c r="V9" s="25" t="str">
        <f>TEXT(WEEKDAY(DATE(2018,2,20),1),"[$-40c]aaa")</f>
        <v>1900</v>
      </c>
      <c r="W9" s="25" t="str">
        <f>TEXT(WEEKDAY(DATE(2018,2,21),1),"[$-40c]aaa")</f>
        <v>1900</v>
      </c>
      <c r="X9" s="25" t="str">
        <f>TEXT(WEEKDAY(DATE(2018,2,22),1),"[$-40c]aaa")</f>
        <v>1900</v>
      </c>
      <c r="Y9" s="25" t="str">
        <f>TEXT(WEEKDAY(DATE(2018,2,23),1),"[$-40c]aaa")</f>
        <v>1900</v>
      </c>
      <c r="Z9" s="25" t="str">
        <f>TEXT(WEEKDAY(DATE(2018,2,24),1),"[$-40c]aaa")</f>
        <v>1900</v>
      </c>
      <c r="AA9" s="25" t="str">
        <f>TEXT(WEEKDAY(DATE(2018,2,25),1),"[$-40c]aaa")</f>
        <v>1900</v>
      </c>
      <c r="AB9" s="25" t="str">
        <f>TEXT(WEEKDAY(DATE(2018,2,26),1),"[$-40c]aaa")</f>
        <v>1900</v>
      </c>
      <c r="AC9" s="25" t="str">
        <f>TEXT(WEEKDAY(DATE(2018,2,27),1),"[$-40c]aaa")</f>
        <v>1900</v>
      </c>
      <c r="AD9" s="25" t="str">
        <f>TEXT(WEEKDAY(DATE(2018,2,28),1),"[$-40c]aaa")</f>
        <v>1900</v>
      </c>
      <c r="AE9" s="25" t="str">
        <f>TEXT(WEEKDAY(DATE(2018,11,29),1),"[$-40c]aaa")</f>
        <v>1900</v>
      </c>
      <c r="AF9" s="379" t="str">
        <f>TEXT(WEEKDAY(DATE(2018,11,30),1),"[$-40c]aaa")</f>
        <v>1900</v>
      </c>
      <c r="AG9" s="380"/>
      <c r="AH9" s="366" t="s">
        <v>36</v>
      </c>
      <c r="AI9" s="366"/>
      <c r="AJ9" s="366"/>
      <c r="AK9" s="366"/>
      <c r="AL9" s="366"/>
      <c r="AM9" s="366"/>
      <c r="AN9" s="366"/>
      <c r="AO9" s="366"/>
      <c r="AP9" s="366"/>
      <c r="AQ9" s="366"/>
      <c r="AR9" s="366"/>
      <c r="AS9" s="366"/>
      <c r="AT9" s="366"/>
      <c r="AU9" s="366"/>
      <c r="AV9" s="366"/>
      <c r="AW9" s="366"/>
      <c r="AX9" s="366"/>
      <c r="AY9" s="140"/>
      <c r="AZ9" s="140"/>
      <c r="BA9" s="140"/>
      <c r="BB9" s="140"/>
      <c r="BC9" s="140"/>
      <c r="BD9" s="140"/>
      <c r="BE9" s="140"/>
      <c r="BF9" s="140"/>
      <c r="BG9" s="140"/>
      <c r="BH9" s="140"/>
      <c r="BI9" s="85"/>
      <c r="BJ9" s="247"/>
      <c r="BK9" s="247"/>
      <c r="BL9" s="247"/>
      <c r="BM9" s="368"/>
      <c r="BN9" s="383"/>
      <c r="BO9" s="383"/>
      <c r="BP9" s="383"/>
      <c r="BQ9" s="383"/>
      <c r="BR9" s="383"/>
      <c r="BS9" s="383"/>
      <c r="BT9" s="383"/>
      <c r="BU9" s="383"/>
      <c r="BV9" s="383"/>
      <c r="BW9" s="383"/>
      <c r="BX9" s="383"/>
      <c r="BY9" s="383"/>
      <c r="BZ9" s="383"/>
      <c r="CA9" s="383"/>
      <c r="CB9" s="383"/>
      <c r="CC9" s="383" t="s">
        <v>625</v>
      </c>
      <c r="CD9" s="383"/>
      <c r="CE9" s="383" t="s">
        <v>626</v>
      </c>
      <c r="CF9" s="383"/>
      <c r="CG9" s="383"/>
      <c r="CH9" s="383"/>
      <c r="CI9" s="383"/>
      <c r="CJ9" s="383"/>
      <c r="CK9" s="383"/>
      <c r="CL9" s="383"/>
      <c r="CM9" s="383"/>
      <c r="CN9" s="383"/>
      <c r="CO9" s="383"/>
      <c r="CP9" s="383"/>
      <c r="CQ9" s="383"/>
      <c r="CR9" s="383"/>
      <c r="CS9" s="383"/>
      <c r="CT9" s="383"/>
      <c r="CU9" s="382"/>
      <c r="CV9" s="299"/>
      <c r="CW9" s="251"/>
      <c r="CX9" s="247"/>
      <c r="CY9" s="248"/>
    </row>
    <row r="10" spans="1:104" ht="15.75" thickTop="1" thickBot="1">
      <c r="A10" s="28" t="s">
        <v>33</v>
      </c>
      <c r="B10" s="154" t="s">
        <v>32</v>
      </c>
      <c r="C10" s="3" t="s">
        <v>0</v>
      </c>
      <c r="D10" s="3" t="s">
        <v>1</v>
      </c>
      <c r="E10" s="399" t="s">
        <v>2</v>
      </c>
      <c r="F10" s="399" t="s">
        <v>3</v>
      </c>
      <c r="G10" s="3" t="s">
        <v>4</v>
      </c>
      <c r="H10" s="3" t="s">
        <v>5</v>
      </c>
      <c r="I10" s="3" t="s">
        <v>6</v>
      </c>
      <c r="J10" s="3" t="s">
        <v>7</v>
      </c>
      <c r="K10" s="3" t="s">
        <v>8</v>
      </c>
      <c r="L10" s="399" t="s">
        <v>9</v>
      </c>
      <c r="M10" s="399" t="s">
        <v>10</v>
      </c>
      <c r="N10" s="3" t="s">
        <v>11</v>
      </c>
      <c r="O10" s="3" t="s">
        <v>12</v>
      </c>
      <c r="P10" s="3" t="s">
        <v>13</v>
      </c>
      <c r="Q10" s="3" t="s">
        <v>14</v>
      </c>
      <c r="R10" s="3" t="s">
        <v>15</v>
      </c>
      <c r="S10" s="399" t="s">
        <v>16</v>
      </c>
      <c r="T10" s="399" t="s">
        <v>17</v>
      </c>
      <c r="U10" s="3" t="s">
        <v>18</v>
      </c>
      <c r="V10" s="3" t="s">
        <v>19</v>
      </c>
      <c r="W10" s="3" t="s">
        <v>20</v>
      </c>
      <c r="X10" s="3" t="s">
        <v>21</v>
      </c>
      <c r="Y10" s="3" t="s">
        <v>22</v>
      </c>
      <c r="Z10" s="399" t="s">
        <v>23</v>
      </c>
      <c r="AA10" s="399" t="s">
        <v>24</v>
      </c>
      <c r="AB10" s="3" t="s">
        <v>25</v>
      </c>
      <c r="AC10" s="3" t="s">
        <v>26</v>
      </c>
      <c r="AD10" s="3" t="s">
        <v>27</v>
      </c>
      <c r="AE10" s="3" t="s">
        <v>28</v>
      </c>
      <c r="AF10" s="3" t="s">
        <v>29</v>
      </c>
      <c r="AG10" s="381" t="s">
        <v>30</v>
      </c>
      <c r="AH10" s="55" t="s">
        <v>104</v>
      </c>
      <c r="AI10" s="236" t="s">
        <v>527</v>
      </c>
      <c r="AJ10" s="40" t="s">
        <v>105</v>
      </c>
      <c r="AK10" s="41" t="s">
        <v>106</v>
      </c>
      <c r="AL10" s="42" t="s">
        <v>107</v>
      </c>
      <c r="AM10" s="75" t="s">
        <v>35</v>
      </c>
      <c r="AN10" s="234" t="s">
        <v>529</v>
      </c>
      <c r="AO10" s="76" t="s">
        <v>108</v>
      </c>
      <c r="AP10" s="77" t="s">
        <v>109</v>
      </c>
      <c r="AQ10" s="97" t="s">
        <v>483</v>
      </c>
      <c r="AR10" s="110" t="s">
        <v>484</v>
      </c>
      <c r="AS10" s="95" t="s">
        <v>485</v>
      </c>
      <c r="AT10" s="96" t="s">
        <v>486</v>
      </c>
      <c r="AU10" s="91" t="s">
        <v>487</v>
      </c>
      <c r="AV10" s="129" t="s">
        <v>489</v>
      </c>
      <c r="AW10" s="92" t="s">
        <v>488</v>
      </c>
      <c r="AX10" s="93" t="s">
        <v>490</v>
      </c>
      <c r="AY10" s="94" t="s">
        <v>491</v>
      </c>
      <c r="AZ10" s="111" t="s">
        <v>492</v>
      </c>
      <c r="BA10" s="389" t="s">
        <v>604</v>
      </c>
      <c r="BB10" s="386" t="s">
        <v>620</v>
      </c>
      <c r="BC10" s="76" t="s">
        <v>627</v>
      </c>
      <c r="BD10" s="424" t="s">
        <v>631</v>
      </c>
      <c r="BE10" s="490" t="s">
        <v>637</v>
      </c>
      <c r="BF10" s="77" t="s">
        <v>639</v>
      </c>
      <c r="BG10" s="198" t="s">
        <v>507</v>
      </c>
      <c r="BH10" s="235" t="s">
        <v>531</v>
      </c>
      <c r="BI10" s="133" t="s">
        <v>496</v>
      </c>
      <c r="BJ10" s="135" t="s">
        <v>497</v>
      </c>
      <c r="BK10" s="137" t="s">
        <v>498</v>
      </c>
      <c r="BL10" s="448" t="s">
        <v>634</v>
      </c>
      <c r="BM10" s="308" t="s">
        <v>544</v>
      </c>
      <c r="BN10" s="309" t="s">
        <v>545</v>
      </c>
      <c r="BO10" s="309" t="s">
        <v>546</v>
      </c>
      <c r="BP10" s="309" t="s">
        <v>542</v>
      </c>
      <c r="BQ10" s="309" t="s">
        <v>543</v>
      </c>
      <c r="BR10" s="309" t="s">
        <v>547</v>
      </c>
      <c r="BS10" s="309" t="s">
        <v>548</v>
      </c>
      <c r="BT10" s="309" t="s">
        <v>549</v>
      </c>
      <c r="BU10" s="309" t="s">
        <v>550</v>
      </c>
      <c r="BV10" s="309" t="s">
        <v>551</v>
      </c>
      <c r="BW10" s="309" t="s">
        <v>552</v>
      </c>
      <c r="BX10" s="309" t="s">
        <v>553</v>
      </c>
      <c r="BY10" s="309" t="s">
        <v>574</v>
      </c>
      <c r="BZ10" s="309" t="s">
        <v>554</v>
      </c>
      <c r="CA10" s="309" t="s">
        <v>555</v>
      </c>
      <c r="CB10" s="309" t="s">
        <v>556</v>
      </c>
      <c r="CC10" s="309" t="s">
        <v>558</v>
      </c>
      <c r="CD10" s="309" t="s">
        <v>557</v>
      </c>
      <c r="CE10" s="309" t="s">
        <v>559</v>
      </c>
      <c r="CF10" s="309" t="s">
        <v>560</v>
      </c>
      <c r="CG10" s="309" t="s">
        <v>561</v>
      </c>
      <c r="CH10" s="309" t="s">
        <v>562</v>
      </c>
      <c r="CI10" s="309" t="s">
        <v>563</v>
      </c>
      <c r="CJ10" s="309" t="s">
        <v>564</v>
      </c>
      <c r="CK10" s="309" t="s">
        <v>565</v>
      </c>
      <c r="CL10" s="309" t="s">
        <v>566</v>
      </c>
      <c r="CM10" s="309" t="s">
        <v>567</v>
      </c>
      <c r="CN10" s="309" t="s">
        <v>568</v>
      </c>
      <c r="CO10" s="309" t="s">
        <v>569</v>
      </c>
      <c r="CP10" s="309" t="s">
        <v>570</v>
      </c>
      <c r="CQ10" s="309" t="s">
        <v>571</v>
      </c>
      <c r="CR10" s="309" t="s">
        <v>572</v>
      </c>
      <c r="CS10" s="309" t="s">
        <v>573</v>
      </c>
      <c r="CT10" s="309" t="s">
        <v>642</v>
      </c>
      <c r="CU10" s="310" t="s">
        <v>611</v>
      </c>
      <c r="CV10" s="166" t="s">
        <v>494</v>
      </c>
      <c r="CW10" s="166" t="s">
        <v>495</v>
      </c>
      <c r="CX10" s="265" t="s">
        <v>540</v>
      </c>
      <c r="CY10" s="161" t="s">
        <v>502</v>
      </c>
    </row>
    <row r="11" spans="1:104" ht="14.25" thickTop="1">
      <c r="A11" s="510" t="s">
        <v>71</v>
      </c>
      <c r="B11" s="162" t="str">
        <f>IFERROR(VLOOKUP(PArticipationFevrier1[[#This Row],[Référence]],ListeÉtudiants1[],18,FALSE),"")</f>
        <v>ABDESSEMED MOUNIA</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44"/>
      <c r="AH11" s="6">
        <f>COUNTIF(PArticipationFevrier1[[#This Row],[1]:[30]],Code1)</f>
        <v>0</v>
      </c>
      <c r="AI11" s="6">
        <f>COUNTIF(PArticipationFevrier1[[#This Row],[1]:[30]],code22)</f>
        <v>0</v>
      </c>
      <c r="AJ11" s="6">
        <f>COUNTIF(PArticipationFevrier1[[#This Row],[1]:[30]],Code2)</f>
        <v>0</v>
      </c>
      <c r="AK11" s="6">
        <f>COUNTIF(PArticipationFevrier1[[#This Row],[1]:[30]],Code3)</f>
        <v>0</v>
      </c>
      <c r="AL11" s="6">
        <f>COUNTIF(PArticipationFevrier1[[#This Row],[1]:[30]],Code4)</f>
        <v>0</v>
      </c>
      <c r="AM11" s="6">
        <f>COUNTIF(PArticipationFevrier1[[#This Row],[1]:[30]],Code5)</f>
        <v>0</v>
      </c>
      <c r="AN11" s="6"/>
      <c r="AO11" s="6">
        <f>COUNTIF(PArticipationFevrier1[[#This Row],[1]:[30]],Code6)</f>
        <v>0</v>
      </c>
      <c r="AP11" s="6">
        <f>COUNTIF(PArticipationFevrier1[[#This Row],[1]:[30]],Code7)</f>
        <v>0</v>
      </c>
      <c r="AQ11" s="6">
        <f>COUNTIF(PArticipationFevrier1[[#This Row],[1]:[30]],Code8)</f>
        <v>0</v>
      </c>
      <c r="AR11" s="6">
        <f>COUNTIF(PArticipationFevrier1[[#This Row],[1]:[30]],Code9)</f>
        <v>0</v>
      </c>
      <c r="AS11" s="6">
        <f>COUNTIF(PArticipationFevrier1[[#This Row],[1]:[30]],Code10)</f>
        <v>0</v>
      </c>
      <c r="AT11" s="6">
        <f>COUNTIF(PArticipationFevrier1[[#This Row],[1]:[30]],Code11)</f>
        <v>0</v>
      </c>
      <c r="AU11" s="6">
        <f>COUNTIF(PArticipationFevrier1[[#This Row],[1]:[30]],Code12)</f>
        <v>0</v>
      </c>
      <c r="AV11" s="6">
        <f>COUNTIF(PArticipationFevrier1[[#This Row],[1]:[30]],Code13)</f>
        <v>0</v>
      </c>
      <c r="AW11" s="6">
        <f>COUNTIF(PArticipationFevrier1[[#This Row],[1]:[30]],Code14)</f>
        <v>0</v>
      </c>
      <c r="AX11" s="6">
        <f>COUNTIF(PArticipationFevrier1[[#This Row],[1]:[30]],Code15)</f>
        <v>0</v>
      </c>
      <c r="AY11" s="6">
        <f>COUNTIF(PArticipationFevrier1[[#This Row],[1]:[30]],Code16)</f>
        <v>0</v>
      </c>
      <c r="AZ11" s="6">
        <f>COUNTIF(PArticipationFevrier1[[#This Row],[1]:[30]],Code17)</f>
        <v>0</v>
      </c>
      <c r="BA11" s="6">
        <f>COUNTIF(PArticipationFevrier1[[#This Row],[1]:[30]],Code26)</f>
        <v>0</v>
      </c>
      <c r="BB11" s="6">
        <f>COUNTIF(PArticipationFevrier1[[#This Row],[1]:[30]],Code25)</f>
        <v>0</v>
      </c>
      <c r="BC11" s="6">
        <f>COUNTIF(PArticipationFevrier1[[#This Row],[1]:[30]],Code27)</f>
        <v>0</v>
      </c>
      <c r="BD11" s="6">
        <f>COUNTIF(PArticipationFevrier1[[#This Row],[1]:[30]],Code28)</f>
        <v>0</v>
      </c>
      <c r="BE11" s="6">
        <f>COUNTIF(PArticipationFevrier1[[#This Row],[1]:[30]],code30)</f>
        <v>0</v>
      </c>
      <c r="BF11" s="6">
        <f>COUNTIF(PArticipationFevrier1[[#This Row],[1]:[30]],Code31)</f>
        <v>0</v>
      </c>
      <c r="BG11" s="6">
        <f>COUNTIF(PArticipationFevrier1[[#This Row],[1]:[30]],code21)</f>
        <v>0</v>
      </c>
      <c r="BH11" s="6">
        <f>COUNTIF(PArticipationFevrier1[[#This Row],[1]:[30]],Code24)</f>
        <v>0</v>
      </c>
      <c r="BI11" s="6">
        <f>COUNTIF(PArticipationFevrier1[[#This Row],[1]:[30]],code18)</f>
        <v>0</v>
      </c>
      <c r="BJ11" s="6">
        <f>COUNTIF(PArticipationFevrier1[[#This Row],[1]:[30]],code19)</f>
        <v>0</v>
      </c>
      <c r="BK11" s="6">
        <f>COUNTIF(PArticipationFevrier1[[#This Row],[1]:[30]],code20)</f>
        <v>0</v>
      </c>
      <c r="BL11" s="182">
        <f>COUNTIF(PArticipationFevrier1[[#This Row],[1]:[30]],code29)</f>
        <v>0</v>
      </c>
      <c r="BM11" s="139"/>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316"/>
      <c r="CT11" s="307"/>
      <c r="CU11" s="300"/>
      <c r="CV11" s="502">
        <f t="shared" ref="CV11:CV34" si="0">SUM((AH11*1)+(AI11*1.5)+(AJ11*2)+(AK11*3)+(AP11*5)+(AQ11*6)+(AR11*7)+(AX11*3)+(AY11*4)+(BA11*5)+(BB11*3)+(BC11*2)+(BG11*2)+(AZ11*2)+(BD11*2))</f>
        <v>0</v>
      </c>
      <c r="CW11" s="502">
        <f t="shared" ref="CW11:CW34" si="1">SUM((AN11*1)+(AM11*2)+(AO11*3)+(AP11*4)+(AT11*5)+(AU11*6)+(AV11*7)+(AW11*7)+(AX11*4)+(AY11*3)+(BA11*2)+(BC11*4)+(BB11*1)+(BG11*2)+(AZ11*5)+(BD11*1))</f>
        <v>0</v>
      </c>
      <c r="CX11" s="178">
        <f t="shared" ref="CX11:CX34" si="2">BH11*1</f>
        <v>0</v>
      </c>
      <c r="CY11" s="159">
        <f t="shared" ref="CY11:CY29" si="3">SUM((BI11*7)+(BJ11*10)+(BK11*12))</f>
        <v>0</v>
      </c>
    </row>
    <row r="12" spans="1:104">
      <c r="A12" s="534" t="s">
        <v>72</v>
      </c>
      <c r="B12" s="162" t="str">
        <f>IFERROR(VLOOKUP(PArticipationFevrier1[[#This Row],[Référence]],ListeÉtudiants1[],18,FALSE),"")</f>
        <v>ABOSI MAIWENN</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44"/>
      <c r="AH12" s="6">
        <f>COUNTIF(PArticipationFevrier1[[#This Row],[1]:[30]],Code1)</f>
        <v>0</v>
      </c>
      <c r="AI12" s="6">
        <f>COUNTIF(PArticipationFevrier1[[#This Row],[1]:[30]],code22)</f>
        <v>0</v>
      </c>
      <c r="AJ12" s="6">
        <f>COUNTIF(PArticipationFevrier1[[#This Row],[1]:[30]],Code2)</f>
        <v>0</v>
      </c>
      <c r="AK12" s="6">
        <f>COUNTIF(PArticipationFevrier1[[#This Row],[1]:[30]],Code3)</f>
        <v>0</v>
      </c>
      <c r="AL12" s="6">
        <f>COUNTIF(PArticipationFevrier1[[#This Row],[1]:[30]],Code4)</f>
        <v>0</v>
      </c>
      <c r="AM12" s="6">
        <f>COUNTIF(PArticipationFevrier1[[#This Row],[1]:[30]],Code5)</f>
        <v>0</v>
      </c>
      <c r="AN12" s="6"/>
      <c r="AO12" s="6">
        <f>COUNTIF(PArticipationFevrier1[[#This Row],[1]:[30]],Code6)</f>
        <v>0</v>
      </c>
      <c r="AP12" s="6">
        <f>COUNTIF(PArticipationFevrier1[[#This Row],[1]:[30]],Code7)</f>
        <v>0</v>
      </c>
      <c r="AQ12" s="6">
        <f>COUNTIF(PArticipationFevrier1[[#This Row],[1]:[30]],Code8)</f>
        <v>0</v>
      </c>
      <c r="AR12" s="6">
        <f>COUNTIF(PArticipationFevrier1[[#This Row],[1]:[30]],Code9)</f>
        <v>0</v>
      </c>
      <c r="AS12" s="6">
        <f>COUNTIF(PArticipationFevrier1[[#This Row],[1]:[30]],Code10)</f>
        <v>0</v>
      </c>
      <c r="AT12" s="6">
        <f>COUNTIF(PArticipationFevrier1[[#This Row],[1]:[30]],Code11)</f>
        <v>0</v>
      </c>
      <c r="AU12" s="6">
        <f>COUNTIF(PArticipationFevrier1[[#This Row],[1]:[30]],Code12)</f>
        <v>0</v>
      </c>
      <c r="AV12" s="6">
        <f>COUNTIF(PArticipationFevrier1[[#This Row],[1]:[30]],Code13)</f>
        <v>0</v>
      </c>
      <c r="AW12" s="6">
        <f>COUNTIF(PArticipationFevrier1[[#This Row],[1]:[30]],Code14)</f>
        <v>0</v>
      </c>
      <c r="AX12" s="6">
        <f>COUNTIF(PArticipationFevrier1[[#This Row],[1]:[30]],Code15)</f>
        <v>0</v>
      </c>
      <c r="AY12" s="6">
        <f>COUNTIF(PArticipationFevrier1[[#This Row],[1]:[30]],Code16)</f>
        <v>0</v>
      </c>
      <c r="AZ12" s="6">
        <f>COUNTIF(PArticipationFevrier1[[#This Row],[1]:[30]],Code17)</f>
        <v>0</v>
      </c>
      <c r="BA12" s="6">
        <f>COUNTIF(PArticipationFevrier1[[#This Row],[1]:[30]],Code26)</f>
        <v>0</v>
      </c>
      <c r="BB12" s="6">
        <f>COUNTIF(PArticipationFevrier1[[#This Row],[1]:[30]],Code25)</f>
        <v>0</v>
      </c>
      <c r="BC12" s="6">
        <f>COUNTIF(PArticipationFevrier1[[#This Row],[1]:[30]],Code27)</f>
        <v>0</v>
      </c>
      <c r="BD12" s="6">
        <f>COUNTIF(PArticipationFevrier1[[#This Row],[1]:[30]],Code28)</f>
        <v>0</v>
      </c>
      <c r="BE12" s="6">
        <f>COUNTIF(PArticipationFevrier1[[#This Row],[1]:[30]],code30)</f>
        <v>0</v>
      </c>
      <c r="BF12" s="6">
        <f>COUNTIF(PArticipationFevrier1[[#This Row],[1]:[30]],Code31)</f>
        <v>0</v>
      </c>
      <c r="BG12" s="6">
        <f>COUNTIF(PArticipationFevrier1[[#This Row],[1]:[30]],code21)</f>
        <v>0</v>
      </c>
      <c r="BH12" s="6">
        <f>COUNTIF(PArticipationFevrier1[[#This Row],[1]:[30]],Code24)</f>
        <v>0</v>
      </c>
      <c r="BI12" s="6">
        <f>COUNTIF(PArticipationFevrier1[[#This Row],[1]:[30]],code18)</f>
        <v>0</v>
      </c>
      <c r="BJ12" s="6">
        <f>COUNTIF(PArticipationFevrier1[[#This Row],[1]:[30]],code19)</f>
        <v>0</v>
      </c>
      <c r="BK12" s="6">
        <f>COUNTIF(PArticipationFevrier1[[#This Row],[1]:[30]],code20)</f>
        <v>0</v>
      </c>
      <c r="BL12" s="182">
        <f>COUNTIF(PArticipationFevrier1[[#This Row],[1]:[30]],code29)</f>
        <v>0</v>
      </c>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307"/>
      <c r="CT12" s="307"/>
      <c r="CU12" s="300"/>
      <c r="CV12" s="502">
        <f t="shared" si="0"/>
        <v>0</v>
      </c>
      <c r="CW12" s="502">
        <f t="shared" si="1"/>
        <v>0</v>
      </c>
      <c r="CX12" s="178">
        <f t="shared" si="2"/>
        <v>0</v>
      </c>
      <c r="CY12" s="157">
        <f t="shared" si="3"/>
        <v>0</v>
      </c>
    </row>
    <row r="13" spans="1:104">
      <c r="A13" s="510" t="s">
        <v>73</v>
      </c>
      <c r="B13" s="162" t="str">
        <f>IFERROR(VLOOKUP(PArticipationFevrier1[[#This Row],[Référence]],ListeÉtudiants1[],18,FALSE),"")</f>
        <v>AFKIR SOUMIA</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44"/>
      <c r="AH13" s="6">
        <f>COUNTIF(PArticipationFevrier1[[#This Row],[1]:[30]],Code1)</f>
        <v>0</v>
      </c>
      <c r="AI13" s="6">
        <f>COUNTIF(PArticipationFevrier1[[#This Row],[1]:[30]],code22)</f>
        <v>0</v>
      </c>
      <c r="AJ13" s="6">
        <f>COUNTIF(PArticipationFevrier1[[#This Row],[1]:[30]],Code2)</f>
        <v>0</v>
      </c>
      <c r="AK13" s="6">
        <f>COUNTIF(PArticipationFevrier1[[#This Row],[1]:[30]],Code3)</f>
        <v>0</v>
      </c>
      <c r="AL13" s="6">
        <f>COUNTIF(PArticipationFevrier1[[#This Row],[1]:[30]],Code4)</f>
        <v>0</v>
      </c>
      <c r="AM13" s="6">
        <f>COUNTIF(PArticipationFevrier1[[#This Row],[1]:[30]],Code5)</f>
        <v>0</v>
      </c>
      <c r="AN13" s="6"/>
      <c r="AO13" s="6">
        <f>COUNTIF(PArticipationFevrier1[[#This Row],[1]:[30]],Code6)</f>
        <v>0</v>
      </c>
      <c r="AP13" s="6">
        <f>COUNTIF(PArticipationFevrier1[[#This Row],[1]:[30]],Code7)</f>
        <v>0</v>
      </c>
      <c r="AQ13" s="6">
        <f>COUNTIF(PArticipationFevrier1[[#This Row],[1]:[30]],Code8)</f>
        <v>0</v>
      </c>
      <c r="AR13" s="6">
        <f>COUNTIF(PArticipationFevrier1[[#This Row],[1]:[30]],Code9)</f>
        <v>0</v>
      </c>
      <c r="AS13" s="6">
        <f>COUNTIF(PArticipationFevrier1[[#This Row],[1]:[30]],Code10)</f>
        <v>0</v>
      </c>
      <c r="AT13" s="6">
        <f>COUNTIF(PArticipationFevrier1[[#This Row],[1]:[30]],Code11)</f>
        <v>0</v>
      </c>
      <c r="AU13" s="6">
        <f>COUNTIF(PArticipationFevrier1[[#This Row],[1]:[30]],Code12)</f>
        <v>0</v>
      </c>
      <c r="AV13" s="6">
        <f>COUNTIF(PArticipationFevrier1[[#This Row],[1]:[30]],Code13)</f>
        <v>0</v>
      </c>
      <c r="AW13" s="6">
        <f>COUNTIF(PArticipationFevrier1[[#This Row],[1]:[30]],Code14)</f>
        <v>0</v>
      </c>
      <c r="AX13" s="6">
        <f>COUNTIF(PArticipationFevrier1[[#This Row],[1]:[30]],Code15)</f>
        <v>0</v>
      </c>
      <c r="AY13" s="6">
        <f>COUNTIF(PArticipationFevrier1[[#This Row],[1]:[30]],Code16)</f>
        <v>0</v>
      </c>
      <c r="AZ13" s="6">
        <f>COUNTIF(PArticipationFevrier1[[#This Row],[1]:[30]],Code17)</f>
        <v>0</v>
      </c>
      <c r="BA13" s="6">
        <f>COUNTIF(PArticipationFevrier1[[#This Row],[1]:[30]],Code26)</f>
        <v>0</v>
      </c>
      <c r="BB13" s="6">
        <f>COUNTIF(PArticipationFevrier1[[#This Row],[1]:[30]],Code25)</f>
        <v>0</v>
      </c>
      <c r="BC13" s="6">
        <f>COUNTIF(PArticipationFevrier1[[#This Row],[1]:[30]],Code27)</f>
        <v>0</v>
      </c>
      <c r="BD13" s="6">
        <f>COUNTIF(PArticipationFevrier1[[#This Row],[1]:[30]],Code28)</f>
        <v>0</v>
      </c>
      <c r="BE13" s="6">
        <f>COUNTIF(PArticipationFevrier1[[#This Row],[1]:[30]],code30)</f>
        <v>0</v>
      </c>
      <c r="BF13" s="6">
        <f>COUNTIF(PArticipationFevrier1[[#This Row],[1]:[30]],Code31)</f>
        <v>0</v>
      </c>
      <c r="BG13" s="6">
        <f>COUNTIF(PArticipationFevrier1[[#This Row],[1]:[30]],code21)</f>
        <v>0</v>
      </c>
      <c r="BH13" s="6">
        <f>COUNTIF(PArticipationFevrier1[[#This Row],[1]:[30]],Code24)</f>
        <v>0</v>
      </c>
      <c r="BI13" s="6">
        <f>COUNTIF(PArticipationFevrier1[[#This Row],[1]:[30]],code18)</f>
        <v>0</v>
      </c>
      <c r="BJ13" s="6">
        <f>COUNTIF(PArticipationFevrier1[[#This Row],[1]:[30]],code19)</f>
        <v>0</v>
      </c>
      <c r="BK13" s="6">
        <f>COUNTIF(PArticipationFevrier1[[#This Row],[1]:[30]],code20)</f>
        <v>0</v>
      </c>
      <c r="BL13" s="182">
        <f>COUNTIF(PArticipationFevrier1[[#This Row],[1]:[30]],code29)</f>
        <v>0</v>
      </c>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307"/>
      <c r="CT13" s="307"/>
      <c r="CU13" s="300"/>
      <c r="CV13" s="502">
        <f t="shared" si="0"/>
        <v>0</v>
      </c>
      <c r="CW13" s="502">
        <f t="shared" si="1"/>
        <v>0</v>
      </c>
      <c r="CX13" s="178">
        <f t="shared" si="2"/>
        <v>0</v>
      </c>
      <c r="CY13" s="157">
        <f t="shared" si="3"/>
        <v>0</v>
      </c>
    </row>
    <row r="14" spans="1:104">
      <c r="A14" s="534" t="s">
        <v>74</v>
      </c>
      <c r="B14" s="162" t="str">
        <f>IFERROR(VLOOKUP(PArticipationFevrier1[[#This Row],[Référence]],ListeÉtudiants1[],18,FALSE),"")</f>
        <v>AFRICA NADINE</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44"/>
      <c r="AH14" s="6">
        <f>COUNTIF(PArticipationFevrier1[[#This Row],[1]:[30]],Code1)</f>
        <v>0</v>
      </c>
      <c r="AI14" s="6">
        <f>COUNTIF(PArticipationFevrier1[[#This Row],[1]:[30]],code22)</f>
        <v>0</v>
      </c>
      <c r="AJ14" s="6">
        <f>COUNTIF(PArticipationFevrier1[[#This Row],[1]:[30]],Code2)</f>
        <v>0</v>
      </c>
      <c r="AK14" s="6">
        <f>COUNTIF(PArticipationFevrier1[[#This Row],[1]:[30]],Code3)</f>
        <v>0</v>
      </c>
      <c r="AL14" s="6">
        <f>COUNTIF(PArticipationFevrier1[[#This Row],[1]:[30]],Code4)</f>
        <v>0</v>
      </c>
      <c r="AM14" s="6">
        <f>COUNTIF(PArticipationFevrier1[[#This Row],[1]:[30]],Code5)</f>
        <v>0</v>
      </c>
      <c r="AN14" s="6"/>
      <c r="AO14" s="6">
        <f>COUNTIF(PArticipationFevrier1[[#This Row],[1]:[30]],Code6)</f>
        <v>0</v>
      </c>
      <c r="AP14" s="6">
        <f>COUNTIF(PArticipationFevrier1[[#This Row],[1]:[30]],Code7)</f>
        <v>0</v>
      </c>
      <c r="AQ14" s="6">
        <f>COUNTIF(PArticipationFevrier1[[#This Row],[1]:[30]],Code8)</f>
        <v>0</v>
      </c>
      <c r="AR14" s="6">
        <f>COUNTIF(PArticipationFevrier1[[#This Row],[1]:[30]],Code9)</f>
        <v>0</v>
      </c>
      <c r="AS14" s="6">
        <f>COUNTIF(PArticipationFevrier1[[#This Row],[1]:[30]],Code10)</f>
        <v>0</v>
      </c>
      <c r="AT14" s="6">
        <f>COUNTIF(PArticipationFevrier1[[#This Row],[1]:[30]],Code11)</f>
        <v>0</v>
      </c>
      <c r="AU14" s="6">
        <f>COUNTIF(PArticipationFevrier1[[#This Row],[1]:[30]],Code12)</f>
        <v>0</v>
      </c>
      <c r="AV14" s="6">
        <f>COUNTIF(PArticipationFevrier1[[#This Row],[1]:[30]],Code13)</f>
        <v>0</v>
      </c>
      <c r="AW14" s="6">
        <f>COUNTIF(PArticipationFevrier1[[#This Row],[1]:[30]],Code14)</f>
        <v>0</v>
      </c>
      <c r="AX14" s="6">
        <f>COUNTIF(PArticipationFevrier1[[#This Row],[1]:[30]],Code15)</f>
        <v>0</v>
      </c>
      <c r="AY14" s="6">
        <f>COUNTIF(PArticipationFevrier1[[#This Row],[1]:[30]],Code16)</f>
        <v>0</v>
      </c>
      <c r="AZ14" s="6">
        <f>COUNTIF(PArticipationFevrier1[[#This Row],[1]:[30]],Code17)</f>
        <v>0</v>
      </c>
      <c r="BA14" s="6">
        <f>COUNTIF(PArticipationFevrier1[[#This Row],[1]:[30]],Code26)</f>
        <v>0</v>
      </c>
      <c r="BB14" s="6">
        <f>COUNTIF(PArticipationFevrier1[[#This Row],[1]:[30]],Code25)</f>
        <v>0</v>
      </c>
      <c r="BC14" s="6">
        <f>COUNTIF(PArticipationFevrier1[[#This Row],[1]:[30]],Code27)</f>
        <v>0</v>
      </c>
      <c r="BD14" s="6">
        <f>COUNTIF(PArticipationFevrier1[[#This Row],[1]:[30]],Code28)</f>
        <v>0</v>
      </c>
      <c r="BE14" s="6">
        <f>COUNTIF(PArticipationFevrier1[[#This Row],[1]:[30]],code30)</f>
        <v>0</v>
      </c>
      <c r="BF14" s="6">
        <f>COUNTIF(PArticipationFevrier1[[#This Row],[1]:[30]],Code31)</f>
        <v>0</v>
      </c>
      <c r="BG14" s="6">
        <f>COUNTIF(PArticipationFevrier1[[#This Row],[1]:[30]],code21)</f>
        <v>0</v>
      </c>
      <c r="BH14" s="6">
        <f>COUNTIF(PArticipationFevrier1[[#This Row],[1]:[30]],Code24)</f>
        <v>0</v>
      </c>
      <c r="BI14" s="6">
        <f>COUNTIF(PArticipationFevrier1[[#This Row],[1]:[30]],code18)</f>
        <v>0</v>
      </c>
      <c r="BJ14" s="6">
        <f>COUNTIF(PArticipationFevrier1[[#This Row],[1]:[30]],code19)</f>
        <v>0</v>
      </c>
      <c r="BK14" s="6">
        <f>COUNTIF(PArticipationFevrier1[[#This Row],[1]:[30]],code20)</f>
        <v>0</v>
      </c>
      <c r="BL14" s="182">
        <f>COUNTIF(PArticipationFevrier1[[#This Row],[1]:[30]],code29)</f>
        <v>0</v>
      </c>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307"/>
      <c r="CT14" s="307"/>
      <c r="CU14" s="300"/>
      <c r="CV14" s="502">
        <f t="shared" si="0"/>
        <v>0</v>
      </c>
      <c r="CW14" s="502">
        <f t="shared" si="1"/>
        <v>0</v>
      </c>
      <c r="CX14" s="178">
        <f t="shared" si="2"/>
        <v>0</v>
      </c>
      <c r="CY14" s="157">
        <f t="shared" si="3"/>
        <v>0</v>
      </c>
    </row>
    <row r="15" spans="1:104">
      <c r="A15" s="510" t="s">
        <v>75</v>
      </c>
      <c r="B15" s="162" t="str">
        <f>IFERROR(VLOOKUP(PArticipationFevrier1[[#This Row],[Référence]],ListeÉtudiants1[],18,FALSE),"")</f>
        <v>AINAUD  MATHILDE</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44"/>
      <c r="AH15" s="6">
        <f>COUNTIF(PArticipationFevrier1[[#This Row],[1]:[30]],Code1)</f>
        <v>0</v>
      </c>
      <c r="AI15" s="6">
        <f>COUNTIF(PArticipationFevrier1[[#This Row],[1]:[30]],code22)</f>
        <v>0</v>
      </c>
      <c r="AJ15" s="6">
        <f>COUNTIF(PArticipationFevrier1[[#This Row],[1]:[30]],Code2)</f>
        <v>0</v>
      </c>
      <c r="AK15" s="6">
        <f>COUNTIF(PArticipationFevrier1[[#This Row],[1]:[30]],Code3)</f>
        <v>0</v>
      </c>
      <c r="AL15" s="6">
        <f>COUNTIF(PArticipationFevrier1[[#This Row],[1]:[30]],Code4)</f>
        <v>0</v>
      </c>
      <c r="AM15" s="6">
        <f>COUNTIF(PArticipationFevrier1[[#This Row],[1]:[30]],Code5)</f>
        <v>0</v>
      </c>
      <c r="AN15" s="6"/>
      <c r="AO15" s="6">
        <f>COUNTIF(PArticipationFevrier1[[#This Row],[1]:[30]],Code6)</f>
        <v>0</v>
      </c>
      <c r="AP15" s="6">
        <f>COUNTIF(PArticipationFevrier1[[#This Row],[1]:[30]],Code7)</f>
        <v>0</v>
      </c>
      <c r="AQ15" s="6">
        <f>COUNTIF(PArticipationFevrier1[[#This Row],[1]:[30]],Code8)</f>
        <v>0</v>
      </c>
      <c r="AR15" s="6">
        <f>COUNTIF(PArticipationFevrier1[[#This Row],[1]:[30]],Code9)</f>
        <v>0</v>
      </c>
      <c r="AS15" s="6">
        <f>COUNTIF(PArticipationFevrier1[[#This Row],[1]:[30]],Code10)</f>
        <v>0</v>
      </c>
      <c r="AT15" s="6">
        <f>COUNTIF(PArticipationFevrier1[[#This Row],[1]:[30]],Code11)</f>
        <v>0</v>
      </c>
      <c r="AU15" s="6">
        <f>COUNTIF(PArticipationFevrier1[[#This Row],[1]:[30]],Code12)</f>
        <v>0</v>
      </c>
      <c r="AV15" s="6">
        <f>COUNTIF(PArticipationFevrier1[[#This Row],[1]:[30]],Code13)</f>
        <v>0</v>
      </c>
      <c r="AW15" s="6">
        <f>COUNTIF(PArticipationFevrier1[[#This Row],[1]:[30]],Code14)</f>
        <v>0</v>
      </c>
      <c r="AX15" s="6">
        <f>COUNTIF(PArticipationFevrier1[[#This Row],[1]:[30]],Code15)</f>
        <v>0</v>
      </c>
      <c r="AY15" s="6">
        <f>COUNTIF(PArticipationFevrier1[[#This Row],[1]:[30]],Code16)</f>
        <v>0</v>
      </c>
      <c r="AZ15" s="6">
        <f>COUNTIF(PArticipationFevrier1[[#This Row],[1]:[30]],Code17)</f>
        <v>0</v>
      </c>
      <c r="BA15" s="6">
        <f>COUNTIF(PArticipationFevrier1[[#This Row],[1]:[30]],Code26)</f>
        <v>0</v>
      </c>
      <c r="BB15" s="6">
        <f>COUNTIF(PArticipationFevrier1[[#This Row],[1]:[30]],Code25)</f>
        <v>0</v>
      </c>
      <c r="BC15" s="6">
        <f>COUNTIF(PArticipationFevrier1[[#This Row],[1]:[30]],Code27)</f>
        <v>0</v>
      </c>
      <c r="BD15" s="6">
        <f>COUNTIF(PArticipationFevrier1[[#This Row],[1]:[30]],Code28)</f>
        <v>0</v>
      </c>
      <c r="BE15" s="6">
        <f>COUNTIF(PArticipationFevrier1[[#This Row],[1]:[30]],code30)</f>
        <v>0</v>
      </c>
      <c r="BF15" s="6">
        <f>COUNTIF(PArticipationFevrier1[[#This Row],[1]:[30]],Code31)</f>
        <v>0</v>
      </c>
      <c r="BG15" s="6">
        <f>COUNTIF(PArticipationFevrier1[[#This Row],[1]:[30]],code21)</f>
        <v>0</v>
      </c>
      <c r="BH15" s="6">
        <f>COUNTIF(PArticipationFevrier1[[#This Row],[1]:[30]],Code24)</f>
        <v>0</v>
      </c>
      <c r="BI15" s="6">
        <f>COUNTIF(PArticipationFevrier1[[#This Row],[1]:[30]],code18)</f>
        <v>0</v>
      </c>
      <c r="BJ15" s="6">
        <f>COUNTIF(PArticipationFevrier1[[#This Row],[1]:[30]],code19)</f>
        <v>0</v>
      </c>
      <c r="BK15" s="6">
        <f>COUNTIF(PArticipationFevrier1[[#This Row],[1]:[30]],code20)</f>
        <v>0</v>
      </c>
      <c r="BL15" s="182">
        <f>COUNTIF(PArticipationFevrier1[[#This Row],[1]:[30]],code29)</f>
        <v>0</v>
      </c>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307"/>
      <c r="CT15" s="307"/>
      <c r="CU15" s="300"/>
      <c r="CV15" s="502">
        <f t="shared" si="0"/>
        <v>0</v>
      </c>
      <c r="CW15" s="502">
        <f t="shared" si="1"/>
        <v>0</v>
      </c>
      <c r="CX15" s="178">
        <f t="shared" si="2"/>
        <v>0</v>
      </c>
      <c r="CY15" s="157">
        <f t="shared" si="3"/>
        <v>0</v>
      </c>
    </row>
    <row r="16" spans="1:104">
      <c r="A16" s="534" t="s">
        <v>357</v>
      </c>
      <c r="B16" s="162" t="str">
        <f>IFERROR(VLOOKUP(PArticipationFevrier1[[#This Row],[Référence]],ListeÉtudiants1[],18,FALSE),"")</f>
        <v>AIT CHALALET SELENA</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44"/>
      <c r="AH16" s="6">
        <f>COUNTIF(PArticipationFevrier1[[#This Row],[1]:[30]],Code1)</f>
        <v>0</v>
      </c>
      <c r="AI16" s="6">
        <f>COUNTIF(PArticipationFevrier1[[#This Row],[1]:[30]],code22)</f>
        <v>0</v>
      </c>
      <c r="AJ16" s="6">
        <f>COUNTIF(PArticipationFevrier1[[#This Row],[1]:[30]],Code2)</f>
        <v>0</v>
      </c>
      <c r="AK16" s="6">
        <f>COUNTIF(PArticipationFevrier1[[#This Row],[1]:[30]],Code3)</f>
        <v>0</v>
      </c>
      <c r="AL16" s="6">
        <f>COUNTIF(PArticipationFevrier1[[#This Row],[1]:[30]],Code4)</f>
        <v>0</v>
      </c>
      <c r="AM16" s="6">
        <f>COUNTIF(PArticipationFevrier1[[#This Row],[1]:[30]],Code5)</f>
        <v>0</v>
      </c>
      <c r="AN16" s="6"/>
      <c r="AO16" s="6">
        <f>COUNTIF(PArticipationFevrier1[[#This Row],[1]:[30]],Code6)</f>
        <v>0</v>
      </c>
      <c r="AP16" s="6">
        <f>COUNTIF(PArticipationFevrier1[[#This Row],[1]:[30]],Code7)</f>
        <v>0</v>
      </c>
      <c r="AQ16" s="6">
        <f>COUNTIF(PArticipationFevrier1[[#This Row],[1]:[30]],Code8)</f>
        <v>0</v>
      </c>
      <c r="AR16" s="6">
        <f>COUNTIF(PArticipationFevrier1[[#This Row],[1]:[30]],Code9)</f>
        <v>0</v>
      </c>
      <c r="AS16" s="6">
        <f>COUNTIF(PArticipationFevrier1[[#This Row],[1]:[30]],Code10)</f>
        <v>0</v>
      </c>
      <c r="AT16" s="6">
        <f>COUNTIF(PArticipationFevrier1[[#This Row],[1]:[30]],Code11)</f>
        <v>0</v>
      </c>
      <c r="AU16" s="6">
        <f>COUNTIF(PArticipationFevrier1[[#This Row],[1]:[30]],Code12)</f>
        <v>0</v>
      </c>
      <c r="AV16" s="6">
        <f>COUNTIF(PArticipationFevrier1[[#This Row],[1]:[30]],Code13)</f>
        <v>0</v>
      </c>
      <c r="AW16" s="6">
        <f>COUNTIF(PArticipationFevrier1[[#This Row],[1]:[30]],Code14)</f>
        <v>0</v>
      </c>
      <c r="AX16" s="6">
        <f>COUNTIF(PArticipationFevrier1[[#This Row],[1]:[30]],Code15)</f>
        <v>0</v>
      </c>
      <c r="AY16" s="6">
        <f>COUNTIF(PArticipationFevrier1[[#This Row],[1]:[30]],Code16)</f>
        <v>0</v>
      </c>
      <c r="AZ16" s="6">
        <f>COUNTIF(PArticipationFevrier1[[#This Row],[1]:[30]],Code17)</f>
        <v>0</v>
      </c>
      <c r="BA16" s="6">
        <f>COUNTIF(PArticipationFevrier1[[#This Row],[1]:[30]],Code26)</f>
        <v>0</v>
      </c>
      <c r="BB16" s="6">
        <f>COUNTIF(PArticipationFevrier1[[#This Row],[1]:[30]],Code25)</f>
        <v>0</v>
      </c>
      <c r="BC16" s="6">
        <f>COUNTIF(PArticipationFevrier1[[#This Row],[1]:[30]],Code27)</f>
        <v>0</v>
      </c>
      <c r="BD16" s="6">
        <f>COUNTIF(PArticipationFevrier1[[#This Row],[1]:[30]],Code28)</f>
        <v>0</v>
      </c>
      <c r="BE16" s="6">
        <f>COUNTIF(PArticipationFevrier1[[#This Row],[1]:[30]],code30)</f>
        <v>0</v>
      </c>
      <c r="BF16" s="6">
        <f>COUNTIF(PArticipationFevrier1[[#This Row],[1]:[30]],Code31)</f>
        <v>0</v>
      </c>
      <c r="BG16" s="6">
        <f>COUNTIF(PArticipationFevrier1[[#This Row],[1]:[30]],code21)</f>
        <v>0</v>
      </c>
      <c r="BH16" s="6">
        <f>COUNTIF(PArticipationFevrier1[[#This Row],[1]:[30]],Code24)</f>
        <v>0</v>
      </c>
      <c r="BI16" s="6">
        <f>COUNTIF(PArticipationFevrier1[[#This Row],[1]:[30]],code18)</f>
        <v>0</v>
      </c>
      <c r="BJ16" s="6">
        <f>COUNTIF(PArticipationFevrier1[[#This Row],[1]:[30]],code19)</f>
        <v>0</v>
      </c>
      <c r="BK16" s="6">
        <f>COUNTIF(PArticipationFevrier1[[#This Row],[1]:[30]],code20)</f>
        <v>0</v>
      </c>
      <c r="BL16" s="182">
        <f>COUNTIF(PArticipationFevrier1[[#This Row],[1]:[30]],code29)</f>
        <v>0</v>
      </c>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307"/>
      <c r="CT16" s="307"/>
      <c r="CU16" s="300"/>
      <c r="CV16" s="502">
        <f t="shared" si="0"/>
        <v>0</v>
      </c>
      <c r="CW16" s="502">
        <f t="shared" si="1"/>
        <v>0</v>
      </c>
      <c r="CX16" s="178">
        <f t="shared" si="2"/>
        <v>0</v>
      </c>
      <c r="CY16" s="157">
        <f t="shared" si="3"/>
        <v>0</v>
      </c>
    </row>
    <row r="17" spans="1:103">
      <c r="A17" s="534" t="s">
        <v>358</v>
      </c>
      <c r="B17" s="162" t="str">
        <f>IFERROR(VLOOKUP(PArticipationFevrier1[[#This Row],[Référence]],ListeÉtudiants1[],18,FALSE),"")</f>
        <v>AJINCA NATHAN</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44"/>
      <c r="AH17" s="6">
        <f>COUNTIF(PArticipationFevrier1[[#This Row],[1]:[30]],Code1)</f>
        <v>0</v>
      </c>
      <c r="AI17" s="6">
        <f>COUNTIF(PArticipationFevrier1[[#This Row],[1]:[30]],code22)</f>
        <v>0</v>
      </c>
      <c r="AJ17" s="6">
        <f>COUNTIF(PArticipationFevrier1[[#This Row],[1]:[30]],Code2)</f>
        <v>0</v>
      </c>
      <c r="AK17" s="6">
        <f>COUNTIF(PArticipationFevrier1[[#This Row],[1]:[30]],Code3)</f>
        <v>0</v>
      </c>
      <c r="AL17" s="6">
        <f>COUNTIF(PArticipationFevrier1[[#This Row],[1]:[30]],Code4)</f>
        <v>0</v>
      </c>
      <c r="AM17" s="6">
        <f>COUNTIF(PArticipationFevrier1[[#This Row],[1]:[30]],Code5)</f>
        <v>0</v>
      </c>
      <c r="AN17" s="6"/>
      <c r="AO17" s="6">
        <f>COUNTIF(PArticipationFevrier1[[#This Row],[1]:[30]],Code6)</f>
        <v>0</v>
      </c>
      <c r="AP17" s="6">
        <f>COUNTIF(PArticipationFevrier1[[#This Row],[1]:[30]],Code7)</f>
        <v>0</v>
      </c>
      <c r="AQ17" s="6">
        <f>COUNTIF(PArticipationFevrier1[[#This Row],[1]:[30]],Code8)</f>
        <v>0</v>
      </c>
      <c r="AR17" s="6">
        <f>COUNTIF(PArticipationFevrier1[[#This Row],[1]:[30]],Code9)</f>
        <v>0</v>
      </c>
      <c r="AS17" s="6">
        <f>COUNTIF(PArticipationFevrier1[[#This Row],[1]:[30]],Code10)</f>
        <v>0</v>
      </c>
      <c r="AT17" s="6">
        <f>COUNTIF(PArticipationFevrier1[[#This Row],[1]:[30]],Code11)</f>
        <v>0</v>
      </c>
      <c r="AU17" s="6">
        <f>COUNTIF(PArticipationFevrier1[[#This Row],[1]:[30]],Code12)</f>
        <v>0</v>
      </c>
      <c r="AV17" s="6">
        <f>COUNTIF(PArticipationFevrier1[[#This Row],[1]:[30]],Code13)</f>
        <v>0</v>
      </c>
      <c r="AW17" s="6">
        <f>COUNTIF(PArticipationFevrier1[[#This Row],[1]:[30]],Code14)</f>
        <v>0</v>
      </c>
      <c r="AX17" s="6">
        <f>COUNTIF(PArticipationFevrier1[[#This Row],[1]:[30]],Code15)</f>
        <v>0</v>
      </c>
      <c r="AY17" s="6">
        <f>COUNTIF(PArticipationFevrier1[[#This Row],[1]:[30]],Code16)</f>
        <v>0</v>
      </c>
      <c r="AZ17" s="6">
        <f>COUNTIF(PArticipationFevrier1[[#This Row],[1]:[30]],Code17)</f>
        <v>0</v>
      </c>
      <c r="BA17" s="6">
        <f>COUNTIF(PArticipationFevrier1[[#This Row],[1]:[30]],Code26)</f>
        <v>0</v>
      </c>
      <c r="BB17" s="6">
        <f>COUNTIF(PArticipationFevrier1[[#This Row],[1]:[30]],Code25)</f>
        <v>0</v>
      </c>
      <c r="BC17" s="6">
        <f>COUNTIF(PArticipationFevrier1[[#This Row],[1]:[30]],Code27)</f>
        <v>0</v>
      </c>
      <c r="BD17" s="6">
        <f>COUNTIF(PArticipationFevrier1[[#This Row],[1]:[30]],Code28)</f>
        <v>0</v>
      </c>
      <c r="BE17" s="6">
        <f>COUNTIF(PArticipationFevrier1[[#This Row],[1]:[30]],code30)</f>
        <v>0</v>
      </c>
      <c r="BF17" s="6">
        <f>COUNTIF(PArticipationFevrier1[[#This Row],[1]:[30]],Code31)</f>
        <v>0</v>
      </c>
      <c r="BG17" s="6">
        <f>COUNTIF(PArticipationFevrier1[[#This Row],[1]:[30]],code21)</f>
        <v>0</v>
      </c>
      <c r="BH17" s="6">
        <f>COUNTIF(PArticipationFevrier1[[#This Row],[1]:[30]],Code24)</f>
        <v>0</v>
      </c>
      <c r="BI17" s="6">
        <f>COUNTIF(PArticipationFevrier1[[#This Row],[1]:[30]],code18)</f>
        <v>0</v>
      </c>
      <c r="BJ17" s="6">
        <f>COUNTIF(PArticipationFevrier1[[#This Row],[1]:[30]],code19)</f>
        <v>0</v>
      </c>
      <c r="BK17" s="6">
        <f>COUNTIF(PArticipationFevrier1[[#This Row],[1]:[30]],code20)</f>
        <v>0</v>
      </c>
      <c r="BL17" s="182">
        <f>COUNTIF(PArticipationFevrier1[[#This Row],[1]:[30]],code29)</f>
        <v>0</v>
      </c>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307"/>
      <c r="CT17" s="307"/>
      <c r="CU17" s="300"/>
      <c r="CV17" s="502">
        <f t="shared" si="0"/>
        <v>0</v>
      </c>
      <c r="CW17" s="502">
        <f t="shared" si="1"/>
        <v>0</v>
      </c>
      <c r="CX17" s="178">
        <f t="shared" si="2"/>
        <v>0</v>
      </c>
      <c r="CY17" s="157">
        <f t="shared" si="3"/>
        <v>0</v>
      </c>
    </row>
    <row r="18" spans="1:103">
      <c r="A18" s="510" t="s">
        <v>359</v>
      </c>
      <c r="B18" s="162" t="str">
        <f>IFERROR(VLOOKUP(PArticipationFevrier1[[#This Row],[Référence]],ListeÉtudiants1[],18,FALSE),"")</f>
        <v>ALBINA IONA</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44"/>
      <c r="AH18" s="6">
        <f>COUNTIF(PArticipationFevrier1[[#This Row],[1]:[30]],Code1)</f>
        <v>0</v>
      </c>
      <c r="AI18" s="6">
        <f>COUNTIF(PArticipationFevrier1[[#This Row],[1]:[30]],code22)</f>
        <v>0</v>
      </c>
      <c r="AJ18" s="6">
        <f>COUNTIF(PArticipationFevrier1[[#This Row],[1]:[30]],Code2)</f>
        <v>0</v>
      </c>
      <c r="AK18" s="6">
        <f>COUNTIF(PArticipationFevrier1[[#This Row],[1]:[30]],Code3)</f>
        <v>0</v>
      </c>
      <c r="AL18" s="6">
        <f>COUNTIF(PArticipationFevrier1[[#This Row],[1]:[30]],Code4)</f>
        <v>0</v>
      </c>
      <c r="AM18" s="6">
        <f>COUNTIF(PArticipationFevrier1[[#This Row],[1]:[30]],Code5)</f>
        <v>0</v>
      </c>
      <c r="AN18" s="6"/>
      <c r="AO18" s="6">
        <f>COUNTIF(PArticipationFevrier1[[#This Row],[1]:[30]],Code6)</f>
        <v>0</v>
      </c>
      <c r="AP18" s="6">
        <f>COUNTIF(PArticipationFevrier1[[#This Row],[1]:[30]],Code7)</f>
        <v>0</v>
      </c>
      <c r="AQ18" s="6">
        <f>COUNTIF(PArticipationFevrier1[[#This Row],[1]:[30]],Code8)</f>
        <v>0</v>
      </c>
      <c r="AR18" s="6">
        <f>COUNTIF(PArticipationFevrier1[[#This Row],[1]:[30]],Code9)</f>
        <v>0</v>
      </c>
      <c r="AS18" s="6">
        <f>COUNTIF(PArticipationFevrier1[[#This Row],[1]:[30]],Code10)</f>
        <v>0</v>
      </c>
      <c r="AT18" s="6">
        <f>COUNTIF(PArticipationFevrier1[[#This Row],[1]:[30]],Code11)</f>
        <v>0</v>
      </c>
      <c r="AU18" s="6">
        <f>COUNTIF(PArticipationFevrier1[[#This Row],[1]:[30]],Code12)</f>
        <v>0</v>
      </c>
      <c r="AV18" s="6">
        <f>COUNTIF(PArticipationFevrier1[[#This Row],[1]:[30]],Code13)</f>
        <v>0</v>
      </c>
      <c r="AW18" s="6">
        <f>COUNTIF(PArticipationFevrier1[[#This Row],[1]:[30]],Code14)</f>
        <v>0</v>
      </c>
      <c r="AX18" s="6">
        <f>COUNTIF(PArticipationFevrier1[[#This Row],[1]:[30]],Code15)</f>
        <v>0</v>
      </c>
      <c r="AY18" s="6">
        <f>COUNTIF(PArticipationFevrier1[[#This Row],[1]:[30]],Code16)</f>
        <v>0</v>
      </c>
      <c r="AZ18" s="6">
        <f>COUNTIF(PArticipationFevrier1[[#This Row],[1]:[30]],Code17)</f>
        <v>0</v>
      </c>
      <c r="BA18" s="6">
        <f>COUNTIF(PArticipationFevrier1[[#This Row],[1]:[30]],Code26)</f>
        <v>0</v>
      </c>
      <c r="BB18" s="6">
        <f>COUNTIF(PArticipationFevrier1[[#This Row],[1]:[30]],Code25)</f>
        <v>0</v>
      </c>
      <c r="BC18" s="6">
        <f>COUNTIF(PArticipationFevrier1[[#This Row],[1]:[30]],Code27)</f>
        <v>0</v>
      </c>
      <c r="BD18" s="6">
        <f>COUNTIF(PArticipationFevrier1[[#This Row],[1]:[30]],Code28)</f>
        <v>0</v>
      </c>
      <c r="BE18" s="6">
        <f>COUNTIF(PArticipationFevrier1[[#This Row],[1]:[30]],code30)</f>
        <v>0</v>
      </c>
      <c r="BF18" s="6">
        <f>COUNTIF(PArticipationFevrier1[[#This Row],[1]:[30]],Code31)</f>
        <v>0</v>
      </c>
      <c r="BG18" s="6">
        <f>COUNTIF(PArticipationFevrier1[[#This Row],[1]:[30]],code21)</f>
        <v>0</v>
      </c>
      <c r="BH18" s="6">
        <f>COUNTIF(PArticipationFevrier1[[#This Row],[1]:[30]],Code24)</f>
        <v>0</v>
      </c>
      <c r="BI18" s="6">
        <f>COUNTIF(PArticipationFevrier1[[#This Row],[1]:[30]],code18)</f>
        <v>0</v>
      </c>
      <c r="BJ18" s="6">
        <f>COUNTIF(PArticipationFevrier1[[#This Row],[1]:[30]],code19)</f>
        <v>0</v>
      </c>
      <c r="BK18" s="6">
        <f>COUNTIF(PArticipationFevrier1[[#This Row],[1]:[30]],code20)</f>
        <v>0</v>
      </c>
      <c r="BL18" s="182">
        <f>COUNTIF(PArticipationFevrier1[[#This Row],[1]:[30]],code29)</f>
        <v>0</v>
      </c>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307"/>
      <c r="CT18" s="307"/>
      <c r="CU18" s="300"/>
      <c r="CV18" s="502">
        <f t="shared" si="0"/>
        <v>0</v>
      </c>
      <c r="CW18" s="502">
        <f t="shared" si="1"/>
        <v>0</v>
      </c>
      <c r="CX18" s="178">
        <f t="shared" si="2"/>
        <v>0</v>
      </c>
      <c r="CY18" s="157">
        <f t="shared" si="3"/>
        <v>0</v>
      </c>
    </row>
    <row r="19" spans="1:103">
      <c r="A19" s="534" t="s">
        <v>360</v>
      </c>
      <c r="B19" s="162" t="str">
        <f>IFERROR(VLOOKUP(PArticipationFevrier1[[#This Row],[Référence]],ListeÉtudiants1[],18,FALSE),"")</f>
        <v>ALCHEK MONA</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44"/>
      <c r="AH19" s="6">
        <f>COUNTIF(PArticipationFevrier1[[#This Row],[1]:[30]],Code1)</f>
        <v>0</v>
      </c>
      <c r="AI19" s="6">
        <f>COUNTIF(PArticipationFevrier1[[#This Row],[1]:[30]],code22)</f>
        <v>0</v>
      </c>
      <c r="AJ19" s="6">
        <f>COUNTIF(PArticipationFevrier1[[#This Row],[1]:[30]],Code2)</f>
        <v>0</v>
      </c>
      <c r="AK19" s="6">
        <f>COUNTIF(PArticipationFevrier1[[#This Row],[1]:[30]],Code3)</f>
        <v>0</v>
      </c>
      <c r="AL19" s="6">
        <f>COUNTIF(PArticipationFevrier1[[#This Row],[1]:[30]],Code4)</f>
        <v>0</v>
      </c>
      <c r="AM19" s="6">
        <f>COUNTIF(PArticipationFevrier1[[#This Row],[1]:[30]],Code5)</f>
        <v>0</v>
      </c>
      <c r="AN19" s="6"/>
      <c r="AO19" s="6">
        <f>COUNTIF(PArticipationFevrier1[[#This Row],[1]:[30]],Code6)</f>
        <v>0</v>
      </c>
      <c r="AP19" s="6">
        <f>COUNTIF(PArticipationFevrier1[[#This Row],[1]:[30]],Code7)</f>
        <v>0</v>
      </c>
      <c r="AQ19" s="6">
        <f>COUNTIF(PArticipationFevrier1[[#This Row],[1]:[30]],Code8)</f>
        <v>0</v>
      </c>
      <c r="AR19" s="6">
        <f>COUNTIF(PArticipationFevrier1[[#This Row],[1]:[30]],Code9)</f>
        <v>0</v>
      </c>
      <c r="AS19" s="6">
        <f>COUNTIF(PArticipationFevrier1[[#This Row],[1]:[30]],Code10)</f>
        <v>0</v>
      </c>
      <c r="AT19" s="6">
        <f>COUNTIF(PArticipationFevrier1[[#This Row],[1]:[30]],Code11)</f>
        <v>0</v>
      </c>
      <c r="AU19" s="6">
        <f>COUNTIF(PArticipationFevrier1[[#This Row],[1]:[30]],Code12)</f>
        <v>0</v>
      </c>
      <c r="AV19" s="6">
        <f>COUNTIF(PArticipationFevrier1[[#This Row],[1]:[30]],Code13)</f>
        <v>0</v>
      </c>
      <c r="AW19" s="6">
        <f>COUNTIF(PArticipationFevrier1[[#This Row],[1]:[30]],Code14)</f>
        <v>0</v>
      </c>
      <c r="AX19" s="6">
        <f>COUNTIF(PArticipationFevrier1[[#This Row],[1]:[30]],Code15)</f>
        <v>0</v>
      </c>
      <c r="AY19" s="6">
        <f>COUNTIF(PArticipationFevrier1[[#This Row],[1]:[30]],Code16)</f>
        <v>0</v>
      </c>
      <c r="AZ19" s="6">
        <f>COUNTIF(PArticipationFevrier1[[#This Row],[1]:[30]],Code17)</f>
        <v>0</v>
      </c>
      <c r="BA19" s="6">
        <f>COUNTIF(PArticipationFevrier1[[#This Row],[1]:[30]],Code26)</f>
        <v>0</v>
      </c>
      <c r="BB19" s="6">
        <f>COUNTIF(PArticipationFevrier1[[#This Row],[1]:[30]],Code25)</f>
        <v>0</v>
      </c>
      <c r="BC19" s="6">
        <f>COUNTIF(PArticipationFevrier1[[#This Row],[1]:[30]],Code27)</f>
        <v>0</v>
      </c>
      <c r="BD19" s="6">
        <f>COUNTIF(PArticipationFevrier1[[#This Row],[1]:[30]],Code28)</f>
        <v>0</v>
      </c>
      <c r="BE19" s="6">
        <f>COUNTIF(PArticipationFevrier1[[#This Row],[1]:[30]],code30)</f>
        <v>0</v>
      </c>
      <c r="BF19" s="6">
        <f>COUNTIF(PArticipationFevrier1[[#This Row],[1]:[30]],Code31)</f>
        <v>0</v>
      </c>
      <c r="BG19" s="6">
        <f>COUNTIF(PArticipationFevrier1[[#This Row],[1]:[30]],code21)</f>
        <v>0</v>
      </c>
      <c r="BH19" s="6">
        <f>COUNTIF(PArticipationFevrier1[[#This Row],[1]:[30]],Code24)</f>
        <v>0</v>
      </c>
      <c r="BI19" s="6">
        <f>COUNTIF(PArticipationFevrier1[[#This Row],[1]:[30]],code18)</f>
        <v>0</v>
      </c>
      <c r="BJ19" s="6">
        <f>COUNTIF(PArticipationFevrier1[[#This Row],[1]:[30]],code19)</f>
        <v>0</v>
      </c>
      <c r="BK19" s="6">
        <f>COUNTIF(PArticipationFevrier1[[#This Row],[1]:[30]],code20)</f>
        <v>0</v>
      </c>
      <c r="BL19" s="182">
        <f>COUNTIF(PArticipationFevrier1[[#This Row],[1]:[30]],code29)</f>
        <v>0</v>
      </c>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307"/>
      <c r="CT19" s="307"/>
      <c r="CU19" s="300"/>
      <c r="CV19" s="502">
        <f t="shared" si="0"/>
        <v>0</v>
      </c>
      <c r="CW19" s="502">
        <f t="shared" si="1"/>
        <v>0</v>
      </c>
      <c r="CX19" s="178">
        <f t="shared" si="2"/>
        <v>0</v>
      </c>
      <c r="CY19" s="157">
        <f t="shared" si="3"/>
        <v>0</v>
      </c>
    </row>
    <row r="20" spans="1:103">
      <c r="A20" s="510" t="s">
        <v>361</v>
      </c>
      <c r="B20" s="162" t="str">
        <f>IFERROR(VLOOKUP(PArticipationFevrier1[[#This Row],[Référence]],ListeÉtudiants1[],18,FALSE),"")</f>
        <v>ALLOUCH EINAT</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44"/>
      <c r="AH20" s="6">
        <f>COUNTIF(PArticipationFevrier1[[#This Row],[1]:[30]],Code1)</f>
        <v>0</v>
      </c>
      <c r="AI20" s="6">
        <f>COUNTIF(PArticipationFevrier1[[#This Row],[1]:[30]],code22)</f>
        <v>0</v>
      </c>
      <c r="AJ20" s="6">
        <f>COUNTIF(PArticipationFevrier1[[#This Row],[1]:[30]],Code2)</f>
        <v>0</v>
      </c>
      <c r="AK20" s="6">
        <f>COUNTIF(PArticipationFevrier1[[#This Row],[1]:[30]],Code3)</f>
        <v>0</v>
      </c>
      <c r="AL20" s="6">
        <f>COUNTIF(PArticipationFevrier1[[#This Row],[1]:[30]],Code4)</f>
        <v>0</v>
      </c>
      <c r="AM20" s="6">
        <f>COUNTIF(PArticipationFevrier1[[#This Row],[1]:[30]],Code5)</f>
        <v>0</v>
      </c>
      <c r="AN20" s="6"/>
      <c r="AO20" s="6">
        <f>COUNTIF(PArticipationFevrier1[[#This Row],[1]:[30]],Code6)</f>
        <v>0</v>
      </c>
      <c r="AP20" s="6">
        <f>COUNTIF(PArticipationFevrier1[[#This Row],[1]:[30]],Code7)</f>
        <v>0</v>
      </c>
      <c r="AQ20" s="6">
        <f>COUNTIF(PArticipationFevrier1[[#This Row],[1]:[30]],Code8)</f>
        <v>0</v>
      </c>
      <c r="AR20" s="6">
        <f>COUNTIF(PArticipationFevrier1[[#This Row],[1]:[30]],Code9)</f>
        <v>0</v>
      </c>
      <c r="AS20" s="6">
        <f>COUNTIF(PArticipationFevrier1[[#This Row],[1]:[30]],Code10)</f>
        <v>0</v>
      </c>
      <c r="AT20" s="6">
        <f>COUNTIF(PArticipationFevrier1[[#This Row],[1]:[30]],Code11)</f>
        <v>0</v>
      </c>
      <c r="AU20" s="6">
        <f>COUNTIF(PArticipationFevrier1[[#This Row],[1]:[30]],Code12)</f>
        <v>0</v>
      </c>
      <c r="AV20" s="6">
        <f>COUNTIF(PArticipationFevrier1[[#This Row],[1]:[30]],Code13)</f>
        <v>0</v>
      </c>
      <c r="AW20" s="6">
        <f>COUNTIF(PArticipationFevrier1[[#This Row],[1]:[30]],Code14)</f>
        <v>0</v>
      </c>
      <c r="AX20" s="6">
        <f>COUNTIF(PArticipationFevrier1[[#This Row],[1]:[30]],Code15)</f>
        <v>0</v>
      </c>
      <c r="AY20" s="6">
        <f>COUNTIF(PArticipationFevrier1[[#This Row],[1]:[30]],Code16)</f>
        <v>0</v>
      </c>
      <c r="AZ20" s="6">
        <f>COUNTIF(PArticipationFevrier1[[#This Row],[1]:[30]],Code17)</f>
        <v>0</v>
      </c>
      <c r="BA20" s="6">
        <f>COUNTIF(PArticipationFevrier1[[#This Row],[1]:[30]],Code26)</f>
        <v>0</v>
      </c>
      <c r="BB20" s="6">
        <f>COUNTIF(PArticipationFevrier1[[#This Row],[1]:[30]],Code25)</f>
        <v>0</v>
      </c>
      <c r="BC20" s="6">
        <f>COUNTIF(PArticipationFevrier1[[#This Row],[1]:[30]],Code27)</f>
        <v>0</v>
      </c>
      <c r="BD20" s="6">
        <f>COUNTIF(PArticipationFevrier1[[#This Row],[1]:[30]],Code28)</f>
        <v>0</v>
      </c>
      <c r="BE20" s="6">
        <f>COUNTIF(PArticipationFevrier1[[#This Row],[1]:[30]],code30)</f>
        <v>0</v>
      </c>
      <c r="BF20" s="6">
        <f>COUNTIF(PArticipationFevrier1[[#This Row],[1]:[30]],Code31)</f>
        <v>0</v>
      </c>
      <c r="BG20" s="6">
        <f>COUNTIF(PArticipationFevrier1[[#This Row],[1]:[30]],code21)</f>
        <v>0</v>
      </c>
      <c r="BH20" s="6">
        <f>COUNTIF(PArticipationFevrier1[[#This Row],[1]:[30]],Code24)</f>
        <v>0</v>
      </c>
      <c r="BI20" s="6">
        <f>COUNTIF(PArticipationFevrier1[[#This Row],[1]:[30]],code18)</f>
        <v>0</v>
      </c>
      <c r="BJ20" s="6">
        <f>COUNTIF(PArticipationFevrier1[[#This Row],[1]:[30]],code19)</f>
        <v>0</v>
      </c>
      <c r="BK20" s="6">
        <f>COUNTIF(PArticipationFevrier1[[#This Row],[1]:[30]],code20)</f>
        <v>0</v>
      </c>
      <c r="BL20" s="182">
        <f>COUNTIF(PArticipationFevrier1[[#This Row],[1]:[30]],code29)</f>
        <v>0</v>
      </c>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307"/>
      <c r="CT20" s="307"/>
      <c r="CU20" s="300"/>
      <c r="CV20" s="502">
        <f t="shared" si="0"/>
        <v>0</v>
      </c>
      <c r="CW20" s="502">
        <f t="shared" si="1"/>
        <v>0</v>
      </c>
      <c r="CX20" s="178">
        <f t="shared" si="2"/>
        <v>0</v>
      </c>
      <c r="CY20" s="157">
        <f t="shared" si="3"/>
        <v>0</v>
      </c>
    </row>
    <row r="21" spans="1:103">
      <c r="A21" s="534" t="s">
        <v>362</v>
      </c>
      <c r="B21" s="162" t="str">
        <f>IFERROR(VLOOKUP(PArticipationFevrier1[[#This Row],[Référence]],ListeÉtudiants1[],18,FALSE),"")</f>
        <v>ANCELE-VALCIN KATIANA</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44"/>
      <c r="AH21" s="6">
        <f>COUNTIF(PArticipationFevrier1[[#This Row],[1]:[30]],Code1)</f>
        <v>0</v>
      </c>
      <c r="AI21" s="6">
        <f>COUNTIF(PArticipationFevrier1[[#This Row],[1]:[30]],code22)</f>
        <v>0</v>
      </c>
      <c r="AJ21" s="6">
        <f>COUNTIF(PArticipationFevrier1[[#This Row],[1]:[30]],Code2)</f>
        <v>0</v>
      </c>
      <c r="AK21" s="6">
        <f>COUNTIF(PArticipationFevrier1[[#This Row],[1]:[30]],Code3)</f>
        <v>0</v>
      </c>
      <c r="AL21" s="6">
        <f>COUNTIF(PArticipationFevrier1[[#This Row],[1]:[30]],Code4)</f>
        <v>0</v>
      </c>
      <c r="AM21" s="6">
        <f>COUNTIF(PArticipationFevrier1[[#This Row],[1]:[30]],Code5)</f>
        <v>0</v>
      </c>
      <c r="AN21" s="6"/>
      <c r="AO21" s="6">
        <f>COUNTIF(PArticipationFevrier1[[#This Row],[1]:[30]],Code6)</f>
        <v>0</v>
      </c>
      <c r="AP21" s="6">
        <f>COUNTIF(PArticipationFevrier1[[#This Row],[1]:[30]],Code7)</f>
        <v>0</v>
      </c>
      <c r="AQ21" s="6">
        <f>COUNTIF(PArticipationFevrier1[[#This Row],[1]:[30]],Code8)</f>
        <v>0</v>
      </c>
      <c r="AR21" s="6">
        <f>COUNTIF(PArticipationFevrier1[[#This Row],[1]:[30]],Code9)</f>
        <v>0</v>
      </c>
      <c r="AS21" s="6">
        <f>COUNTIF(PArticipationFevrier1[[#This Row],[1]:[30]],Code10)</f>
        <v>0</v>
      </c>
      <c r="AT21" s="6">
        <f>COUNTIF(PArticipationFevrier1[[#This Row],[1]:[30]],Code11)</f>
        <v>0</v>
      </c>
      <c r="AU21" s="6">
        <f>COUNTIF(PArticipationFevrier1[[#This Row],[1]:[30]],Code12)</f>
        <v>0</v>
      </c>
      <c r="AV21" s="6">
        <f>COUNTIF(PArticipationFevrier1[[#This Row],[1]:[30]],Code13)</f>
        <v>0</v>
      </c>
      <c r="AW21" s="6">
        <f>COUNTIF(PArticipationFevrier1[[#This Row],[1]:[30]],Code14)</f>
        <v>0</v>
      </c>
      <c r="AX21" s="6">
        <f>COUNTIF(PArticipationFevrier1[[#This Row],[1]:[30]],Code15)</f>
        <v>0</v>
      </c>
      <c r="AY21" s="6">
        <f>COUNTIF(PArticipationFevrier1[[#This Row],[1]:[30]],Code16)</f>
        <v>0</v>
      </c>
      <c r="AZ21" s="6">
        <f>COUNTIF(PArticipationFevrier1[[#This Row],[1]:[30]],Code17)</f>
        <v>0</v>
      </c>
      <c r="BA21" s="6">
        <f>COUNTIF(PArticipationFevrier1[[#This Row],[1]:[30]],Code26)</f>
        <v>0</v>
      </c>
      <c r="BB21" s="6">
        <f>COUNTIF(PArticipationFevrier1[[#This Row],[1]:[30]],Code25)</f>
        <v>0</v>
      </c>
      <c r="BC21" s="6">
        <f>COUNTIF(PArticipationFevrier1[[#This Row],[1]:[30]],Code27)</f>
        <v>0</v>
      </c>
      <c r="BD21" s="6">
        <f>COUNTIF(PArticipationFevrier1[[#This Row],[1]:[30]],Code28)</f>
        <v>0</v>
      </c>
      <c r="BE21" s="6">
        <f>COUNTIF(PArticipationFevrier1[[#This Row],[1]:[30]],code30)</f>
        <v>0</v>
      </c>
      <c r="BF21" s="6">
        <f>COUNTIF(PArticipationFevrier1[[#This Row],[1]:[30]],Code31)</f>
        <v>0</v>
      </c>
      <c r="BG21" s="6">
        <f>COUNTIF(PArticipationFevrier1[[#This Row],[1]:[30]],code21)</f>
        <v>0</v>
      </c>
      <c r="BH21" s="6">
        <f>COUNTIF(PArticipationFevrier1[[#This Row],[1]:[30]],Code24)</f>
        <v>0</v>
      </c>
      <c r="BI21" s="6">
        <f>COUNTIF(PArticipationFevrier1[[#This Row],[1]:[30]],code18)</f>
        <v>0</v>
      </c>
      <c r="BJ21" s="6">
        <f>COUNTIF(PArticipationFevrier1[[#This Row],[1]:[30]],code19)</f>
        <v>0</v>
      </c>
      <c r="BK21" s="6">
        <f>COUNTIF(PArticipationFevrier1[[#This Row],[1]:[30]],code20)</f>
        <v>0</v>
      </c>
      <c r="BL21" s="182">
        <f>COUNTIF(PArticipationFevrier1[[#This Row],[1]:[30]],code29)</f>
        <v>0</v>
      </c>
      <c r="BM21" s="297"/>
      <c r="BN21" s="297"/>
      <c r="BO21" s="297"/>
      <c r="BP21" s="297"/>
      <c r="BQ21" s="297"/>
      <c r="BR21" s="297"/>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297"/>
      <c r="CO21" s="297"/>
      <c r="CP21" s="297"/>
      <c r="CQ21" s="297"/>
      <c r="CR21" s="297"/>
      <c r="CS21" s="307"/>
      <c r="CT21" s="307"/>
      <c r="CU21" s="300"/>
      <c r="CV21" s="502">
        <f t="shared" si="0"/>
        <v>0</v>
      </c>
      <c r="CW21" s="502">
        <f t="shared" si="1"/>
        <v>0</v>
      </c>
      <c r="CX21" s="178">
        <f t="shared" si="2"/>
        <v>0</v>
      </c>
      <c r="CY21" s="157">
        <f t="shared" si="3"/>
        <v>0</v>
      </c>
    </row>
    <row r="22" spans="1:103">
      <c r="A22" s="510" t="s">
        <v>363</v>
      </c>
      <c r="B22" s="162" t="str">
        <f>IFERROR(VLOOKUP(PArticipationFevrier1[[#This Row],[Référence]],ListeÉtudiants1[],18,FALSE),"")</f>
        <v>ANDRE ORNELLA</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44"/>
      <c r="AH22" s="6">
        <f>COUNTIF(PArticipationFevrier1[[#This Row],[1]:[30]],Code1)</f>
        <v>0</v>
      </c>
      <c r="AI22" s="6">
        <f>COUNTIF(PArticipationFevrier1[[#This Row],[1]:[30]],code22)</f>
        <v>0</v>
      </c>
      <c r="AJ22" s="6">
        <f>COUNTIF(PArticipationFevrier1[[#This Row],[1]:[30]],Code2)</f>
        <v>0</v>
      </c>
      <c r="AK22" s="6">
        <f>COUNTIF(PArticipationFevrier1[[#This Row],[1]:[30]],Code3)</f>
        <v>0</v>
      </c>
      <c r="AL22" s="6">
        <f>COUNTIF(PArticipationFevrier1[[#This Row],[1]:[30]],Code4)</f>
        <v>0</v>
      </c>
      <c r="AM22" s="6">
        <f>COUNTIF(PArticipationFevrier1[[#This Row],[1]:[30]],Code5)</f>
        <v>0</v>
      </c>
      <c r="AN22" s="6"/>
      <c r="AO22" s="6">
        <f>COUNTIF(PArticipationFevrier1[[#This Row],[1]:[30]],Code6)</f>
        <v>0</v>
      </c>
      <c r="AP22" s="6">
        <f>COUNTIF(PArticipationFevrier1[[#This Row],[1]:[30]],Code7)</f>
        <v>0</v>
      </c>
      <c r="AQ22" s="6">
        <f>COUNTIF(PArticipationFevrier1[[#This Row],[1]:[30]],Code8)</f>
        <v>0</v>
      </c>
      <c r="AR22" s="6">
        <f>COUNTIF(PArticipationFevrier1[[#This Row],[1]:[30]],Code9)</f>
        <v>0</v>
      </c>
      <c r="AS22" s="6">
        <f>COUNTIF(PArticipationFevrier1[[#This Row],[1]:[30]],Code10)</f>
        <v>0</v>
      </c>
      <c r="AT22" s="6">
        <f>COUNTIF(PArticipationFevrier1[[#This Row],[1]:[30]],Code11)</f>
        <v>0</v>
      </c>
      <c r="AU22" s="6">
        <f>COUNTIF(PArticipationFevrier1[[#This Row],[1]:[30]],Code12)</f>
        <v>0</v>
      </c>
      <c r="AV22" s="6">
        <f>COUNTIF(PArticipationFevrier1[[#This Row],[1]:[30]],Code13)</f>
        <v>0</v>
      </c>
      <c r="AW22" s="6">
        <f>COUNTIF(PArticipationFevrier1[[#This Row],[1]:[30]],Code14)</f>
        <v>0</v>
      </c>
      <c r="AX22" s="6">
        <f>COUNTIF(PArticipationFevrier1[[#This Row],[1]:[30]],Code15)</f>
        <v>0</v>
      </c>
      <c r="AY22" s="6">
        <f>COUNTIF(PArticipationFevrier1[[#This Row],[1]:[30]],Code16)</f>
        <v>0</v>
      </c>
      <c r="AZ22" s="6">
        <f>COUNTIF(PArticipationFevrier1[[#This Row],[1]:[30]],Code17)</f>
        <v>0</v>
      </c>
      <c r="BA22" s="6">
        <f>COUNTIF(PArticipationFevrier1[[#This Row],[1]:[30]],Code26)</f>
        <v>0</v>
      </c>
      <c r="BB22" s="6">
        <f>COUNTIF(PArticipationFevrier1[[#This Row],[1]:[30]],Code25)</f>
        <v>0</v>
      </c>
      <c r="BC22" s="6">
        <f>COUNTIF(PArticipationFevrier1[[#This Row],[1]:[30]],Code27)</f>
        <v>0</v>
      </c>
      <c r="BD22" s="6">
        <f>COUNTIF(PArticipationFevrier1[[#This Row],[1]:[30]],Code28)</f>
        <v>0</v>
      </c>
      <c r="BE22" s="6">
        <f>COUNTIF(PArticipationFevrier1[[#This Row],[1]:[30]],code30)</f>
        <v>0</v>
      </c>
      <c r="BF22" s="6">
        <f>COUNTIF(PArticipationFevrier1[[#This Row],[1]:[30]],Code31)</f>
        <v>0</v>
      </c>
      <c r="BG22" s="6">
        <f>COUNTIF(PArticipationFevrier1[[#This Row],[1]:[30]],code21)</f>
        <v>0</v>
      </c>
      <c r="BH22" s="6">
        <f>COUNTIF(PArticipationFevrier1[[#This Row],[1]:[30]],Code24)</f>
        <v>0</v>
      </c>
      <c r="BI22" s="6">
        <f>COUNTIF(PArticipationFevrier1[[#This Row],[1]:[30]],code18)</f>
        <v>0</v>
      </c>
      <c r="BJ22" s="6">
        <f>COUNTIF(PArticipationFevrier1[[#This Row],[1]:[30]],code19)</f>
        <v>0</v>
      </c>
      <c r="BK22" s="6">
        <f>COUNTIF(PArticipationFevrier1[[#This Row],[1]:[30]],code20)</f>
        <v>0</v>
      </c>
      <c r="BL22" s="182">
        <f>COUNTIF(PArticipationFevrier1[[#This Row],[1]:[30]],code29)</f>
        <v>0</v>
      </c>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97"/>
      <c r="CP22" s="297"/>
      <c r="CQ22" s="297"/>
      <c r="CR22" s="297"/>
      <c r="CS22" s="307"/>
      <c r="CT22" s="307"/>
      <c r="CU22" s="300"/>
      <c r="CV22" s="502">
        <f t="shared" si="0"/>
        <v>0</v>
      </c>
      <c r="CW22" s="502">
        <f t="shared" si="1"/>
        <v>0</v>
      </c>
      <c r="CX22" s="178">
        <f t="shared" si="2"/>
        <v>0</v>
      </c>
      <c r="CY22" s="157">
        <f t="shared" si="3"/>
        <v>0</v>
      </c>
    </row>
    <row r="23" spans="1:103">
      <c r="A23" s="534" t="s">
        <v>364</v>
      </c>
      <c r="B23" s="162" t="str">
        <f>IFERROR(VLOOKUP(PArticipationFevrier1[[#This Row],[Référence]],ListeÉtudiants1[],18,FALSE),"")</f>
        <v>ANGRE GRACE</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44"/>
      <c r="AH23" s="6">
        <f>COUNTIF(PArticipationFevrier1[[#This Row],[1]:[30]],Code1)</f>
        <v>0</v>
      </c>
      <c r="AI23" s="6">
        <f>COUNTIF(PArticipationFevrier1[[#This Row],[1]:[30]],code22)</f>
        <v>0</v>
      </c>
      <c r="AJ23" s="6">
        <f>COUNTIF(PArticipationFevrier1[[#This Row],[1]:[30]],Code2)</f>
        <v>0</v>
      </c>
      <c r="AK23" s="6">
        <f>COUNTIF(PArticipationFevrier1[[#This Row],[1]:[30]],Code3)</f>
        <v>0</v>
      </c>
      <c r="AL23" s="6">
        <f>COUNTIF(PArticipationFevrier1[[#This Row],[1]:[30]],Code4)</f>
        <v>0</v>
      </c>
      <c r="AM23" s="6">
        <f>COUNTIF(PArticipationFevrier1[[#This Row],[1]:[30]],Code5)</f>
        <v>0</v>
      </c>
      <c r="AN23" s="6"/>
      <c r="AO23" s="6">
        <f>COUNTIF(PArticipationFevrier1[[#This Row],[1]:[30]],Code6)</f>
        <v>0</v>
      </c>
      <c r="AP23" s="6">
        <f>COUNTIF(PArticipationFevrier1[[#This Row],[1]:[30]],Code7)</f>
        <v>0</v>
      </c>
      <c r="AQ23" s="6">
        <f>COUNTIF(PArticipationFevrier1[[#This Row],[1]:[30]],Code8)</f>
        <v>0</v>
      </c>
      <c r="AR23" s="6">
        <f>COUNTIF(PArticipationFevrier1[[#This Row],[1]:[30]],Code9)</f>
        <v>0</v>
      </c>
      <c r="AS23" s="6">
        <f>COUNTIF(PArticipationFevrier1[[#This Row],[1]:[30]],Code10)</f>
        <v>0</v>
      </c>
      <c r="AT23" s="6">
        <f>COUNTIF(PArticipationFevrier1[[#This Row],[1]:[30]],Code11)</f>
        <v>0</v>
      </c>
      <c r="AU23" s="6">
        <f>COUNTIF(PArticipationFevrier1[[#This Row],[1]:[30]],Code12)</f>
        <v>0</v>
      </c>
      <c r="AV23" s="6">
        <f>COUNTIF(PArticipationFevrier1[[#This Row],[1]:[30]],Code13)</f>
        <v>0</v>
      </c>
      <c r="AW23" s="6">
        <f>COUNTIF(PArticipationFevrier1[[#This Row],[1]:[30]],Code14)</f>
        <v>0</v>
      </c>
      <c r="AX23" s="6">
        <f>COUNTIF(PArticipationFevrier1[[#This Row],[1]:[30]],Code15)</f>
        <v>0</v>
      </c>
      <c r="AY23" s="6">
        <f>COUNTIF(PArticipationFevrier1[[#This Row],[1]:[30]],Code16)</f>
        <v>0</v>
      </c>
      <c r="AZ23" s="6">
        <f>COUNTIF(PArticipationFevrier1[[#This Row],[1]:[30]],Code17)</f>
        <v>0</v>
      </c>
      <c r="BA23" s="6">
        <f>COUNTIF(PArticipationFevrier1[[#This Row],[1]:[30]],Code26)</f>
        <v>0</v>
      </c>
      <c r="BB23" s="6">
        <f>COUNTIF(PArticipationFevrier1[[#This Row],[1]:[30]],Code25)</f>
        <v>0</v>
      </c>
      <c r="BC23" s="6">
        <f>COUNTIF(PArticipationFevrier1[[#This Row],[1]:[30]],Code27)</f>
        <v>0</v>
      </c>
      <c r="BD23" s="6">
        <f>COUNTIF(PArticipationFevrier1[[#This Row],[1]:[30]],Code28)</f>
        <v>0</v>
      </c>
      <c r="BE23" s="6">
        <f>COUNTIF(PArticipationFevrier1[[#This Row],[1]:[30]],code30)</f>
        <v>0</v>
      </c>
      <c r="BF23" s="6">
        <f>COUNTIF(PArticipationFevrier1[[#This Row],[1]:[30]],Code31)</f>
        <v>0</v>
      </c>
      <c r="BG23" s="6">
        <f>COUNTIF(PArticipationFevrier1[[#This Row],[1]:[30]],code21)</f>
        <v>0</v>
      </c>
      <c r="BH23" s="6">
        <f>COUNTIF(PArticipationFevrier1[[#This Row],[1]:[30]],Code24)</f>
        <v>0</v>
      </c>
      <c r="BI23" s="6">
        <f>COUNTIF(PArticipationFevrier1[[#This Row],[1]:[30]],code18)</f>
        <v>0</v>
      </c>
      <c r="BJ23" s="6">
        <f>COUNTIF(PArticipationFevrier1[[#This Row],[1]:[30]],code19)</f>
        <v>0</v>
      </c>
      <c r="BK23" s="6">
        <f>COUNTIF(PArticipationFevrier1[[#This Row],[1]:[30]],code20)</f>
        <v>0</v>
      </c>
      <c r="BL23" s="182">
        <f>COUNTIF(PArticipationFevrier1[[#This Row],[1]:[30]],code29)</f>
        <v>0</v>
      </c>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307"/>
      <c r="CT23" s="307"/>
      <c r="CU23" s="300"/>
      <c r="CV23" s="502">
        <f t="shared" si="0"/>
        <v>0</v>
      </c>
      <c r="CW23" s="502">
        <f t="shared" si="1"/>
        <v>0</v>
      </c>
      <c r="CX23" s="178">
        <f t="shared" si="2"/>
        <v>0</v>
      </c>
      <c r="CY23" s="157">
        <f t="shared" si="3"/>
        <v>0</v>
      </c>
    </row>
    <row r="24" spans="1:103">
      <c r="A24" s="534" t="s">
        <v>365</v>
      </c>
      <c r="B24" s="162" t="str">
        <f>IFERROR(VLOOKUP(PArticipationFevrier1[[#This Row],[Référence]],ListeÉtudiants1[],18,FALSE),"")</f>
        <v>BAESSA ELISA</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44"/>
      <c r="AH24" s="6">
        <f>COUNTIF(PArticipationFevrier1[[#This Row],[1]:[30]],Code1)</f>
        <v>0</v>
      </c>
      <c r="AI24" s="6">
        <f>COUNTIF(PArticipationFevrier1[[#This Row],[1]:[30]],code22)</f>
        <v>0</v>
      </c>
      <c r="AJ24" s="6">
        <f>COUNTIF(PArticipationFevrier1[[#This Row],[1]:[30]],Code2)</f>
        <v>0</v>
      </c>
      <c r="AK24" s="6">
        <f>COUNTIF(PArticipationFevrier1[[#This Row],[1]:[30]],Code3)</f>
        <v>0</v>
      </c>
      <c r="AL24" s="6">
        <f>COUNTIF(PArticipationFevrier1[[#This Row],[1]:[30]],Code4)</f>
        <v>0</v>
      </c>
      <c r="AM24" s="6">
        <f>COUNTIF(PArticipationFevrier1[[#This Row],[1]:[30]],Code5)</f>
        <v>0</v>
      </c>
      <c r="AN24" s="6"/>
      <c r="AO24" s="6">
        <f>COUNTIF(PArticipationFevrier1[[#This Row],[1]:[30]],Code6)</f>
        <v>0</v>
      </c>
      <c r="AP24" s="6">
        <f>COUNTIF(PArticipationFevrier1[[#This Row],[1]:[30]],Code7)</f>
        <v>0</v>
      </c>
      <c r="AQ24" s="6">
        <f>COUNTIF(PArticipationFevrier1[[#This Row],[1]:[30]],Code8)</f>
        <v>0</v>
      </c>
      <c r="AR24" s="6">
        <f>COUNTIF(PArticipationFevrier1[[#This Row],[1]:[30]],Code9)</f>
        <v>0</v>
      </c>
      <c r="AS24" s="6">
        <f>COUNTIF(PArticipationFevrier1[[#This Row],[1]:[30]],Code10)</f>
        <v>0</v>
      </c>
      <c r="AT24" s="6">
        <f>COUNTIF(PArticipationFevrier1[[#This Row],[1]:[30]],Code11)</f>
        <v>0</v>
      </c>
      <c r="AU24" s="6">
        <f>COUNTIF(PArticipationFevrier1[[#This Row],[1]:[30]],Code12)</f>
        <v>0</v>
      </c>
      <c r="AV24" s="6">
        <f>COUNTIF(PArticipationFevrier1[[#This Row],[1]:[30]],Code13)</f>
        <v>0</v>
      </c>
      <c r="AW24" s="6">
        <f>COUNTIF(PArticipationFevrier1[[#This Row],[1]:[30]],Code14)</f>
        <v>0</v>
      </c>
      <c r="AX24" s="6">
        <f>COUNTIF(PArticipationFevrier1[[#This Row],[1]:[30]],Code15)</f>
        <v>0</v>
      </c>
      <c r="AY24" s="6">
        <f>COUNTIF(PArticipationFevrier1[[#This Row],[1]:[30]],Code16)</f>
        <v>0</v>
      </c>
      <c r="AZ24" s="6">
        <f>COUNTIF(PArticipationFevrier1[[#This Row],[1]:[30]],Code17)</f>
        <v>0</v>
      </c>
      <c r="BA24" s="6">
        <f>COUNTIF(PArticipationFevrier1[[#This Row],[1]:[30]],Code26)</f>
        <v>0</v>
      </c>
      <c r="BB24" s="6">
        <f>COUNTIF(PArticipationFevrier1[[#This Row],[1]:[30]],Code25)</f>
        <v>0</v>
      </c>
      <c r="BC24" s="6">
        <f>COUNTIF(PArticipationFevrier1[[#This Row],[1]:[30]],Code27)</f>
        <v>0</v>
      </c>
      <c r="BD24" s="6">
        <f>COUNTIF(PArticipationFevrier1[[#This Row],[1]:[30]],Code28)</f>
        <v>0</v>
      </c>
      <c r="BE24" s="6">
        <f>COUNTIF(PArticipationFevrier1[[#This Row],[1]:[30]],code30)</f>
        <v>0</v>
      </c>
      <c r="BF24" s="6">
        <f>COUNTIF(PArticipationFevrier1[[#This Row],[1]:[30]],Code31)</f>
        <v>0</v>
      </c>
      <c r="BG24" s="6">
        <f>COUNTIF(PArticipationFevrier1[[#This Row],[1]:[30]],code21)</f>
        <v>0</v>
      </c>
      <c r="BH24" s="6">
        <f>COUNTIF(PArticipationFevrier1[[#This Row],[1]:[30]],Code24)</f>
        <v>0</v>
      </c>
      <c r="BI24" s="6">
        <f>COUNTIF(PArticipationFevrier1[[#This Row],[1]:[30]],code18)</f>
        <v>0</v>
      </c>
      <c r="BJ24" s="6">
        <f>COUNTIF(PArticipationFevrier1[[#This Row],[1]:[30]],code19)</f>
        <v>0</v>
      </c>
      <c r="BK24" s="6">
        <f>COUNTIF(PArticipationFevrier1[[#This Row],[1]:[30]],code20)</f>
        <v>0</v>
      </c>
      <c r="BL24" s="182">
        <f>COUNTIF(PArticipationFevrier1[[#This Row],[1]:[30]],code29)</f>
        <v>0</v>
      </c>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307"/>
      <c r="CT24" s="307"/>
      <c r="CU24" s="300"/>
      <c r="CV24" s="502">
        <f t="shared" si="0"/>
        <v>0</v>
      </c>
      <c r="CW24" s="502">
        <f t="shared" si="1"/>
        <v>0</v>
      </c>
      <c r="CX24" s="178">
        <f t="shared" si="2"/>
        <v>0</v>
      </c>
      <c r="CY24" s="157">
        <f t="shared" si="3"/>
        <v>0</v>
      </c>
    </row>
    <row r="25" spans="1:103">
      <c r="A25" s="510" t="s">
        <v>366</v>
      </c>
      <c r="B25" s="162" t="str">
        <f>IFERROR(VLOOKUP(PArticipationFevrier1[[#This Row],[Référence]],ListeÉtudiants1[],18,FALSE),"")</f>
        <v>BARREIROS  KATIE</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44"/>
      <c r="AH25" s="6">
        <f>COUNTIF(PArticipationFevrier1[[#This Row],[1]:[30]],Code1)</f>
        <v>0</v>
      </c>
      <c r="AI25" s="6">
        <f>COUNTIF(PArticipationFevrier1[[#This Row],[1]:[30]],code22)</f>
        <v>0</v>
      </c>
      <c r="AJ25" s="6">
        <f>COUNTIF(PArticipationFevrier1[[#This Row],[1]:[30]],Code2)</f>
        <v>0</v>
      </c>
      <c r="AK25" s="6">
        <f>COUNTIF(PArticipationFevrier1[[#This Row],[1]:[30]],Code3)</f>
        <v>0</v>
      </c>
      <c r="AL25" s="6">
        <f>COUNTIF(PArticipationFevrier1[[#This Row],[1]:[30]],Code4)</f>
        <v>0</v>
      </c>
      <c r="AM25" s="6">
        <f>COUNTIF(PArticipationFevrier1[[#This Row],[1]:[30]],Code5)</f>
        <v>0</v>
      </c>
      <c r="AN25" s="6"/>
      <c r="AO25" s="6">
        <f>COUNTIF(PArticipationFevrier1[[#This Row],[1]:[30]],Code6)</f>
        <v>0</v>
      </c>
      <c r="AP25" s="6">
        <f>COUNTIF(PArticipationFevrier1[[#This Row],[1]:[30]],Code7)</f>
        <v>0</v>
      </c>
      <c r="AQ25" s="6">
        <f>COUNTIF(PArticipationFevrier1[[#This Row],[1]:[30]],Code8)</f>
        <v>0</v>
      </c>
      <c r="AR25" s="6">
        <f>COUNTIF(PArticipationFevrier1[[#This Row],[1]:[30]],Code9)</f>
        <v>0</v>
      </c>
      <c r="AS25" s="6">
        <f>COUNTIF(PArticipationFevrier1[[#This Row],[1]:[30]],Code10)</f>
        <v>0</v>
      </c>
      <c r="AT25" s="6">
        <f>COUNTIF(PArticipationFevrier1[[#This Row],[1]:[30]],Code11)</f>
        <v>0</v>
      </c>
      <c r="AU25" s="6">
        <f>COUNTIF(PArticipationFevrier1[[#This Row],[1]:[30]],Code12)</f>
        <v>0</v>
      </c>
      <c r="AV25" s="6">
        <f>COUNTIF(PArticipationFevrier1[[#This Row],[1]:[30]],Code13)</f>
        <v>0</v>
      </c>
      <c r="AW25" s="6">
        <f>COUNTIF(PArticipationFevrier1[[#This Row],[1]:[30]],Code14)</f>
        <v>0</v>
      </c>
      <c r="AX25" s="6">
        <f>COUNTIF(PArticipationFevrier1[[#This Row],[1]:[30]],Code15)</f>
        <v>0</v>
      </c>
      <c r="AY25" s="6">
        <f>COUNTIF(PArticipationFevrier1[[#This Row],[1]:[30]],Code16)</f>
        <v>0</v>
      </c>
      <c r="AZ25" s="6">
        <f>COUNTIF(PArticipationFevrier1[[#This Row],[1]:[30]],Code17)</f>
        <v>0</v>
      </c>
      <c r="BA25" s="6">
        <f>COUNTIF(PArticipationFevrier1[[#This Row],[1]:[30]],Code26)</f>
        <v>0</v>
      </c>
      <c r="BB25" s="6">
        <f>COUNTIF(PArticipationFevrier1[[#This Row],[1]:[30]],Code25)</f>
        <v>0</v>
      </c>
      <c r="BC25" s="6">
        <f>COUNTIF(PArticipationFevrier1[[#This Row],[1]:[30]],Code27)</f>
        <v>0</v>
      </c>
      <c r="BD25" s="6">
        <f>COUNTIF(PArticipationFevrier1[[#This Row],[1]:[30]],Code28)</f>
        <v>0</v>
      </c>
      <c r="BE25" s="6">
        <f>COUNTIF(PArticipationFevrier1[[#This Row],[1]:[30]],code30)</f>
        <v>0</v>
      </c>
      <c r="BF25" s="6">
        <f>COUNTIF(PArticipationFevrier1[[#This Row],[1]:[30]],Code31)</f>
        <v>0</v>
      </c>
      <c r="BG25" s="6">
        <f>COUNTIF(PArticipationFevrier1[[#This Row],[1]:[30]],code21)</f>
        <v>0</v>
      </c>
      <c r="BH25" s="6">
        <f>COUNTIF(PArticipationFevrier1[[#This Row],[1]:[30]],Code24)</f>
        <v>0</v>
      </c>
      <c r="BI25" s="6">
        <f>COUNTIF(PArticipationFevrier1[[#This Row],[1]:[30]],code18)</f>
        <v>0</v>
      </c>
      <c r="BJ25" s="6">
        <f>COUNTIF(PArticipationFevrier1[[#This Row],[1]:[30]],code19)</f>
        <v>0</v>
      </c>
      <c r="BK25" s="6">
        <f>COUNTIF(PArticipationFevrier1[[#This Row],[1]:[30]],code20)</f>
        <v>0</v>
      </c>
      <c r="BL25" s="182">
        <f>COUNTIF(PArticipationFevrier1[[#This Row],[1]:[30]],code29)</f>
        <v>0</v>
      </c>
      <c r="BM25" s="297"/>
      <c r="BN25" s="297"/>
      <c r="BO25" s="297"/>
      <c r="BP25" s="297"/>
      <c r="BQ25" s="297"/>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97"/>
      <c r="CN25" s="297"/>
      <c r="CO25" s="297"/>
      <c r="CP25" s="297"/>
      <c r="CQ25" s="297"/>
      <c r="CR25" s="297"/>
      <c r="CS25" s="307"/>
      <c r="CT25" s="307"/>
      <c r="CU25" s="300"/>
      <c r="CV25" s="502">
        <f t="shared" si="0"/>
        <v>0</v>
      </c>
      <c r="CW25" s="502">
        <f t="shared" si="1"/>
        <v>0</v>
      </c>
      <c r="CX25" s="178">
        <f t="shared" si="2"/>
        <v>0</v>
      </c>
      <c r="CY25" s="157">
        <f t="shared" si="3"/>
        <v>0</v>
      </c>
    </row>
    <row r="26" spans="1:103">
      <c r="A26" s="510" t="s">
        <v>367</v>
      </c>
      <c r="B26" s="162" t="str">
        <f>IFERROR(VLOOKUP(PArticipationFevrier1[[#This Row],[Référence]],ListeÉtudiants1[],18,FALSE),"")</f>
        <v>BASTARDIE JULIEN</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44"/>
      <c r="AH26" s="6">
        <f>COUNTIF(PArticipationFevrier1[[#This Row],[1]:[30]],Code1)</f>
        <v>0</v>
      </c>
      <c r="AI26" s="6">
        <f>COUNTIF(PArticipationFevrier1[[#This Row],[1]:[30]],code22)</f>
        <v>0</v>
      </c>
      <c r="AJ26" s="6">
        <f>COUNTIF(PArticipationFevrier1[[#This Row],[1]:[30]],Code2)</f>
        <v>0</v>
      </c>
      <c r="AK26" s="6">
        <f>COUNTIF(PArticipationFevrier1[[#This Row],[1]:[30]],Code3)</f>
        <v>0</v>
      </c>
      <c r="AL26" s="6">
        <f>COUNTIF(PArticipationFevrier1[[#This Row],[1]:[30]],Code4)</f>
        <v>0</v>
      </c>
      <c r="AM26" s="6">
        <f>COUNTIF(PArticipationFevrier1[[#This Row],[1]:[30]],Code5)</f>
        <v>0</v>
      </c>
      <c r="AN26" s="6"/>
      <c r="AO26" s="6">
        <f>COUNTIF(PArticipationFevrier1[[#This Row],[1]:[30]],Code6)</f>
        <v>0</v>
      </c>
      <c r="AP26" s="6">
        <f>COUNTIF(PArticipationFevrier1[[#This Row],[1]:[30]],Code7)</f>
        <v>0</v>
      </c>
      <c r="AQ26" s="6">
        <f>COUNTIF(PArticipationFevrier1[[#This Row],[1]:[30]],Code8)</f>
        <v>0</v>
      </c>
      <c r="AR26" s="6">
        <f>COUNTIF(PArticipationFevrier1[[#This Row],[1]:[30]],Code9)</f>
        <v>0</v>
      </c>
      <c r="AS26" s="6">
        <f>COUNTIF(PArticipationFevrier1[[#This Row],[1]:[30]],Code10)</f>
        <v>0</v>
      </c>
      <c r="AT26" s="6">
        <f>COUNTIF(PArticipationFevrier1[[#This Row],[1]:[30]],Code11)</f>
        <v>0</v>
      </c>
      <c r="AU26" s="6">
        <f>COUNTIF(PArticipationFevrier1[[#This Row],[1]:[30]],Code12)</f>
        <v>0</v>
      </c>
      <c r="AV26" s="6">
        <f>COUNTIF(PArticipationFevrier1[[#This Row],[1]:[30]],Code13)</f>
        <v>0</v>
      </c>
      <c r="AW26" s="6">
        <f>COUNTIF(PArticipationFevrier1[[#This Row],[1]:[30]],Code14)</f>
        <v>0</v>
      </c>
      <c r="AX26" s="6">
        <f>COUNTIF(PArticipationFevrier1[[#This Row],[1]:[30]],Code15)</f>
        <v>0</v>
      </c>
      <c r="AY26" s="6">
        <f>COUNTIF(PArticipationFevrier1[[#This Row],[1]:[30]],Code16)</f>
        <v>0</v>
      </c>
      <c r="AZ26" s="6">
        <f>COUNTIF(PArticipationFevrier1[[#This Row],[1]:[30]],Code17)</f>
        <v>0</v>
      </c>
      <c r="BA26" s="6">
        <f>COUNTIF(PArticipationFevrier1[[#This Row],[1]:[30]],Code26)</f>
        <v>0</v>
      </c>
      <c r="BB26" s="6">
        <f>COUNTIF(PArticipationFevrier1[[#This Row],[1]:[30]],Code25)</f>
        <v>0</v>
      </c>
      <c r="BC26" s="6">
        <f>COUNTIF(PArticipationFevrier1[[#This Row],[1]:[30]],Code27)</f>
        <v>0</v>
      </c>
      <c r="BD26" s="6">
        <f>COUNTIF(PArticipationFevrier1[[#This Row],[1]:[30]],Code28)</f>
        <v>0</v>
      </c>
      <c r="BE26" s="6">
        <f>COUNTIF(PArticipationFevrier1[[#This Row],[1]:[30]],code30)</f>
        <v>0</v>
      </c>
      <c r="BF26" s="6">
        <f>COUNTIF(PArticipationFevrier1[[#This Row],[1]:[30]],Code31)</f>
        <v>0</v>
      </c>
      <c r="BG26" s="6">
        <f>COUNTIF(PArticipationFevrier1[[#This Row],[1]:[30]],code21)</f>
        <v>0</v>
      </c>
      <c r="BH26" s="6">
        <f>COUNTIF(PArticipationFevrier1[[#This Row],[1]:[30]],Code24)</f>
        <v>0</v>
      </c>
      <c r="BI26" s="6">
        <f>COUNTIF(PArticipationFevrier1[[#This Row],[1]:[30]],code18)</f>
        <v>0</v>
      </c>
      <c r="BJ26" s="6">
        <f>COUNTIF(PArticipationFevrier1[[#This Row],[1]:[30]],code19)</f>
        <v>0</v>
      </c>
      <c r="BK26" s="6">
        <f>COUNTIF(PArticipationFevrier1[[#This Row],[1]:[30]],code20)</f>
        <v>0</v>
      </c>
      <c r="BL26" s="182">
        <f>COUNTIF(PArticipationFevrier1[[#This Row],[1]:[30]],code29)</f>
        <v>0</v>
      </c>
      <c r="BM26" s="297"/>
      <c r="BN26" s="297"/>
      <c r="BO26" s="297"/>
      <c r="BP26" s="297"/>
      <c r="BQ26" s="297"/>
      <c r="BR26" s="297"/>
      <c r="BS26" s="297"/>
      <c r="BT26" s="297"/>
      <c r="BU26" s="297"/>
      <c r="BV26" s="297"/>
      <c r="BW26" s="297"/>
      <c r="BX26" s="297"/>
      <c r="BY26" s="297"/>
      <c r="BZ26" s="297"/>
      <c r="CA26" s="297"/>
      <c r="CB26" s="297"/>
      <c r="CC26" s="297"/>
      <c r="CD26" s="297"/>
      <c r="CE26" s="297"/>
      <c r="CF26" s="297"/>
      <c r="CG26" s="297"/>
      <c r="CH26" s="297"/>
      <c r="CI26" s="297"/>
      <c r="CJ26" s="297"/>
      <c r="CK26" s="297"/>
      <c r="CL26" s="297"/>
      <c r="CM26" s="297"/>
      <c r="CN26" s="297"/>
      <c r="CO26" s="297"/>
      <c r="CP26" s="297"/>
      <c r="CQ26" s="297"/>
      <c r="CR26" s="297"/>
      <c r="CS26" s="307"/>
      <c r="CT26" s="307"/>
      <c r="CU26" s="300"/>
      <c r="CV26" s="502">
        <f t="shared" si="0"/>
        <v>0</v>
      </c>
      <c r="CW26" s="502">
        <f t="shared" si="1"/>
        <v>0</v>
      </c>
      <c r="CX26" s="178">
        <f t="shared" si="2"/>
        <v>0</v>
      </c>
      <c r="CY26" s="157">
        <f t="shared" si="3"/>
        <v>0</v>
      </c>
    </row>
    <row r="27" spans="1:103">
      <c r="A27" s="510" t="s">
        <v>368</v>
      </c>
      <c r="B27" s="162" t="str">
        <f>IFERROR(VLOOKUP(PArticipationFevrier1[[#This Row],[Référence]],ListeÉtudiants1[],18,FALSE),"")</f>
        <v>BAUDET M0RGANE</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44"/>
      <c r="AH27" s="6">
        <f>COUNTIF(PArticipationFevrier1[[#This Row],[1]:[30]],Code1)</f>
        <v>0</v>
      </c>
      <c r="AI27" s="6">
        <f>COUNTIF(PArticipationFevrier1[[#This Row],[1]:[30]],code22)</f>
        <v>0</v>
      </c>
      <c r="AJ27" s="6">
        <f>COUNTIF(PArticipationFevrier1[[#This Row],[1]:[30]],Code2)</f>
        <v>0</v>
      </c>
      <c r="AK27" s="6">
        <f>COUNTIF(PArticipationFevrier1[[#This Row],[1]:[30]],Code3)</f>
        <v>0</v>
      </c>
      <c r="AL27" s="6">
        <f>COUNTIF(PArticipationFevrier1[[#This Row],[1]:[30]],Code4)</f>
        <v>0</v>
      </c>
      <c r="AM27" s="6">
        <f>COUNTIF(PArticipationFevrier1[[#This Row],[1]:[30]],Code5)</f>
        <v>0</v>
      </c>
      <c r="AN27" s="6"/>
      <c r="AO27" s="6">
        <f>COUNTIF(PArticipationFevrier1[[#This Row],[1]:[30]],Code6)</f>
        <v>0</v>
      </c>
      <c r="AP27" s="6">
        <f>COUNTIF(PArticipationFevrier1[[#This Row],[1]:[30]],Code7)</f>
        <v>0</v>
      </c>
      <c r="AQ27" s="6">
        <f>COUNTIF(PArticipationFevrier1[[#This Row],[1]:[30]],Code8)</f>
        <v>0</v>
      </c>
      <c r="AR27" s="6">
        <f>COUNTIF(PArticipationFevrier1[[#This Row],[1]:[30]],Code9)</f>
        <v>0</v>
      </c>
      <c r="AS27" s="6">
        <f>COUNTIF(PArticipationFevrier1[[#This Row],[1]:[30]],Code10)</f>
        <v>0</v>
      </c>
      <c r="AT27" s="6">
        <f>COUNTIF(PArticipationFevrier1[[#This Row],[1]:[30]],Code11)</f>
        <v>0</v>
      </c>
      <c r="AU27" s="6">
        <f>COUNTIF(PArticipationFevrier1[[#This Row],[1]:[30]],Code12)</f>
        <v>0</v>
      </c>
      <c r="AV27" s="6">
        <f>COUNTIF(PArticipationFevrier1[[#This Row],[1]:[30]],Code13)</f>
        <v>0</v>
      </c>
      <c r="AW27" s="6">
        <f>COUNTIF(PArticipationFevrier1[[#This Row],[1]:[30]],Code14)</f>
        <v>0</v>
      </c>
      <c r="AX27" s="6">
        <f>COUNTIF(PArticipationFevrier1[[#This Row],[1]:[30]],Code15)</f>
        <v>0</v>
      </c>
      <c r="AY27" s="6">
        <f>COUNTIF(PArticipationFevrier1[[#This Row],[1]:[30]],Code16)</f>
        <v>0</v>
      </c>
      <c r="AZ27" s="6">
        <f>COUNTIF(PArticipationFevrier1[[#This Row],[1]:[30]],Code17)</f>
        <v>0</v>
      </c>
      <c r="BA27" s="6">
        <f>COUNTIF(PArticipationFevrier1[[#This Row],[1]:[30]],Code26)</f>
        <v>0</v>
      </c>
      <c r="BB27" s="6">
        <f>COUNTIF(PArticipationFevrier1[[#This Row],[1]:[30]],Code25)</f>
        <v>0</v>
      </c>
      <c r="BC27" s="6">
        <f>COUNTIF(PArticipationFevrier1[[#This Row],[1]:[30]],Code27)</f>
        <v>0</v>
      </c>
      <c r="BD27" s="6">
        <f>COUNTIF(PArticipationFevrier1[[#This Row],[1]:[30]],Code28)</f>
        <v>0</v>
      </c>
      <c r="BE27" s="6">
        <f>COUNTIF(PArticipationFevrier1[[#This Row],[1]:[30]],code30)</f>
        <v>0</v>
      </c>
      <c r="BF27" s="6">
        <f>COUNTIF(PArticipationFevrier1[[#This Row],[1]:[30]],Code31)</f>
        <v>0</v>
      </c>
      <c r="BG27" s="6">
        <f>COUNTIF(PArticipationFevrier1[[#This Row],[1]:[30]],code21)</f>
        <v>0</v>
      </c>
      <c r="BH27" s="6">
        <f>COUNTIF(PArticipationFevrier1[[#This Row],[1]:[30]],Code24)</f>
        <v>0</v>
      </c>
      <c r="BI27" s="6">
        <f>COUNTIF(PArticipationFevrier1[[#This Row],[1]:[30]],code18)</f>
        <v>0</v>
      </c>
      <c r="BJ27" s="6">
        <f>COUNTIF(PArticipationFevrier1[[#This Row],[1]:[30]],code19)</f>
        <v>0</v>
      </c>
      <c r="BK27" s="6">
        <f>COUNTIF(PArticipationFevrier1[[#This Row],[1]:[30]],code20)</f>
        <v>0</v>
      </c>
      <c r="BL27" s="182">
        <f>COUNTIF(PArticipationFevrier1[[#This Row],[1]:[30]],code29)</f>
        <v>0</v>
      </c>
      <c r="BM27" s="297"/>
      <c r="BN27" s="297"/>
      <c r="BO27" s="297"/>
      <c r="BP27" s="297"/>
      <c r="BQ27" s="297"/>
      <c r="BR27" s="297"/>
      <c r="BS27" s="297"/>
      <c r="BT27" s="297"/>
      <c r="BU27" s="297"/>
      <c r="BV27" s="297"/>
      <c r="BW27" s="297"/>
      <c r="BX27" s="297"/>
      <c r="BY27" s="297"/>
      <c r="BZ27" s="297"/>
      <c r="CA27" s="297"/>
      <c r="CB27" s="297"/>
      <c r="CC27" s="297"/>
      <c r="CD27" s="297"/>
      <c r="CE27" s="297"/>
      <c r="CF27" s="297"/>
      <c r="CG27" s="297"/>
      <c r="CH27" s="297"/>
      <c r="CI27" s="297"/>
      <c r="CJ27" s="297"/>
      <c r="CK27" s="297"/>
      <c r="CL27" s="297"/>
      <c r="CM27" s="297"/>
      <c r="CN27" s="297"/>
      <c r="CO27" s="297"/>
      <c r="CP27" s="297"/>
      <c r="CQ27" s="297"/>
      <c r="CR27" s="297"/>
      <c r="CS27" s="307"/>
      <c r="CT27" s="307"/>
      <c r="CU27" s="300"/>
      <c r="CV27" s="502">
        <f t="shared" si="0"/>
        <v>0</v>
      </c>
      <c r="CW27" s="502">
        <f t="shared" si="1"/>
        <v>0</v>
      </c>
      <c r="CX27" s="178">
        <f t="shared" si="2"/>
        <v>0</v>
      </c>
      <c r="CY27" s="157">
        <f t="shared" si="3"/>
        <v>0</v>
      </c>
    </row>
    <row r="28" spans="1:103">
      <c r="A28" s="510" t="s">
        <v>369</v>
      </c>
      <c r="B28" s="162" t="str">
        <f>IFERROR(VLOOKUP(PArticipationFevrier1[[#This Row],[Référence]],ListeÉtudiants1[],18,FALSE),"")</f>
        <v>BENOIST SANDY</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44"/>
      <c r="AH28" s="6">
        <f>COUNTIF(PArticipationFevrier1[[#This Row],[1]:[30]],Code1)</f>
        <v>0</v>
      </c>
      <c r="AI28" s="6">
        <f>COUNTIF(PArticipationFevrier1[[#This Row],[1]:[30]],code22)</f>
        <v>0</v>
      </c>
      <c r="AJ28" s="6">
        <f>COUNTIF(PArticipationFevrier1[[#This Row],[1]:[30]],Code2)</f>
        <v>0</v>
      </c>
      <c r="AK28" s="6">
        <f>COUNTIF(PArticipationFevrier1[[#This Row],[1]:[30]],Code3)</f>
        <v>0</v>
      </c>
      <c r="AL28" s="6">
        <f>COUNTIF(PArticipationFevrier1[[#This Row],[1]:[30]],Code4)</f>
        <v>0</v>
      </c>
      <c r="AM28" s="6">
        <f>COUNTIF(PArticipationFevrier1[[#This Row],[1]:[30]],Code5)</f>
        <v>0</v>
      </c>
      <c r="AN28" s="6"/>
      <c r="AO28" s="6">
        <f>COUNTIF(PArticipationFevrier1[[#This Row],[1]:[30]],Code6)</f>
        <v>0</v>
      </c>
      <c r="AP28" s="6">
        <f>COUNTIF(PArticipationFevrier1[[#This Row],[1]:[30]],Code7)</f>
        <v>0</v>
      </c>
      <c r="AQ28" s="6">
        <f>COUNTIF(PArticipationFevrier1[[#This Row],[1]:[30]],Code8)</f>
        <v>0</v>
      </c>
      <c r="AR28" s="6">
        <f>COUNTIF(PArticipationFevrier1[[#This Row],[1]:[30]],Code9)</f>
        <v>0</v>
      </c>
      <c r="AS28" s="6">
        <f>COUNTIF(PArticipationFevrier1[[#This Row],[1]:[30]],Code10)</f>
        <v>0</v>
      </c>
      <c r="AT28" s="6">
        <f>COUNTIF(PArticipationFevrier1[[#This Row],[1]:[30]],Code11)</f>
        <v>0</v>
      </c>
      <c r="AU28" s="6">
        <f>COUNTIF(PArticipationFevrier1[[#This Row],[1]:[30]],Code12)</f>
        <v>0</v>
      </c>
      <c r="AV28" s="6">
        <f>COUNTIF(PArticipationFevrier1[[#This Row],[1]:[30]],Code13)</f>
        <v>0</v>
      </c>
      <c r="AW28" s="6">
        <f>COUNTIF(PArticipationFevrier1[[#This Row],[1]:[30]],Code14)</f>
        <v>0</v>
      </c>
      <c r="AX28" s="6">
        <f>COUNTIF(PArticipationFevrier1[[#This Row],[1]:[30]],Code15)</f>
        <v>0</v>
      </c>
      <c r="AY28" s="6">
        <f>COUNTIF(PArticipationFevrier1[[#This Row],[1]:[30]],Code16)</f>
        <v>0</v>
      </c>
      <c r="AZ28" s="6">
        <f>COUNTIF(PArticipationFevrier1[[#This Row],[1]:[30]],Code17)</f>
        <v>0</v>
      </c>
      <c r="BA28" s="6">
        <f>COUNTIF(PArticipationFevrier1[[#This Row],[1]:[30]],Code26)</f>
        <v>0</v>
      </c>
      <c r="BB28" s="6">
        <f>COUNTIF(PArticipationFevrier1[[#This Row],[1]:[30]],Code25)</f>
        <v>0</v>
      </c>
      <c r="BC28" s="6">
        <f>COUNTIF(PArticipationFevrier1[[#This Row],[1]:[30]],Code27)</f>
        <v>0</v>
      </c>
      <c r="BD28" s="6">
        <f>COUNTIF(PArticipationFevrier1[[#This Row],[1]:[30]],Code28)</f>
        <v>0</v>
      </c>
      <c r="BE28" s="6">
        <f>COUNTIF(PArticipationFevrier1[[#This Row],[1]:[30]],code30)</f>
        <v>0</v>
      </c>
      <c r="BF28" s="6">
        <f>COUNTIF(PArticipationFevrier1[[#This Row],[1]:[30]],Code31)</f>
        <v>0</v>
      </c>
      <c r="BG28" s="6">
        <f>COUNTIF(PArticipationFevrier1[[#This Row],[1]:[30]],code21)</f>
        <v>0</v>
      </c>
      <c r="BH28" s="6">
        <f>COUNTIF(PArticipationFevrier1[[#This Row],[1]:[30]],Code24)</f>
        <v>0</v>
      </c>
      <c r="BI28" s="6">
        <f>COUNTIF(PArticipationFevrier1[[#This Row],[1]:[30]],code18)</f>
        <v>0</v>
      </c>
      <c r="BJ28" s="6">
        <f>COUNTIF(PArticipationFevrier1[[#This Row],[1]:[30]],code19)</f>
        <v>0</v>
      </c>
      <c r="BK28" s="6">
        <f>COUNTIF(PArticipationFevrier1[[#This Row],[1]:[30]],code20)</f>
        <v>0</v>
      </c>
      <c r="BL28" s="182">
        <f>COUNTIF(PArticipationFevrier1[[#This Row],[1]:[30]],code29)</f>
        <v>0</v>
      </c>
      <c r="BM28" s="297"/>
      <c r="BN28" s="297"/>
      <c r="BO28" s="297"/>
      <c r="BP28" s="297"/>
      <c r="BQ28" s="297"/>
      <c r="BR28" s="297"/>
      <c r="BS28" s="297"/>
      <c r="BT28" s="297"/>
      <c r="BU28" s="297"/>
      <c r="BV28" s="297"/>
      <c r="BW28" s="297"/>
      <c r="BX28" s="297"/>
      <c r="BY28" s="297"/>
      <c r="BZ28" s="297"/>
      <c r="CA28" s="297"/>
      <c r="CB28" s="297"/>
      <c r="CC28" s="297"/>
      <c r="CD28" s="297"/>
      <c r="CE28" s="297"/>
      <c r="CF28" s="297"/>
      <c r="CG28" s="297"/>
      <c r="CH28" s="297"/>
      <c r="CI28" s="297"/>
      <c r="CJ28" s="297"/>
      <c r="CK28" s="297"/>
      <c r="CL28" s="297"/>
      <c r="CM28" s="297"/>
      <c r="CN28" s="297"/>
      <c r="CO28" s="297"/>
      <c r="CP28" s="297"/>
      <c r="CQ28" s="297"/>
      <c r="CR28" s="297"/>
      <c r="CS28" s="307"/>
      <c r="CT28" s="307"/>
      <c r="CU28" s="300"/>
      <c r="CV28" s="502">
        <f t="shared" si="0"/>
        <v>0</v>
      </c>
      <c r="CW28" s="502">
        <f t="shared" si="1"/>
        <v>0</v>
      </c>
      <c r="CX28" s="178">
        <f t="shared" si="2"/>
        <v>0</v>
      </c>
      <c r="CY28" s="157">
        <f t="shared" si="3"/>
        <v>0</v>
      </c>
    </row>
    <row r="29" spans="1:103">
      <c r="A29" s="534" t="s">
        <v>370</v>
      </c>
      <c r="B29" s="162" t="str">
        <f>IFERROR(VLOOKUP(PArticipationFevrier1[[#This Row],[Référence]],ListeÉtudiants1[],18,FALSE),"")</f>
        <v>BENOUARETH NAWEL</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44"/>
      <c r="AH29" s="6">
        <f>COUNTIF(PArticipationFevrier1[[#This Row],[1]:[30]],Code1)</f>
        <v>0</v>
      </c>
      <c r="AI29" s="6">
        <f>COUNTIF(PArticipationFevrier1[[#This Row],[1]:[30]],code22)</f>
        <v>0</v>
      </c>
      <c r="AJ29" s="6">
        <f>COUNTIF(PArticipationFevrier1[[#This Row],[1]:[30]],Code2)</f>
        <v>0</v>
      </c>
      <c r="AK29" s="6">
        <f>COUNTIF(PArticipationFevrier1[[#This Row],[1]:[30]],Code3)</f>
        <v>0</v>
      </c>
      <c r="AL29" s="6">
        <f>COUNTIF(PArticipationFevrier1[[#This Row],[1]:[30]],Code4)</f>
        <v>0</v>
      </c>
      <c r="AM29" s="6">
        <f>COUNTIF(PArticipationFevrier1[[#This Row],[1]:[30]],Code5)</f>
        <v>0</v>
      </c>
      <c r="AN29" s="6"/>
      <c r="AO29" s="6">
        <f>COUNTIF(PArticipationFevrier1[[#This Row],[1]:[30]],Code6)</f>
        <v>0</v>
      </c>
      <c r="AP29" s="6">
        <f>COUNTIF(PArticipationFevrier1[[#This Row],[1]:[30]],Code7)</f>
        <v>0</v>
      </c>
      <c r="AQ29" s="6">
        <f>COUNTIF(PArticipationFevrier1[[#This Row],[1]:[30]],Code8)</f>
        <v>0</v>
      </c>
      <c r="AR29" s="6">
        <f>COUNTIF(PArticipationFevrier1[[#This Row],[1]:[30]],Code9)</f>
        <v>0</v>
      </c>
      <c r="AS29" s="6">
        <f>COUNTIF(PArticipationFevrier1[[#This Row],[1]:[30]],Code10)</f>
        <v>0</v>
      </c>
      <c r="AT29" s="6">
        <f>COUNTIF(PArticipationFevrier1[[#This Row],[1]:[30]],Code11)</f>
        <v>0</v>
      </c>
      <c r="AU29" s="6">
        <f>COUNTIF(PArticipationFevrier1[[#This Row],[1]:[30]],Code12)</f>
        <v>0</v>
      </c>
      <c r="AV29" s="6">
        <f>COUNTIF(PArticipationFevrier1[[#This Row],[1]:[30]],Code13)</f>
        <v>0</v>
      </c>
      <c r="AW29" s="6">
        <f>COUNTIF(PArticipationFevrier1[[#This Row],[1]:[30]],Code14)</f>
        <v>0</v>
      </c>
      <c r="AX29" s="6">
        <f>COUNTIF(PArticipationFevrier1[[#This Row],[1]:[30]],Code15)</f>
        <v>0</v>
      </c>
      <c r="AY29" s="6">
        <f>COUNTIF(PArticipationFevrier1[[#This Row],[1]:[30]],Code16)</f>
        <v>0</v>
      </c>
      <c r="AZ29" s="6">
        <f>COUNTIF(PArticipationFevrier1[[#This Row],[1]:[30]],Code17)</f>
        <v>0</v>
      </c>
      <c r="BA29" s="6">
        <f>COUNTIF(PArticipationFevrier1[[#This Row],[1]:[30]],Code26)</f>
        <v>0</v>
      </c>
      <c r="BB29" s="6">
        <f>COUNTIF(PArticipationFevrier1[[#This Row],[1]:[30]],Code25)</f>
        <v>0</v>
      </c>
      <c r="BC29" s="6">
        <f>COUNTIF(PArticipationFevrier1[[#This Row],[1]:[30]],Code27)</f>
        <v>0</v>
      </c>
      <c r="BD29" s="6">
        <f>COUNTIF(PArticipationFevrier1[[#This Row],[1]:[30]],Code28)</f>
        <v>0</v>
      </c>
      <c r="BE29" s="6">
        <f>COUNTIF(PArticipationFevrier1[[#This Row],[1]:[30]],code30)</f>
        <v>0</v>
      </c>
      <c r="BF29" s="6">
        <f>COUNTIF(PArticipationFevrier1[[#This Row],[1]:[30]],Code31)</f>
        <v>0</v>
      </c>
      <c r="BG29" s="6">
        <f>COUNTIF(PArticipationFevrier1[[#This Row],[1]:[30]],code21)</f>
        <v>0</v>
      </c>
      <c r="BH29" s="6">
        <f>COUNTIF(PArticipationFevrier1[[#This Row],[1]:[30]],Code24)</f>
        <v>0</v>
      </c>
      <c r="BI29" s="6">
        <f>COUNTIF(PArticipationFevrier1[[#This Row],[1]:[30]],code18)</f>
        <v>0</v>
      </c>
      <c r="BJ29" s="6">
        <f>COUNTIF(PArticipationFevrier1[[#This Row],[1]:[30]],code19)</f>
        <v>0</v>
      </c>
      <c r="BK29" s="6">
        <f>COUNTIF(PArticipationFevrier1[[#This Row],[1]:[30]],code20)</f>
        <v>0</v>
      </c>
      <c r="BL29" s="182">
        <f>COUNTIF(PArticipationFevrier1[[#This Row],[1]:[30]],code29)</f>
        <v>0</v>
      </c>
      <c r="BM29" s="297"/>
      <c r="BN29" s="297"/>
      <c r="BO29" s="297"/>
      <c r="BP29" s="297"/>
      <c r="BQ29" s="297"/>
      <c r="BR29" s="297"/>
      <c r="BS29" s="297"/>
      <c r="BT29" s="297"/>
      <c r="BU29" s="297"/>
      <c r="BV29" s="297"/>
      <c r="BW29" s="297"/>
      <c r="BX29" s="297"/>
      <c r="BY29" s="297"/>
      <c r="BZ29" s="297"/>
      <c r="CA29" s="297"/>
      <c r="CB29" s="297"/>
      <c r="CC29" s="297"/>
      <c r="CD29" s="297"/>
      <c r="CE29" s="297"/>
      <c r="CF29" s="297"/>
      <c r="CG29" s="297"/>
      <c r="CH29" s="297"/>
      <c r="CI29" s="297"/>
      <c r="CJ29" s="297"/>
      <c r="CK29" s="297"/>
      <c r="CL29" s="297"/>
      <c r="CM29" s="297"/>
      <c r="CN29" s="297"/>
      <c r="CO29" s="297"/>
      <c r="CP29" s="297"/>
      <c r="CQ29" s="297"/>
      <c r="CR29" s="297"/>
      <c r="CS29" s="307"/>
      <c r="CT29" s="307"/>
      <c r="CU29" s="300"/>
      <c r="CV29" s="502">
        <f t="shared" si="0"/>
        <v>0</v>
      </c>
      <c r="CW29" s="502">
        <f t="shared" si="1"/>
        <v>0</v>
      </c>
      <c r="CX29" s="178">
        <f t="shared" si="2"/>
        <v>0</v>
      </c>
      <c r="CY29" s="157">
        <f t="shared" si="3"/>
        <v>0</v>
      </c>
    </row>
    <row r="30" spans="1:103">
      <c r="A30" s="510" t="s">
        <v>371</v>
      </c>
      <c r="B30" s="162" t="str">
        <f>IFERROR(VLOOKUP(PArticipationFevrier1[[#This Row],[Référence]],ListeÉtudiants1[],18,FALSE),"")</f>
        <v>BERNARD LUDOVIC</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44"/>
      <c r="AH30" s="6">
        <f>COUNTIF(PArticipationFevrier1[[#This Row],[1]:[30]],Code1)</f>
        <v>0</v>
      </c>
      <c r="AI30" s="6">
        <f>COUNTIF(PArticipationFevrier1[[#This Row],[1]:[30]],code22)</f>
        <v>0</v>
      </c>
      <c r="AJ30" s="6">
        <f>COUNTIF(PArticipationFevrier1[[#This Row],[1]:[30]],Code2)</f>
        <v>0</v>
      </c>
      <c r="AK30" s="6">
        <f>COUNTIF(PArticipationFevrier1[[#This Row],[1]:[30]],Code3)</f>
        <v>0</v>
      </c>
      <c r="AL30" s="6">
        <f>COUNTIF(PArticipationFevrier1[[#This Row],[1]:[30]],Code4)</f>
        <v>0</v>
      </c>
      <c r="AM30" s="6">
        <f>COUNTIF(PArticipationFevrier1[[#This Row],[1]:[30]],Code5)</f>
        <v>0</v>
      </c>
      <c r="AN30" s="6"/>
      <c r="AO30" s="6">
        <f>COUNTIF(PArticipationFevrier1[[#This Row],[1]:[30]],Code6)</f>
        <v>0</v>
      </c>
      <c r="AP30" s="6">
        <f>COUNTIF(PArticipationFevrier1[[#This Row],[1]:[30]],Code7)</f>
        <v>0</v>
      </c>
      <c r="AQ30" s="6">
        <f>COUNTIF(PArticipationFevrier1[[#This Row],[1]:[30]],Code8)</f>
        <v>0</v>
      </c>
      <c r="AR30" s="6">
        <f>COUNTIF(PArticipationFevrier1[[#This Row],[1]:[30]],Code9)</f>
        <v>0</v>
      </c>
      <c r="AS30" s="6">
        <f>COUNTIF(PArticipationFevrier1[[#This Row],[1]:[30]],Code10)</f>
        <v>0</v>
      </c>
      <c r="AT30" s="6">
        <f>COUNTIF(PArticipationFevrier1[[#This Row],[1]:[30]],Code11)</f>
        <v>0</v>
      </c>
      <c r="AU30" s="6">
        <f>COUNTIF(PArticipationFevrier1[[#This Row],[1]:[30]],Code12)</f>
        <v>0</v>
      </c>
      <c r="AV30" s="6">
        <f>COUNTIF(PArticipationFevrier1[[#This Row],[1]:[30]],Code13)</f>
        <v>0</v>
      </c>
      <c r="AW30" s="6">
        <f>COUNTIF(PArticipationFevrier1[[#This Row],[1]:[30]],Code14)</f>
        <v>0</v>
      </c>
      <c r="AX30" s="6">
        <f>COUNTIF(PArticipationFevrier1[[#This Row],[1]:[30]],Code15)</f>
        <v>0</v>
      </c>
      <c r="AY30" s="6">
        <f>COUNTIF(PArticipationFevrier1[[#This Row],[1]:[30]],Code16)</f>
        <v>0</v>
      </c>
      <c r="AZ30" s="6">
        <f>COUNTIF(PArticipationFevrier1[[#This Row],[1]:[30]],Code17)</f>
        <v>0</v>
      </c>
      <c r="BA30" s="6">
        <f>COUNTIF(PArticipationFevrier1[[#This Row],[1]:[30]],Code26)</f>
        <v>0</v>
      </c>
      <c r="BB30" s="6">
        <f>COUNTIF(PArticipationFevrier1[[#This Row],[1]:[30]],Code25)</f>
        <v>0</v>
      </c>
      <c r="BC30" s="6">
        <f>COUNTIF(PArticipationFevrier1[[#This Row],[1]:[30]],Code27)</f>
        <v>0</v>
      </c>
      <c r="BD30" s="6">
        <f>COUNTIF(PArticipationFevrier1[[#This Row],[1]:[30]],Code28)</f>
        <v>0</v>
      </c>
      <c r="BE30" s="6">
        <f>COUNTIF(PArticipationFevrier1[[#This Row],[1]:[30]],code30)</f>
        <v>0</v>
      </c>
      <c r="BF30" s="6">
        <f>COUNTIF(PArticipationFevrier1[[#This Row],[1]:[30]],Code31)</f>
        <v>0</v>
      </c>
      <c r="BG30" s="6">
        <f>COUNTIF(PArticipationFevrier1[[#This Row],[1]:[30]],code21)</f>
        <v>0</v>
      </c>
      <c r="BH30" s="6">
        <f>COUNTIF(PArticipationFevrier1[[#This Row],[1]:[30]],Code24)</f>
        <v>0</v>
      </c>
      <c r="BI30" s="6">
        <f>COUNTIF(PArticipationFevrier1[[#This Row],[1]:[30]],code18)</f>
        <v>0</v>
      </c>
      <c r="BJ30" s="6">
        <f>COUNTIF(PArticipationFevrier1[[#This Row],[1]:[30]],code19)</f>
        <v>0</v>
      </c>
      <c r="BK30" s="6">
        <f>COUNTIF(PArticipationFevrier1[[#This Row],[1]:[30]],code20)</f>
        <v>0</v>
      </c>
      <c r="BL30" s="182">
        <f>COUNTIF(PArticipationFevrier1[[#This Row],[1]:[30]],code29)</f>
        <v>0</v>
      </c>
      <c r="BM30" s="297"/>
      <c r="BN30" s="297"/>
      <c r="BO30" s="297"/>
      <c r="BP30" s="297"/>
      <c r="BQ30" s="297"/>
      <c r="BR30" s="297"/>
      <c r="BS30" s="297"/>
      <c r="BT30" s="297"/>
      <c r="BU30" s="297"/>
      <c r="BV30" s="297"/>
      <c r="BW30" s="297"/>
      <c r="BX30" s="297"/>
      <c r="BY30" s="297"/>
      <c r="BZ30" s="297"/>
      <c r="CA30" s="297"/>
      <c r="CB30" s="297"/>
      <c r="CC30" s="297"/>
      <c r="CD30" s="297"/>
      <c r="CE30" s="297"/>
      <c r="CF30" s="297"/>
      <c r="CG30" s="297"/>
      <c r="CH30" s="297"/>
      <c r="CI30" s="297"/>
      <c r="CJ30" s="297"/>
      <c r="CK30" s="297"/>
      <c r="CL30" s="297"/>
      <c r="CM30" s="297"/>
      <c r="CN30" s="297"/>
      <c r="CO30" s="297"/>
      <c r="CP30" s="297"/>
      <c r="CQ30" s="297"/>
      <c r="CR30" s="297"/>
      <c r="CS30" s="307"/>
      <c r="CT30" s="307"/>
      <c r="CU30" s="300"/>
      <c r="CV30" s="502">
        <f t="shared" si="0"/>
        <v>0</v>
      </c>
      <c r="CW30" s="502">
        <f t="shared" si="1"/>
        <v>0</v>
      </c>
      <c r="CX30" s="178">
        <f t="shared" si="2"/>
        <v>0</v>
      </c>
      <c r="CY30" s="157">
        <f t="shared" ref="CY30:CY93" si="4">SUM((BI30*7)+(BJ30*10)+(BK30*12))</f>
        <v>0</v>
      </c>
    </row>
    <row r="31" spans="1:103">
      <c r="A31" s="534" t="s">
        <v>372</v>
      </c>
      <c r="B31" s="162" t="str">
        <f>IFERROR(VLOOKUP(PArticipationFevrier1[[#This Row],[Référence]],ListeÉtudiants1[],18,FALSE),"")</f>
        <v>BESTEL AGATHE</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44"/>
      <c r="AH31" s="6">
        <f>COUNTIF(PArticipationFevrier1[[#This Row],[1]:[30]],Code1)</f>
        <v>0</v>
      </c>
      <c r="AI31" s="6">
        <f>COUNTIF(PArticipationFevrier1[[#This Row],[1]:[30]],code22)</f>
        <v>0</v>
      </c>
      <c r="AJ31" s="6">
        <f>COUNTIF(PArticipationFevrier1[[#This Row],[1]:[30]],Code2)</f>
        <v>0</v>
      </c>
      <c r="AK31" s="6">
        <f>COUNTIF(PArticipationFevrier1[[#This Row],[1]:[30]],Code3)</f>
        <v>0</v>
      </c>
      <c r="AL31" s="6">
        <f>COUNTIF(PArticipationFevrier1[[#This Row],[1]:[30]],Code4)</f>
        <v>0</v>
      </c>
      <c r="AM31" s="6">
        <f>COUNTIF(PArticipationFevrier1[[#This Row],[1]:[30]],Code5)</f>
        <v>0</v>
      </c>
      <c r="AN31" s="6"/>
      <c r="AO31" s="6">
        <f>COUNTIF(PArticipationFevrier1[[#This Row],[1]:[30]],Code6)</f>
        <v>0</v>
      </c>
      <c r="AP31" s="6">
        <f>COUNTIF(PArticipationFevrier1[[#This Row],[1]:[30]],Code7)</f>
        <v>0</v>
      </c>
      <c r="AQ31" s="6">
        <f>COUNTIF(PArticipationFevrier1[[#This Row],[1]:[30]],Code8)</f>
        <v>0</v>
      </c>
      <c r="AR31" s="6">
        <f>COUNTIF(PArticipationFevrier1[[#This Row],[1]:[30]],Code9)</f>
        <v>0</v>
      </c>
      <c r="AS31" s="6">
        <f>COUNTIF(PArticipationFevrier1[[#This Row],[1]:[30]],Code10)</f>
        <v>0</v>
      </c>
      <c r="AT31" s="6">
        <f>COUNTIF(PArticipationFevrier1[[#This Row],[1]:[30]],Code11)</f>
        <v>0</v>
      </c>
      <c r="AU31" s="6">
        <f>COUNTIF(PArticipationFevrier1[[#This Row],[1]:[30]],Code12)</f>
        <v>0</v>
      </c>
      <c r="AV31" s="6">
        <f>COUNTIF(PArticipationFevrier1[[#This Row],[1]:[30]],Code13)</f>
        <v>0</v>
      </c>
      <c r="AW31" s="6">
        <f>COUNTIF(PArticipationFevrier1[[#This Row],[1]:[30]],Code14)</f>
        <v>0</v>
      </c>
      <c r="AX31" s="6">
        <f>COUNTIF(PArticipationFevrier1[[#This Row],[1]:[30]],Code15)</f>
        <v>0</v>
      </c>
      <c r="AY31" s="6">
        <f>COUNTIF(PArticipationFevrier1[[#This Row],[1]:[30]],Code16)</f>
        <v>0</v>
      </c>
      <c r="AZ31" s="6">
        <f>COUNTIF(PArticipationFevrier1[[#This Row],[1]:[30]],Code17)</f>
        <v>0</v>
      </c>
      <c r="BA31" s="6">
        <f>COUNTIF(PArticipationFevrier1[[#This Row],[1]:[30]],Code26)</f>
        <v>0</v>
      </c>
      <c r="BB31" s="6">
        <f>COUNTIF(PArticipationFevrier1[[#This Row],[1]:[30]],Code25)</f>
        <v>0</v>
      </c>
      <c r="BC31" s="6">
        <f>COUNTIF(PArticipationFevrier1[[#This Row],[1]:[30]],Code27)</f>
        <v>0</v>
      </c>
      <c r="BD31" s="6">
        <f>COUNTIF(PArticipationFevrier1[[#This Row],[1]:[30]],Code28)</f>
        <v>0</v>
      </c>
      <c r="BE31" s="6">
        <f>COUNTIF(PArticipationFevrier1[[#This Row],[1]:[30]],code30)</f>
        <v>0</v>
      </c>
      <c r="BF31" s="6">
        <f>COUNTIF(PArticipationFevrier1[[#This Row],[1]:[30]],Code31)</f>
        <v>0</v>
      </c>
      <c r="BG31" s="6">
        <f>COUNTIF(PArticipationFevrier1[[#This Row],[1]:[30]],code21)</f>
        <v>0</v>
      </c>
      <c r="BH31" s="6">
        <f>COUNTIF(PArticipationFevrier1[[#This Row],[1]:[30]],Code24)</f>
        <v>0</v>
      </c>
      <c r="BI31" s="6">
        <f>COUNTIF(PArticipationFevrier1[[#This Row],[1]:[30]],code18)</f>
        <v>0</v>
      </c>
      <c r="BJ31" s="6">
        <f>COUNTIF(PArticipationFevrier1[[#This Row],[1]:[30]],code19)</f>
        <v>0</v>
      </c>
      <c r="BK31" s="6">
        <f>COUNTIF(PArticipationFevrier1[[#This Row],[1]:[30]],code20)</f>
        <v>0</v>
      </c>
      <c r="BL31" s="182">
        <f>COUNTIF(PArticipationFevrier1[[#This Row],[1]:[30]],code29)</f>
        <v>0</v>
      </c>
      <c r="BM31" s="297"/>
      <c r="BN31" s="297"/>
      <c r="BO31" s="297"/>
      <c r="BP31" s="297"/>
      <c r="BQ31" s="297"/>
      <c r="BR31" s="297"/>
      <c r="BS31" s="297"/>
      <c r="BT31" s="297"/>
      <c r="BU31" s="297"/>
      <c r="BV31" s="297"/>
      <c r="BW31" s="297"/>
      <c r="BX31" s="297"/>
      <c r="BY31" s="297"/>
      <c r="BZ31" s="297"/>
      <c r="CA31" s="297"/>
      <c r="CB31" s="297"/>
      <c r="CC31" s="297"/>
      <c r="CD31" s="297"/>
      <c r="CE31" s="297"/>
      <c r="CF31" s="297"/>
      <c r="CG31" s="297"/>
      <c r="CH31" s="297"/>
      <c r="CI31" s="297"/>
      <c r="CJ31" s="297"/>
      <c r="CK31" s="297"/>
      <c r="CL31" s="297"/>
      <c r="CM31" s="297"/>
      <c r="CN31" s="297"/>
      <c r="CO31" s="297"/>
      <c r="CP31" s="297"/>
      <c r="CQ31" s="297"/>
      <c r="CR31" s="297"/>
      <c r="CS31" s="307"/>
      <c r="CT31" s="307"/>
      <c r="CU31" s="300"/>
      <c r="CV31" s="502">
        <f t="shared" si="0"/>
        <v>0</v>
      </c>
      <c r="CW31" s="502">
        <f t="shared" si="1"/>
        <v>0</v>
      </c>
      <c r="CX31" s="178">
        <f t="shared" si="2"/>
        <v>0</v>
      </c>
      <c r="CY31" s="157">
        <f t="shared" si="4"/>
        <v>0</v>
      </c>
    </row>
    <row r="32" spans="1:103">
      <c r="A32" s="510" t="s">
        <v>373</v>
      </c>
      <c r="B32" s="162" t="str">
        <f>IFERROR(VLOOKUP(PArticipationFevrier1[[#This Row],[Référence]],ListeÉtudiants1[],18,FALSE),"")</f>
        <v>BLOT  WENDY</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44"/>
      <c r="AH32" s="6">
        <f>COUNTIF(PArticipationFevrier1[[#This Row],[1]:[30]],Code1)</f>
        <v>0</v>
      </c>
      <c r="AI32" s="6">
        <f>COUNTIF(PArticipationFevrier1[[#This Row],[1]:[30]],code22)</f>
        <v>0</v>
      </c>
      <c r="AJ32" s="6">
        <f>COUNTIF(PArticipationFevrier1[[#This Row],[1]:[30]],Code2)</f>
        <v>0</v>
      </c>
      <c r="AK32" s="6">
        <f>COUNTIF(PArticipationFevrier1[[#This Row],[1]:[30]],Code3)</f>
        <v>0</v>
      </c>
      <c r="AL32" s="6">
        <f>COUNTIF(PArticipationFevrier1[[#This Row],[1]:[30]],Code4)</f>
        <v>0</v>
      </c>
      <c r="AM32" s="6">
        <f>COUNTIF(PArticipationFevrier1[[#This Row],[1]:[30]],Code5)</f>
        <v>0</v>
      </c>
      <c r="AN32" s="6"/>
      <c r="AO32" s="6">
        <f>COUNTIF(PArticipationFevrier1[[#This Row],[1]:[30]],Code6)</f>
        <v>0</v>
      </c>
      <c r="AP32" s="6">
        <f>COUNTIF(PArticipationFevrier1[[#This Row],[1]:[30]],Code7)</f>
        <v>0</v>
      </c>
      <c r="AQ32" s="6">
        <f>COUNTIF(PArticipationFevrier1[[#This Row],[1]:[30]],Code8)</f>
        <v>0</v>
      </c>
      <c r="AR32" s="6">
        <f>COUNTIF(PArticipationFevrier1[[#This Row],[1]:[30]],Code9)</f>
        <v>0</v>
      </c>
      <c r="AS32" s="6">
        <f>COUNTIF(PArticipationFevrier1[[#This Row],[1]:[30]],Code10)</f>
        <v>0</v>
      </c>
      <c r="AT32" s="6">
        <f>COUNTIF(PArticipationFevrier1[[#This Row],[1]:[30]],Code11)</f>
        <v>0</v>
      </c>
      <c r="AU32" s="6">
        <f>COUNTIF(PArticipationFevrier1[[#This Row],[1]:[30]],Code12)</f>
        <v>0</v>
      </c>
      <c r="AV32" s="6">
        <f>COUNTIF(PArticipationFevrier1[[#This Row],[1]:[30]],Code13)</f>
        <v>0</v>
      </c>
      <c r="AW32" s="6">
        <f>COUNTIF(PArticipationFevrier1[[#This Row],[1]:[30]],Code14)</f>
        <v>0</v>
      </c>
      <c r="AX32" s="6">
        <f>COUNTIF(PArticipationFevrier1[[#This Row],[1]:[30]],Code15)</f>
        <v>0</v>
      </c>
      <c r="AY32" s="6">
        <f>COUNTIF(PArticipationFevrier1[[#This Row],[1]:[30]],Code16)</f>
        <v>0</v>
      </c>
      <c r="AZ32" s="6">
        <f>COUNTIF(PArticipationFevrier1[[#This Row],[1]:[30]],Code17)</f>
        <v>0</v>
      </c>
      <c r="BA32" s="6">
        <f>COUNTIF(PArticipationFevrier1[[#This Row],[1]:[30]],Code26)</f>
        <v>0</v>
      </c>
      <c r="BB32" s="6">
        <f>COUNTIF(PArticipationFevrier1[[#This Row],[1]:[30]],Code25)</f>
        <v>0</v>
      </c>
      <c r="BC32" s="6">
        <f>COUNTIF(PArticipationFevrier1[[#This Row],[1]:[30]],Code27)</f>
        <v>0</v>
      </c>
      <c r="BD32" s="6">
        <f>COUNTIF(PArticipationFevrier1[[#This Row],[1]:[30]],Code28)</f>
        <v>0</v>
      </c>
      <c r="BE32" s="6">
        <f>COUNTIF(PArticipationFevrier1[[#This Row],[1]:[30]],code30)</f>
        <v>0</v>
      </c>
      <c r="BF32" s="6">
        <f>COUNTIF(PArticipationFevrier1[[#This Row],[1]:[30]],Code31)</f>
        <v>0</v>
      </c>
      <c r="BG32" s="6">
        <f>COUNTIF(PArticipationFevrier1[[#This Row],[1]:[30]],code21)</f>
        <v>0</v>
      </c>
      <c r="BH32" s="6">
        <f>COUNTIF(PArticipationFevrier1[[#This Row],[1]:[30]],Code24)</f>
        <v>0</v>
      </c>
      <c r="BI32" s="6">
        <f>COUNTIF(PArticipationFevrier1[[#This Row],[1]:[30]],code18)</f>
        <v>0</v>
      </c>
      <c r="BJ32" s="6">
        <f>COUNTIF(PArticipationFevrier1[[#This Row],[1]:[30]],code19)</f>
        <v>0</v>
      </c>
      <c r="BK32" s="6">
        <f>COUNTIF(PArticipationFevrier1[[#This Row],[1]:[30]],code20)</f>
        <v>0</v>
      </c>
      <c r="BL32" s="182">
        <f>COUNTIF(PArticipationFevrier1[[#This Row],[1]:[30]],code29)</f>
        <v>0</v>
      </c>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97"/>
      <c r="CO32" s="297"/>
      <c r="CP32" s="297"/>
      <c r="CQ32" s="297"/>
      <c r="CR32" s="297"/>
      <c r="CS32" s="307"/>
      <c r="CT32" s="307"/>
      <c r="CU32" s="300"/>
      <c r="CV32" s="502">
        <f t="shared" si="0"/>
        <v>0</v>
      </c>
      <c r="CW32" s="502">
        <f t="shared" si="1"/>
        <v>0</v>
      </c>
      <c r="CX32" s="178">
        <f t="shared" si="2"/>
        <v>0</v>
      </c>
      <c r="CY32" s="157">
        <f t="shared" si="4"/>
        <v>0</v>
      </c>
    </row>
    <row r="33" spans="1:103">
      <c r="A33" s="510" t="s">
        <v>374</v>
      </c>
      <c r="B33" s="152" t="str">
        <f>IFERROR(VLOOKUP(PArticipationFevrier1[[#This Row],[Référence]],ListeÉtudiants1[],18,FALSE),"")</f>
        <v>BOISSELET CHRISTELLE</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44"/>
      <c r="AH33" s="6">
        <f>COUNTIF(PArticipationFevrier1[[#This Row],[1]:[30]],Code1)</f>
        <v>0</v>
      </c>
      <c r="AI33" s="6">
        <f>COUNTIF(PArticipationFevrier1[[#This Row],[1]:[30]],code22)</f>
        <v>0</v>
      </c>
      <c r="AJ33" s="6">
        <f>COUNTIF(PArticipationFevrier1[[#This Row],[1]:[30]],Code2)</f>
        <v>0</v>
      </c>
      <c r="AK33" s="6">
        <f>COUNTIF(PArticipationFevrier1[[#This Row],[1]:[30]],Code3)</f>
        <v>0</v>
      </c>
      <c r="AL33" s="6">
        <f>COUNTIF(PArticipationFevrier1[[#This Row],[1]:[30]],Code4)</f>
        <v>0</v>
      </c>
      <c r="AM33" s="6">
        <f>COUNTIF(PArticipationFevrier1[[#This Row],[1]:[30]],Code5)</f>
        <v>0</v>
      </c>
      <c r="AN33" s="6"/>
      <c r="AO33" s="6">
        <f>COUNTIF(PArticipationFevrier1[[#This Row],[1]:[30]],Code6)</f>
        <v>0</v>
      </c>
      <c r="AP33" s="6">
        <f>COUNTIF(PArticipationFevrier1[[#This Row],[1]:[30]],Code7)</f>
        <v>0</v>
      </c>
      <c r="AQ33" s="6">
        <f>COUNTIF(PArticipationFevrier1[[#This Row],[1]:[30]],Code8)</f>
        <v>0</v>
      </c>
      <c r="AR33" s="6">
        <f>COUNTIF(PArticipationFevrier1[[#This Row],[1]:[30]],Code9)</f>
        <v>0</v>
      </c>
      <c r="AS33" s="6">
        <f>COUNTIF(PArticipationFevrier1[[#This Row],[1]:[30]],Code10)</f>
        <v>0</v>
      </c>
      <c r="AT33" s="6">
        <f>COUNTIF(PArticipationFevrier1[[#This Row],[1]:[30]],Code11)</f>
        <v>0</v>
      </c>
      <c r="AU33" s="6">
        <f>COUNTIF(PArticipationFevrier1[[#This Row],[1]:[30]],Code12)</f>
        <v>0</v>
      </c>
      <c r="AV33" s="6">
        <f>COUNTIF(PArticipationFevrier1[[#This Row],[1]:[30]],Code13)</f>
        <v>0</v>
      </c>
      <c r="AW33" s="6">
        <f>COUNTIF(PArticipationFevrier1[[#This Row],[1]:[30]],Code14)</f>
        <v>0</v>
      </c>
      <c r="AX33" s="6">
        <f>COUNTIF(PArticipationFevrier1[[#This Row],[1]:[30]],Code15)</f>
        <v>0</v>
      </c>
      <c r="AY33" s="6">
        <f>COUNTIF(PArticipationFevrier1[[#This Row],[1]:[30]],Code16)</f>
        <v>0</v>
      </c>
      <c r="AZ33" s="6">
        <f>COUNTIF(PArticipationFevrier1[[#This Row],[1]:[30]],Code17)</f>
        <v>0</v>
      </c>
      <c r="BA33" s="6">
        <f>COUNTIF(PArticipationFevrier1[[#This Row],[1]:[30]],Code26)</f>
        <v>0</v>
      </c>
      <c r="BB33" s="6">
        <f>COUNTIF(PArticipationFevrier1[[#This Row],[1]:[30]],Code25)</f>
        <v>0</v>
      </c>
      <c r="BC33" s="6">
        <f>COUNTIF(PArticipationFevrier1[[#This Row],[1]:[30]],Code27)</f>
        <v>0</v>
      </c>
      <c r="BD33" s="6">
        <f>COUNTIF(PArticipationFevrier1[[#This Row],[1]:[30]],Code28)</f>
        <v>0</v>
      </c>
      <c r="BE33" s="6">
        <f>COUNTIF(PArticipationFevrier1[[#This Row],[1]:[30]],code30)</f>
        <v>0</v>
      </c>
      <c r="BF33" s="6">
        <f>COUNTIF(PArticipationFevrier1[[#This Row],[1]:[30]],Code31)</f>
        <v>0</v>
      </c>
      <c r="BG33" s="6">
        <f>COUNTIF(PArticipationFevrier1[[#This Row],[1]:[30]],code21)</f>
        <v>0</v>
      </c>
      <c r="BH33" s="6">
        <f>COUNTIF(PArticipationFevrier1[[#This Row],[1]:[30]],Code24)</f>
        <v>0</v>
      </c>
      <c r="BI33" s="6">
        <f>COUNTIF(PArticipationFevrier1[[#This Row],[1]:[30]],code18)</f>
        <v>0</v>
      </c>
      <c r="BJ33" s="6">
        <f>COUNTIF(PArticipationFevrier1[[#This Row],[1]:[30]],code19)</f>
        <v>0</v>
      </c>
      <c r="BK33" s="6">
        <f>COUNTIF(PArticipationFevrier1[[#This Row],[1]:[30]],code20)</f>
        <v>0</v>
      </c>
      <c r="BL33" s="182">
        <f>COUNTIF(PArticipationFevrier1[[#This Row],[1]:[30]],code29)</f>
        <v>0</v>
      </c>
      <c r="BM33" s="297"/>
      <c r="BN33" s="297"/>
      <c r="BO33" s="297"/>
      <c r="BP33" s="297"/>
      <c r="BQ33" s="297"/>
      <c r="BR33" s="297"/>
      <c r="BS33" s="297"/>
      <c r="BT33" s="297"/>
      <c r="BU33" s="297"/>
      <c r="BV33" s="297"/>
      <c r="BW33" s="297"/>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307"/>
      <c r="CT33" s="307"/>
      <c r="CU33" s="300"/>
      <c r="CV33" s="502">
        <f t="shared" si="0"/>
        <v>0</v>
      </c>
      <c r="CW33" s="502">
        <f t="shared" si="1"/>
        <v>0</v>
      </c>
      <c r="CX33" s="178">
        <f t="shared" si="2"/>
        <v>0</v>
      </c>
      <c r="CY33" s="157">
        <f t="shared" si="4"/>
        <v>0</v>
      </c>
    </row>
    <row r="34" spans="1:103">
      <c r="A34" s="534" t="s">
        <v>375</v>
      </c>
      <c r="B34" s="152" t="str">
        <f>IFERROR(VLOOKUP(PArticipationFevrier1[[#This Row],[Référence]],ListeÉtudiants1[],18,FALSE),"")</f>
        <v>BOUCAUD  CHRISTINE</v>
      </c>
      <c r="C34" s="530"/>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44"/>
      <c r="AH34" s="6">
        <f>COUNTIF(PArticipationFevrier1[[#This Row],[1]:[30]],Code1)</f>
        <v>0</v>
      </c>
      <c r="AI34" s="6">
        <f>COUNTIF(PArticipationFevrier1[[#This Row],[1]:[30]],code22)</f>
        <v>0</v>
      </c>
      <c r="AJ34" s="6">
        <f>COUNTIF(PArticipationFevrier1[[#This Row],[1]:[30]],Code2)</f>
        <v>0</v>
      </c>
      <c r="AK34" s="6">
        <f>COUNTIF(PArticipationFevrier1[[#This Row],[1]:[30]],Code3)</f>
        <v>0</v>
      </c>
      <c r="AL34" s="6">
        <f>COUNTIF(PArticipationFevrier1[[#This Row],[1]:[30]],Code4)</f>
        <v>0</v>
      </c>
      <c r="AM34" s="6">
        <f>COUNTIF(PArticipationFevrier1[[#This Row],[1]:[30]],Code5)</f>
        <v>0</v>
      </c>
      <c r="AN34" s="6"/>
      <c r="AO34" s="6">
        <f>COUNTIF(PArticipationFevrier1[[#This Row],[1]:[30]],Code6)</f>
        <v>0</v>
      </c>
      <c r="AP34" s="6">
        <f>COUNTIF(PArticipationFevrier1[[#This Row],[1]:[30]],Code7)</f>
        <v>0</v>
      </c>
      <c r="AQ34" s="6">
        <f>COUNTIF(PArticipationFevrier1[[#This Row],[1]:[30]],Code8)</f>
        <v>0</v>
      </c>
      <c r="AR34" s="6">
        <f>COUNTIF(PArticipationFevrier1[[#This Row],[1]:[30]],Code9)</f>
        <v>0</v>
      </c>
      <c r="AS34" s="6">
        <f>COUNTIF(PArticipationFevrier1[[#This Row],[1]:[30]],Code10)</f>
        <v>0</v>
      </c>
      <c r="AT34" s="6">
        <f>COUNTIF(PArticipationFevrier1[[#This Row],[1]:[30]],Code11)</f>
        <v>0</v>
      </c>
      <c r="AU34" s="6">
        <f>COUNTIF(PArticipationFevrier1[[#This Row],[1]:[30]],Code12)</f>
        <v>0</v>
      </c>
      <c r="AV34" s="6">
        <f>COUNTIF(PArticipationFevrier1[[#This Row],[1]:[30]],Code13)</f>
        <v>0</v>
      </c>
      <c r="AW34" s="6">
        <f>COUNTIF(PArticipationFevrier1[[#This Row],[1]:[30]],Code14)</f>
        <v>0</v>
      </c>
      <c r="AX34" s="6">
        <f>COUNTIF(PArticipationFevrier1[[#This Row],[1]:[30]],Code15)</f>
        <v>0</v>
      </c>
      <c r="AY34" s="6">
        <f>COUNTIF(PArticipationFevrier1[[#This Row],[1]:[30]],Code16)</f>
        <v>0</v>
      </c>
      <c r="AZ34" s="6">
        <f>COUNTIF(PArticipationFevrier1[[#This Row],[1]:[30]],Code17)</f>
        <v>0</v>
      </c>
      <c r="BA34" s="6">
        <f>COUNTIF(PArticipationFevrier1[[#This Row],[1]:[30]],Code26)</f>
        <v>0</v>
      </c>
      <c r="BB34" s="6">
        <f>COUNTIF(PArticipationFevrier1[[#This Row],[1]:[30]],Code25)</f>
        <v>0</v>
      </c>
      <c r="BC34" s="6">
        <f>COUNTIF(PArticipationFevrier1[[#This Row],[1]:[30]],Code27)</f>
        <v>0</v>
      </c>
      <c r="BD34" s="6">
        <f>COUNTIF(PArticipationFevrier1[[#This Row],[1]:[30]],Code28)</f>
        <v>0</v>
      </c>
      <c r="BE34" s="6">
        <f>COUNTIF(PArticipationFevrier1[[#This Row],[1]:[30]],code30)</f>
        <v>0</v>
      </c>
      <c r="BF34" s="6">
        <f>COUNTIF(PArticipationFevrier1[[#This Row],[1]:[30]],Code31)</f>
        <v>0</v>
      </c>
      <c r="BG34" s="6">
        <f>COUNTIF(PArticipationFevrier1[[#This Row],[1]:[30]],code21)</f>
        <v>0</v>
      </c>
      <c r="BH34" s="6">
        <f>COUNTIF(PArticipationFevrier1[[#This Row],[1]:[30]],Code24)</f>
        <v>0</v>
      </c>
      <c r="BI34" s="6">
        <f>COUNTIF(PArticipationFevrier1[[#This Row],[1]:[30]],code18)</f>
        <v>0</v>
      </c>
      <c r="BJ34" s="6">
        <f>COUNTIF(PArticipationFevrier1[[#This Row],[1]:[30]],code19)</f>
        <v>0</v>
      </c>
      <c r="BK34" s="6">
        <f>COUNTIF(PArticipationFevrier1[[#This Row],[1]:[30]],code20)</f>
        <v>0</v>
      </c>
      <c r="BL34" s="182">
        <f>COUNTIF(PArticipationFevrier1[[#This Row],[1]:[30]],code29)</f>
        <v>0</v>
      </c>
      <c r="BM34" s="307"/>
      <c r="BN34" s="307"/>
      <c r="BO34" s="307"/>
      <c r="BP34" s="307"/>
      <c r="BQ34" s="307"/>
      <c r="BR34" s="307"/>
      <c r="BS34" s="307"/>
      <c r="BT34" s="307"/>
      <c r="BU34" s="307"/>
      <c r="BV34" s="307"/>
      <c r="BW34" s="307"/>
      <c r="BX34" s="307"/>
      <c r="BY34" s="307"/>
      <c r="BZ34" s="307"/>
      <c r="CA34" s="307"/>
      <c r="CB34" s="307"/>
      <c r="CC34" s="307"/>
      <c r="CD34" s="307"/>
      <c r="CE34" s="307"/>
      <c r="CF34" s="307"/>
      <c r="CG34" s="307"/>
      <c r="CH34" s="307"/>
      <c r="CI34" s="307"/>
      <c r="CJ34" s="307"/>
      <c r="CK34" s="307"/>
      <c r="CL34" s="307"/>
      <c r="CM34" s="307"/>
      <c r="CN34" s="307"/>
      <c r="CO34" s="307"/>
      <c r="CP34" s="307"/>
      <c r="CQ34" s="307"/>
      <c r="CR34" s="307"/>
      <c r="CS34" s="307"/>
      <c r="CT34" s="307"/>
      <c r="CU34" s="300"/>
      <c r="CV34" s="507">
        <f t="shared" si="0"/>
        <v>0</v>
      </c>
      <c r="CW34" s="531">
        <f t="shared" si="1"/>
        <v>0</v>
      </c>
      <c r="CX34" s="532">
        <f t="shared" si="2"/>
        <v>0</v>
      </c>
      <c r="CY34" s="157">
        <f t="shared" si="4"/>
        <v>0</v>
      </c>
    </row>
    <row r="35" spans="1:103">
      <c r="A35" s="510" t="s">
        <v>376</v>
      </c>
      <c r="B35" s="152" t="str">
        <f>IFERROR(VLOOKUP(PArticipationFevrier1[[#This Row],[Référence]],ListeÉtudiants1[],18,FALSE),"")</f>
        <v>BOUKHARAZ MARINA</v>
      </c>
      <c r="AF35" s="19"/>
      <c r="AG35" s="478"/>
      <c r="AH35" s="439">
        <f>COUNTIF(PArticipationFevrier1[[#This Row],[1]:[30]],Code1)</f>
        <v>0</v>
      </c>
      <c r="AI35" s="474">
        <f>COUNTIF(PArticipationFevrier1[[#This Row],[1]:[30]],code22)</f>
        <v>0</v>
      </c>
      <c r="AJ35" s="439">
        <f>COUNTIF(PArticipationFevrier1[[#This Row],[1]:[30]],Code2)</f>
        <v>0</v>
      </c>
      <c r="AK35" s="439">
        <f>COUNTIF(PArticipationFevrier1[[#This Row],[1]:[30]],Code3)</f>
        <v>0</v>
      </c>
      <c r="AL35" s="439">
        <f>COUNTIF(PArticipationFevrier1[[#This Row],[1]:[30]],Code4)</f>
        <v>0</v>
      </c>
      <c r="AM35" s="474">
        <f>COUNTIF(PArticipationFevrier1[[#This Row],[1]:[30]],Code5)</f>
        <v>0</v>
      </c>
      <c r="AN35" s="474"/>
      <c r="AO35" s="474">
        <f>COUNTIF(PArticipationFevrier1[[#This Row],[1]:[30]],Code6)</f>
        <v>0</v>
      </c>
      <c r="AP35" s="474">
        <f>COUNTIF(PArticipationFevrier1[[#This Row],[1]:[30]],Code7)</f>
        <v>0</v>
      </c>
      <c r="AQ35" s="474">
        <f>COUNTIF(PArticipationFevrier1[[#This Row],[1]:[30]],Code8)</f>
        <v>0</v>
      </c>
      <c r="AR35" s="474">
        <f>COUNTIF(PArticipationFevrier1[[#This Row],[1]:[30]],Code9)</f>
        <v>0</v>
      </c>
      <c r="AS35" s="474">
        <f>COUNTIF(PArticipationFevrier1[[#This Row],[1]:[30]],Code10)</f>
        <v>0</v>
      </c>
      <c r="AT35" s="474">
        <f>COUNTIF(PArticipationFevrier1[[#This Row],[1]:[30]],Code11)</f>
        <v>0</v>
      </c>
      <c r="AU35" s="474">
        <f>COUNTIF(PArticipationFevrier1[[#This Row],[1]:[30]],Code12)</f>
        <v>0</v>
      </c>
      <c r="AV35" s="474">
        <f>COUNTIF(PArticipationFevrier1[[#This Row],[1]:[30]],Code13)</f>
        <v>0</v>
      </c>
      <c r="AW35" s="474">
        <f>COUNTIF(PArticipationFevrier1[[#This Row],[1]:[30]],Code14)</f>
        <v>0</v>
      </c>
      <c r="AX35" s="474">
        <f>COUNTIF(PArticipationFevrier1[[#This Row],[1]:[30]],Code15)</f>
        <v>0</v>
      </c>
      <c r="AY35" s="474">
        <f>COUNTIF(PArticipationFevrier1[[#This Row],[1]:[30]],Code16)</f>
        <v>0</v>
      </c>
      <c r="AZ35" s="474">
        <f>COUNTIF(PArticipationFevrier1[[#This Row],[1]:[30]],Code17)</f>
        <v>0</v>
      </c>
      <c r="BA35" s="474">
        <f>COUNTIF(PArticipationFevrier1[[#This Row],[1]:[30]],Code26)</f>
        <v>0</v>
      </c>
      <c r="BB35" s="474">
        <f>COUNTIF(PArticipationFevrier1[[#This Row],[1]:[30]],Code25)</f>
        <v>0</v>
      </c>
      <c r="BC35" s="474">
        <f>COUNTIF(PArticipationFevrier1[[#This Row],[1]:[30]],Code27)</f>
        <v>0</v>
      </c>
      <c r="BD35" s="474">
        <f>COUNTIF(PArticipationFevrier1[[#This Row],[1]:[30]],Code28)</f>
        <v>0</v>
      </c>
      <c r="BE35" s="474">
        <f>COUNTIF(PArticipationFevrier1[[#This Row],[1]:[30]],code30)</f>
        <v>0</v>
      </c>
      <c r="BF35" s="474">
        <f>COUNTIF(PArticipationFevrier1[[#This Row],[1]:[30]],Code31)</f>
        <v>0</v>
      </c>
      <c r="BG35" s="474">
        <f>COUNTIF(PArticipationFevrier1[[#This Row],[1]:[30]],code21)</f>
        <v>0</v>
      </c>
      <c r="BH35" s="474">
        <f>COUNTIF(PArticipationFevrier1[[#This Row],[1]:[30]],Code24)</f>
        <v>0</v>
      </c>
      <c r="BI35" s="474">
        <f>COUNTIF(PArticipationFevrier1[[#This Row],[1]:[30]],code18)</f>
        <v>0</v>
      </c>
      <c r="BJ35" s="474">
        <f>COUNTIF(PArticipationFevrier1[[#This Row],[1]:[30]],code19)</f>
        <v>0</v>
      </c>
      <c r="BK35" s="474">
        <f>COUNTIF(PArticipationFevrier1[[#This Row],[1]:[30]],code20)</f>
        <v>0</v>
      </c>
      <c r="BL35" s="476">
        <f>COUNTIF(PArticipationFevrier1[[#This Row],[1]:[30]],code29)</f>
        <v>0</v>
      </c>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2"/>
      <c r="CU35" s="300"/>
      <c r="CV35" s="507">
        <f t="shared" ref="CV35:CV98" si="5">SUM((AH35*1)+(AI35*1.5)+(AJ35*2)+(AK35*3)+(AP35*5)+(AQ35*6)+(AR35*7)+(AX35*3)+(AY35*4)+(BA35*5)+(BB35*3)+(BC35*2)+(BG35*2)+(AZ35*2)+(BD35*2))</f>
        <v>0</v>
      </c>
      <c r="CW35" s="531">
        <f t="shared" ref="CW35:CW98" si="6">SUM((AN35*1)+(AM35*2)+(AO35*3)+(AP35*4)+(AT35*5)+(AU35*6)+(AV35*7)+(AW35*7)+(AX35*4)+(AY35*3)+(BA35*2)+(BC35*4)+(BB35*1)+(BG35*2)+(AZ35*5)+(BD35*1))</f>
        <v>0</v>
      </c>
      <c r="CX35" s="532">
        <f t="shared" ref="CX35:CX98" si="7">BH35*1</f>
        <v>0</v>
      </c>
      <c r="CY35" s="157">
        <f t="shared" si="4"/>
        <v>0</v>
      </c>
    </row>
    <row r="36" spans="1:103">
      <c r="A36" s="510" t="s">
        <v>377</v>
      </c>
      <c r="B36" s="152" t="str">
        <f>IFERROR(VLOOKUP(PArticipationFevrier1[[#This Row],[Référence]],ListeÉtudiants1[],18,FALSE),"")</f>
        <v>BOUTILLIER LAETITIA</v>
      </c>
      <c r="C36" s="4"/>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19"/>
      <c r="AG36" s="478"/>
      <c r="AH36" s="6">
        <f>COUNTIF(PArticipationFevrier1[[#This Row],[1]:[30]],Code1)</f>
        <v>0</v>
      </c>
      <c r="AI36" s="475">
        <f>COUNTIF(PArticipationFevrier1[[#This Row],[1]:[30]],code22)</f>
        <v>0</v>
      </c>
      <c r="AJ36" s="6">
        <f>COUNTIF(PArticipationFevrier1[[#This Row],[1]:[30]],Code2)</f>
        <v>0</v>
      </c>
      <c r="AK36" s="6">
        <f>COUNTIF(PArticipationFevrier1[[#This Row],[1]:[30]],Code3)</f>
        <v>0</v>
      </c>
      <c r="AL36" s="6">
        <f>COUNTIF(PArticipationFevrier1[[#This Row],[1]:[30]],Code4)</f>
        <v>0</v>
      </c>
      <c r="AM36" s="475">
        <f>COUNTIF(PArticipationFevrier1[[#This Row],[1]:[30]],Code5)</f>
        <v>0</v>
      </c>
      <c r="AN36" s="475"/>
      <c r="AO36" s="475">
        <f>COUNTIF(PArticipationFevrier1[[#This Row],[1]:[30]],Code6)</f>
        <v>0</v>
      </c>
      <c r="AP36" s="475">
        <f>COUNTIF(PArticipationFevrier1[[#This Row],[1]:[30]],Code7)</f>
        <v>0</v>
      </c>
      <c r="AQ36" s="475">
        <f>COUNTIF(PArticipationFevrier1[[#This Row],[1]:[30]],Code8)</f>
        <v>0</v>
      </c>
      <c r="AR36" s="475">
        <f>COUNTIF(PArticipationFevrier1[[#This Row],[1]:[30]],Code9)</f>
        <v>0</v>
      </c>
      <c r="AS36" s="475">
        <f>COUNTIF(PArticipationFevrier1[[#This Row],[1]:[30]],Code10)</f>
        <v>0</v>
      </c>
      <c r="AT36" s="475">
        <f>COUNTIF(PArticipationFevrier1[[#This Row],[1]:[30]],Code11)</f>
        <v>0</v>
      </c>
      <c r="AU36" s="475">
        <f>COUNTIF(PArticipationFevrier1[[#This Row],[1]:[30]],Code12)</f>
        <v>0</v>
      </c>
      <c r="AV36" s="475">
        <f>COUNTIF(PArticipationFevrier1[[#This Row],[1]:[30]],Code13)</f>
        <v>0</v>
      </c>
      <c r="AW36" s="475">
        <f>COUNTIF(PArticipationFevrier1[[#This Row],[1]:[30]],Code14)</f>
        <v>0</v>
      </c>
      <c r="AX36" s="475">
        <f>COUNTIF(PArticipationFevrier1[[#This Row],[1]:[30]],Code15)</f>
        <v>0</v>
      </c>
      <c r="AY36" s="475">
        <f>COUNTIF(PArticipationFevrier1[[#This Row],[1]:[30]],Code16)</f>
        <v>0</v>
      </c>
      <c r="AZ36" s="475">
        <f>COUNTIF(PArticipationFevrier1[[#This Row],[1]:[30]],Code17)</f>
        <v>0</v>
      </c>
      <c r="BA36" s="475">
        <f>COUNTIF(PArticipationFevrier1[[#This Row],[1]:[30]],Code26)</f>
        <v>0</v>
      </c>
      <c r="BB36" s="475">
        <f>COUNTIF(PArticipationFevrier1[[#This Row],[1]:[30]],Code25)</f>
        <v>0</v>
      </c>
      <c r="BC36" s="475">
        <f>COUNTIF(PArticipationFevrier1[[#This Row],[1]:[30]],Code27)</f>
        <v>0</v>
      </c>
      <c r="BD36" s="475">
        <f>COUNTIF(PArticipationFevrier1[[#This Row],[1]:[30]],Code28)</f>
        <v>0</v>
      </c>
      <c r="BE36" s="475">
        <f>COUNTIF(PArticipationFevrier1[[#This Row],[1]:[30]],code30)</f>
        <v>0</v>
      </c>
      <c r="BF36" s="475">
        <f>COUNTIF(PArticipationFevrier1[[#This Row],[1]:[30]],Code31)</f>
        <v>0</v>
      </c>
      <c r="BG36" s="475">
        <f>COUNTIF(PArticipationFevrier1[[#This Row],[1]:[30]],code21)</f>
        <v>0</v>
      </c>
      <c r="BH36" s="475">
        <f>COUNTIF(PArticipationFevrier1[[#This Row],[1]:[30]],Code24)</f>
        <v>0</v>
      </c>
      <c r="BI36" s="475">
        <f>COUNTIF(PArticipationFevrier1[[#This Row],[1]:[30]],code18)</f>
        <v>0</v>
      </c>
      <c r="BJ36" s="474">
        <f>COUNTIF(PArticipationFevrier1[[#This Row],[1]:[30]],code19)</f>
        <v>0</v>
      </c>
      <c r="BK36" s="475">
        <f>COUNTIF(PArticipationFevrier1[[#This Row],[1]:[30]],code20)</f>
        <v>0</v>
      </c>
      <c r="BL36" s="476">
        <f>COUNTIF(PArticipationFevrier1[[#This Row],[1]:[30]],code29)</f>
        <v>0</v>
      </c>
      <c r="BM36" s="473"/>
      <c r="BN36" s="472"/>
      <c r="BO36" s="472"/>
      <c r="BP36" s="472"/>
      <c r="BQ36" s="472"/>
      <c r="BR36" s="472"/>
      <c r="BS36" s="472"/>
      <c r="BT36" s="472"/>
      <c r="BU36" s="472"/>
      <c r="BV36" s="472"/>
      <c r="BW36" s="472"/>
      <c r="BX36" s="472"/>
      <c r="BY36" s="472"/>
      <c r="BZ36" s="472"/>
      <c r="CA36" s="472"/>
      <c r="CB36" s="472"/>
      <c r="CC36" s="472"/>
      <c r="CD36" s="472"/>
      <c r="CE36" s="472"/>
      <c r="CF36" s="472"/>
      <c r="CG36" s="472"/>
      <c r="CH36" s="472"/>
      <c r="CI36" s="472"/>
      <c r="CJ36" s="472"/>
      <c r="CK36" s="472"/>
      <c r="CL36" s="472"/>
      <c r="CM36" s="472"/>
      <c r="CN36" s="472"/>
      <c r="CO36" s="472"/>
      <c r="CP36" s="472"/>
      <c r="CQ36" s="472"/>
      <c r="CR36" s="472"/>
      <c r="CS36" s="472"/>
      <c r="CT36" s="472"/>
      <c r="CU36" s="300"/>
      <c r="CV36" s="507">
        <f t="shared" si="5"/>
        <v>0</v>
      </c>
      <c r="CW36" s="531">
        <f t="shared" si="6"/>
        <v>0</v>
      </c>
      <c r="CX36" s="532">
        <f t="shared" si="7"/>
        <v>0</v>
      </c>
      <c r="CY36" s="157">
        <f t="shared" si="4"/>
        <v>0</v>
      </c>
    </row>
    <row r="37" spans="1:103">
      <c r="A37" s="510" t="s">
        <v>378</v>
      </c>
      <c r="B37" s="152" t="str">
        <f>IFERROR(VLOOKUP(PArticipationFevrier1[[#This Row],[Référence]],ListeÉtudiants1[],18,FALSE),"")</f>
        <v>BRIAND OCEANE</v>
      </c>
      <c r="AF37" s="19"/>
      <c r="AG37" s="478"/>
      <c r="AH37" s="439">
        <f>COUNTIF(PArticipationFevrier1[[#This Row],[1]:[30]],Code1)</f>
        <v>0</v>
      </c>
      <c r="AI37" s="474">
        <f>COUNTIF(PArticipationFevrier1[[#This Row],[1]:[30]],code22)</f>
        <v>0</v>
      </c>
      <c r="AJ37" s="439">
        <f>COUNTIF(PArticipationFevrier1[[#This Row],[1]:[30]],Code2)</f>
        <v>0</v>
      </c>
      <c r="AK37" s="439">
        <f>COUNTIF(PArticipationFevrier1[[#This Row],[1]:[30]],Code3)</f>
        <v>0</v>
      </c>
      <c r="AL37" s="439">
        <f>COUNTIF(PArticipationFevrier1[[#This Row],[1]:[30]],Code4)</f>
        <v>0</v>
      </c>
      <c r="AM37" s="474">
        <f>COUNTIF(PArticipationFevrier1[[#This Row],[1]:[30]],Code5)</f>
        <v>0</v>
      </c>
      <c r="AN37" s="474"/>
      <c r="AO37" s="474">
        <f>COUNTIF(PArticipationFevrier1[[#This Row],[1]:[30]],Code6)</f>
        <v>0</v>
      </c>
      <c r="AP37" s="474">
        <f>COUNTIF(PArticipationFevrier1[[#This Row],[1]:[30]],Code7)</f>
        <v>0</v>
      </c>
      <c r="AQ37" s="474">
        <f>COUNTIF(PArticipationFevrier1[[#This Row],[1]:[30]],Code8)</f>
        <v>0</v>
      </c>
      <c r="AR37" s="474">
        <f>COUNTIF(PArticipationFevrier1[[#This Row],[1]:[30]],Code9)</f>
        <v>0</v>
      </c>
      <c r="AS37" s="474">
        <f>COUNTIF(PArticipationFevrier1[[#This Row],[1]:[30]],Code10)</f>
        <v>0</v>
      </c>
      <c r="AT37" s="474">
        <f>COUNTIF(PArticipationFevrier1[[#This Row],[1]:[30]],Code11)</f>
        <v>0</v>
      </c>
      <c r="AU37" s="474">
        <f>COUNTIF(PArticipationFevrier1[[#This Row],[1]:[30]],Code12)</f>
        <v>0</v>
      </c>
      <c r="AV37" s="474">
        <f>COUNTIF(PArticipationFevrier1[[#This Row],[1]:[30]],Code13)</f>
        <v>0</v>
      </c>
      <c r="AW37" s="474">
        <f>COUNTIF(PArticipationFevrier1[[#This Row],[1]:[30]],Code14)</f>
        <v>0</v>
      </c>
      <c r="AX37" s="474">
        <f>COUNTIF(PArticipationFevrier1[[#This Row],[1]:[30]],Code15)</f>
        <v>0</v>
      </c>
      <c r="AY37" s="474">
        <f>COUNTIF(PArticipationFevrier1[[#This Row],[1]:[30]],Code16)</f>
        <v>0</v>
      </c>
      <c r="AZ37" s="474">
        <f>COUNTIF(PArticipationFevrier1[[#This Row],[1]:[30]],Code17)</f>
        <v>0</v>
      </c>
      <c r="BA37" s="474">
        <f>COUNTIF(PArticipationFevrier1[[#This Row],[1]:[30]],Code26)</f>
        <v>0</v>
      </c>
      <c r="BB37" s="474">
        <f>COUNTIF(PArticipationFevrier1[[#This Row],[1]:[30]],Code25)</f>
        <v>0</v>
      </c>
      <c r="BC37" s="474">
        <f>COUNTIF(PArticipationFevrier1[[#This Row],[1]:[30]],Code27)</f>
        <v>0</v>
      </c>
      <c r="BD37" s="474">
        <f>COUNTIF(PArticipationFevrier1[[#This Row],[1]:[30]],Code28)</f>
        <v>0</v>
      </c>
      <c r="BE37" s="474">
        <f>COUNTIF(PArticipationFevrier1[[#This Row],[1]:[30]],code30)</f>
        <v>0</v>
      </c>
      <c r="BF37" s="474">
        <f>COUNTIF(PArticipationFevrier1[[#This Row],[1]:[30]],Code31)</f>
        <v>0</v>
      </c>
      <c r="BG37" s="474">
        <f>COUNTIF(PArticipationFevrier1[[#This Row],[1]:[30]],code21)</f>
        <v>0</v>
      </c>
      <c r="BH37" s="474">
        <f>COUNTIF(PArticipationFevrier1[[#This Row],[1]:[30]],Code24)</f>
        <v>0</v>
      </c>
      <c r="BI37" s="474">
        <f>COUNTIF(PArticipationFevrier1[[#This Row],[1]:[30]],code18)</f>
        <v>0</v>
      </c>
      <c r="BJ37" s="474">
        <f>COUNTIF(PArticipationFevrier1[[#This Row],[1]:[30]],code19)</f>
        <v>0</v>
      </c>
      <c r="BK37" s="474">
        <f>COUNTIF(PArticipationFevrier1[[#This Row],[1]:[30]],code20)</f>
        <v>0</v>
      </c>
      <c r="BL37" s="476">
        <f>COUNTIF(PArticipationFevrier1[[#This Row],[1]:[30]],code29)</f>
        <v>0</v>
      </c>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2"/>
      <c r="CM37" s="472"/>
      <c r="CN37" s="472"/>
      <c r="CO37" s="472"/>
      <c r="CP37" s="472"/>
      <c r="CQ37" s="472"/>
      <c r="CR37" s="472"/>
      <c r="CS37" s="472"/>
      <c r="CT37" s="472"/>
      <c r="CU37" s="300"/>
      <c r="CV37" s="507">
        <f t="shared" si="5"/>
        <v>0</v>
      </c>
      <c r="CW37" s="531">
        <f t="shared" si="6"/>
        <v>0</v>
      </c>
      <c r="CX37" s="532">
        <f t="shared" si="7"/>
        <v>0</v>
      </c>
      <c r="CY37" s="157">
        <f t="shared" si="4"/>
        <v>0</v>
      </c>
    </row>
    <row r="38" spans="1:103">
      <c r="A38" s="534" t="s">
        <v>379</v>
      </c>
      <c r="B38" s="152" t="str">
        <f>IFERROR(VLOOKUP(PArticipationFevrier1[[#This Row],[Référence]],ListeÉtudiants1[],18,FALSE),"")</f>
        <v>BRITES TRACA ELODIE</v>
      </c>
      <c r="AF38" s="19"/>
      <c r="AG38" s="478"/>
      <c r="AH38" s="439">
        <f>COUNTIF(PArticipationFevrier1[[#This Row],[1]:[30]],Code1)</f>
        <v>0</v>
      </c>
      <c r="AI38" s="474">
        <f>COUNTIF(PArticipationFevrier1[[#This Row],[1]:[30]],code22)</f>
        <v>0</v>
      </c>
      <c r="AJ38" s="439">
        <f>COUNTIF(PArticipationFevrier1[[#This Row],[1]:[30]],Code2)</f>
        <v>0</v>
      </c>
      <c r="AK38" s="439">
        <f>COUNTIF(PArticipationFevrier1[[#This Row],[1]:[30]],Code3)</f>
        <v>0</v>
      </c>
      <c r="AL38" s="439">
        <f>COUNTIF(PArticipationFevrier1[[#This Row],[1]:[30]],Code4)</f>
        <v>0</v>
      </c>
      <c r="AM38" s="474">
        <f>COUNTIF(PArticipationFevrier1[[#This Row],[1]:[30]],Code5)</f>
        <v>0</v>
      </c>
      <c r="AN38" s="474"/>
      <c r="AO38" s="474">
        <f>COUNTIF(PArticipationFevrier1[[#This Row],[1]:[30]],Code6)</f>
        <v>0</v>
      </c>
      <c r="AP38" s="474">
        <f>COUNTIF(PArticipationFevrier1[[#This Row],[1]:[30]],Code7)</f>
        <v>0</v>
      </c>
      <c r="AQ38" s="474">
        <f>COUNTIF(PArticipationFevrier1[[#This Row],[1]:[30]],Code8)</f>
        <v>0</v>
      </c>
      <c r="AR38" s="474">
        <f>COUNTIF(PArticipationFevrier1[[#This Row],[1]:[30]],Code9)</f>
        <v>0</v>
      </c>
      <c r="AS38" s="474">
        <f>COUNTIF(PArticipationFevrier1[[#This Row],[1]:[30]],Code10)</f>
        <v>0</v>
      </c>
      <c r="AT38" s="474">
        <f>COUNTIF(PArticipationFevrier1[[#This Row],[1]:[30]],Code11)</f>
        <v>0</v>
      </c>
      <c r="AU38" s="474">
        <f>COUNTIF(PArticipationFevrier1[[#This Row],[1]:[30]],Code12)</f>
        <v>0</v>
      </c>
      <c r="AV38" s="474">
        <f>COUNTIF(PArticipationFevrier1[[#This Row],[1]:[30]],Code13)</f>
        <v>0</v>
      </c>
      <c r="AW38" s="474">
        <f>COUNTIF(PArticipationFevrier1[[#This Row],[1]:[30]],Code14)</f>
        <v>0</v>
      </c>
      <c r="AX38" s="474">
        <f>COUNTIF(PArticipationFevrier1[[#This Row],[1]:[30]],Code15)</f>
        <v>0</v>
      </c>
      <c r="AY38" s="474">
        <f>COUNTIF(PArticipationFevrier1[[#This Row],[1]:[30]],Code16)</f>
        <v>0</v>
      </c>
      <c r="AZ38" s="474">
        <f>COUNTIF(PArticipationFevrier1[[#This Row],[1]:[30]],Code17)</f>
        <v>0</v>
      </c>
      <c r="BA38" s="474">
        <f>COUNTIF(PArticipationFevrier1[[#This Row],[1]:[30]],Code26)</f>
        <v>0</v>
      </c>
      <c r="BB38" s="474">
        <f>COUNTIF(PArticipationFevrier1[[#This Row],[1]:[30]],Code25)</f>
        <v>0</v>
      </c>
      <c r="BC38" s="474">
        <f>COUNTIF(PArticipationFevrier1[[#This Row],[1]:[30]],Code27)</f>
        <v>0</v>
      </c>
      <c r="BD38" s="474">
        <f>COUNTIF(PArticipationFevrier1[[#This Row],[1]:[30]],Code28)</f>
        <v>0</v>
      </c>
      <c r="BE38" s="474">
        <f>COUNTIF(PArticipationFevrier1[[#This Row],[1]:[30]],code30)</f>
        <v>0</v>
      </c>
      <c r="BF38" s="474">
        <f>COUNTIF(PArticipationFevrier1[[#This Row],[1]:[30]],Code31)</f>
        <v>0</v>
      </c>
      <c r="BG38" s="474">
        <f>COUNTIF(PArticipationFevrier1[[#This Row],[1]:[30]],code21)</f>
        <v>0</v>
      </c>
      <c r="BH38" s="474">
        <f>COUNTIF(PArticipationFevrier1[[#This Row],[1]:[30]],Code24)</f>
        <v>0</v>
      </c>
      <c r="BI38" s="474">
        <f>COUNTIF(PArticipationFevrier1[[#This Row],[1]:[30]],code18)</f>
        <v>0</v>
      </c>
      <c r="BJ38" s="474">
        <f>COUNTIF(PArticipationFevrier1[[#This Row],[1]:[30]],code19)</f>
        <v>0</v>
      </c>
      <c r="BK38" s="474">
        <f>COUNTIF(PArticipationFevrier1[[#This Row],[1]:[30]],code20)</f>
        <v>0</v>
      </c>
      <c r="BL38" s="476">
        <f>COUNTIF(PArticipationFevrier1[[#This Row],[1]:[30]],code29)</f>
        <v>0</v>
      </c>
      <c r="BM38" s="472"/>
      <c r="BN38" s="472"/>
      <c r="BO38" s="472"/>
      <c r="BP38" s="472"/>
      <c r="BQ38" s="472"/>
      <c r="BR38" s="472"/>
      <c r="BS38" s="472"/>
      <c r="BT38" s="472"/>
      <c r="BU38" s="472"/>
      <c r="BV38" s="472"/>
      <c r="BW38" s="472"/>
      <c r="BX38" s="472"/>
      <c r="BY38" s="472"/>
      <c r="BZ38" s="472"/>
      <c r="CA38" s="472"/>
      <c r="CB38" s="472"/>
      <c r="CC38" s="472"/>
      <c r="CD38" s="472"/>
      <c r="CE38" s="472"/>
      <c r="CF38" s="472"/>
      <c r="CG38" s="472"/>
      <c r="CH38" s="472"/>
      <c r="CI38" s="472"/>
      <c r="CJ38" s="472"/>
      <c r="CK38" s="472"/>
      <c r="CL38" s="472"/>
      <c r="CM38" s="472"/>
      <c r="CN38" s="472"/>
      <c r="CO38" s="472"/>
      <c r="CP38" s="472"/>
      <c r="CQ38" s="472"/>
      <c r="CR38" s="472"/>
      <c r="CS38" s="472"/>
      <c r="CT38" s="472"/>
      <c r="CU38" s="300"/>
      <c r="CV38" s="507">
        <f t="shared" si="5"/>
        <v>0</v>
      </c>
      <c r="CW38" s="531">
        <f t="shared" si="6"/>
        <v>0</v>
      </c>
      <c r="CX38" s="532">
        <f t="shared" si="7"/>
        <v>0</v>
      </c>
      <c r="CY38" s="157">
        <f t="shared" si="4"/>
        <v>0</v>
      </c>
    </row>
    <row r="39" spans="1:103">
      <c r="A39" s="510" t="s">
        <v>380</v>
      </c>
      <c r="B39" s="152" t="str">
        <f>IFERROR(VLOOKUP(PArticipationFevrier1[[#This Row],[Référence]],ListeÉtudiants1[],18,FALSE),"")</f>
        <v>BRONZE  MARINE</v>
      </c>
      <c r="AF39" s="19"/>
      <c r="AG39" s="478"/>
      <c r="AH39" s="439">
        <f>COUNTIF(PArticipationFevrier1[[#This Row],[1]:[30]],Code1)</f>
        <v>0</v>
      </c>
      <c r="AI39" s="474">
        <f>COUNTIF(PArticipationFevrier1[[#This Row],[1]:[30]],code22)</f>
        <v>0</v>
      </c>
      <c r="AJ39" s="439">
        <f>COUNTIF(PArticipationFevrier1[[#This Row],[1]:[30]],Code2)</f>
        <v>0</v>
      </c>
      <c r="AK39" s="439">
        <f>COUNTIF(PArticipationFevrier1[[#This Row],[1]:[30]],Code3)</f>
        <v>0</v>
      </c>
      <c r="AL39" s="439">
        <f>COUNTIF(PArticipationFevrier1[[#This Row],[1]:[30]],Code4)</f>
        <v>0</v>
      </c>
      <c r="AM39" s="474">
        <f>COUNTIF(PArticipationFevrier1[[#This Row],[1]:[30]],Code5)</f>
        <v>0</v>
      </c>
      <c r="AN39" s="474"/>
      <c r="AO39" s="474">
        <f>COUNTIF(PArticipationFevrier1[[#This Row],[1]:[30]],Code6)</f>
        <v>0</v>
      </c>
      <c r="AP39" s="474">
        <f>COUNTIF(PArticipationFevrier1[[#This Row],[1]:[30]],Code7)</f>
        <v>0</v>
      </c>
      <c r="AQ39" s="474">
        <f>COUNTIF(PArticipationFevrier1[[#This Row],[1]:[30]],Code8)</f>
        <v>0</v>
      </c>
      <c r="AR39" s="474">
        <f>COUNTIF(PArticipationFevrier1[[#This Row],[1]:[30]],Code9)</f>
        <v>0</v>
      </c>
      <c r="AS39" s="474">
        <f>COUNTIF(PArticipationFevrier1[[#This Row],[1]:[30]],Code10)</f>
        <v>0</v>
      </c>
      <c r="AT39" s="474">
        <f>COUNTIF(PArticipationFevrier1[[#This Row],[1]:[30]],Code11)</f>
        <v>0</v>
      </c>
      <c r="AU39" s="474">
        <f>COUNTIF(PArticipationFevrier1[[#This Row],[1]:[30]],Code12)</f>
        <v>0</v>
      </c>
      <c r="AV39" s="474">
        <f>COUNTIF(PArticipationFevrier1[[#This Row],[1]:[30]],Code13)</f>
        <v>0</v>
      </c>
      <c r="AW39" s="474">
        <f>COUNTIF(PArticipationFevrier1[[#This Row],[1]:[30]],Code14)</f>
        <v>0</v>
      </c>
      <c r="AX39" s="474">
        <f>COUNTIF(PArticipationFevrier1[[#This Row],[1]:[30]],Code15)</f>
        <v>0</v>
      </c>
      <c r="AY39" s="474">
        <f>COUNTIF(PArticipationFevrier1[[#This Row],[1]:[30]],Code16)</f>
        <v>0</v>
      </c>
      <c r="AZ39" s="474">
        <f>COUNTIF(PArticipationFevrier1[[#This Row],[1]:[30]],Code17)</f>
        <v>0</v>
      </c>
      <c r="BA39" s="474">
        <f>COUNTIF(PArticipationFevrier1[[#This Row],[1]:[30]],Code26)</f>
        <v>0</v>
      </c>
      <c r="BB39" s="474">
        <f>COUNTIF(PArticipationFevrier1[[#This Row],[1]:[30]],Code25)</f>
        <v>0</v>
      </c>
      <c r="BC39" s="474">
        <f>COUNTIF(PArticipationFevrier1[[#This Row],[1]:[30]],Code27)</f>
        <v>0</v>
      </c>
      <c r="BD39" s="474">
        <f>COUNTIF(PArticipationFevrier1[[#This Row],[1]:[30]],Code28)</f>
        <v>0</v>
      </c>
      <c r="BE39" s="474">
        <f>COUNTIF(PArticipationFevrier1[[#This Row],[1]:[30]],code30)</f>
        <v>0</v>
      </c>
      <c r="BF39" s="474">
        <f>COUNTIF(PArticipationFevrier1[[#This Row],[1]:[30]],Code31)</f>
        <v>0</v>
      </c>
      <c r="BG39" s="474">
        <f>COUNTIF(PArticipationFevrier1[[#This Row],[1]:[30]],code21)</f>
        <v>0</v>
      </c>
      <c r="BH39" s="474">
        <f>COUNTIF(PArticipationFevrier1[[#This Row],[1]:[30]],Code24)</f>
        <v>0</v>
      </c>
      <c r="BI39" s="474">
        <f>COUNTIF(PArticipationFevrier1[[#This Row],[1]:[30]],code18)</f>
        <v>0</v>
      </c>
      <c r="BJ39" s="474">
        <f>COUNTIF(PArticipationFevrier1[[#This Row],[1]:[30]],code19)</f>
        <v>0</v>
      </c>
      <c r="BK39" s="474">
        <f>COUNTIF(PArticipationFevrier1[[#This Row],[1]:[30]],code20)</f>
        <v>0</v>
      </c>
      <c r="BL39" s="476">
        <f>COUNTIF(PArticipationFevrier1[[#This Row],[1]:[30]],code29)</f>
        <v>0</v>
      </c>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2"/>
      <c r="CM39" s="472"/>
      <c r="CN39" s="472"/>
      <c r="CO39" s="472"/>
      <c r="CP39" s="472"/>
      <c r="CQ39" s="472"/>
      <c r="CR39" s="472"/>
      <c r="CS39" s="472"/>
      <c r="CT39" s="472"/>
      <c r="CU39" s="300"/>
      <c r="CV39" s="507">
        <f t="shared" si="5"/>
        <v>0</v>
      </c>
      <c r="CW39" s="531">
        <f t="shared" si="6"/>
        <v>0</v>
      </c>
      <c r="CX39" s="532">
        <f t="shared" si="7"/>
        <v>0</v>
      </c>
      <c r="CY39" s="157">
        <f t="shared" si="4"/>
        <v>0</v>
      </c>
    </row>
    <row r="40" spans="1:103">
      <c r="A40" s="510" t="s">
        <v>381</v>
      </c>
      <c r="B40" s="152" t="str">
        <f>IFERROR(VLOOKUP(PArticipationFevrier1[[#This Row],[Référence]],ListeÉtudiants1[],18,FALSE),"")</f>
        <v>CAMISON VICTORIA</v>
      </c>
      <c r="AF40" s="19"/>
      <c r="AG40" s="478"/>
      <c r="AH40" s="439">
        <f>COUNTIF(PArticipationFevrier1[[#This Row],[1]:[30]],Code1)</f>
        <v>0</v>
      </c>
      <c r="AI40" s="474">
        <f>COUNTIF(PArticipationFevrier1[[#This Row],[1]:[30]],code22)</f>
        <v>0</v>
      </c>
      <c r="AJ40" s="439">
        <f>COUNTIF(PArticipationFevrier1[[#This Row],[1]:[30]],Code2)</f>
        <v>0</v>
      </c>
      <c r="AK40" s="439">
        <f>COUNTIF(PArticipationFevrier1[[#This Row],[1]:[30]],Code3)</f>
        <v>0</v>
      </c>
      <c r="AL40" s="439">
        <f>COUNTIF(PArticipationFevrier1[[#This Row],[1]:[30]],Code4)</f>
        <v>0</v>
      </c>
      <c r="AM40" s="474">
        <f>COUNTIF(PArticipationFevrier1[[#This Row],[1]:[30]],Code5)</f>
        <v>0</v>
      </c>
      <c r="AN40" s="474"/>
      <c r="AO40" s="474">
        <f>COUNTIF(PArticipationFevrier1[[#This Row],[1]:[30]],Code6)</f>
        <v>0</v>
      </c>
      <c r="AP40" s="474">
        <f>COUNTIF(PArticipationFevrier1[[#This Row],[1]:[30]],Code7)</f>
        <v>0</v>
      </c>
      <c r="AQ40" s="474">
        <f>COUNTIF(PArticipationFevrier1[[#This Row],[1]:[30]],Code8)</f>
        <v>0</v>
      </c>
      <c r="AR40" s="474">
        <f>COUNTIF(PArticipationFevrier1[[#This Row],[1]:[30]],Code9)</f>
        <v>0</v>
      </c>
      <c r="AS40" s="474">
        <f>COUNTIF(PArticipationFevrier1[[#This Row],[1]:[30]],Code10)</f>
        <v>0</v>
      </c>
      <c r="AT40" s="474">
        <f>COUNTIF(PArticipationFevrier1[[#This Row],[1]:[30]],Code11)</f>
        <v>0</v>
      </c>
      <c r="AU40" s="474">
        <f>COUNTIF(PArticipationFevrier1[[#This Row],[1]:[30]],Code12)</f>
        <v>0</v>
      </c>
      <c r="AV40" s="474">
        <f>COUNTIF(PArticipationFevrier1[[#This Row],[1]:[30]],Code13)</f>
        <v>0</v>
      </c>
      <c r="AW40" s="474">
        <f>COUNTIF(PArticipationFevrier1[[#This Row],[1]:[30]],Code14)</f>
        <v>0</v>
      </c>
      <c r="AX40" s="474">
        <f>COUNTIF(PArticipationFevrier1[[#This Row],[1]:[30]],Code15)</f>
        <v>0</v>
      </c>
      <c r="AY40" s="474">
        <f>COUNTIF(PArticipationFevrier1[[#This Row],[1]:[30]],Code16)</f>
        <v>0</v>
      </c>
      <c r="AZ40" s="474">
        <f>COUNTIF(PArticipationFevrier1[[#This Row],[1]:[30]],Code17)</f>
        <v>0</v>
      </c>
      <c r="BA40" s="474">
        <f>COUNTIF(PArticipationFevrier1[[#This Row],[1]:[30]],Code26)</f>
        <v>0</v>
      </c>
      <c r="BB40" s="474">
        <f>COUNTIF(PArticipationFevrier1[[#This Row],[1]:[30]],Code25)</f>
        <v>0</v>
      </c>
      <c r="BC40" s="474">
        <f>COUNTIF(PArticipationFevrier1[[#This Row],[1]:[30]],Code27)</f>
        <v>0</v>
      </c>
      <c r="BD40" s="474">
        <f>COUNTIF(PArticipationFevrier1[[#This Row],[1]:[30]],Code28)</f>
        <v>0</v>
      </c>
      <c r="BE40" s="474">
        <f>COUNTIF(PArticipationFevrier1[[#This Row],[1]:[30]],code30)</f>
        <v>0</v>
      </c>
      <c r="BF40" s="474">
        <f>COUNTIF(PArticipationFevrier1[[#This Row],[1]:[30]],Code31)</f>
        <v>0</v>
      </c>
      <c r="BG40" s="474">
        <f>COUNTIF(PArticipationFevrier1[[#This Row],[1]:[30]],code21)</f>
        <v>0</v>
      </c>
      <c r="BH40" s="474">
        <f>COUNTIF(PArticipationFevrier1[[#This Row],[1]:[30]],Code24)</f>
        <v>0</v>
      </c>
      <c r="BI40" s="474">
        <f>COUNTIF(PArticipationFevrier1[[#This Row],[1]:[30]],code18)</f>
        <v>0</v>
      </c>
      <c r="BJ40" s="474">
        <f>COUNTIF(PArticipationFevrier1[[#This Row],[1]:[30]],code19)</f>
        <v>0</v>
      </c>
      <c r="BK40" s="474">
        <f>COUNTIF(PArticipationFevrier1[[#This Row],[1]:[30]],code20)</f>
        <v>0</v>
      </c>
      <c r="BL40" s="476">
        <f>COUNTIF(PArticipationFevrier1[[#This Row],[1]:[30]],code29)</f>
        <v>0</v>
      </c>
      <c r="BM40" s="472"/>
      <c r="BN40" s="472"/>
      <c r="BO40" s="472"/>
      <c r="BP40" s="472"/>
      <c r="BQ40" s="472"/>
      <c r="BR40" s="472"/>
      <c r="BS40" s="472"/>
      <c r="BT40" s="472"/>
      <c r="BU40" s="472"/>
      <c r="BV40" s="472"/>
      <c r="BW40" s="472"/>
      <c r="BX40" s="472"/>
      <c r="BY40" s="472"/>
      <c r="BZ40" s="472"/>
      <c r="CA40" s="472"/>
      <c r="CB40" s="472"/>
      <c r="CC40" s="472"/>
      <c r="CD40" s="472"/>
      <c r="CE40" s="472"/>
      <c r="CF40" s="472"/>
      <c r="CG40" s="472"/>
      <c r="CH40" s="472"/>
      <c r="CI40" s="472"/>
      <c r="CJ40" s="472"/>
      <c r="CK40" s="472"/>
      <c r="CL40" s="472"/>
      <c r="CM40" s="472"/>
      <c r="CN40" s="472"/>
      <c r="CO40" s="472"/>
      <c r="CP40" s="472"/>
      <c r="CQ40" s="472"/>
      <c r="CR40" s="472"/>
      <c r="CS40" s="472"/>
      <c r="CT40" s="472"/>
      <c r="CU40" s="300"/>
      <c r="CV40" s="507">
        <f t="shared" si="5"/>
        <v>0</v>
      </c>
      <c r="CW40" s="531">
        <f t="shared" si="6"/>
        <v>0</v>
      </c>
      <c r="CX40" s="532">
        <f t="shared" si="7"/>
        <v>0</v>
      </c>
      <c r="CY40" s="157">
        <f t="shared" si="4"/>
        <v>0</v>
      </c>
    </row>
    <row r="41" spans="1:103">
      <c r="A41" s="510" t="s">
        <v>382</v>
      </c>
      <c r="B41" s="152" t="str">
        <f>IFERROR(VLOOKUP(PArticipationFevrier1[[#This Row],[Référence]],ListeÉtudiants1[],18,FALSE),"")</f>
        <v>CEBIN AMANDINE</v>
      </c>
      <c r="AF41" s="19"/>
      <c r="AG41" s="478"/>
      <c r="AH41" s="439">
        <f>COUNTIF(PArticipationFevrier1[[#This Row],[1]:[30]],Code1)</f>
        <v>0</v>
      </c>
      <c r="AI41" s="474">
        <f>COUNTIF(PArticipationFevrier1[[#This Row],[1]:[30]],code22)</f>
        <v>0</v>
      </c>
      <c r="AJ41" s="439">
        <f>COUNTIF(PArticipationFevrier1[[#This Row],[1]:[30]],Code2)</f>
        <v>0</v>
      </c>
      <c r="AK41" s="439">
        <f>COUNTIF(PArticipationFevrier1[[#This Row],[1]:[30]],Code3)</f>
        <v>0</v>
      </c>
      <c r="AL41" s="439">
        <f>COUNTIF(PArticipationFevrier1[[#This Row],[1]:[30]],Code4)</f>
        <v>0</v>
      </c>
      <c r="AM41" s="474">
        <f>COUNTIF(PArticipationFevrier1[[#This Row],[1]:[30]],Code5)</f>
        <v>0</v>
      </c>
      <c r="AN41" s="474"/>
      <c r="AO41" s="474">
        <f>COUNTIF(PArticipationFevrier1[[#This Row],[1]:[30]],Code6)</f>
        <v>0</v>
      </c>
      <c r="AP41" s="474">
        <f>COUNTIF(PArticipationFevrier1[[#This Row],[1]:[30]],Code7)</f>
        <v>0</v>
      </c>
      <c r="AQ41" s="474">
        <f>COUNTIF(PArticipationFevrier1[[#This Row],[1]:[30]],Code8)</f>
        <v>0</v>
      </c>
      <c r="AR41" s="474">
        <f>COUNTIF(PArticipationFevrier1[[#This Row],[1]:[30]],Code9)</f>
        <v>0</v>
      </c>
      <c r="AS41" s="474">
        <f>COUNTIF(PArticipationFevrier1[[#This Row],[1]:[30]],Code10)</f>
        <v>0</v>
      </c>
      <c r="AT41" s="474">
        <f>COUNTIF(PArticipationFevrier1[[#This Row],[1]:[30]],Code11)</f>
        <v>0</v>
      </c>
      <c r="AU41" s="474">
        <f>COUNTIF(PArticipationFevrier1[[#This Row],[1]:[30]],Code12)</f>
        <v>0</v>
      </c>
      <c r="AV41" s="474">
        <f>COUNTIF(PArticipationFevrier1[[#This Row],[1]:[30]],Code13)</f>
        <v>0</v>
      </c>
      <c r="AW41" s="474">
        <f>COUNTIF(PArticipationFevrier1[[#This Row],[1]:[30]],Code14)</f>
        <v>0</v>
      </c>
      <c r="AX41" s="474">
        <f>COUNTIF(PArticipationFevrier1[[#This Row],[1]:[30]],Code15)</f>
        <v>0</v>
      </c>
      <c r="AY41" s="474">
        <f>COUNTIF(PArticipationFevrier1[[#This Row],[1]:[30]],Code16)</f>
        <v>0</v>
      </c>
      <c r="AZ41" s="474">
        <f>COUNTIF(PArticipationFevrier1[[#This Row],[1]:[30]],Code17)</f>
        <v>0</v>
      </c>
      <c r="BA41" s="474">
        <f>COUNTIF(PArticipationFevrier1[[#This Row],[1]:[30]],Code26)</f>
        <v>0</v>
      </c>
      <c r="BB41" s="474">
        <f>COUNTIF(PArticipationFevrier1[[#This Row],[1]:[30]],Code25)</f>
        <v>0</v>
      </c>
      <c r="BC41" s="474">
        <f>COUNTIF(PArticipationFevrier1[[#This Row],[1]:[30]],Code27)</f>
        <v>0</v>
      </c>
      <c r="BD41" s="474">
        <f>COUNTIF(PArticipationFevrier1[[#This Row],[1]:[30]],Code28)</f>
        <v>0</v>
      </c>
      <c r="BE41" s="474">
        <f>COUNTIF(PArticipationFevrier1[[#This Row],[1]:[30]],code30)</f>
        <v>0</v>
      </c>
      <c r="BF41" s="474">
        <f>COUNTIF(PArticipationFevrier1[[#This Row],[1]:[30]],Code31)</f>
        <v>0</v>
      </c>
      <c r="BG41" s="474">
        <f>COUNTIF(PArticipationFevrier1[[#This Row],[1]:[30]],code21)</f>
        <v>0</v>
      </c>
      <c r="BH41" s="474">
        <f>COUNTIF(PArticipationFevrier1[[#This Row],[1]:[30]],Code24)</f>
        <v>0</v>
      </c>
      <c r="BI41" s="474">
        <f>COUNTIF(PArticipationFevrier1[[#This Row],[1]:[30]],code18)</f>
        <v>0</v>
      </c>
      <c r="BJ41" s="474">
        <f>COUNTIF(PArticipationFevrier1[[#This Row],[1]:[30]],code19)</f>
        <v>0</v>
      </c>
      <c r="BK41" s="474">
        <f>COUNTIF(PArticipationFevrier1[[#This Row],[1]:[30]],code20)</f>
        <v>0</v>
      </c>
      <c r="BL41" s="476">
        <f>COUNTIF(PArticipationFevrier1[[#This Row],[1]:[30]],code29)</f>
        <v>0</v>
      </c>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2"/>
      <c r="CM41" s="472"/>
      <c r="CN41" s="472"/>
      <c r="CO41" s="472"/>
      <c r="CP41" s="472"/>
      <c r="CQ41" s="472"/>
      <c r="CR41" s="472"/>
      <c r="CS41" s="472"/>
      <c r="CT41" s="472"/>
      <c r="CU41" s="300"/>
      <c r="CV41" s="507">
        <f t="shared" si="5"/>
        <v>0</v>
      </c>
      <c r="CW41" s="531">
        <f t="shared" si="6"/>
        <v>0</v>
      </c>
      <c r="CX41" s="532">
        <f t="shared" si="7"/>
        <v>0</v>
      </c>
      <c r="CY41" s="157">
        <f t="shared" si="4"/>
        <v>0</v>
      </c>
    </row>
    <row r="42" spans="1:103">
      <c r="A42" s="534" t="s">
        <v>383</v>
      </c>
      <c r="B42" s="152" t="str">
        <f>IFERROR(VLOOKUP(PArticipationFevrier1[[#This Row],[Référence]],ListeÉtudiants1[],18,FALSE),"")</f>
        <v>CHARPAGNE MORGANE</v>
      </c>
      <c r="AF42" s="19"/>
      <c r="AG42" s="478"/>
      <c r="AH42" s="439">
        <f>COUNTIF(PArticipationFevrier1[[#This Row],[1]:[30]],Code1)</f>
        <v>0</v>
      </c>
      <c r="AI42" s="474">
        <f>COUNTIF(PArticipationFevrier1[[#This Row],[1]:[30]],code22)</f>
        <v>0</v>
      </c>
      <c r="AJ42" s="439">
        <f>COUNTIF(PArticipationFevrier1[[#This Row],[1]:[30]],Code2)</f>
        <v>0</v>
      </c>
      <c r="AK42" s="439">
        <f>COUNTIF(PArticipationFevrier1[[#This Row],[1]:[30]],Code3)</f>
        <v>0</v>
      </c>
      <c r="AL42" s="439">
        <f>COUNTIF(PArticipationFevrier1[[#This Row],[1]:[30]],Code4)</f>
        <v>0</v>
      </c>
      <c r="AM42" s="474">
        <f>COUNTIF(PArticipationFevrier1[[#This Row],[1]:[30]],Code5)</f>
        <v>0</v>
      </c>
      <c r="AN42" s="474"/>
      <c r="AO42" s="474">
        <f>COUNTIF(PArticipationFevrier1[[#This Row],[1]:[30]],Code6)</f>
        <v>0</v>
      </c>
      <c r="AP42" s="474">
        <f>COUNTIF(PArticipationFevrier1[[#This Row],[1]:[30]],Code7)</f>
        <v>0</v>
      </c>
      <c r="AQ42" s="474">
        <f>COUNTIF(PArticipationFevrier1[[#This Row],[1]:[30]],Code8)</f>
        <v>0</v>
      </c>
      <c r="AR42" s="474">
        <f>COUNTIF(PArticipationFevrier1[[#This Row],[1]:[30]],Code9)</f>
        <v>0</v>
      </c>
      <c r="AS42" s="474">
        <f>COUNTIF(PArticipationFevrier1[[#This Row],[1]:[30]],Code10)</f>
        <v>0</v>
      </c>
      <c r="AT42" s="474">
        <f>COUNTIF(PArticipationFevrier1[[#This Row],[1]:[30]],Code11)</f>
        <v>0</v>
      </c>
      <c r="AU42" s="474">
        <f>COUNTIF(PArticipationFevrier1[[#This Row],[1]:[30]],Code12)</f>
        <v>0</v>
      </c>
      <c r="AV42" s="474">
        <f>COUNTIF(PArticipationFevrier1[[#This Row],[1]:[30]],Code13)</f>
        <v>0</v>
      </c>
      <c r="AW42" s="474">
        <f>COUNTIF(PArticipationFevrier1[[#This Row],[1]:[30]],Code14)</f>
        <v>0</v>
      </c>
      <c r="AX42" s="474">
        <f>COUNTIF(PArticipationFevrier1[[#This Row],[1]:[30]],Code15)</f>
        <v>0</v>
      </c>
      <c r="AY42" s="474">
        <f>COUNTIF(PArticipationFevrier1[[#This Row],[1]:[30]],Code16)</f>
        <v>0</v>
      </c>
      <c r="AZ42" s="474">
        <f>COUNTIF(PArticipationFevrier1[[#This Row],[1]:[30]],Code17)</f>
        <v>0</v>
      </c>
      <c r="BA42" s="474">
        <f>COUNTIF(PArticipationFevrier1[[#This Row],[1]:[30]],Code26)</f>
        <v>0</v>
      </c>
      <c r="BB42" s="474">
        <f>COUNTIF(PArticipationFevrier1[[#This Row],[1]:[30]],Code25)</f>
        <v>0</v>
      </c>
      <c r="BC42" s="474">
        <f>COUNTIF(PArticipationFevrier1[[#This Row],[1]:[30]],Code27)</f>
        <v>0</v>
      </c>
      <c r="BD42" s="474">
        <f>COUNTIF(PArticipationFevrier1[[#This Row],[1]:[30]],Code28)</f>
        <v>0</v>
      </c>
      <c r="BE42" s="474">
        <f>COUNTIF(PArticipationFevrier1[[#This Row],[1]:[30]],code30)</f>
        <v>0</v>
      </c>
      <c r="BF42" s="474">
        <f>COUNTIF(PArticipationFevrier1[[#This Row],[1]:[30]],Code31)</f>
        <v>0</v>
      </c>
      <c r="BG42" s="474">
        <f>COUNTIF(PArticipationFevrier1[[#This Row],[1]:[30]],code21)</f>
        <v>0</v>
      </c>
      <c r="BH42" s="474">
        <f>COUNTIF(PArticipationFevrier1[[#This Row],[1]:[30]],Code24)</f>
        <v>0</v>
      </c>
      <c r="BI42" s="474">
        <f>COUNTIF(PArticipationFevrier1[[#This Row],[1]:[30]],code18)</f>
        <v>0</v>
      </c>
      <c r="BJ42" s="474">
        <f>COUNTIF(PArticipationFevrier1[[#This Row],[1]:[30]],code19)</f>
        <v>0</v>
      </c>
      <c r="BK42" s="474">
        <f>COUNTIF(PArticipationFevrier1[[#This Row],[1]:[30]],code20)</f>
        <v>0</v>
      </c>
      <c r="BL42" s="476">
        <f>COUNTIF(PArticipationFevrier1[[#This Row],[1]:[30]],code29)</f>
        <v>0</v>
      </c>
      <c r="BM42" s="472"/>
      <c r="BN42" s="472"/>
      <c r="BO42" s="472"/>
      <c r="BP42" s="472"/>
      <c r="BQ42" s="472"/>
      <c r="BR42" s="472"/>
      <c r="BS42" s="472"/>
      <c r="BT42" s="472"/>
      <c r="BU42" s="472"/>
      <c r="BV42" s="472"/>
      <c r="BW42" s="472"/>
      <c r="BX42" s="472"/>
      <c r="BY42" s="472"/>
      <c r="BZ42" s="472"/>
      <c r="CA42" s="472"/>
      <c r="CB42" s="472"/>
      <c r="CC42" s="472"/>
      <c r="CD42" s="472"/>
      <c r="CE42" s="472"/>
      <c r="CF42" s="472"/>
      <c r="CG42" s="472"/>
      <c r="CH42" s="472"/>
      <c r="CI42" s="472"/>
      <c r="CJ42" s="472"/>
      <c r="CK42" s="472"/>
      <c r="CL42" s="472"/>
      <c r="CM42" s="472"/>
      <c r="CN42" s="472"/>
      <c r="CO42" s="472"/>
      <c r="CP42" s="472"/>
      <c r="CQ42" s="472"/>
      <c r="CR42" s="472"/>
      <c r="CS42" s="472"/>
      <c r="CT42" s="472"/>
      <c r="CU42" s="300"/>
      <c r="CV42" s="507">
        <f t="shared" si="5"/>
        <v>0</v>
      </c>
      <c r="CW42" s="531">
        <f t="shared" si="6"/>
        <v>0</v>
      </c>
      <c r="CX42" s="532">
        <f t="shared" si="7"/>
        <v>0</v>
      </c>
      <c r="CY42" s="157">
        <f t="shared" si="4"/>
        <v>0</v>
      </c>
    </row>
    <row r="43" spans="1:103">
      <c r="A43" s="534" t="s">
        <v>384</v>
      </c>
      <c r="B43" s="152" t="str">
        <f>IFERROR(VLOOKUP(PArticipationFevrier1[[#This Row],[Référence]],ListeÉtudiants1[],18,FALSE),"")</f>
        <v>CIRACI AYLA</v>
      </c>
      <c r="AF43" s="19"/>
      <c r="AG43" s="478"/>
      <c r="AH43" s="439">
        <f>COUNTIF(PArticipationFevrier1[[#This Row],[1]:[30]],Code1)</f>
        <v>0</v>
      </c>
      <c r="AI43" s="474">
        <f>COUNTIF(PArticipationFevrier1[[#This Row],[1]:[30]],code22)</f>
        <v>0</v>
      </c>
      <c r="AJ43" s="439">
        <f>COUNTIF(PArticipationFevrier1[[#This Row],[1]:[30]],Code2)</f>
        <v>0</v>
      </c>
      <c r="AK43" s="439">
        <f>COUNTIF(PArticipationFevrier1[[#This Row],[1]:[30]],Code3)</f>
        <v>0</v>
      </c>
      <c r="AL43" s="439">
        <f>COUNTIF(PArticipationFevrier1[[#This Row],[1]:[30]],Code4)</f>
        <v>0</v>
      </c>
      <c r="AM43" s="474">
        <f>COUNTIF(PArticipationFevrier1[[#This Row],[1]:[30]],Code5)</f>
        <v>0</v>
      </c>
      <c r="AN43" s="474"/>
      <c r="AO43" s="474">
        <f>COUNTIF(PArticipationFevrier1[[#This Row],[1]:[30]],Code6)</f>
        <v>0</v>
      </c>
      <c r="AP43" s="474">
        <f>COUNTIF(PArticipationFevrier1[[#This Row],[1]:[30]],Code7)</f>
        <v>0</v>
      </c>
      <c r="AQ43" s="474">
        <f>COUNTIF(PArticipationFevrier1[[#This Row],[1]:[30]],Code8)</f>
        <v>0</v>
      </c>
      <c r="AR43" s="474">
        <f>COUNTIF(PArticipationFevrier1[[#This Row],[1]:[30]],Code9)</f>
        <v>0</v>
      </c>
      <c r="AS43" s="474">
        <f>COUNTIF(PArticipationFevrier1[[#This Row],[1]:[30]],Code10)</f>
        <v>0</v>
      </c>
      <c r="AT43" s="474">
        <f>COUNTIF(PArticipationFevrier1[[#This Row],[1]:[30]],Code11)</f>
        <v>0</v>
      </c>
      <c r="AU43" s="474">
        <f>COUNTIF(PArticipationFevrier1[[#This Row],[1]:[30]],Code12)</f>
        <v>0</v>
      </c>
      <c r="AV43" s="474">
        <f>COUNTIF(PArticipationFevrier1[[#This Row],[1]:[30]],Code13)</f>
        <v>0</v>
      </c>
      <c r="AW43" s="474">
        <f>COUNTIF(PArticipationFevrier1[[#This Row],[1]:[30]],Code14)</f>
        <v>0</v>
      </c>
      <c r="AX43" s="474">
        <f>COUNTIF(PArticipationFevrier1[[#This Row],[1]:[30]],Code15)</f>
        <v>0</v>
      </c>
      <c r="AY43" s="474">
        <f>COUNTIF(PArticipationFevrier1[[#This Row],[1]:[30]],Code16)</f>
        <v>0</v>
      </c>
      <c r="AZ43" s="474">
        <f>COUNTIF(PArticipationFevrier1[[#This Row],[1]:[30]],Code17)</f>
        <v>0</v>
      </c>
      <c r="BA43" s="474">
        <f>COUNTIF(PArticipationFevrier1[[#This Row],[1]:[30]],Code26)</f>
        <v>0</v>
      </c>
      <c r="BB43" s="474">
        <f>COUNTIF(PArticipationFevrier1[[#This Row],[1]:[30]],Code25)</f>
        <v>0</v>
      </c>
      <c r="BC43" s="474">
        <f>COUNTIF(PArticipationFevrier1[[#This Row],[1]:[30]],Code27)</f>
        <v>0</v>
      </c>
      <c r="BD43" s="474">
        <f>COUNTIF(PArticipationFevrier1[[#This Row],[1]:[30]],Code28)</f>
        <v>0</v>
      </c>
      <c r="BE43" s="474">
        <f>COUNTIF(PArticipationFevrier1[[#This Row],[1]:[30]],code30)</f>
        <v>0</v>
      </c>
      <c r="BF43" s="474">
        <f>COUNTIF(PArticipationFevrier1[[#This Row],[1]:[30]],Code31)</f>
        <v>0</v>
      </c>
      <c r="BG43" s="474">
        <f>COUNTIF(PArticipationFevrier1[[#This Row],[1]:[30]],code21)</f>
        <v>0</v>
      </c>
      <c r="BH43" s="474">
        <f>COUNTIF(PArticipationFevrier1[[#This Row],[1]:[30]],Code24)</f>
        <v>0</v>
      </c>
      <c r="BI43" s="474">
        <f>COUNTIF(PArticipationFevrier1[[#This Row],[1]:[30]],code18)</f>
        <v>0</v>
      </c>
      <c r="BJ43" s="474">
        <f>COUNTIF(PArticipationFevrier1[[#This Row],[1]:[30]],code19)</f>
        <v>0</v>
      </c>
      <c r="BK43" s="474">
        <f>COUNTIF(PArticipationFevrier1[[#This Row],[1]:[30]],code20)</f>
        <v>0</v>
      </c>
      <c r="BL43" s="476">
        <f>COUNTIF(PArticipationFevrier1[[#This Row],[1]:[30]],code29)</f>
        <v>0</v>
      </c>
      <c r="BM43" s="472"/>
      <c r="BN43" s="472"/>
      <c r="BO43" s="472"/>
      <c r="BP43" s="472"/>
      <c r="BQ43" s="472"/>
      <c r="BR43" s="472"/>
      <c r="BS43" s="472"/>
      <c r="BT43" s="472"/>
      <c r="BU43" s="472"/>
      <c r="BV43" s="472"/>
      <c r="BW43" s="472"/>
      <c r="BX43" s="472"/>
      <c r="BY43" s="472"/>
      <c r="BZ43" s="472"/>
      <c r="CA43" s="472"/>
      <c r="CB43" s="472"/>
      <c r="CC43" s="472"/>
      <c r="CD43" s="472"/>
      <c r="CE43" s="472"/>
      <c r="CF43" s="472"/>
      <c r="CG43" s="472"/>
      <c r="CH43" s="472"/>
      <c r="CI43" s="472"/>
      <c r="CJ43" s="472"/>
      <c r="CK43" s="472"/>
      <c r="CL43" s="472"/>
      <c r="CM43" s="472"/>
      <c r="CN43" s="472"/>
      <c r="CO43" s="472"/>
      <c r="CP43" s="472"/>
      <c r="CQ43" s="472"/>
      <c r="CR43" s="472"/>
      <c r="CS43" s="472"/>
      <c r="CT43" s="472"/>
      <c r="CU43" s="300"/>
      <c r="CV43" s="507">
        <f t="shared" si="5"/>
        <v>0</v>
      </c>
      <c r="CW43" s="531">
        <f t="shared" si="6"/>
        <v>0</v>
      </c>
      <c r="CX43" s="532">
        <f t="shared" si="7"/>
        <v>0</v>
      </c>
      <c r="CY43" s="157">
        <f t="shared" si="4"/>
        <v>0</v>
      </c>
    </row>
    <row r="44" spans="1:103">
      <c r="A44" s="510" t="s">
        <v>385</v>
      </c>
      <c r="B44" s="152" t="str">
        <f>IFERROR(VLOOKUP(PArticipationFevrier1[[#This Row],[Référence]],ListeÉtudiants1[],18,FALSE),"")</f>
        <v>CLARY VERONIQUE</v>
      </c>
      <c r="AF44" s="19"/>
      <c r="AG44" s="478"/>
      <c r="AH44" s="439">
        <f>COUNTIF(PArticipationFevrier1[[#This Row],[1]:[30]],Code1)</f>
        <v>0</v>
      </c>
      <c r="AI44" s="474">
        <f>COUNTIF(PArticipationFevrier1[[#This Row],[1]:[30]],code22)</f>
        <v>0</v>
      </c>
      <c r="AJ44" s="439">
        <f>COUNTIF(PArticipationFevrier1[[#This Row],[1]:[30]],Code2)</f>
        <v>0</v>
      </c>
      <c r="AK44" s="439">
        <f>COUNTIF(PArticipationFevrier1[[#This Row],[1]:[30]],Code3)</f>
        <v>0</v>
      </c>
      <c r="AL44" s="439">
        <f>COUNTIF(PArticipationFevrier1[[#This Row],[1]:[30]],Code4)</f>
        <v>0</v>
      </c>
      <c r="AM44" s="474">
        <f>COUNTIF(PArticipationFevrier1[[#This Row],[1]:[30]],Code5)</f>
        <v>0</v>
      </c>
      <c r="AN44" s="474"/>
      <c r="AO44" s="474">
        <f>COUNTIF(PArticipationFevrier1[[#This Row],[1]:[30]],Code6)</f>
        <v>0</v>
      </c>
      <c r="AP44" s="474">
        <f>COUNTIF(PArticipationFevrier1[[#This Row],[1]:[30]],Code7)</f>
        <v>0</v>
      </c>
      <c r="AQ44" s="474">
        <f>COUNTIF(PArticipationFevrier1[[#This Row],[1]:[30]],Code8)</f>
        <v>0</v>
      </c>
      <c r="AR44" s="474">
        <f>COUNTIF(PArticipationFevrier1[[#This Row],[1]:[30]],Code9)</f>
        <v>0</v>
      </c>
      <c r="AS44" s="474">
        <f>COUNTIF(PArticipationFevrier1[[#This Row],[1]:[30]],Code10)</f>
        <v>0</v>
      </c>
      <c r="AT44" s="474">
        <f>COUNTIF(PArticipationFevrier1[[#This Row],[1]:[30]],Code11)</f>
        <v>0</v>
      </c>
      <c r="AU44" s="474">
        <f>COUNTIF(PArticipationFevrier1[[#This Row],[1]:[30]],Code12)</f>
        <v>0</v>
      </c>
      <c r="AV44" s="474">
        <f>COUNTIF(PArticipationFevrier1[[#This Row],[1]:[30]],Code13)</f>
        <v>0</v>
      </c>
      <c r="AW44" s="474">
        <f>COUNTIF(PArticipationFevrier1[[#This Row],[1]:[30]],Code14)</f>
        <v>0</v>
      </c>
      <c r="AX44" s="474">
        <f>COUNTIF(PArticipationFevrier1[[#This Row],[1]:[30]],Code15)</f>
        <v>0</v>
      </c>
      <c r="AY44" s="474">
        <f>COUNTIF(PArticipationFevrier1[[#This Row],[1]:[30]],Code16)</f>
        <v>0</v>
      </c>
      <c r="AZ44" s="474">
        <f>COUNTIF(PArticipationFevrier1[[#This Row],[1]:[30]],Code17)</f>
        <v>0</v>
      </c>
      <c r="BA44" s="474">
        <f>COUNTIF(PArticipationFevrier1[[#This Row],[1]:[30]],Code26)</f>
        <v>0</v>
      </c>
      <c r="BB44" s="474">
        <f>COUNTIF(PArticipationFevrier1[[#This Row],[1]:[30]],Code25)</f>
        <v>0</v>
      </c>
      <c r="BC44" s="474">
        <f>COUNTIF(PArticipationFevrier1[[#This Row],[1]:[30]],Code27)</f>
        <v>0</v>
      </c>
      <c r="BD44" s="474">
        <f>COUNTIF(PArticipationFevrier1[[#This Row],[1]:[30]],Code28)</f>
        <v>0</v>
      </c>
      <c r="BE44" s="474">
        <f>COUNTIF(PArticipationFevrier1[[#This Row],[1]:[30]],code30)</f>
        <v>0</v>
      </c>
      <c r="BF44" s="474">
        <f>COUNTIF(PArticipationFevrier1[[#This Row],[1]:[30]],Code31)</f>
        <v>0</v>
      </c>
      <c r="BG44" s="474">
        <f>COUNTIF(PArticipationFevrier1[[#This Row],[1]:[30]],code21)</f>
        <v>0</v>
      </c>
      <c r="BH44" s="474">
        <f>COUNTIF(PArticipationFevrier1[[#This Row],[1]:[30]],Code24)</f>
        <v>0</v>
      </c>
      <c r="BI44" s="474">
        <f>COUNTIF(PArticipationFevrier1[[#This Row],[1]:[30]],code18)</f>
        <v>0</v>
      </c>
      <c r="BJ44" s="474">
        <f>COUNTIF(PArticipationFevrier1[[#This Row],[1]:[30]],code19)</f>
        <v>0</v>
      </c>
      <c r="BK44" s="474">
        <f>COUNTIF(PArticipationFevrier1[[#This Row],[1]:[30]],code20)</f>
        <v>0</v>
      </c>
      <c r="BL44" s="476">
        <f>COUNTIF(PArticipationFevrier1[[#This Row],[1]:[30]],code29)</f>
        <v>0</v>
      </c>
      <c r="BM44" s="472"/>
      <c r="BN44" s="472"/>
      <c r="BO44" s="472"/>
      <c r="BP44" s="472"/>
      <c r="BQ44" s="472"/>
      <c r="BR44" s="472"/>
      <c r="BS44" s="472"/>
      <c r="BT44" s="472"/>
      <c r="BU44" s="472"/>
      <c r="BV44" s="472"/>
      <c r="BW44" s="472"/>
      <c r="BX44" s="472"/>
      <c r="BY44" s="472"/>
      <c r="BZ44" s="472"/>
      <c r="CA44" s="472"/>
      <c r="CB44" s="472"/>
      <c r="CC44" s="472"/>
      <c r="CD44" s="472"/>
      <c r="CE44" s="472"/>
      <c r="CF44" s="472"/>
      <c r="CG44" s="472"/>
      <c r="CH44" s="472"/>
      <c r="CI44" s="472"/>
      <c r="CJ44" s="472"/>
      <c r="CK44" s="472"/>
      <c r="CL44" s="472"/>
      <c r="CM44" s="472"/>
      <c r="CN44" s="472"/>
      <c r="CO44" s="472"/>
      <c r="CP44" s="472"/>
      <c r="CQ44" s="472"/>
      <c r="CR44" s="472"/>
      <c r="CS44" s="472"/>
      <c r="CT44" s="472"/>
      <c r="CU44" s="300"/>
      <c r="CV44" s="507">
        <f t="shared" si="5"/>
        <v>0</v>
      </c>
      <c r="CW44" s="531">
        <f t="shared" si="6"/>
        <v>0</v>
      </c>
      <c r="CX44" s="532">
        <f t="shared" si="7"/>
        <v>0</v>
      </c>
      <c r="CY44" s="157">
        <f t="shared" si="4"/>
        <v>0</v>
      </c>
    </row>
    <row r="45" spans="1:103">
      <c r="A45" s="534" t="s">
        <v>386</v>
      </c>
      <c r="B45" s="152" t="str">
        <f>IFERROR(VLOOKUP(PArticipationFevrier1[[#This Row],[Référence]],ListeÉtudiants1[],18,FALSE),"")</f>
        <v>CLAUDIN LAURENE</v>
      </c>
      <c r="AF45" s="19"/>
      <c r="AG45" s="478"/>
      <c r="AH45" s="439">
        <f>COUNTIF(PArticipationFevrier1[[#This Row],[1]:[30]],Code1)</f>
        <v>0</v>
      </c>
      <c r="AI45" s="474">
        <f>COUNTIF(PArticipationFevrier1[[#This Row],[1]:[30]],code22)</f>
        <v>0</v>
      </c>
      <c r="AJ45" s="439">
        <f>COUNTIF(PArticipationFevrier1[[#This Row],[1]:[30]],Code2)</f>
        <v>0</v>
      </c>
      <c r="AK45" s="439">
        <f>COUNTIF(PArticipationFevrier1[[#This Row],[1]:[30]],Code3)</f>
        <v>0</v>
      </c>
      <c r="AL45" s="439">
        <f>COUNTIF(PArticipationFevrier1[[#This Row],[1]:[30]],Code4)</f>
        <v>0</v>
      </c>
      <c r="AM45" s="474">
        <f>COUNTIF(PArticipationFevrier1[[#This Row],[1]:[30]],Code5)</f>
        <v>0</v>
      </c>
      <c r="AN45" s="474"/>
      <c r="AO45" s="474">
        <f>COUNTIF(PArticipationFevrier1[[#This Row],[1]:[30]],Code6)</f>
        <v>0</v>
      </c>
      <c r="AP45" s="474">
        <f>COUNTIF(PArticipationFevrier1[[#This Row],[1]:[30]],Code7)</f>
        <v>0</v>
      </c>
      <c r="AQ45" s="474">
        <f>COUNTIF(PArticipationFevrier1[[#This Row],[1]:[30]],Code8)</f>
        <v>0</v>
      </c>
      <c r="AR45" s="474">
        <f>COUNTIF(PArticipationFevrier1[[#This Row],[1]:[30]],Code9)</f>
        <v>0</v>
      </c>
      <c r="AS45" s="474">
        <f>COUNTIF(PArticipationFevrier1[[#This Row],[1]:[30]],Code10)</f>
        <v>0</v>
      </c>
      <c r="AT45" s="474">
        <f>COUNTIF(PArticipationFevrier1[[#This Row],[1]:[30]],Code11)</f>
        <v>0</v>
      </c>
      <c r="AU45" s="474">
        <f>COUNTIF(PArticipationFevrier1[[#This Row],[1]:[30]],Code12)</f>
        <v>0</v>
      </c>
      <c r="AV45" s="474">
        <f>COUNTIF(PArticipationFevrier1[[#This Row],[1]:[30]],Code13)</f>
        <v>0</v>
      </c>
      <c r="AW45" s="474">
        <f>COUNTIF(PArticipationFevrier1[[#This Row],[1]:[30]],Code14)</f>
        <v>0</v>
      </c>
      <c r="AX45" s="474">
        <f>COUNTIF(PArticipationFevrier1[[#This Row],[1]:[30]],Code15)</f>
        <v>0</v>
      </c>
      <c r="AY45" s="474">
        <f>COUNTIF(PArticipationFevrier1[[#This Row],[1]:[30]],Code16)</f>
        <v>0</v>
      </c>
      <c r="AZ45" s="474">
        <f>COUNTIF(PArticipationFevrier1[[#This Row],[1]:[30]],Code17)</f>
        <v>0</v>
      </c>
      <c r="BA45" s="474">
        <f>COUNTIF(PArticipationFevrier1[[#This Row],[1]:[30]],Code26)</f>
        <v>0</v>
      </c>
      <c r="BB45" s="474">
        <f>COUNTIF(PArticipationFevrier1[[#This Row],[1]:[30]],Code25)</f>
        <v>0</v>
      </c>
      <c r="BC45" s="474">
        <f>COUNTIF(PArticipationFevrier1[[#This Row],[1]:[30]],Code27)</f>
        <v>0</v>
      </c>
      <c r="BD45" s="474">
        <f>COUNTIF(PArticipationFevrier1[[#This Row],[1]:[30]],Code28)</f>
        <v>0</v>
      </c>
      <c r="BE45" s="474">
        <f>COUNTIF(PArticipationFevrier1[[#This Row],[1]:[30]],code30)</f>
        <v>0</v>
      </c>
      <c r="BF45" s="474">
        <f>COUNTIF(PArticipationFevrier1[[#This Row],[1]:[30]],Code31)</f>
        <v>0</v>
      </c>
      <c r="BG45" s="474">
        <f>COUNTIF(PArticipationFevrier1[[#This Row],[1]:[30]],code21)</f>
        <v>0</v>
      </c>
      <c r="BH45" s="474">
        <f>COUNTIF(PArticipationFevrier1[[#This Row],[1]:[30]],Code24)</f>
        <v>0</v>
      </c>
      <c r="BI45" s="474">
        <f>COUNTIF(PArticipationFevrier1[[#This Row],[1]:[30]],code18)</f>
        <v>0</v>
      </c>
      <c r="BJ45" s="474">
        <f>COUNTIF(PArticipationFevrier1[[#This Row],[1]:[30]],code19)</f>
        <v>0</v>
      </c>
      <c r="BK45" s="474">
        <f>COUNTIF(PArticipationFevrier1[[#This Row],[1]:[30]],code20)</f>
        <v>0</v>
      </c>
      <c r="BL45" s="476">
        <f>COUNTIF(PArticipationFevrier1[[#This Row],[1]:[30]],code29)</f>
        <v>0</v>
      </c>
      <c r="BM45" s="472"/>
      <c r="BN45" s="472"/>
      <c r="BO45" s="472"/>
      <c r="BP45" s="472"/>
      <c r="BQ45" s="472"/>
      <c r="BR45" s="472"/>
      <c r="BS45" s="472"/>
      <c r="BT45" s="472"/>
      <c r="BU45" s="472"/>
      <c r="BV45" s="472"/>
      <c r="BW45" s="472"/>
      <c r="BX45" s="472"/>
      <c r="BY45" s="472"/>
      <c r="BZ45" s="472"/>
      <c r="CA45" s="472"/>
      <c r="CB45" s="472"/>
      <c r="CC45" s="472"/>
      <c r="CD45" s="472"/>
      <c r="CE45" s="472"/>
      <c r="CF45" s="472"/>
      <c r="CG45" s="472"/>
      <c r="CH45" s="472"/>
      <c r="CI45" s="472"/>
      <c r="CJ45" s="472"/>
      <c r="CK45" s="472"/>
      <c r="CL45" s="472"/>
      <c r="CM45" s="472"/>
      <c r="CN45" s="472"/>
      <c r="CO45" s="472"/>
      <c r="CP45" s="472"/>
      <c r="CQ45" s="472"/>
      <c r="CR45" s="472"/>
      <c r="CS45" s="472"/>
      <c r="CT45" s="472"/>
      <c r="CU45" s="300"/>
      <c r="CV45" s="507">
        <f t="shared" si="5"/>
        <v>0</v>
      </c>
      <c r="CW45" s="531">
        <f t="shared" si="6"/>
        <v>0</v>
      </c>
      <c r="CX45" s="532">
        <f t="shared" si="7"/>
        <v>0</v>
      </c>
      <c r="CY45" s="157">
        <f t="shared" si="4"/>
        <v>0</v>
      </c>
    </row>
    <row r="46" spans="1:103">
      <c r="A46" s="510" t="s">
        <v>387</v>
      </c>
      <c r="B46" s="152" t="str">
        <f>IFERROR(VLOOKUP(PArticipationFevrier1[[#This Row],[Référence]],ListeÉtudiants1[],18,FALSE),"")</f>
        <v>CORDEREIX MARIE</v>
      </c>
      <c r="AF46" s="19"/>
      <c r="AG46" s="478"/>
      <c r="AH46" s="439">
        <f>COUNTIF(PArticipationFevrier1[[#This Row],[1]:[30]],Code1)</f>
        <v>0</v>
      </c>
      <c r="AI46" s="474">
        <f>COUNTIF(PArticipationFevrier1[[#This Row],[1]:[30]],code22)</f>
        <v>0</v>
      </c>
      <c r="AJ46" s="439">
        <f>COUNTIF(PArticipationFevrier1[[#This Row],[1]:[30]],Code2)</f>
        <v>0</v>
      </c>
      <c r="AK46" s="439">
        <f>COUNTIF(PArticipationFevrier1[[#This Row],[1]:[30]],Code3)</f>
        <v>0</v>
      </c>
      <c r="AL46" s="439">
        <f>COUNTIF(PArticipationFevrier1[[#This Row],[1]:[30]],Code4)</f>
        <v>0</v>
      </c>
      <c r="AM46" s="474">
        <f>COUNTIF(PArticipationFevrier1[[#This Row],[1]:[30]],Code5)</f>
        <v>0</v>
      </c>
      <c r="AN46" s="474"/>
      <c r="AO46" s="474">
        <f>COUNTIF(PArticipationFevrier1[[#This Row],[1]:[30]],Code6)</f>
        <v>0</v>
      </c>
      <c r="AP46" s="474">
        <f>COUNTIF(PArticipationFevrier1[[#This Row],[1]:[30]],Code7)</f>
        <v>0</v>
      </c>
      <c r="AQ46" s="474">
        <f>COUNTIF(PArticipationFevrier1[[#This Row],[1]:[30]],Code8)</f>
        <v>0</v>
      </c>
      <c r="AR46" s="474">
        <f>COUNTIF(PArticipationFevrier1[[#This Row],[1]:[30]],Code9)</f>
        <v>0</v>
      </c>
      <c r="AS46" s="474">
        <f>COUNTIF(PArticipationFevrier1[[#This Row],[1]:[30]],Code10)</f>
        <v>0</v>
      </c>
      <c r="AT46" s="474">
        <f>COUNTIF(PArticipationFevrier1[[#This Row],[1]:[30]],Code11)</f>
        <v>0</v>
      </c>
      <c r="AU46" s="474">
        <f>COUNTIF(PArticipationFevrier1[[#This Row],[1]:[30]],Code12)</f>
        <v>0</v>
      </c>
      <c r="AV46" s="474">
        <f>COUNTIF(PArticipationFevrier1[[#This Row],[1]:[30]],Code13)</f>
        <v>0</v>
      </c>
      <c r="AW46" s="474">
        <f>COUNTIF(PArticipationFevrier1[[#This Row],[1]:[30]],Code14)</f>
        <v>0</v>
      </c>
      <c r="AX46" s="474">
        <f>COUNTIF(PArticipationFevrier1[[#This Row],[1]:[30]],Code15)</f>
        <v>0</v>
      </c>
      <c r="AY46" s="474">
        <f>COUNTIF(PArticipationFevrier1[[#This Row],[1]:[30]],Code16)</f>
        <v>0</v>
      </c>
      <c r="AZ46" s="474">
        <f>COUNTIF(PArticipationFevrier1[[#This Row],[1]:[30]],Code17)</f>
        <v>0</v>
      </c>
      <c r="BA46" s="474">
        <f>COUNTIF(PArticipationFevrier1[[#This Row],[1]:[30]],Code26)</f>
        <v>0</v>
      </c>
      <c r="BB46" s="474">
        <f>COUNTIF(PArticipationFevrier1[[#This Row],[1]:[30]],Code25)</f>
        <v>0</v>
      </c>
      <c r="BC46" s="474">
        <f>COUNTIF(PArticipationFevrier1[[#This Row],[1]:[30]],Code27)</f>
        <v>0</v>
      </c>
      <c r="BD46" s="474">
        <f>COUNTIF(PArticipationFevrier1[[#This Row],[1]:[30]],Code28)</f>
        <v>0</v>
      </c>
      <c r="BE46" s="474">
        <f>COUNTIF(PArticipationFevrier1[[#This Row],[1]:[30]],code30)</f>
        <v>0</v>
      </c>
      <c r="BF46" s="474">
        <f>COUNTIF(PArticipationFevrier1[[#This Row],[1]:[30]],Code31)</f>
        <v>0</v>
      </c>
      <c r="BG46" s="474">
        <f>COUNTIF(PArticipationFevrier1[[#This Row],[1]:[30]],code21)</f>
        <v>0</v>
      </c>
      <c r="BH46" s="474">
        <f>COUNTIF(PArticipationFevrier1[[#This Row],[1]:[30]],Code24)</f>
        <v>0</v>
      </c>
      <c r="BI46" s="474">
        <f>COUNTIF(PArticipationFevrier1[[#This Row],[1]:[30]],code18)</f>
        <v>0</v>
      </c>
      <c r="BJ46" s="474">
        <f>COUNTIF(PArticipationFevrier1[[#This Row],[1]:[30]],code19)</f>
        <v>0</v>
      </c>
      <c r="BK46" s="474">
        <f>COUNTIF(PArticipationFevrier1[[#This Row],[1]:[30]],code20)</f>
        <v>0</v>
      </c>
      <c r="BL46" s="476">
        <f>COUNTIF(PArticipationFevrier1[[#This Row],[1]:[30]],code29)</f>
        <v>0</v>
      </c>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300"/>
      <c r="CV46" s="507">
        <f t="shared" si="5"/>
        <v>0</v>
      </c>
      <c r="CW46" s="531">
        <f t="shared" si="6"/>
        <v>0</v>
      </c>
      <c r="CX46" s="532">
        <f t="shared" si="7"/>
        <v>0</v>
      </c>
      <c r="CY46" s="157">
        <f t="shared" si="4"/>
        <v>0</v>
      </c>
    </row>
    <row r="47" spans="1:103">
      <c r="A47" s="510" t="s">
        <v>388</v>
      </c>
      <c r="B47" s="152" t="str">
        <f>IFERROR(VLOOKUP(PArticipationFevrier1[[#This Row],[Référence]],ListeÉtudiants1[],18,FALSE),"")</f>
        <v>CORNELIS  ESTELLE</v>
      </c>
      <c r="AF47" s="19"/>
      <c r="AG47" s="478"/>
      <c r="AH47" s="439">
        <f>COUNTIF(PArticipationFevrier1[[#This Row],[1]:[30]],Code1)</f>
        <v>0</v>
      </c>
      <c r="AI47" s="474">
        <f>COUNTIF(PArticipationFevrier1[[#This Row],[1]:[30]],code22)</f>
        <v>0</v>
      </c>
      <c r="AJ47" s="439">
        <f>COUNTIF(PArticipationFevrier1[[#This Row],[1]:[30]],Code2)</f>
        <v>0</v>
      </c>
      <c r="AK47" s="439">
        <f>COUNTIF(PArticipationFevrier1[[#This Row],[1]:[30]],Code3)</f>
        <v>0</v>
      </c>
      <c r="AL47" s="439">
        <f>COUNTIF(PArticipationFevrier1[[#This Row],[1]:[30]],Code4)</f>
        <v>0</v>
      </c>
      <c r="AM47" s="474">
        <f>COUNTIF(PArticipationFevrier1[[#This Row],[1]:[30]],Code5)</f>
        <v>0</v>
      </c>
      <c r="AN47" s="474"/>
      <c r="AO47" s="474">
        <f>COUNTIF(PArticipationFevrier1[[#This Row],[1]:[30]],Code6)</f>
        <v>0</v>
      </c>
      <c r="AP47" s="474">
        <f>COUNTIF(PArticipationFevrier1[[#This Row],[1]:[30]],Code7)</f>
        <v>0</v>
      </c>
      <c r="AQ47" s="474">
        <f>COUNTIF(PArticipationFevrier1[[#This Row],[1]:[30]],Code8)</f>
        <v>0</v>
      </c>
      <c r="AR47" s="474">
        <f>COUNTIF(PArticipationFevrier1[[#This Row],[1]:[30]],Code9)</f>
        <v>0</v>
      </c>
      <c r="AS47" s="474">
        <f>COUNTIF(PArticipationFevrier1[[#This Row],[1]:[30]],Code10)</f>
        <v>0</v>
      </c>
      <c r="AT47" s="474">
        <f>COUNTIF(PArticipationFevrier1[[#This Row],[1]:[30]],Code11)</f>
        <v>0</v>
      </c>
      <c r="AU47" s="474">
        <f>COUNTIF(PArticipationFevrier1[[#This Row],[1]:[30]],Code12)</f>
        <v>0</v>
      </c>
      <c r="AV47" s="474">
        <f>COUNTIF(PArticipationFevrier1[[#This Row],[1]:[30]],Code13)</f>
        <v>0</v>
      </c>
      <c r="AW47" s="474">
        <f>COUNTIF(PArticipationFevrier1[[#This Row],[1]:[30]],Code14)</f>
        <v>0</v>
      </c>
      <c r="AX47" s="474">
        <f>COUNTIF(PArticipationFevrier1[[#This Row],[1]:[30]],Code15)</f>
        <v>0</v>
      </c>
      <c r="AY47" s="474">
        <f>COUNTIF(PArticipationFevrier1[[#This Row],[1]:[30]],Code16)</f>
        <v>0</v>
      </c>
      <c r="AZ47" s="474">
        <f>COUNTIF(PArticipationFevrier1[[#This Row],[1]:[30]],Code17)</f>
        <v>0</v>
      </c>
      <c r="BA47" s="474">
        <f>COUNTIF(PArticipationFevrier1[[#This Row],[1]:[30]],Code26)</f>
        <v>0</v>
      </c>
      <c r="BB47" s="474">
        <f>COUNTIF(PArticipationFevrier1[[#This Row],[1]:[30]],Code25)</f>
        <v>0</v>
      </c>
      <c r="BC47" s="474">
        <f>COUNTIF(PArticipationFevrier1[[#This Row],[1]:[30]],Code27)</f>
        <v>0</v>
      </c>
      <c r="BD47" s="474">
        <f>COUNTIF(PArticipationFevrier1[[#This Row],[1]:[30]],Code28)</f>
        <v>0</v>
      </c>
      <c r="BE47" s="474">
        <f>COUNTIF(PArticipationFevrier1[[#This Row],[1]:[30]],code30)</f>
        <v>0</v>
      </c>
      <c r="BF47" s="474">
        <f>COUNTIF(PArticipationFevrier1[[#This Row],[1]:[30]],Code31)</f>
        <v>0</v>
      </c>
      <c r="BG47" s="474">
        <f>COUNTIF(PArticipationFevrier1[[#This Row],[1]:[30]],code21)</f>
        <v>0</v>
      </c>
      <c r="BH47" s="474">
        <f>COUNTIF(PArticipationFevrier1[[#This Row],[1]:[30]],Code24)</f>
        <v>0</v>
      </c>
      <c r="BI47" s="474">
        <f>COUNTIF(PArticipationFevrier1[[#This Row],[1]:[30]],code18)</f>
        <v>0</v>
      </c>
      <c r="BJ47" s="474">
        <f>COUNTIF(PArticipationFevrier1[[#This Row],[1]:[30]],code19)</f>
        <v>0</v>
      </c>
      <c r="BK47" s="474">
        <f>COUNTIF(PArticipationFevrier1[[#This Row],[1]:[30]],code20)</f>
        <v>0</v>
      </c>
      <c r="BL47" s="476">
        <f>COUNTIF(PArticipationFevrier1[[#This Row],[1]:[30]],code29)</f>
        <v>0</v>
      </c>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2"/>
      <c r="CT47" s="472"/>
      <c r="CU47" s="300"/>
      <c r="CV47" s="507">
        <f t="shared" si="5"/>
        <v>0</v>
      </c>
      <c r="CW47" s="531">
        <f t="shared" si="6"/>
        <v>0</v>
      </c>
      <c r="CX47" s="532">
        <f t="shared" si="7"/>
        <v>0</v>
      </c>
      <c r="CY47" s="157">
        <f t="shared" si="4"/>
        <v>0</v>
      </c>
    </row>
    <row r="48" spans="1:103">
      <c r="A48" s="510" t="s">
        <v>389</v>
      </c>
      <c r="B48" s="152" t="str">
        <f>IFERROR(VLOOKUP(PArticipationFevrier1[[#This Row],[Référence]],ListeÉtudiants1[],18,FALSE),"")</f>
        <v>COULIBALY COLLO</v>
      </c>
      <c r="AF48" s="19"/>
      <c r="AG48" s="478"/>
      <c r="AH48" s="439">
        <f>COUNTIF(PArticipationFevrier1[[#This Row],[1]:[30]],Code1)</f>
        <v>0</v>
      </c>
      <c r="AI48" s="474">
        <f>COUNTIF(PArticipationFevrier1[[#This Row],[1]:[30]],code22)</f>
        <v>0</v>
      </c>
      <c r="AJ48" s="439">
        <f>COUNTIF(PArticipationFevrier1[[#This Row],[1]:[30]],Code2)</f>
        <v>0</v>
      </c>
      <c r="AK48" s="439">
        <f>COUNTIF(PArticipationFevrier1[[#This Row],[1]:[30]],Code3)</f>
        <v>0</v>
      </c>
      <c r="AL48" s="439">
        <f>COUNTIF(PArticipationFevrier1[[#This Row],[1]:[30]],Code4)</f>
        <v>0</v>
      </c>
      <c r="AM48" s="474">
        <f>COUNTIF(PArticipationFevrier1[[#This Row],[1]:[30]],Code5)</f>
        <v>0</v>
      </c>
      <c r="AN48" s="474"/>
      <c r="AO48" s="474">
        <f>COUNTIF(PArticipationFevrier1[[#This Row],[1]:[30]],Code6)</f>
        <v>0</v>
      </c>
      <c r="AP48" s="474">
        <f>COUNTIF(PArticipationFevrier1[[#This Row],[1]:[30]],Code7)</f>
        <v>0</v>
      </c>
      <c r="AQ48" s="474">
        <f>COUNTIF(PArticipationFevrier1[[#This Row],[1]:[30]],Code8)</f>
        <v>0</v>
      </c>
      <c r="AR48" s="474">
        <f>COUNTIF(PArticipationFevrier1[[#This Row],[1]:[30]],Code9)</f>
        <v>0</v>
      </c>
      <c r="AS48" s="474">
        <f>COUNTIF(PArticipationFevrier1[[#This Row],[1]:[30]],Code10)</f>
        <v>0</v>
      </c>
      <c r="AT48" s="474">
        <f>COUNTIF(PArticipationFevrier1[[#This Row],[1]:[30]],Code11)</f>
        <v>0</v>
      </c>
      <c r="AU48" s="474">
        <f>COUNTIF(PArticipationFevrier1[[#This Row],[1]:[30]],Code12)</f>
        <v>0</v>
      </c>
      <c r="AV48" s="474">
        <f>COUNTIF(PArticipationFevrier1[[#This Row],[1]:[30]],Code13)</f>
        <v>0</v>
      </c>
      <c r="AW48" s="474">
        <f>COUNTIF(PArticipationFevrier1[[#This Row],[1]:[30]],Code14)</f>
        <v>0</v>
      </c>
      <c r="AX48" s="474">
        <f>COUNTIF(PArticipationFevrier1[[#This Row],[1]:[30]],Code15)</f>
        <v>0</v>
      </c>
      <c r="AY48" s="474">
        <f>COUNTIF(PArticipationFevrier1[[#This Row],[1]:[30]],Code16)</f>
        <v>0</v>
      </c>
      <c r="AZ48" s="474">
        <f>COUNTIF(PArticipationFevrier1[[#This Row],[1]:[30]],Code17)</f>
        <v>0</v>
      </c>
      <c r="BA48" s="474">
        <f>COUNTIF(PArticipationFevrier1[[#This Row],[1]:[30]],Code26)</f>
        <v>0</v>
      </c>
      <c r="BB48" s="474">
        <f>COUNTIF(PArticipationFevrier1[[#This Row],[1]:[30]],Code25)</f>
        <v>0</v>
      </c>
      <c r="BC48" s="474">
        <f>COUNTIF(PArticipationFevrier1[[#This Row],[1]:[30]],Code27)</f>
        <v>0</v>
      </c>
      <c r="BD48" s="474">
        <f>COUNTIF(PArticipationFevrier1[[#This Row],[1]:[30]],Code28)</f>
        <v>0</v>
      </c>
      <c r="BE48" s="474">
        <f>COUNTIF(PArticipationFevrier1[[#This Row],[1]:[30]],code30)</f>
        <v>0</v>
      </c>
      <c r="BF48" s="474">
        <f>COUNTIF(PArticipationFevrier1[[#This Row],[1]:[30]],Code31)</f>
        <v>0</v>
      </c>
      <c r="BG48" s="474">
        <f>COUNTIF(PArticipationFevrier1[[#This Row],[1]:[30]],code21)</f>
        <v>0</v>
      </c>
      <c r="BH48" s="474">
        <f>COUNTIF(PArticipationFevrier1[[#This Row],[1]:[30]],Code24)</f>
        <v>0</v>
      </c>
      <c r="BI48" s="474">
        <f>COUNTIF(PArticipationFevrier1[[#This Row],[1]:[30]],code18)</f>
        <v>0</v>
      </c>
      <c r="BJ48" s="474">
        <f>COUNTIF(PArticipationFevrier1[[#This Row],[1]:[30]],code19)</f>
        <v>0</v>
      </c>
      <c r="BK48" s="474">
        <f>COUNTIF(PArticipationFevrier1[[#This Row],[1]:[30]],code20)</f>
        <v>0</v>
      </c>
      <c r="BL48" s="476">
        <f>COUNTIF(PArticipationFevrier1[[#This Row],[1]:[30]],code29)</f>
        <v>0</v>
      </c>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2"/>
      <c r="CT48" s="472"/>
      <c r="CU48" s="300"/>
      <c r="CV48" s="507">
        <f t="shared" si="5"/>
        <v>0</v>
      </c>
      <c r="CW48" s="531">
        <f t="shared" si="6"/>
        <v>0</v>
      </c>
      <c r="CX48" s="532">
        <f t="shared" si="7"/>
        <v>0</v>
      </c>
      <c r="CY48" s="157">
        <f t="shared" si="4"/>
        <v>0</v>
      </c>
    </row>
    <row r="49" spans="1:103">
      <c r="A49" s="510" t="s">
        <v>390</v>
      </c>
      <c r="B49" s="152" t="str">
        <f>IFERROR(VLOOKUP(PArticipationFevrier1[[#This Row],[Référence]],ListeÉtudiants1[],18,FALSE),"")</f>
        <v>DAGNET ANNAH</v>
      </c>
      <c r="AF49" s="19"/>
      <c r="AG49" s="478"/>
      <c r="AH49" s="439">
        <f>COUNTIF(PArticipationFevrier1[[#This Row],[1]:[30]],Code1)</f>
        <v>0</v>
      </c>
      <c r="AI49" s="474">
        <f>COUNTIF(PArticipationFevrier1[[#This Row],[1]:[30]],code22)</f>
        <v>0</v>
      </c>
      <c r="AJ49" s="439">
        <f>COUNTIF(PArticipationFevrier1[[#This Row],[1]:[30]],Code2)</f>
        <v>0</v>
      </c>
      <c r="AK49" s="439">
        <f>COUNTIF(PArticipationFevrier1[[#This Row],[1]:[30]],Code3)</f>
        <v>0</v>
      </c>
      <c r="AL49" s="439">
        <f>COUNTIF(PArticipationFevrier1[[#This Row],[1]:[30]],Code4)</f>
        <v>0</v>
      </c>
      <c r="AM49" s="474">
        <f>COUNTIF(PArticipationFevrier1[[#This Row],[1]:[30]],Code5)</f>
        <v>0</v>
      </c>
      <c r="AN49" s="474"/>
      <c r="AO49" s="474">
        <f>COUNTIF(PArticipationFevrier1[[#This Row],[1]:[30]],Code6)</f>
        <v>0</v>
      </c>
      <c r="AP49" s="474">
        <f>COUNTIF(PArticipationFevrier1[[#This Row],[1]:[30]],Code7)</f>
        <v>0</v>
      </c>
      <c r="AQ49" s="474">
        <f>COUNTIF(PArticipationFevrier1[[#This Row],[1]:[30]],Code8)</f>
        <v>0</v>
      </c>
      <c r="AR49" s="474">
        <f>COUNTIF(PArticipationFevrier1[[#This Row],[1]:[30]],Code9)</f>
        <v>0</v>
      </c>
      <c r="AS49" s="474">
        <f>COUNTIF(PArticipationFevrier1[[#This Row],[1]:[30]],Code10)</f>
        <v>0</v>
      </c>
      <c r="AT49" s="474">
        <f>COUNTIF(PArticipationFevrier1[[#This Row],[1]:[30]],Code11)</f>
        <v>0</v>
      </c>
      <c r="AU49" s="474">
        <f>COUNTIF(PArticipationFevrier1[[#This Row],[1]:[30]],Code12)</f>
        <v>0</v>
      </c>
      <c r="AV49" s="474">
        <f>COUNTIF(PArticipationFevrier1[[#This Row],[1]:[30]],Code13)</f>
        <v>0</v>
      </c>
      <c r="AW49" s="474">
        <f>COUNTIF(PArticipationFevrier1[[#This Row],[1]:[30]],Code14)</f>
        <v>0</v>
      </c>
      <c r="AX49" s="474">
        <f>COUNTIF(PArticipationFevrier1[[#This Row],[1]:[30]],Code15)</f>
        <v>0</v>
      </c>
      <c r="AY49" s="474">
        <f>COUNTIF(PArticipationFevrier1[[#This Row],[1]:[30]],Code16)</f>
        <v>0</v>
      </c>
      <c r="AZ49" s="474">
        <f>COUNTIF(PArticipationFevrier1[[#This Row],[1]:[30]],Code17)</f>
        <v>0</v>
      </c>
      <c r="BA49" s="474">
        <f>COUNTIF(PArticipationFevrier1[[#This Row],[1]:[30]],Code26)</f>
        <v>0</v>
      </c>
      <c r="BB49" s="474">
        <f>COUNTIF(PArticipationFevrier1[[#This Row],[1]:[30]],Code25)</f>
        <v>0</v>
      </c>
      <c r="BC49" s="474">
        <f>COUNTIF(PArticipationFevrier1[[#This Row],[1]:[30]],Code27)</f>
        <v>0</v>
      </c>
      <c r="BD49" s="474">
        <f>COUNTIF(PArticipationFevrier1[[#This Row],[1]:[30]],Code28)</f>
        <v>0</v>
      </c>
      <c r="BE49" s="474">
        <f>COUNTIF(PArticipationFevrier1[[#This Row],[1]:[30]],code30)</f>
        <v>0</v>
      </c>
      <c r="BF49" s="474">
        <f>COUNTIF(PArticipationFevrier1[[#This Row],[1]:[30]],Code31)</f>
        <v>0</v>
      </c>
      <c r="BG49" s="474">
        <f>COUNTIF(PArticipationFevrier1[[#This Row],[1]:[30]],code21)</f>
        <v>0</v>
      </c>
      <c r="BH49" s="474">
        <f>COUNTIF(PArticipationFevrier1[[#This Row],[1]:[30]],Code24)</f>
        <v>0</v>
      </c>
      <c r="BI49" s="474">
        <f>COUNTIF(PArticipationFevrier1[[#This Row],[1]:[30]],code18)</f>
        <v>0</v>
      </c>
      <c r="BJ49" s="474">
        <f>COUNTIF(PArticipationFevrier1[[#This Row],[1]:[30]],code19)</f>
        <v>0</v>
      </c>
      <c r="BK49" s="474">
        <f>COUNTIF(PArticipationFevrier1[[#This Row],[1]:[30]],code20)</f>
        <v>0</v>
      </c>
      <c r="BL49" s="476">
        <f>COUNTIF(PArticipationFevrier1[[#This Row],[1]:[30]],code29)</f>
        <v>0</v>
      </c>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300"/>
      <c r="CV49" s="507">
        <f t="shared" si="5"/>
        <v>0</v>
      </c>
      <c r="CW49" s="531">
        <f t="shared" si="6"/>
        <v>0</v>
      </c>
      <c r="CX49" s="532">
        <f t="shared" si="7"/>
        <v>0</v>
      </c>
      <c r="CY49" s="157">
        <f t="shared" si="4"/>
        <v>0</v>
      </c>
    </row>
    <row r="50" spans="1:103">
      <c r="A50" s="510" t="s">
        <v>391</v>
      </c>
      <c r="B50" s="152" t="str">
        <f>IFERROR(VLOOKUP(PArticipationFevrier1[[#This Row],[Référence]],ListeÉtudiants1[],18,FALSE),"")</f>
        <v>DAHMANI LUANA</v>
      </c>
      <c r="AF50" s="19"/>
      <c r="AG50" s="478"/>
      <c r="AH50" s="439">
        <f>COUNTIF(PArticipationFevrier1[[#This Row],[1]:[30]],Code1)</f>
        <v>0</v>
      </c>
      <c r="AI50" s="474">
        <f>COUNTIF(PArticipationFevrier1[[#This Row],[1]:[30]],code22)</f>
        <v>0</v>
      </c>
      <c r="AJ50" s="439">
        <f>COUNTIF(PArticipationFevrier1[[#This Row],[1]:[30]],Code2)</f>
        <v>0</v>
      </c>
      <c r="AK50" s="439">
        <f>COUNTIF(PArticipationFevrier1[[#This Row],[1]:[30]],Code3)</f>
        <v>0</v>
      </c>
      <c r="AL50" s="439">
        <f>COUNTIF(PArticipationFevrier1[[#This Row],[1]:[30]],Code4)</f>
        <v>0</v>
      </c>
      <c r="AM50" s="474">
        <f>COUNTIF(PArticipationFevrier1[[#This Row],[1]:[30]],Code5)</f>
        <v>0</v>
      </c>
      <c r="AN50" s="474"/>
      <c r="AO50" s="474">
        <f>COUNTIF(PArticipationFevrier1[[#This Row],[1]:[30]],Code6)</f>
        <v>0</v>
      </c>
      <c r="AP50" s="474">
        <f>COUNTIF(PArticipationFevrier1[[#This Row],[1]:[30]],Code7)</f>
        <v>0</v>
      </c>
      <c r="AQ50" s="474">
        <f>COUNTIF(PArticipationFevrier1[[#This Row],[1]:[30]],Code8)</f>
        <v>0</v>
      </c>
      <c r="AR50" s="474">
        <f>COUNTIF(PArticipationFevrier1[[#This Row],[1]:[30]],Code9)</f>
        <v>0</v>
      </c>
      <c r="AS50" s="474">
        <f>COUNTIF(PArticipationFevrier1[[#This Row],[1]:[30]],Code10)</f>
        <v>0</v>
      </c>
      <c r="AT50" s="474">
        <f>COUNTIF(PArticipationFevrier1[[#This Row],[1]:[30]],Code11)</f>
        <v>0</v>
      </c>
      <c r="AU50" s="474">
        <f>COUNTIF(PArticipationFevrier1[[#This Row],[1]:[30]],Code12)</f>
        <v>0</v>
      </c>
      <c r="AV50" s="474">
        <f>COUNTIF(PArticipationFevrier1[[#This Row],[1]:[30]],Code13)</f>
        <v>0</v>
      </c>
      <c r="AW50" s="474">
        <f>COUNTIF(PArticipationFevrier1[[#This Row],[1]:[30]],Code14)</f>
        <v>0</v>
      </c>
      <c r="AX50" s="474">
        <f>COUNTIF(PArticipationFevrier1[[#This Row],[1]:[30]],Code15)</f>
        <v>0</v>
      </c>
      <c r="AY50" s="474">
        <f>COUNTIF(PArticipationFevrier1[[#This Row],[1]:[30]],Code16)</f>
        <v>0</v>
      </c>
      <c r="AZ50" s="474">
        <f>COUNTIF(PArticipationFevrier1[[#This Row],[1]:[30]],Code17)</f>
        <v>0</v>
      </c>
      <c r="BA50" s="474">
        <f>COUNTIF(PArticipationFevrier1[[#This Row],[1]:[30]],Code26)</f>
        <v>0</v>
      </c>
      <c r="BB50" s="474">
        <f>COUNTIF(PArticipationFevrier1[[#This Row],[1]:[30]],Code25)</f>
        <v>0</v>
      </c>
      <c r="BC50" s="474">
        <f>COUNTIF(PArticipationFevrier1[[#This Row],[1]:[30]],Code27)</f>
        <v>0</v>
      </c>
      <c r="BD50" s="474">
        <f>COUNTIF(PArticipationFevrier1[[#This Row],[1]:[30]],Code28)</f>
        <v>0</v>
      </c>
      <c r="BE50" s="474">
        <f>COUNTIF(PArticipationFevrier1[[#This Row],[1]:[30]],code30)</f>
        <v>0</v>
      </c>
      <c r="BF50" s="474">
        <f>COUNTIF(PArticipationFevrier1[[#This Row],[1]:[30]],Code31)</f>
        <v>0</v>
      </c>
      <c r="BG50" s="474">
        <f>COUNTIF(PArticipationFevrier1[[#This Row],[1]:[30]],code21)</f>
        <v>0</v>
      </c>
      <c r="BH50" s="474">
        <f>COUNTIF(PArticipationFevrier1[[#This Row],[1]:[30]],Code24)</f>
        <v>0</v>
      </c>
      <c r="BI50" s="474">
        <f>COUNTIF(PArticipationFevrier1[[#This Row],[1]:[30]],code18)</f>
        <v>0</v>
      </c>
      <c r="BJ50" s="474">
        <f>COUNTIF(PArticipationFevrier1[[#This Row],[1]:[30]],code19)</f>
        <v>0</v>
      </c>
      <c r="BK50" s="474">
        <f>COUNTIF(PArticipationFevrier1[[#This Row],[1]:[30]],code20)</f>
        <v>0</v>
      </c>
      <c r="BL50" s="476">
        <f>COUNTIF(PArticipationFevrier1[[#This Row],[1]:[30]],code29)</f>
        <v>0</v>
      </c>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300"/>
      <c r="CV50" s="507">
        <f t="shared" si="5"/>
        <v>0</v>
      </c>
      <c r="CW50" s="531">
        <f t="shared" si="6"/>
        <v>0</v>
      </c>
      <c r="CX50" s="532">
        <f t="shared" si="7"/>
        <v>0</v>
      </c>
      <c r="CY50" s="157">
        <f t="shared" si="4"/>
        <v>0</v>
      </c>
    </row>
    <row r="51" spans="1:103">
      <c r="A51" s="534" t="s">
        <v>392</v>
      </c>
      <c r="B51" s="152" t="str">
        <f>IFERROR(VLOOKUP(PArticipationFevrier1[[#This Row],[Référence]],ListeÉtudiants1[],18,FALSE),"")</f>
        <v>DALI SOUAD</v>
      </c>
      <c r="AF51" s="19"/>
      <c r="AG51" s="478"/>
      <c r="AH51" s="439">
        <f>COUNTIF(PArticipationFevrier1[[#This Row],[1]:[30]],Code1)</f>
        <v>0</v>
      </c>
      <c r="AI51" s="474">
        <f>COUNTIF(PArticipationFevrier1[[#This Row],[1]:[30]],code22)</f>
        <v>0</v>
      </c>
      <c r="AJ51" s="439">
        <f>COUNTIF(PArticipationFevrier1[[#This Row],[1]:[30]],Code2)</f>
        <v>0</v>
      </c>
      <c r="AK51" s="439">
        <f>COUNTIF(PArticipationFevrier1[[#This Row],[1]:[30]],Code3)</f>
        <v>0</v>
      </c>
      <c r="AL51" s="439">
        <f>COUNTIF(PArticipationFevrier1[[#This Row],[1]:[30]],Code4)</f>
        <v>0</v>
      </c>
      <c r="AM51" s="474">
        <f>COUNTIF(PArticipationFevrier1[[#This Row],[1]:[30]],Code5)</f>
        <v>0</v>
      </c>
      <c r="AN51" s="474"/>
      <c r="AO51" s="474">
        <f>COUNTIF(PArticipationFevrier1[[#This Row],[1]:[30]],Code6)</f>
        <v>0</v>
      </c>
      <c r="AP51" s="474">
        <f>COUNTIF(PArticipationFevrier1[[#This Row],[1]:[30]],Code7)</f>
        <v>0</v>
      </c>
      <c r="AQ51" s="474">
        <f>COUNTIF(PArticipationFevrier1[[#This Row],[1]:[30]],Code8)</f>
        <v>0</v>
      </c>
      <c r="AR51" s="474">
        <f>COUNTIF(PArticipationFevrier1[[#This Row],[1]:[30]],Code9)</f>
        <v>0</v>
      </c>
      <c r="AS51" s="474">
        <f>COUNTIF(PArticipationFevrier1[[#This Row],[1]:[30]],Code10)</f>
        <v>0</v>
      </c>
      <c r="AT51" s="474">
        <f>COUNTIF(PArticipationFevrier1[[#This Row],[1]:[30]],Code11)</f>
        <v>0</v>
      </c>
      <c r="AU51" s="474">
        <f>COUNTIF(PArticipationFevrier1[[#This Row],[1]:[30]],Code12)</f>
        <v>0</v>
      </c>
      <c r="AV51" s="474">
        <f>COUNTIF(PArticipationFevrier1[[#This Row],[1]:[30]],Code13)</f>
        <v>0</v>
      </c>
      <c r="AW51" s="474">
        <f>COUNTIF(PArticipationFevrier1[[#This Row],[1]:[30]],Code14)</f>
        <v>0</v>
      </c>
      <c r="AX51" s="474">
        <f>COUNTIF(PArticipationFevrier1[[#This Row],[1]:[30]],Code15)</f>
        <v>0</v>
      </c>
      <c r="AY51" s="474">
        <f>COUNTIF(PArticipationFevrier1[[#This Row],[1]:[30]],Code16)</f>
        <v>0</v>
      </c>
      <c r="AZ51" s="474">
        <f>COUNTIF(PArticipationFevrier1[[#This Row],[1]:[30]],Code17)</f>
        <v>0</v>
      </c>
      <c r="BA51" s="474">
        <f>COUNTIF(PArticipationFevrier1[[#This Row],[1]:[30]],Code26)</f>
        <v>0</v>
      </c>
      <c r="BB51" s="474">
        <f>COUNTIF(PArticipationFevrier1[[#This Row],[1]:[30]],Code25)</f>
        <v>0</v>
      </c>
      <c r="BC51" s="474">
        <f>COUNTIF(PArticipationFevrier1[[#This Row],[1]:[30]],Code27)</f>
        <v>0</v>
      </c>
      <c r="BD51" s="474">
        <f>COUNTIF(PArticipationFevrier1[[#This Row],[1]:[30]],Code28)</f>
        <v>0</v>
      </c>
      <c r="BE51" s="474">
        <f>COUNTIF(PArticipationFevrier1[[#This Row],[1]:[30]],code30)</f>
        <v>0</v>
      </c>
      <c r="BF51" s="474">
        <f>COUNTIF(PArticipationFevrier1[[#This Row],[1]:[30]],Code31)</f>
        <v>0</v>
      </c>
      <c r="BG51" s="474">
        <f>COUNTIF(PArticipationFevrier1[[#This Row],[1]:[30]],code21)</f>
        <v>0</v>
      </c>
      <c r="BH51" s="474">
        <f>COUNTIF(PArticipationFevrier1[[#This Row],[1]:[30]],Code24)</f>
        <v>0</v>
      </c>
      <c r="BI51" s="474">
        <f>COUNTIF(PArticipationFevrier1[[#This Row],[1]:[30]],code18)</f>
        <v>0</v>
      </c>
      <c r="BJ51" s="474">
        <f>COUNTIF(PArticipationFevrier1[[#This Row],[1]:[30]],code19)</f>
        <v>0</v>
      </c>
      <c r="BK51" s="474">
        <f>COUNTIF(PArticipationFevrier1[[#This Row],[1]:[30]],code20)</f>
        <v>0</v>
      </c>
      <c r="BL51" s="476">
        <f>COUNTIF(PArticipationFevrier1[[#This Row],[1]:[30]],code29)</f>
        <v>0</v>
      </c>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2"/>
      <c r="CT51" s="472"/>
      <c r="CU51" s="300"/>
      <c r="CV51" s="507">
        <f t="shared" si="5"/>
        <v>0</v>
      </c>
      <c r="CW51" s="531">
        <f t="shared" si="6"/>
        <v>0</v>
      </c>
      <c r="CX51" s="532">
        <f t="shared" si="7"/>
        <v>0</v>
      </c>
      <c r="CY51" s="157">
        <f t="shared" si="4"/>
        <v>0</v>
      </c>
    </row>
    <row r="52" spans="1:103">
      <c r="A52" s="510" t="s">
        <v>393</v>
      </c>
      <c r="B52" s="152" t="str">
        <f>IFERROR(VLOOKUP(PArticipationFevrier1[[#This Row],[Référence]],ListeÉtudiants1[],18,FALSE),"")</f>
        <v>DANION LUCIE</v>
      </c>
      <c r="AF52" s="19"/>
      <c r="AG52" s="478"/>
      <c r="AH52" s="439">
        <f>COUNTIF(PArticipationFevrier1[[#This Row],[1]:[30]],Code1)</f>
        <v>0</v>
      </c>
      <c r="AI52" s="474">
        <f>COUNTIF(PArticipationFevrier1[[#This Row],[1]:[30]],code22)</f>
        <v>0</v>
      </c>
      <c r="AJ52" s="439">
        <f>COUNTIF(PArticipationFevrier1[[#This Row],[1]:[30]],Code2)</f>
        <v>0</v>
      </c>
      <c r="AK52" s="439">
        <f>COUNTIF(PArticipationFevrier1[[#This Row],[1]:[30]],Code3)</f>
        <v>0</v>
      </c>
      <c r="AL52" s="439">
        <f>COUNTIF(PArticipationFevrier1[[#This Row],[1]:[30]],Code4)</f>
        <v>0</v>
      </c>
      <c r="AM52" s="474">
        <f>COUNTIF(PArticipationFevrier1[[#This Row],[1]:[30]],Code5)</f>
        <v>0</v>
      </c>
      <c r="AN52" s="474"/>
      <c r="AO52" s="474">
        <f>COUNTIF(PArticipationFevrier1[[#This Row],[1]:[30]],Code6)</f>
        <v>0</v>
      </c>
      <c r="AP52" s="474">
        <f>COUNTIF(PArticipationFevrier1[[#This Row],[1]:[30]],Code7)</f>
        <v>0</v>
      </c>
      <c r="AQ52" s="474">
        <f>COUNTIF(PArticipationFevrier1[[#This Row],[1]:[30]],Code8)</f>
        <v>0</v>
      </c>
      <c r="AR52" s="474">
        <f>COUNTIF(PArticipationFevrier1[[#This Row],[1]:[30]],Code9)</f>
        <v>0</v>
      </c>
      <c r="AS52" s="474">
        <f>COUNTIF(PArticipationFevrier1[[#This Row],[1]:[30]],Code10)</f>
        <v>0</v>
      </c>
      <c r="AT52" s="474">
        <f>COUNTIF(PArticipationFevrier1[[#This Row],[1]:[30]],Code11)</f>
        <v>0</v>
      </c>
      <c r="AU52" s="474">
        <f>COUNTIF(PArticipationFevrier1[[#This Row],[1]:[30]],Code12)</f>
        <v>0</v>
      </c>
      <c r="AV52" s="474">
        <f>COUNTIF(PArticipationFevrier1[[#This Row],[1]:[30]],Code13)</f>
        <v>0</v>
      </c>
      <c r="AW52" s="474">
        <f>COUNTIF(PArticipationFevrier1[[#This Row],[1]:[30]],Code14)</f>
        <v>0</v>
      </c>
      <c r="AX52" s="474">
        <f>COUNTIF(PArticipationFevrier1[[#This Row],[1]:[30]],Code15)</f>
        <v>0</v>
      </c>
      <c r="AY52" s="474">
        <f>COUNTIF(PArticipationFevrier1[[#This Row],[1]:[30]],Code16)</f>
        <v>0</v>
      </c>
      <c r="AZ52" s="474">
        <f>COUNTIF(PArticipationFevrier1[[#This Row],[1]:[30]],Code17)</f>
        <v>0</v>
      </c>
      <c r="BA52" s="474">
        <f>COUNTIF(PArticipationFevrier1[[#This Row],[1]:[30]],Code26)</f>
        <v>0</v>
      </c>
      <c r="BB52" s="474">
        <f>COUNTIF(PArticipationFevrier1[[#This Row],[1]:[30]],Code25)</f>
        <v>0</v>
      </c>
      <c r="BC52" s="474">
        <f>COUNTIF(PArticipationFevrier1[[#This Row],[1]:[30]],Code27)</f>
        <v>0</v>
      </c>
      <c r="BD52" s="474">
        <f>COUNTIF(PArticipationFevrier1[[#This Row],[1]:[30]],Code28)</f>
        <v>0</v>
      </c>
      <c r="BE52" s="474">
        <f>COUNTIF(PArticipationFevrier1[[#This Row],[1]:[30]],code30)</f>
        <v>0</v>
      </c>
      <c r="BF52" s="474">
        <f>COUNTIF(PArticipationFevrier1[[#This Row],[1]:[30]],Code31)</f>
        <v>0</v>
      </c>
      <c r="BG52" s="474">
        <f>COUNTIF(PArticipationFevrier1[[#This Row],[1]:[30]],code21)</f>
        <v>0</v>
      </c>
      <c r="BH52" s="474">
        <f>COUNTIF(PArticipationFevrier1[[#This Row],[1]:[30]],Code24)</f>
        <v>0</v>
      </c>
      <c r="BI52" s="474">
        <f>COUNTIF(PArticipationFevrier1[[#This Row],[1]:[30]],code18)</f>
        <v>0</v>
      </c>
      <c r="BJ52" s="474">
        <f>COUNTIF(PArticipationFevrier1[[#This Row],[1]:[30]],code19)</f>
        <v>0</v>
      </c>
      <c r="BK52" s="474">
        <f>COUNTIF(PArticipationFevrier1[[#This Row],[1]:[30]],code20)</f>
        <v>0</v>
      </c>
      <c r="BL52" s="476">
        <f>COUNTIF(PArticipationFevrier1[[#This Row],[1]:[30]],code29)</f>
        <v>0</v>
      </c>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2"/>
      <c r="CT52" s="472"/>
      <c r="CU52" s="300"/>
      <c r="CV52" s="507">
        <f t="shared" si="5"/>
        <v>0</v>
      </c>
      <c r="CW52" s="531">
        <f t="shared" si="6"/>
        <v>0</v>
      </c>
      <c r="CX52" s="532">
        <f t="shared" si="7"/>
        <v>0</v>
      </c>
      <c r="CY52" s="157">
        <f t="shared" si="4"/>
        <v>0</v>
      </c>
    </row>
    <row r="53" spans="1:103">
      <c r="A53" s="510" t="s">
        <v>394</v>
      </c>
      <c r="B53" s="152" t="str">
        <f>IFERROR(VLOOKUP(PArticipationFevrier1[[#This Row],[Référence]],ListeÉtudiants1[],18,FALSE),"")</f>
        <v>DE LUISE STELLA</v>
      </c>
      <c r="AF53" s="19"/>
      <c r="AG53" s="478"/>
      <c r="AH53" s="439">
        <f>COUNTIF(PArticipationFevrier1[[#This Row],[1]:[30]],Code1)</f>
        <v>0</v>
      </c>
      <c r="AI53" s="474">
        <f>COUNTIF(PArticipationFevrier1[[#This Row],[1]:[30]],code22)</f>
        <v>0</v>
      </c>
      <c r="AJ53" s="439">
        <f>COUNTIF(PArticipationFevrier1[[#This Row],[1]:[30]],Code2)</f>
        <v>0</v>
      </c>
      <c r="AK53" s="439">
        <f>COUNTIF(PArticipationFevrier1[[#This Row],[1]:[30]],Code3)</f>
        <v>0</v>
      </c>
      <c r="AL53" s="439">
        <f>COUNTIF(PArticipationFevrier1[[#This Row],[1]:[30]],Code4)</f>
        <v>0</v>
      </c>
      <c r="AM53" s="474">
        <f>COUNTIF(PArticipationFevrier1[[#This Row],[1]:[30]],Code5)</f>
        <v>0</v>
      </c>
      <c r="AN53" s="474"/>
      <c r="AO53" s="474">
        <f>COUNTIF(PArticipationFevrier1[[#This Row],[1]:[30]],Code6)</f>
        <v>0</v>
      </c>
      <c r="AP53" s="474">
        <f>COUNTIF(PArticipationFevrier1[[#This Row],[1]:[30]],Code7)</f>
        <v>0</v>
      </c>
      <c r="AQ53" s="474">
        <f>COUNTIF(PArticipationFevrier1[[#This Row],[1]:[30]],Code8)</f>
        <v>0</v>
      </c>
      <c r="AR53" s="474">
        <f>COUNTIF(PArticipationFevrier1[[#This Row],[1]:[30]],Code9)</f>
        <v>0</v>
      </c>
      <c r="AS53" s="474">
        <f>COUNTIF(PArticipationFevrier1[[#This Row],[1]:[30]],Code10)</f>
        <v>0</v>
      </c>
      <c r="AT53" s="474">
        <f>COUNTIF(PArticipationFevrier1[[#This Row],[1]:[30]],Code11)</f>
        <v>0</v>
      </c>
      <c r="AU53" s="474">
        <f>COUNTIF(PArticipationFevrier1[[#This Row],[1]:[30]],Code12)</f>
        <v>0</v>
      </c>
      <c r="AV53" s="474">
        <f>COUNTIF(PArticipationFevrier1[[#This Row],[1]:[30]],Code13)</f>
        <v>0</v>
      </c>
      <c r="AW53" s="474">
        <f>COUNTIF(PArticipationFevrier1[[#This Row],[1]:[30]],Code14)</f>
        <v>0</v>
      </c>
      <c r="AX53" s="474">
        <f>COUNTIF(PArticipationFevrier1[[#This Row],[1]:[30]],Code15)</f>
        <v>0</v>
      </c>
      <c r="AY53" s="474">
        <f>COUNTIF(PArticipationFevrier1[[#This Row],[1]:[30]],Code16)</f>
        <v>0</v>
      </c>
      <c r="AZ53" s="474">
        <f>COUNTIF(PArticipationFevrier1[[#This Row],[1]:[30]],Code17)</f>
        <v>0</v>
      </c>
      <c r="BA53" s="474">
        <f>COUNTIF(PArticipationFevrier1[[#This Row],[1]:[30]],Code26)</f>
        <v>0</v>
      </c>
      <c r="BB53" s="474">
        <f>COUNTIF(PArticipationFevrier1[[#This Row],[1]:[30]],Code25)</f>
        <v>0</v>
      </c>
      <c r="BC53" s="474">
        <f>COUNTIF(PArticipationFevrier1[[#This Row],[1]:[30]],Code27)</f>
        <v>0</v>
      </c>
      <c r="BD53" s="474">
        <f>COUNTIF(PArticipationFevrier1[[#This Row],[1]:[30]],Code28)</f>
        <v>0</v>
      </c>
      <c r="BE53" s="474">
        <f>COUNTIF(PArticipationFevrier1[[#This Row],[1]:[30]],code30)</f>
        <v>0</v>
      </c>
      <c r="BF53" s="474">
        <f>COUNTIF(PArticipationFevrier1[[#This Row],[1]:[30]],Code31)</f>
        <v>0</v>
      </c>
      <c r="BG53" s="474">
        <f>COUNTIF(PArticipationFevrier1[[#This Row],[1]:[30]],code21)</f>
        <v>0</v>
      </c>
      <c r="BH53" s="474">
        <f>COUNTIF(PArticipationFevrier1[[#This Row],[1]:[30]],Code24)</f>
        <v>0</v>
      </c>
      <c r="BI53" s="474">
        <f>COUNTIF(PArticipationFevrier1[[#This Row],[1]:[30]],code18)</f>
        <v>0</v>
      </c>
      <c r="BJ53" s="474">
        <f>COUNTIF(PArticipationFevrier1[[#This Row],[1]:[30]],code19)</f>
        <v>0</v>
      </c>
      <c r="BK53" s="474">
        <f>COUNTIF(PArticipationFevrier1[[#This Row],[1]:[30]],code20)</f>
        <v>0</v>
      </c>
      <c r="BL53" s="476">
        <f>COUNTIF(PArticipationFevrier1[[#This Row],[1]:[30]],code29)</f>
        <v>0</v>
      </c>
      <c r="BM53" s="472"/>
      <c r="BN53" s="472"/>
      <c r="BO53" s="472"/>
      <c r="BP53" s="472"/>
      <c r="BQ53" s="472"/>
      <c r="BR53" s="472"/>
      <c r="BS53" s="472"/>
      <c r="BT53" s="472"/>
      <c r="BU53" s="472"/>
      <c r="BV53" s="472"/>
      <c r="BW53" s="472"/>
      <c r="BX53" s="472"/>
      <c r="BY53" s="472"/>
      <c r="BZ53" s="472"/>
      <c r="CA53" s="472"/>
      <c r="CB53" s="472"/>
      <c r="CC53" s="472"/>
      <c r="CD53" s="472"/>
      <c r="CE53" s="472"/>
      <c r="CF53" s="472"/>
      <c r="CG53" s="472"/>
      <c r="CH53" s="472"/>
      <c r="CI53" s="472"/>
      <c r="CJ53" s="472"/>
      <c r="CK53" s="472"/>
      <c r="CL53" s="472"/>
      <c r="CM53" s="472"/>
      <c r="CN53" s="472"/>
      <c r="CO53" s="472"/>
      <c r="CP53" s="472"/>
      <c r="CQ53" s="472"/>
      <c r="CR53" s="472"/>
      <c r="CS53" s="472"/>
      <c r="CT53" s="472"/>
      <c r="CU53" s="300"/>
      <c r="CV53" s="507">
        <f t="shared" si="5"/>
        <v>0</v>
      </c>
      <c r="CW53" s="531">
        <f t="shared" si="6"/>
        <v>0</v>
      </c>
      <c r="CX53" s="532">
        <f t="shared" si="7"/>
        <v>0</v>
      </c>
      <c r="CY53" s="157">
        <f t="shared" si="4"/>
        <v>0</v>
      </c>
    </row>
    <row r="54" spans="1:103">
      <c r="A54" s="534" t="s">
        <v>395</v>
      </c>
      <c r="B54" s="152" t="str">
        <f>IFERROR(VLOOKUP(PArticipationFevrier1[[#This Row],[Référence]],ListeÉtudiants1[],18,FALSE),"")</f>
        <v>DIAOUNE MAJULA</v>
      </c>
      <c r="AF54" s="19"/>
      <c r="AG54" s="478"/>
      <c r="AH54" s="439">
        <f>COUNTIF(PArticipationFevrier1[[#This Row],[1]:[30]],Code1)</f>
        <v>0</v>
      </c>
      <c r="AI54" s="474">
        <f>COUNTIF(PArticipationFevrier1[[#This Row],[1]:[30]],code22)</f>
        <v>0</v>
      </c>
      <c r="AJ54" s="439">
        <f>COUNTIF(PArticipationFevrier1[[#This Row],[1]:[30]],Code2)</f>
        <v>0</v>
      </c>
      <c r="AK54" s="439">
        <f>COUNTIF(PArticipationFevrier1[[#This Row],[1]:[30]],Code3)</f>
        <v>0</v>
      </c>
      <c r="AL54" s="439">
        <f>COUNTIF(PArticipationFevrier1[[#This Row],[1]:[30]],Code4)</f>
        <v>0</v>
      </c>
      <c r="AM54" s="474">
        <f>COUNTIF(PArticipationFevrier1[[#This Row],[1]:[30]],Code5)</f>
        <v>0</v>
      </c>
      <c r="AN54" s="474"/>
      <c r="AO54" s="474">
        <f>COUNTIF(PArticipationFevrier1[[#This Row],[1]:[30]],Code6)</f>
        <v>0</v>
      </c>
      <c r="AP54" s="474">
        <f>COUNTIF(PArticipationFevrier1[[#This Row],[1]:[30]],Code7)</f>
        <v>0</v>
      </c>
      <c r="AQ54" s="474">
        <f>COUNTIF(PArticipationFevrier1[[#This Row],[1]:[30]],Code8)</f>
        <v>0</v>
      </c>
      <c r="AR54" s="474">
        <f>COUNTIF(PArticipationFevrier1[[#This Row],[1]:[30]],Code9)</f>
        <v>0</v>
      </c>
      <c r="AS54" s="474">
        <f>COUNTIF(PArticipationFevrier1[[#This Row],[1]:[30]],Code10)</f>
        <v>0</v>
      </c>
      <c r="AT54" s="474">
        <f>COUNTIF(PArticipationFevrier1[[#This Row],[1]:[30]],Code11)</f>
        <v>0</v>
      </c>
      <c r="AU54" s="474">
        <f>COUNTIF(PArticipationFevrier1[[#This Row],[1]:[30]],Code12)</f>
        <v>0</v>
      </c>
      <c r="AV54" s="474">
        <f>COUNTIF(PArticipationFevrier1[[#This Row],[1]:[30]],Code13)</f>
        <v>0</v>
      </c>
      <c r="AW54" s="474">
        <f>COUNTIF(PArticipationFevrier1[[#This Row],[1]:[30]],Code14)</f>
        <v>0</v>
      </c>
      <c r="AX54" s="474">
        <f>COUNTIF(PArticipationFevrier1[[#This Row],[1]:[30]],Code15)</f>
        <v>0</v>
      </c>
      <c r="AY54" s="474">
        <f>COUNTIF(PArticipationFevrier1[[#This Row],[1]:[30]],Code16)</f>
        <v>0</v>
      </c>
      <c r="AZ54" s="474">
        <f>COUNTIF(PArticipationFevrier1[[#This Row],[1]:[30]],Code17)</f>
        <v>0</v>
      </c>
      <c r="BA54" s="474">
        <f>COUNTIF(PArticipationFevrier1[[#This Row],[1]:[30]],Code26)</f>
        <v>0</v>
      </c>
      <c r="BB54" s="474">
        <f>COUNTIF(PArticipationFevrier1[[#This Row],[1]:[30]],Code25)</f>
        <v>0</v>
      </c>
      <c r="BC54" s="474">
        <f>COUNTIF(PArticipationFevrier1[[#This Row],[1]:[30]],Code27)</f>
        <v>0</v>
      </c>
      <c r="BD54" s="474">
        <f>COUNTIF(PArticipationFevrier1[[#This Row],[1]:[30]],Code28)</f>
        <v>0</v>
      </c>
      <c r="BE54" s="474">
        <f>COUNTIF(PArticipationFevrier1[[#This Row],[1]:[30]],code30)</f>
        <v>0</v>
      </c>
      <c r="BF54" s="474">
        <f>COUNTIF(PArticipationFevrier1[[#This Row],[1]:[30]],Code31)</f>
        <v>0</v>
      </c>
      <c r="BG54" s="474">
        <f>COUNTIF(PArticipationFevrier1[[#This Row],[1]:[30]],code21)</f>
        <v>0</v>
      </c>
      <c r="BH54" s="474">
        <f>COUNTIF(PArticipationFevrier1[[#This Row],[1]:[30]],Code24)</f>
        <v>0</v>
      </c>
      <c r="BI54" s="474">
        <f>COUNTIF(PArticipationFevrier1[[#This Row],[1]:[30]],code18)</f>
        <v>0</v>
      </c>
      <c r="BJ54" s="474">
        <f>COUNTIF(PArticipationFevrier1[[#This Row],[1]:[30]],code19)</f>
        <v>0</v>
      </c>
      <c r="BK54" s="474">
        <f>COUNTIF(PArticipationFevrier1[[#This Row],[1]:[30]],code20)</f>
        <v>0</v>
      </c>
      <c r="BL54" s="476">
        <f>COUNTIF(PArticipationFevrier1[[#This Row],[1]:[30]],code29)</f>
        <v>0</v>
      </c>
      <c r="BM54" s="472"/>
      <c r="BN54" s="472"/>
      <c r="BO54" s="472"/>
      <c r="BP54" s="472"/>
      <c r="BQ54" s="472"/>
      <c r="BR54" s="472"/>
      <c r="BS54" s="472"/>
      <c r="BT54" s="472"/>
      <c r="BU54" s="472"/>
      <c r="BV54" s="472"/>
      <c r="BW54" s="472"/>
      <c r="BX54" s="472"/>
      <c r="BY54" s="472"/>
      <c r="BZ54" s="472"/>
      <c r="CA54" s="472"/>
      <c r="CB54" s="472"/>
      <c r="CC54" s="472"/>
      <c r="CD54" s="472"/>
      <c r="CE54" s="472"/>
      <c r="CF54" s="472"/>
      <c r="CG54" s="472"/>
      <c r="CH54" s="472"/>
      <c r="CI54" s="472"/>
      <c r="CJ54" s="472"/>
      <c r="CK54" s="472"/>
      <c r="CL54" s="472"/>
      <c r="CM54" s="472"/>
      <c r="CN54" s="472"/>
      <c r="CO54" s="472"/>
      <c r="CP54" s="472"/>
      <c r="CQ54" s="472"/>
      <c r="CR54" s="472"/>
      <c r="CS54" s="472"/>
      <c r="CT54" s="472"/>
      <c r="CU54" s="300"/>
      <c r="CV54" s="507">
        <f t="shared" si="5"/>
        <v>0</v>
      </c>
      <c r="CW54" s="531">
        <f t="shared" si="6"/>
        <v>0</v>
      </c>
      <c r="CX54" s="532">
        <f t="shared" si="7"/>
        <v>0</v>
      </c>
      <c r="CY54" s="157">
        <f t="shared" si="4"/>
        <v>0</v>
      </c>
    </row>
    <row r="55" spans="1:103">
      <c r="A55" s="510" t="s">
        <v>396</v>
      </c>
      <c r="B55" s="152" t="str">
        <f>IFERROR(VLOOKUP(PArticipationFevrier1[[#This Row],[Référence]],ListeÉtudiants1[],18,FALSE),"")</f>
        <v>DOS SANTOS SILVA CELIA</v>
      </c>
      <c r="AF55" s="19"/>
      <c r="AG55" s="478"/>
      <c r="AH55" s="439">
        <f>COUNTIF(PArticipationFevrier1[[#This Row],[1]:[30]],Code1)</f>
        <v>0</v>
      </c>
      <c r="AI55" s="474">
        <f>COUNTIF(PArticipationFevrier1[[#This Row],[1]:[30]],code22)</f>
        <v>0</v>
      </c>
      <c r="AJ55" s="439">
        <f>COUNTIF(PArticipationFevrier1[[#This Row],[1]:[30]],Code2)</f>
        <v>0</v>
      </c>
      <c r="AK55" s="439">
        <f>COUNTIF(PArticipationFevrier1[[#This Row],[1]:[30]],Code3)</f>
        <v>0</v>
      </c>
      <c r="AL55" s="439">
        <f>COUNTIF(PArticipationFevrier1[[#This Row],[1]:[30]],Code4)</f>
        <v>0</v>
      </c>
      <c r="AM55" s="474">
        <f>COUNTIF(PArticipationFevrier1[[#This Row],[1]:[30]],Code5)</f>
        <v>0</v>
      </c>
      <c r="AN55" s="474"/>
      <c r="AO55" s="474">
        <f>COUNTIF(PArticipationFevrier1[[#This Row],[1]:[30]],Code6)</f>
        <v>0</v>
      </c>
      <c r="AP55" s="474">
        <f>COUNTIF(PArticipationFevrier1[[#This Row],[1]:[30]],Code7)</f>
        <v>0</v>
      </c>
      <c r="AQ55" s="474">
        <f>COUNTIF(PArticipationFevrier1[[#This Row],[1]:[30]],Code8)</f>
        <v>0</v>
      </c>
      <c r="AR55" s="474">
        <f>COUNTIF(PArticipationFevrier1[[#This Row],[1]:[30]],Code9)</f>
        <v>0</v>
      </c>
      <c r="AS55" s="474">
        <f>COUNTIF(PArticipationFevrier1[[#This Row],[1]:[30]],Code10)</f>
        <v>0</v>
      </c>
      <c r="AT55" s="474">
        <f>COUNTIF(PArticipationFevrier1[[#This Row],[1]:[30]],Code11)</f>
        <v>0</v>
      </c>
      <c r="AU55" s="474">
        <f>COUNTIF(PArticipationFevrier1[[#This Row],[1]:[30]],Code12)</f>
        <v>0</v>
      </c>
      <c r="AV55" s="474">
        <f>COUNTIF(PArticipationFevrier1[[#This Row],[1]:[30]],Code13)</f>
        <v>0</v>
      </c>
      <c r="AW55" s="474">
        <f>COUNTIF(PArticipationFevrier1[[#This Row],[1]:[30]],Code14)</f>
        <v>0</v>
      </c>
      <c r="AX55" s="474">
        <f>COUNTIF(PArticipationFevrier1[[#This Row],[1]:[30]],Code15)</f>
        <v>0</v>
      </c>
      <c r="AY55" s="474">
        <f>COUNTIF(PArticipationFevrier1[[#This Row],[1]:[30]],Code16)</f>
        <v>0</v>
      </c>
      <c r="AZ55" s="474">
        <f>COUNTIF(PArticipationFevrier1[[#This Row],[1]:[30]],Code17)</f>
        <v>0</v>
      </c>
      <c r="BA55" s="474">
        <f>COUNTIF(PArticipationFevrier1[[#This Row],[1]:[30]],Code26)</f>
        <v>0</v>
      </c>
      <c r="BB55" s="474">
        <f>COUNTIF(PArticipationFevrier1[[#This Row],[1]:[30]],Code25)</f>
        <v>0</v>
      </c>
      <c r="BC55" s="474">
        <f>COUNTIF(PArticipationFevrier1[[#This Row],[1]:[30]],Code27)</f>
        <v>0</v>
      </c>
      <c r="BD55" s="474">
        <f>COUNTIF(PArticipationFevrier1[[#This Row],[1]:[30]],Code28)</f>
        <v>0</v>
      </c>
      <c r="BE55" s="474">
        <f>COUNTIF(PArticipationFevrier1[[#This Row],[1]:[30]],code30)</f>
        <v>0</v>
      </c>
      <c r="BF55" s="474">
        <f>COUNTIF(PArticipationFevrier1[[#This Row],[1]:[30]],Code31)</f>
        <v>0</v>
      </c>
      <c r="BG55" s="474">
        <f>COUNTIF(PArticipationFevrier1[[#This Row],[1]:[30]],code21)</f>
        <v>0</v>
      </c>
      <c r="BH55" s="474">
        <f>COUNTIF(PArticipationFevrier1[[#This Row],[1]:[30]],Code24)</f>
        <v>0</v>
      </c>
      <c r="BI55" s="474">
        <f>COUNTIF(PArticipationFevrier1[[#This Row],[1]:[30]],code18)</f>
        <v>0</v>
      </c>
      <c r="BJ55" s="474">
        <f>COUNTIF(PArticipationFevrier1[[#This Row],[1]:[30]],code19)</f>
        <v>0</v>
      </c>
      <c r="BK55" s="474">
        <f>COUNTIF(PArticipationFevrier1[[#This Row],[1]:[30]],code20)</f>
        <v>0</v>
      </c>
      <c r="BL55" s="476">
        <f>COUNTIF(PArticipationFevrier1[[#This Row],[1]:[30]],code29)</f>
        <v>0</v>
      </c>
      <c r="BM55" s="472"/>
      <c r="BN55" s="472"/>
      <c r="BO55" s="472"/>
      <c r="BP55" s="472"/>
      <c r="BQ55" s="472"/>
      <c r="BR55" s="472"/>
      <c r="BS55" s="472"/>
      <c r="BT55" s="472"/>
      <c r="BU55" s="472"/>
      <c r="BV55" s="472"/>
      <c r="BW55" s="472"/>
      <c r="BX55" s="472"/>
      <c r="BY55" s="472"/>
      <c r="BZ55" s="472"/>
      <c r="CA55" s="472"/>
      <c r="CB55" s="472"/>
      <c r="CC55" s="472"/>
      <c r="CD55" s="472"/>
      <c r="CE55" s="472"/>
      <c r="CF55" s="472"/>
      <c r="CG55" s="472"/>
      <c r="CH55" s="472"/>
      <c r="CI55" s="472"/>
      <c r="CJ55" s="472"/>
      <c r="CK55" s="472"/>
      <c r="CL55" s="472"/>
      <c r="CM55" s="472"/>
      <c r="CN55" s="472"/>
      <c r="CO55" s="472"/>
      <c r="CP55" s="472"/>
      <c r="CQ55" s="472"/>
      <c r="CR55" s="472"/>
      <c r="CS55" s="472"/>
      <c r="CT55" s="472"/>
      <c r="CU55" s="300"/>
      <c r="CV55" s="507">
        <f t="shared" si="5"/>
        <v>0</v>
      </c>
      <c r="CW55" s="531">
        <f t="shared" si="6"/>
        <v>0</v>
      </c>
      <c r="CX55" s="532">
        <f t="shared" si="7"/>
        <v>0</v>
      </c>
      <c r="CY55" s="157">
        <f t="shared" si="4"/>
        <v>0</v>
      </c>
    </row>
    <row r="56" spans="1:103">
      <c r="A56" s="534" t="s">
        <v>397</v>
      </c>
      <c r="B56" s="152" t="str">
        <f>IFERROR(VLOOKUP(PArticipationFevrier1[[#This Row],[Référence]],ListeÉtudiants1[],18,FALSE),"")</f>
        <v>DOSSOU ESTELLE</v>
      </c>
      <c r="AF56" s="19"/>
      <c r="AG56" s="478"/>
      <c r="AH56" s="439">
        <f>COUNTIF(PArticipationFevrier1[[#This Row],[1]:[30]],Code1)</f>
        <v>0</v>
      </c>
      <c r="AI56" s="474">
        <f>COUNTIF(PArticipationFevrier1[[#This Row],[1]:[30]],code22)</f>
        <v>0</v>
      </c>
      <c r="AJ56" s="439">
        <f>COUNTIF(PArticipationFevrier1[[#This Row],[1]:[30]],Code2)</f>
        <v>0</v>
      </c>
      <c r="AK56" s="439">
        <f>COUNTIF(PArticipationFevrier1[[#This Row],[1]:[30]],Code3)</f>
        <v>0</v>
      </c>
      <c r="AL56" s="439">
        <f>COUNTIF(PArticipationFevrier1[[#This Row],[1]:[30]],Code4)</f>
        <v>0</v>
      </c>
      <c r="AM56" s="474">
        <f>COUNTIF(PArticipationFevrier1[[#This Row],[1]:[30]],Code5)</f>
        <v>0</v>
      </c>
      <c r="AN56" s="474"/>
      <c r="AO56" s="474">
        <f>COUNTIF(PArticipationFevrier1[[#This Row],[1]:[30]],Code6)</f>
        <v>0</v>
      </c>
      <c r="AP56" s="474">
        <f>COUNTIF(PArticipationFevrier1[[#This Row],[1]:[30]],Code7)</f>
        <v>0</v>
      </c>
      <c r="AQ56" s="474">
        <f>COUNTIF(PArticipationFevrier1[[#This Row],[1]:[30]],Code8)</f>
        <v>0</v>
      </c>
      <c r="AR56" s="474">
        <f>COUNTIF(PArticipationFevrier1[[#This Row],[1]:[30]],Code9)</f>
        <v>0</v>
      </c>
      <c r="AS56" s="474">
        <f>COUNTIF(PArticipationFevrier1[[#This Row],[1]:[30]],Code10)</f>
        <v>0</v>
      </c>
      <c r="AT56" s="474">
        <f>COUNTIF(PArticipationFevrier1[[#This Row],[1]:[30]],Code11)</f>
        <v>0</v>
      </c>
      <c r="AU56" s="474">
        <f>COUNTIF(PArticipationFevrier1[[#This Row],[1]:[30]],Code12)</f>
        <v>0</v>
      </c>
      <c r="AV56" s="474">
        <f>COUNTIF(PArticipationFevrier1[[#This Row],[1]:[30]],Code13)</f>
        <v>0</v>
      </c>
      <c r="AW56" s="474">
        <f>COUNTIF(PArticipationFevrier1[[#This Row],[1]:[30]],Code14)</f>
        <v>0</v>
      </c>
      <c r="AX56" s="474">
        <f>COUNTIF(PArticipationFevrier1[[#This Row],[1]:[30]],Code15)</f>
        <v>0</v>
      </c>
      <c r="AY56" s="474">
        <f>COUNTIF(PArticipationFevrier1[[#This Row],[1]:[30]],Code16)</f>
        <v>0</v>
      </c>
      <c r="AZ56" s="474">
        <f>COUNTIF(PArticipationFevrier1[[#This Row],[1]:[30]],Code17)</f>
        <v>0</v>
      </c>
      <c r="BA56" s="474">
        <f>COUNTIF(PArticipationFevrier1[[#This Row],[1]:[30]],Code26)</f>
        <v>0</v>
      </c>
      <c r="BB56" s="474">
        <f>COUNTIF(PArticipationFevrier1[[#This Row],[1]:[30]],Code25)</f>
        <v>0</v>
      </c>
      <c r="BC56" s="474">
        <f>COUNTIF(PArticipationFevrier1[[#This Row],[1]:[30]],Code27)</f>
        <v>0</v>
      </c>
      <c r="BD56" s="474">
        <f>COUNTIF(PArticipationFevrier1[[#This Row],[1]:[30]],Code28)</f>
        <v>0</v>
      </c>
      <c r="BE56" s="474">
        <f>COUNTIF(PArticipationFevrier1[[#This Row],[1]:[30]],code30)</f>
        <v>0</v>
      </c>
      <c r="BF56" s="474">
        <f>COUNTIF(PArticipationFevrier1[[#This Row],[1]:[30]],Code31)</f>
        <v>0</v>
      </c>
      <c r="BG56" s="474">
        <f>COUNTIF(PArticipationFevrier1[[#This Row],[1]:[30]],code21)</f>
        <v>0</v>
      </c>
      <c r="BH56" s="474">
        <f>COUNTIF(PArticipationFevrier1[[#This Row],[1]:[30]],Code24)</f>
        <v>0</v>
      </c>
      <c r="BI56" s="474">
        <f>COUNTIF(PArticipationFevrier1[[#This Row],[1]:[30]],code18)</f>
        <v>0</v>
      </c>
      <c r="BJ56" s="474">
        <f>COUNTIF(PArticipationFevrier1[[#This Row],[1]:[30]],code19)</f>
        <v>0</v>
      </c>
      <c r="BK56" s="474">
        <f>COUNTIF(PArticipationFevrier1[[#This Row],[1]:[30]],code20)</f>
        <v>0</v>
      </c>
      <c r="BL56" s="476">
        <f>COUNTIF(PArticipationFevrier1[[#This Row],[1]:[30]],code29)</f>
        <v>0</v>
      </c>
      <c r="BM56" s="472"/>
      <c r="BN56" s="472"/>
      <c r="BO56" s="472"/>
      <c r="BP56" s="472"/>
      <c r="BQ56" s="472"/>
      <c r="BR56" s="472"/>
      <c r="BS56" s="472"/>
      <c r="BT56" s="472"/>
      <c r="BU56" s="472"/>
      <c r="BV56" s="472"/>
      <c r="BW56" s="472"/>
      <c r="BX56" s="472"/>
      <c r="BY56" s="472"/>
      <c r="BZ56" s="472"/>
      <c r="CA56" s="472"/>
      <c r="CB56" s="472"/>
      <c r="CC56" s="472"/>
      <c r="CD56" s="472"/>
      <c r="CE56" s="472"/>
      <c r="CF56" s="472"/>
      <c r="CG56" s="472"/>
      <c r="CH56" s="472"/>
      <c r="CI56" s="472"/>
      <c r="CJ56" s="472"/>
      <c r="CK56" s="472"/>
      <c r="CL56" s="472"/>
      <c r="CM56" s="472"/>
      <c r="CN56" s="472"/>
      <c r="CO56" s="472"/>
      <c r="CP56" s="472"/>
      <c r="CQ56" s="472"/>
      <c r="CR56" s="472"/>
      <c r="CS56" s="472"/>
      <c r="CT56" s="472"/>
      <c r="CU56" s="300"/>
      <c r="CV56" s="507">
        <f t="shared" si="5"/>
        <v>0</v>
      </c>
      <c r="CW56" s="531">
        <f t="shared" si="6"/>
        <v>0</v>
      </c>
      <c r="CX56" s="532">
        <f t="shared" si="7"/>
        <v>0</v>
      </c>
      <c r="CY56" s="157">
        <f t="shared" si="4"/>
        <v>0</v>
      </c>
    </row>
    <row r="57" spans="1:103">
      <c r="A57" s="510" t="s">
        <v>398</v>
      </c>
      <c r="B57" s="152" t="str">
        <f>IFERROR(VLOOKUP(PArticipationFevrier1[[#This Row],[Référence]],ListeÉtudiants1[],18,FALSE),"")</f>
        <v>DUFFO FELIX</v>
      </c>
      <c r="AF57" s="19"/>
      <c r="AG57" s="478"/>
      <c r="AH57" s="439">
        <f>COUNTIF(PArticipationFevrier1[[#This Row],[1]:[30]],Code1)</f>
        <v>0</v>
      </c>
      <c r="AI57" s="474">
        <f>COUNTIF(PArticipationFevrier1[[#This Row],[1]:[30]],code22)</f>
        <v>0</v>
      </c>
      <c r="AJ57" s="439">
        <f>COUNTIF(PArticipationFevrier1[[#This Row],[1]:[30]],Code2)</f>
        <v>0</v>
      </c>
      <c r="AK57" s="439">
        <f>COUNTIF(PArticipationFevrier1[[#This Row],[1]:[30]],Code3)</f>
        <v>0</v>
      </c>
      <c r="AL57" s="439">
        <f>COUNTIF(PArticipationFevrier1[[#This Row],[1]:[30]],Code4)</f>
        <v>0</v>
      </c>
      <c r="AM57" s="474">
        <f>COUNTIF(PArticipationFevrier1[[#This Row],[1]:[30]],Code5)</f>
        <v>0</v>
      </c>
      <c r="AN57" s="474"/>
      <c r="AO57" s="474">
        <f>COUNTIF(PArticipationFevrier1[[#This Row],[1]:[30]],Code6)</f>
        <v>0</v>
      </c>
      <c r="AP57" s="474">
        <f>COUNTIF(PArticipationFevrier1[[#This Row],[1]:[30]],Code7)</f>
        <v>0</v>
      </c>
      <c r="AQ57" s="474">
        <f>COUNTIF(PArticipationFevrier1[[#This Row],[1]:[30]],Code8)</f>
        <v>0</v>
      </c>
      <c r="AR57" s="474">
        <f>COUNTIF(PArticipationFevrier1[[#This Row],[1]:[30]],Code9)</f>
        <v>0</v>
      </c>
      <c r="AS57" s="474">
        <f>COUNTIF(PArticipationFevrier1[[#This Row],[1]:[30]],Code10)</f>
        <v>0</v>
      </c>
      <c r="AT57" s="474">
        <f>COUNTIF(PArticipationFevrier1[[#This Row],[1]:[30]],Code11)</f>
        <v>0</v>
      </c>
      <c r="AU57" s="474">
        <f>COUNTIF(PArticipationFevrier1[[#This Row],[1]:[30]],Code12)</f>
        <v>0</v>
      </c>
      <c r="AV57" s="474">
        <f>COUNTIF(PArticipationFevrier1[[#This Row],[1]:[30]],Code13)</f>
        <v>0</v>
      </c>
      <c r="AW57" s="474">
        <f>COUNTIF(PArticipationFevrier1[[#This Row],[1]:[30]],Code14)</f>
        <v>0</v>
      </c>
      <c r="AX57" s="474">
        <f>COUNTIF(PArticipationFevrier1[[#This Row],[1]:[30]],Code15)</f>
        <v>0</v>
      </c>
      <c r="AY57" s="474">
        <f>COUNTIF(PArticipationFevrier1[[#This Row],[1]:[30]],Code16)</f>
        <v>0</v>
      </c>
      <c r="AZ57" s="474">
        <f>COUNTIF(PArticipationFevrier1[[#This Row],[1]:[30]],Code17)</f>
        <v>0</v>
      </c>
      <c r="BA57" s="474">
        <f>COUNTIF(PArticipationFevrier1[[#This Row],[1]:[30]],Code26)</f>
        <v>0</v>
      </c>
      <c r="BB57" s="474">
        <f>COUNTIF(PArticipationFevrier1[[#This Row],[1]:[30]],Code25)</f>
        <v>0</v>
      </c>
      <c r="BC57" s="474">
        <f>COUNTIF(PArticipationFevrier1[[#This Row],[1]:[30]],Code27)</f>
        <v>0</v>
      </c>
      <c r="BD57" s="474">
        <f>COUNTIF(PArticipationFevrier1[[#This Row],[1]:[30]],Code28)</f>
        <v>0</v>
      </c>
      <c r="BE57" s="474">
        <f>COUNTIF(PArticipationFevrier1[[#This Row],[1]:[30]],code30)</f>
        <v>0</v>
      </c>
      <c r="BF57" s="474">
        <f>COUNTIF(PArticipationFevrier1[[#This Row],[1]:[30]],Code31)</f>
        <v>0</v>
      </c>
      <c r="BG57" s="474">
        <f>COUNTIF(PArticipationFevrier1[[#This Row],[1]:[30]],code21)</f>
        <v>0</v>
      </c>
      <c r="BH57" s="474">
        <f>COUNTIF(PArticipationFevrier1[[#This Row],[1]:[30]],Code24)</f>
        <v>0</v>
      </c>
      <c r="BI57" s="474">
        <f>COUNTIF(PArticipationFevrier1[[#This Row],[1]:[30]],code18)</f>
        <v>0</v>
      </c>
      <c r="BJ57" s="474">
        <f>COUNTIF(PArticipationFevrier1[[#This Row],[1]:[30]],code19)</f>
        <v>0</v>
      </c>
      <c r="BK57" s="474">
        <f>COUNTIF(PArticipationFevrier1[[#This Row],[1]:[30]],code20)</f>
        <v>0</v>
      </c>
      <c r="BL57" s="476">
        <f>COUNTIF(PArticipationFevrier1[[#This Row],[1]:[30]],code29)</f>
        <v>0</v>
      </c>
      <c r="BM57" s="472"/>
      <c r="BN57" s="472"/>
      <c r="BO57" s="472"/>
      <c r="BP57" s="472"/>
      <c r="BQ57" s="472"/>
      <c r="BR57" s="472"/>
      <c r="BS57" s="472"/>
      <c r="BT57" s="472"/>
      <c r="BU57" s="472"/>
      <c r="BV57" s="472"/>
      <c r="BW57" s="472"/>
      <c r="BX57" s="472"/>
      <c r="BY57" s="472"/>
      <c r="BZ57" s="472"/>
      <c r="CA57" s="472"/>
      <c r="CB57" s="472"/>
      <c r="CC57" s="472"/>
      <c r="CD57" s="472"/>
      <c r="CE57" s="472"/>
      <c r="CF57" s="472"/>
      <c r="CG57" s="472"/>
      <c r="CH57" s="472"/>
      <c r="CI57" s="472"/>
      <c r="CJ57" s="472"/>
      <c r="CK57" s="472"/>
      <c r="CL57" s="472"/>
      <c r="CM57" s="472"/>
      <c r="CN57" s="472"/>
      <c r="CO57" s="472"/>
      <c r="CP57" s="472"/>
      <c r="CQ57" s="472"/>
      <c r="CR57" s="472"/>
      <c r="CS57" s="472"/>
      <c r="CT57" s="472"/>
      <c r="CU57" s="300"/>
      <c r="CV57" s="507">
        <f t="shared" si="5"/>
        <v>0</v>
      </c>
      <c r="CW57" s="531">
        <f t="shared" si="6"/>
        <v>0</v>
      </c>
      <c r="CX57" s="532">
        <f t="shared" si="7"/>
        <v>0</v>
      </c>
      <c r="CY57" s="157">
        <f t="shared" si="4"/>
        <v>0</v>
      </c>
    </row>
    <row r="58" spans="1:103">
      <c r="A58" s="510" t="s">
        <v>399</v>
      </c>
      <c r="B58" s="152" t="str">
        <f>IFERROR(VLOOKUP(PArticipationFevrier1[[#This Row],[Référence]],ListeÉtudiants1[],18,FALSE),"")</f>
        <v>DUPUY JULINE</v>
      </c>
      <c r="AF58" s="19"/>
      <c r="AG58" s="478"/>
      <c r="AH58" s="439">
        <f>COUNTIF(PArticipationFevrier1[[#This Row],[1]:[30]],Code1)</f>
        <v>0</v>
      </c>
      <c r="AI58" s="474">
        <f>COUNTIF(PArticipationFevrier1[[#This Row],[1]:[30]],code22)</f>
        <v>0</v>
      </c>
      <c r="AJ58" s="439">
        <f>COUNTIF(PArticipationFevrier1[[#This Row],[1]:[30]],Code2)</f>
        <v>0</v>
      </c>
      <c r="AK58" s="439">
        <f>COUNTIF(PArticipationFevrier1[[#This Row],[1]:[30]],Code3)</f>
        <v>0</v>
      </c>
      <c r="AL58" s="439">
        <f>COUNTIF(PArticipationFevrier1[[#This Row],[1]:[30]],Code4)</f>
        <v>0</v>
      </c>
      <c r="AM58" s="474">
        <f>COUNTIF(PArticipationFevrier1[[#This Row],[1]:[30]],Code5)</f>
        <v>0</v>
      </c>
      <c r="AN58" s="474"/>
      <c r="AO58" s="474">
        <f>COUNTIF(PArticipationFevrier1[[#This Row],[1]:[30]],Code6)</f>
        <v>0</v>
      </c>
      <c r="AP58" s="474">
        <f>COUNTIF(PArticipationFevrier1[[#This Row],[1]:[30]],Code7)</f>
        <v>0</v>
      </c>
      <c r="AQ58" s="474">
        <f>COUNTIF(PArticipationFevrier1[[#This Row],[1]:[30]],Code8)</f>
        <v>0</v>
      </c>
      <c r="AR58" s="474">
        <f>COUNTIF(PArticipationFevrier1[[#This Row],[1]:[30]],Code9)</f>
        <v>0</v>
      </c>
      <c r="AS58" s="474">
        <f>COUNTIF(PArticipationFevrier1[[#This Row],[1]:[30]],Code10)</f>
        <v>0</v>
      </c>
      <c r="AT58" s="474">
        <f>COUNTIF(PArticipationFevrier1[[#This Row],[1]:[30]],Code11)</f>
        <v>0</v>
      </c>
      <c r="AU58" s="474">
        <f>COUNTIF(PArticipationFevrier1[[#This Row],[1]:[30]],Code12)</f>
        <v>0</v>
      </c>
      <c r="AV58" s="474">
        <f>COUNTIF(PArticipationFevrier1[[#This Row],[1]:[30]],Code13)</f>
        <v>0</v>
      </c>
      <c r="AW58" s="474">
        <f>COUNTIF(PArticipationFevrier1[[#This Row],[1]:[30]],Code14)</f>
        <v>0</v>
      </c>
      <c r="AX58" s="474">
        <f>COUNTIF(PArticipationFevrier1[[#This Row],[1]:[30]],Code15)</f>
        <v>0</v>
      </c>
      <c r="AY58" s="474">
        <f>COUNTIF(PArticipationFevrier1[[#This Row],[1]:[30]],Code16)</f>
        <v>0</v>
      </c>
      <c r="AZ58" s="474">
        <f>COUNTIF(PArticipationFevrier1[[#This Row],[1]:[30]],Code17)</f>
        <v>0</v>
      </c>
      <c r="BA58" s="474">
        <f>COUNTIF(PArticipationFevrier1[[#This Row],[1]:[30]],Code26)</f>
        <v>0</v>
      </c>
      <c r="BB58" s="474">
        <f>COUNTIF(PArticipationFevrier1[[#This Row],[1]:[30]],Code25)</f>
        <v>0</v>
      </c>
      <c r="BC58" s="474">
        <f>COUNTIF(PArticipationFevrier1[[#This Row],[1]:[30]],Code27)</f>
        <v>0</v>
      </c>
      <c r="BD58" s="474">
        <f>COUNTIF(PArticipationFevrier1[[#This Row],[1]:[30]],Code28)</f>
        <v>0</v>
      </c>
      <c r="BE58" s="474">
        <f>COUNTIF(PArticipationFevrier1[[#This Row],[1]:[30]],code30)</f>
        <v>0</v>
      </c>
      <c r="BF58" s="474">
        <f>COUNTIF(PArticipationFevrier1[[#This Row],[1]:[30]],Code31)</f>
        <v>0</v>
      </c>
      <c r="BG58" s="474">
        <f>COUNTIF(PArticipationFevrier1[[#This Row],[1]:[30]],code21)</f>
        <v>0</v>
      </c>
      <c r="BH58" s="474">
        <f>COUNTIF(PArticipationFevrier1[[#This Row],[1]:[30]],Code24)</f>
        <v>0</v>
      </c>
      <c r="BI58" s="474">
        <f>COUNTIF(PArticipationFevrier1[[#This Row],[1]:[30]],code18)</f>
        <v>0</v>
      </c>
      <c r="BJ58" s="474">
        <f>COUNTIF(PArticipationFevrier1[[#This Row],[1]:[30]],code19)</f>
        <v>0</v>
      </c>
      <c r="BK58" s="474">
        <f>COUNTIF(PArticipationFevrier1[[#This Row],[1]:[30]],code20)</f>
        <v>0</v>
      </c>
      <c r="BL58" s="476">
        <f>COUNTIF(PArticipationFevrier1[[#This Row],[1]:[30]],code29)</f>
        <v>0</v>
      </c>
      <c r="BM58" s="472"/>
      <c r="BN58" s="472"/>
      <c r="BO58" s="472"/>
      <c r="BP58" s="472"/>
      <c r="BQ58" s="472"/>
      <c r="BR58" s="472"/>
      <c r="BS58" s="472"/>
      <c r="BT58" s="472"/>
      <c r="BU58" s="472"/>
      <c r="BV58" s="472"/>
      <c r="BW58" s="472"/>
      <c r="BX58" s="472"/>
      <c r="BY58" s="472"/>
      <c r="BZ58" s="472"/>
      <c r="CA58" s="472"/>
      <c r="CB58" s="472"/>
      <c r="CC58" s="472"/>
      <c r="CD58" s="472"/>
      <c r="CE58" s="472"/>
      <c r="CF58" s="472"/>
      <c r="CG58" s="472"/>
      <c r="CH58" s="472"/>
      <c r="CI58" s="472"/>
      <c r="CJ58" s="472"/>
      <c r="CK58" s="472"/>
      <c r="CL58" s="472"/>
      <c r="CM58" s="472"/>
      <c r="CN58" s="472"/>
      <c r="CO58" s="472"/>
      <c r="CP58" s="472"/>
      <c r="CQ58" s="472"/>
      <c r="CR58" s="472"/>
      <c r="CS58" s="472"/>
      <c r="CT58" s="472"/>
      <c r="CU58" s="300"/>
      <c r="CV58" s="507">
        <f t="shared" si="5"/>
        <v>0</v>
      </c>
      <c r="CW58" s="531">
        <f t="shared" si="6"/>
        <v>0</v>
      </c>
      <c r="CX58" s="532">
        <f t="shared" si="7"/>
        <v>0</v>
      </c>
      <c r="CY58" s="157">
        <f t="shared" si="4"/>
        <v>0</v>
      </c>
    </row>
    <row r="59" spans="1:103">
      <c r="A59" s="510" t="s">
        <v>400</v>
      </c>
      <c r="B59" s="152" t="str">
        <f>IFERROR(VLOOKUP(PArticipationFevrier1[[#This Row],[Référence]],ListeÉtudiants1[],18,FALSE),"")</f>
        <v>EDERY JEFFREY</v>
      </c>
      <c r="AF59" s="19"/>
      <c r="AG59" s="478"/>
      <c r="AH59" s="439">
        <f>COUNTIF(PArticipationFevrier1[[#This Row],[1]:[30]],Code1)</f>
        <v>0</v>
      </c>
      <c r="AI59" s="474">
        <f>COUNTIF(PArticipationFevrier1[[#This Row],[1]:[30]],code22)</f>
        <v>0</v>
      </c>
      <c r="AJ59" s="439">
        <f>COUNTIF(PArticipationFevrier1[[#This Row],[1]:[30]],Code2)</f>
        <v>0</v>
      </c>
      <c r="AK59" s="439">
        <f>COUNTIF(PArticipationFevrier1[[#This Row],[1]:[30]],Code3)</f>
        <v>0</v>
      </c>
      <c r="AL59" s="439">
        <f>COUNTIF(PArticipationFevrier1[[#This Row],[1]:[30]],Code4)</f>
        <v>0</v>
      </c>
      <c r="AM59" s="474">
        <f>COUNTIF(PArticipationFevrier1[[#This Row],[1]:[30]],Code5)</f>
        <v>0</v>
      </c>
      <c r="AN59" s="474"/>
      <c r="AO59" s="474">
        <f>COUNTIF(PArticipationFevrier1[[#This Row],[1]:[30]],Code6)</f>
        <v>0</v>
      </c>
      <c r="AP59" s="474">
        <f>COUNTIF(PArticipationFevrier1[[#This Row],[1]:[30]],Code7)</f>
        <v>0</v>
      </c>
      <c r="AQ59" s="474">
        <f>COUNTIF(PArticipationFevrier1[[#This Row],[1]:[30]],Code8)</f>
        <v>0</v>
      </c>
      <c r="AR59" s="474">
        <f>COUNTIF(PArticipationFevrier1[[#This Row],[1]:[30]],Code9)</f>
        <v>0</v>
      </c>
      <c r="AS59" s="474">
        <f>COUNTIF(PArticipationFevrier1[[#This Row],[1]:[30]],Code10)</f>
        <v>0</v>
      </c>
      <c r="AT59" s="474">
        <f>COUNTIF(PArticipationFevrier1[[#This Row],[1]:[30]],Code11)</f>
        <v>0</v>
      </c>
      <c r="AU59" s="474">
        <f>COUNTIF(PArticipationFevrier1[[#This Row],[1]:[30]],Code12)</f>
        <v>0</v>
      </c>
      <c r="AV59" s="474">
        <f>COUNTIF(PArticipationFevrier1[[#This Row],[1]:[30]],Code13)</f>
        <v>0</v>
      </c>
      <c r="AW59" s="474">
        <f>COUNTIF(PArticipationFevrier1[[#This Row],[1]:[30]],Code14)</f>
        <v>0</v>
      </c>
      <c r="AX59" s="474">
        <f>COUNTIF(PArticipationFevrier1[[#This Row],[1]:[30]],Code15)</f>
        <v>0</v>
      </c>
      <c r="AY59" s="474">
        <f>COUNTIF(PArticipationFevrier1[[#This Row],[1]:[30]],Code16)</f>
        <v>0</v>
      </c>
      <c r="AZ59" s="474">
        <f>COUNTIF(PArticipationFevrier1[[#This Row],[1]:[30]],Code17)</f>
        <v>0</v>
      </c>
      <c r="BA59" s="474">
        <f>COUNTIF(PArticipationFevrier1[[#This Row],[1]:[30]],Code26)</f>
        <v>0</v>
      </c>
      <c r="BB59" s="474">
        <f>COUNTIF(PArticipationFevrier1[[#This Row],[1]:[30]],Code25)</f>
        <v>0</v>
      </c>
      <c r="BC59" s="474">
        <f>COUNTIF(PArticipationFevrier1[[#This Row],[1]:[30]],Code27)</f>
        <v>0</v>
      </c>
      <c r="BD59" s="474">
        <f>COUNTIF(PArticipationFevrier1[[#This Row],[1]:[30]],Code28)</f>
        <v>0</v>
      </c>
      <c r="BE59" s="474">
        <f>COUNTIF(PArticipationFevrier1[[#This Row],[1]:[30]],code30)</f>
        <v>0</v>
      </c>
      <c r="BF59" s="474">
        <f>COUNTIF(PArticipationFevrier1[[#This Row],[1]:[30]],Code31)</f>
        <v>0</v>
      </c>
      <c r="BG59" s="474">
        <f>COUNTIF(PArticipationFevrier1[[#This Row],[1]:[30]],code21)</f>
        <v>0</v>
      </c>
      <c r="BH59" s="474">
        <f>COUNTIF(PArticipationFevrier1[[#This Row],[1]:[30]],Code24)</f>
        <v>0</v>
      </c>
      <c r="BI59" s="474">
        <f>COUNTIF(PArticipationFevrier1[[#This Row],[1]:[30]],code18)</f>
        <v>0</v>
      </c>
      <c r="BJ59" s="474">
        <f>COUNTIF(PArticipationFevrier1[[#This Row],[1]:[30]],code19)</f>
        <v>0</v>
      </c>
      <c r="BK59" s="474">
        <f>COUNTIF(PArticipationFevrier1[[#This Row],[1]:[30]],code20)</f>
        <v>0</v>
      </c>
      <c r="BL59" s="476">
        <f>COUNTIF(PArticipationFevrier1[[#This Row],[1]:[30]],code29)</f>
        <v>0</v>
      </c>
      <c r="BM59" s="472"/>
      <c r="BN59" s="472"/>
      <c r="BO59" s="472"/>
      <c r="BP59" s="472"/>
      <c r="BQ59" s="472"/>
      <c r="BR59" s="472"/>
      <c r="BS59" s="472"/>
      <c r="BT59" s="472"/>
      <c r="BU59" s="472"/>
      <c r="BV59" s="472"/>
      <c r="BW59" s="472"/>
      <c r="BX59" s="472"/>
      <c r="BY59" s="472"/>
      <c r="BZ59" s="472"/>
      <c r="CA59" s="472"/>
      <c r="CB59" s="472"/>
      <c r="CC59" s="472"/>
      <c r="CD59" s="472"/>
      <c r="CE59" s="472"/>
      <c r="CF59" s="472"/>
      <c r="CG59" s="472"/>
      <c r="CH59" s="472"/>
      <c r="CI59" s="472"/>
      <c r="CJ59" s="472"/>
      <c r="CK59" s="472"/>
      <c r="CL59" s="472"/>
      <c r="CM59" s="472"/>
      <c r="CN59" s="472"/>
      <c r="CO59" s="472"/>
      <c r="CP59" s="472"/>
      <c r="CQ59" s="472"/>
      <c r="CR59" s="472"/>
      <c r="CS59" s="472"/>
      <c r="CT59" s="472"/>
      <c r="CU59" s="300"/>
      <c r="CV59" s="507">
        <f t="shared" si="5"/>
        <v>0</v>
      </c>
      <c r="CW59" s="531">
        <f t="shared" si="6"/>
        <v>0</v>
      </c>
      <c r="CX59" s="532">
        <f t="shared" si="7"/>
        <v>0</v>
      </c>
      <c r="CY59" s="157">
        <f t="shared" si="4"/>
        <v>0</v>
      </c>
    </row>
    <row r="60" spans="1:103">
      <c r="A60" s="510" t="s">
        <v>401</v>
      </c>
      <c r="B60" s="152" t="str">
        <f>IFERROR(VLOOKUP(PArticipationFevrier1[[#This Row],[Référence]],ListeÉtudiants1[],18,FALSE),"")</f>
        <v>EL MAZGHI GHITA</v>
      </c>
      <c r="AF60" s="19"/>
      <c r="AG60" s="478"/>
      <c r="AH60" s="439">
        <f>COUNTIF(PArticipationFevrier1[[#This Row],[1]:[30]],Code1)</f>
        <v>0</v>
      </c>
      <c r="AI60" s="474">
        <f>COUNTIF(PArticipationFevrier1[[#This Row],[1]:[30]],code22)</f>
        <v>0</v>
      </c>
      <c r="AJ60" s="439">
        <f>COUNTIF(PArticipationFevrier1[[#This Row],[1]:[30]],Code2)</f>
        <v>0</v>
      </c>
      <c r="AK60" s="439">
        <f>COUNTIF(PArticipationFevrier1[[#This Row],[1]:[30]],Code3)</f>
        <v>0</v>
      </c>
      <c r="AL60" s="439">
        <f>COUNTIF(PArticipationFevrier1[[#This Row],[1]:[30]],Code4)</f>
        <v>0</v>
      </c>
      <c r="AM60" s="474">
        <f>COUNTIF(PArticipationFevrier1[[#This Row],[1]:[30]],Code5)</f>
        <v>0</v>
      </c>
      <c r="AN60" s="474"/>
      <c r="AO60" s="474">
        <f>COUNTIF(PArticipationFevrier1[[#This Row],[1]:[30]],Code6)</f>
        <v>0</v>
      </c>
      <c r="AP60" s="474">
        <f>COUNTIF(PArticipationFevrier1[[#This Row],[1]:[30]],Code7)</f>
        <v>0</v>
      </c>
      <c r="AQ60" s="474">
        <f>COUNTIF(PArticipationFevrier1[[#This Row],[1]:[30]],Code8)</f>
        <v>0</v>
      </c>
      <c r="AR60" s="474">
        <f>COUNTIF(PArticipationFevrier1[[#This Row],[1]:[30]],Code9)</f>
        <v>0</v>
      </c>
      <c r="AS60" s="474">
        <f>COUNTIF(PArticipationFevrier1[[#This Row],[1]:[30]],Code10)</f>
        <v>0</v>
      </c>
      <c r="AT60" s="474">
        <f>COUNTIF(PArticipationFevrier1[[#This Row],[1]:[30]],Code11)</f>
        <v>0</v>
      </c>
      <c r="AU60" s="474">
        <f>COUNTIF(PArticipationFevrier1[[#This Row],[1]:[30]],Code12)</f>
        <v>0</v>
      </c>
      <c r="AV60" s="474">
        <f>COUNTIF(PArticipationFevrier1[[#This Row],[1]:[30]],Code13)</f>
        <v>0</v>
      </c>
      <c r="AW60" s="474">
        <f>COUNTIF(PArticipationFevrier1[[#This Row],[1]:[30]],Code14)</f>
        <v>0</v>
      </c>
      <c r="AX60" s="474">
        <f>COUNTIF(PArticipationFevrier1[[#This Row],[1]:[30]],Code15)</f>
        <v>0</v>
      </c>
      <c r="AY60" s="474">
        <f>COUNTIF(PArticipationFevrier1[[#This Row],[1]:[30]],Code16)</f>
        <v>0</v>
      </c>
      <c r="AZ60" s="474">
        <f>COUNTIF(PArticipationFevrier1[[#This Row],[1]:[30]],Code17)</f>
        <v>0</v>
      </c>
      <c r="BA60" s="474">
        <f>COUNTIF(PArticipationFevrier1[[#This Row],[1]:[30]],Code26)</f>
        <v>0</v>
      </c>
      <c r="BB60" s="474">
        <f>COUNTIF(PArticipationFevrier1[[#This Row],[1]:[30]],Code25)</f>
        <v>0</v>
      </c>
      <c r="BC60" s="474">
        <f>COUNTIF(PArticipationFevrier1[[#This Row],[1]:[30]],Code27)</f>
        <v>0</v>
      </c>
      <c r="BD60" s="474">
        <f>COUNTIF(PArticipationFevrier1[[#This Row],[1]:[30]],Code28)</f>
        <v>0</v>
      </c>
      <c r="BE60" s="474">
        <f>COUNTIF(PArticipationFevrier1[[#This Row],[1]:[30]],code30)</f>
        <v>0</v>
      </c>
      <c r="BF60" s="474">
        <f>COUNTIF(PArticipationFevrier1[[#This Row],[1]:[30]],Code31)</f>
        <v>0</v>
      </c>
      <c r="BG60" s="474">
        <f>COUNTIF(PArticipationFevrier1[[#This Row],[1]:[30]],code21)</f>
        <v>0</v>
      </c>
      <c r="BH60" s="474">
        <f>COUNTIF(PArticipationFevrier1[[#This Row],[1]:[30]],Code24)</f>
        <v>0</v>
      </c>
      <c r="BI60" s="474">
        <f>COUNTIF(PArticipationFevrier1[[#This Row],[1]:[30]],code18)</f>
        <v>0</v>
      </c>
      <c r="BJ60" s="474">
        <f>COUNTIF(PArticipationFevrier1[[#This Row],[1]:[30]],code19)</f>
        <v>0</v>
      </c>
      <c r="BK60" s="474">
        <f>COUNTIF(PArticipationFevrier1[[#This Row],[1]:[30]],code20)</f>
        <v>0</v>
      </c>
      <c r="BL60" s="476">
        <f>COUNTIF(PArticipationFevrier1[[#This Row],[1]:[30]],code29)</f>
        <v>0</v>
      </c>
      <c r="BM60" s="472"/>
      <c r="BN60" s="472"/>
      <c r="BO60" s="472"/>
      <c r="BP60" s="472"/>
      <c r="BQ60" s="472"/>
      <c r="BR60" s="472"/>
      <c r="BS60" s="472"/>
      <c r="BT60" s="472"/>
      <c r="BU60" s="472"/>
      <c r="BV60" s="472"/>
      <c r="BW60" s="472"/>
      <c r="BX60" s="472"/>
      <c r="BY60" s="472"/>
      <c r="BZ60" s="472"/>
      <c r="CA60" s="472"/>
      <c r="CB60" s="472"/>
      <c r="CC60" s="472"/>
      <c r="CD60" s="472"/>
      <c r="CE60" s="472"/>
      <c r="CF60" s="472"/>
      <c r="CG60" s="472"/>
      <c r="CH60" s="472"/>
      <c r="CI60" s="472"/>
      <c r="CJ60" s="472"/>
      <c r="CK60" s="472"/>
      <c r="CL60" s="472"/>
      <c r="CM60" s="472"/>
      <c r="CN60" s="472"/>
      <c r="CO60" s="472"/>
      <c r="CP60" s="472"/>
      <c r="CQ60" s="472"/>
      <c r="CR60" s="472"/>
      <c r="CS60" s="472"/>
      <c r="CT60" s="472"/>
      <c r="CU60" s="300"/>
      <c r="CV60" s="507">
        <f t="shared" si="5"/>
        <v>0</v>
      </c>
      <c r="CW60" s="531">
        <f t="shared" si="6"/>
        <v>0</v>
      </c>
      <c r="CX60" s="532">
        <f t="shared" si="7"/>
        <v>0</v>
      </c>
      <c r="CY60" s="157">
        <f t="shared" si="4"/>
        <v>0</v>
      </c>
    </row>
    <row r="61" spans="1:103">
      <c r="A61" s="510" t="s">
        <v>402</v>
      </c>
      <c r="B61" s="152" t="str">
        <f>IFERROR(VLOOKUP(PArticipationFevrier1[[#This Row],[Référence]],ListeÉtudiants1[],18,FALSE),"")</f>
        <v>ELIE ODILE</v>
      </c>
      <c r="AF61" s="19"/>
      <c r="AG61" s="478"/>
      <c r="AH61" s="439">
        <f>COUNTIF(PArticipationFevrier1[[#This Row],[1]:[30]],Code1)</f>
        <v>0</v>
      </c>
      <c r="AI61" s="474">
        <f>COUNTIF(PArticipationFevrier1[[#This Row],[1]:[30]],code22)</f>
        <v>0</v>
      </c>
      <c r="AJ61" s="439">
        <f>COUNTIF(PArticipationFevrier1[[#This Row],[1]:[30]],Code2)</f>
        <v>0</v>
      </c>
      <c r="AK61" s="439">
        <f>COUNTIF(PArticipationFevrier1[[#This Row],[1]:[30]],Code3)</f>
        <v>0</v>
      </c>
      <c r="AL61" s="439">
        <f>COUNTIF(PArticipationFevrier1[[#This Row],[1]:[30]],Code4)</f>
        <v>0</v>
      </c>
      <c r="AM61" s="474">
        <f>COUNTIF(PArticipationFevrier1[[#This Row],[1]:[30]],Code5)</f>
        <v>0</v>
      </c>
      <c r="AN61" s="474"/>
      <c r="AO61" s="474">
        <f>COUNTIF(PArticipationFevrier1[[#This Row],[1]:[30]],Code6)</f>
        <v>0</v>
      </c>
      <c r="AP61" s="474">
        <f>COUNTIF(PArticipationFevrier1[[#This Row],[1]:[30]],Code7)</f>
        <v>0</v>
      </c>
      <c r="AQ61" s="474">
        <f>COUNTIF(PArticipationFevrier1[[#This Row],[1]:[30]],Code8)</f>
        <v>0</v>
      </c>
      <c r="AR61" s="474">
        <f>COUNTIF(PArticipationFevrier1[[#This Row],[1]:[30]],Code9)</f>
        <v>0</v>
      </c>
      <c r="AS61" s="474">
        <f>COUNTIF(PArticipationFevrier1[[#This Row],[1]:[30]],Code10)</f>
        <v>0</v>
      </c>
      <c r="AT61" s="474">
        <f>COUNTIF(PArticipationFevrier1[[#This Row],[1]:[30]],Code11)</f>
        <v>0</v>
      </c>
      <c r="AU61" s="474">
        <f>COUNTIF(PArticipationFevrier1[[#This Row],[1]:[30]],Code12)</f>
        <v>0</v>
      </c>
      <c r="AV61" s="474">
        <f>COUNTIF(PArticipationFevrier1[[#This Row],[1]:[30]],Code13)</f>
        <v>0</v>
      </c>
      <c r="AW61" s="474">
        <f>COUNTIF(PArticipationFevrier1[[#This Row],[1]:[30]],Code14)</f>
        <v>0</v>
      </c>
      <c r="AX61" s="474">
        <f>COUNTIF(PArticipationFevrier1[[#This Row],[1]:[30]],Code15)</f>
        <v>0</v>
      </c>
      <c r="AY61" s="474">
        <f>COUNTIF(PArticipationFevrier1[[#This Row],[1]:[30]],Code16)</f>
        <v>0</v>
      </c>
      <c r="AZ61" s="474">
        <f>COUNTIF(PArticipationFevrier1[[#This Row],[1]:[30]],Code17)</f>
        <v>0</v>
      </c>
      <c r="BA61" s="474">
        <f>COUNTIF(PArticipationFevrier1[[#This Row],[1]:[30]],Code26)</f>
        <v>0</v>
      </c>
      <c r="BB61" s="474">
        <f>COUNTIF(PArticipationFevrier1[[#This Row],[1]:[30]],Code25)</f>
        <v>0</v>
      </c>
      <c r="BC61" s="474">
        <f>COUNTIF(PArticipationFevrier1[[#This Row],[1]:[30]],Code27)</f>
        <v>0</v>
      </c>
      <c r="BD61" s="474">
        <f>COUNTIF(PArticipationFevrier1[[#This Row],[1]:[30]],Code28)</f>
        <v>0</v>
      </c>
      <c r="BE61" s="474">
        <f>COUNTIF(PArticipationFevrier1[[#This Row],[1]:[30]],code30)</f>
        <v>0</v>
      </c>
      <c r="BF61" s="474">
        <f>COUNTIF(PArticipationFevrier1[[#This Row],[1]:[30]],Code31)</f>
        <v>0</v>
      </c>
      <c r="BG61" s="474">
        <f>COUNTIF(PArticipationFevrier1[[#This Row],[1]:[30]],code21)</f>
        <v>0</v>
      </c>
      <c r="BH61" s="474">
        <f>COUNTIF(PArticipationFevrier1[[#This Row],[1]:[30]],Code24)</f>
        <v>0</v>
      </c>
      <c r="BI61" s="474">
        <f>COUNTIF(PArticipationFevrier1[[#This Row],[1]:[30]],code18)</f>
        <v>0</v>
      </c>
      <c r="BJ61" s="474">
        <f>COUNTIF(PArticipationFevrier1[[#This Row],[1]:[30]],code19)</f>
        <v>0</v>
      </c>
      <c r="BK61" s="474">
        <f>COUNTIF(PArticipationFevrier1[[#This Row],[1]:[30]],code20)</f>
        <v>0</v>
      </c>
      <c r="BL61" s="476">
        <f>COUNTIF(PArticipationFevrier1[[#This Row],[1]:[30]],code29)</f>
        <v>0</v>
      </c>
      <c r="BM61" s="472"/>
      <c r="BN61" s="472"/>
      <c r="BO61" s="472"/>
      <c r="BP61" s="472"/>
      <c r="BQ61" s="472"/>
      <c r="BR61" s="472"/>
      <c r="BS61" s="472"/>
      <c r="BT61" s="472"/>
      <c r="BU61" s="472"/>
      <c r="BV61" s="472"/>
      <c r="BW61" s="472"/>
      <c r="BX61" s="472"/>
      <c r="BY61" s="472"/>
      <c r="BZ61" s="472"/>
      <c r="CA61" s="472"/>
      <c r="CB61" s="472"/>
      <c r="CC61" s="472"/>
      <c r="CD61" s="472"/>
      <c r="CE61" s="472"/>
      <c r="CF61" s="472"/>
      <c r="CG61" s="472"/>
      <c r="CH61" s="472"/>
      <c r="CI61" s="472"/>
      <c r="CJ61" s="472"/>
      <c r="CK61" s="472"/>
      <c r="CL61" s="472"/>
      <c r="CM61" s="472"/>
      <c r="CN61" s="472"/>
      <c r="CO61" s="472"/>
      <c r="CP61" s="472"/>
      <c r="CQ61" s="472"/>
      <c r="CR61" s="472"/>
      <c r="CS61" s="472"/>
      <c r="CT61" s="472"/>
      <c r="CU61" s="300"/>
      <c r="CV61" s="507">
        <f t="shared" si="5"/>
        <v>0</v>
      </c>
      <c r="CW61" s="531">
        <f t="shared" si="6"/>
        <v>0</v>
      </c>
      <c r="CX61" s="532">
        <f t="shared" si="7"/>
        <v>0</v>
      </c>
      <c r="CY61" s="157">
        <f t="shared" si="4"/>
        <v>0</v>
      </c>
    </row>
    <row r="62" spans="1:103">
      <c r="A62" s="534" t="s">
        <v>403</v>
      </c>
      <c r="B62" s="152" t="str">
        <f>IFERROR(VLOOKUP(PArticipationFevrier1[[#This Row],[Référence]],ListeÉtudiants1[],18,FALSE),"")</f>
        <v>ETIENNE MYLENE</v>
      </c>
      <c r="AF62" s="19"/>
      <c r="AG62" s="478"/>
      <c r="AH62" s="439">
        <f>COUNTIF(PArticipationFevrier1[[#This Row],[1]:[30]],Code1)</f>
        <v>0</v>
      </c>
      <c r="AI62" s="474">
        <f>COUNTIF(PArticipationFevrier1[[#This Row],[1]:[30]],code22)</f>
        <v>0</v>
      </c>
      <c r="AJ62" s="439">
        <f>COUNTIF(PArticipationFevrier1[[#This Row],[1]:[30]],Code2)</f>
        <v>0</v>
      </c>
      <c r="AK62" s="439">
        <f>COUNTIF(PArticipationFevrier1[[#This Row],[1]:[30]],Code3)</f>
        <v>0</v>
      </c>
      <c r="AL62" s="439">
        <f>COUNTIF(PArticipationFevrier1[[#This Row],[1]:[30]],Code4)</f>
        <v>0</v>
      </c>
      <c r="AM62" s="474">
        <f>COUNTIF(PArticipationFevrier1[[#This Row],[1]:[30]],Code5)</f>
        <v>0</v>
      </c>
      <c r="AN62" s="474"/>
      <c r="AO62" s="474">
        <f>COUNTIF(PArticipationFevrier1[[#This Row],[1]:[30]],Code6)</f>
        <v>0</v>
      </c>
      <c r="AP62" s="474">
        <f>COUNTIF(PArticipationFevrier1[[#This Row],[1]:[30]],Code7)</f>
        <v>0</v>
      </c>
      <c r="AQ62" s="474">
        <f>COUNTIF(PArticipationFevrier1[[#This Row],[1]:[30]],Code8)</f>
        <v>0</v>
      </c>
      <c r="AR62" s="474">
        <f>COUNTIF(PArticipationFevrier1[[#This Row],[1]:[30]],Code9)</f>
        <v>0</v>
      </c>
      <c r="AS62" s="474">
        <f>COUNTIF(PArticipationFevrier1[[#This Row],[1]:[30]],Code10)</f>
        <v>0</v>
      </c>
      <c r="AT62" s="474">
        <f>COUNTIF(PArticipationFevrier1[[#This Row],[1]:[30]],Code11)</f>
        <v>0</v>
      </c>
      <c r="AU62" s="474">
        <f>COUNTIF(PArticipationFevrier1[[#This Row],[1]:[30]],Code12)</f>
        <v>0</v>
      </c>
      <c r="AV62" s="474">
        <f>COUNTIF(PArticipationFevrier1[[#This Row],[1]:[30]],Code13)</f>
        <v>0</v>
      </c>
      <c r="AW62" s="474">
        <f>COUNTIF(PArticipationFevrier1[[#This Row],[1]:[30]],Code14)</f>
        <v>0</v>
      </c>
      <c r="AX62" s="474">
        <f>COUNTIF(PArticipationFevrier1[[#This Row],[1]:[30]],Code15)</f>
        <v>0</v>
      </c>
      <c r="AY62" s="474">
        <f>COUNTIF(PArticipationFevrier1[[#This Row],[1]:[30]],Code16)</f>
        <v>0</v>
      </c>
      <c r="AZ62" s="474">
        <f>COUNTIF(PArticipationFevrier1[[#This Row],[1]:[30]],Code17)</f>
        <v>0</v>
      </c>
      <c r="BA62" s="474">
        <f>COUNTIF(PArticipationFevrier1[[#This Row],[1]:[30]],Code26)</f>
        <v>0</v>
      </c>
      <c r="BB62" s="474">
        <f>COUNTIF(PArticipationFevrier1[[#This Row],[1]:[30]],Code25)</f>
        <v>0</v>
      </c>
      <c r="BC62" s="474">
        <f>COUNTIF(PArticipationFevrier1[[#This Row],[1]:[30]],Code27)</f>
        <v>0</v>
      </c>
      <c r="BD62" s="474">
        <f>COUNTIF(PArticipationFevrier1[[#This Row],[1]:[30]],Code28)</f>
        <v>0</v>
      </c>
      <c r="BE62" s="474">
        <f>COUNTIF(PArticipationFevrier1[[#This Row],[1]:[30]],code30)</f>
        <v>0</v>
      </c>
      <c r="BF62" s="474">
        <f>COUNTIF(PArticipationFevrier1[[#This Row],[1]:[30]],Code31)</f>
        <v>0</v>
      </c>
      <c r="BG62" s="474">
        <f>COUNTIF(PArticipationFevrier1[[#This Row],[1]:[30]],code21)</f>
        <v>0</v>
      </c>
      <c r="BH62" s="474">
        <f>COUNTIF(PArticipationFevrier1[[#This Row],[1]:[30]],Code24)</f>
        <v>0</v>
      </c>
      <c r="BI62" s="474">
        <f>COUNTIF(PArticipationFevrier1[[#This Row],[1]:[30]],code18)</f>
        <v>0</v>
      </c>
      <c r="BJ62" s="474">
        <f>COUNTIF(PArticipationFevrier1[[#This Row],[1]:[30]],code19)</f>
        <v>0</v>
      </c>
      <c r="BK62" s="474">
        <f>COUNTIF(PArticipationFevrier1[[#This Row],[1]:[30]],code20)</f>
        <v>0</v>
      </c>
      <c r="BL62" s="476">
        <f>COUNTIF(PArticipationFevrier1[[#This Row],[1]:[30]],code29)</f>
        <v>0</v>
      </c>
      <c r="BM62" s="472"/>
      <c r="BN62" s="472"/>
      <c r="BO62" s="472"/>
      <c r="BP62" s="472"/>
      <c r="BQ62" s="472"/>
      <c r="BR62" s="472"/>
      <c r="BS62" s="472"/>
      <c r="BT62" s="472"/>
      <c r="BU62" s="472"/>
      <c r="BV62" s="472"/>
      <c r="BW62" s="472"/>
      <c r="BX62" s="472"/>
      <c r="BY62" s="472"/>
      <c r="BZ62" s="472"/>
      <c r="CA62" s="472"/>
      <c r="CB62" s="472"/>
      <c r="CC62" s="472"/>
      <c r="CD62" s="472"/>
      <c r="CE62" s="472"/>
      <c r="CF62" s="472"/>
      <c r="CG62" s="472"/>
      <c r="CH62" s="472"/>
      <c r="CI62" s="472"/>
      <c r="CJ62" s="472"/>
      <c r="CK62" s="472"/>
      <c r="CL62" s="472"/>
      <c r="CM62" s="472"/>
      <c r="CN62" s="472"/>
      <c r="CO62" s="472"/>
      <c r="CP62" s="472"/>
      <c r="CQ62" s="472"/>
      <c r="CR62" s="472"/>
      <c r="CS62" s="472"/>
      <c r="CT62" s="472"/>
      <c r="CU62" s="300"/>
      <c r="CV62" s="507">
        <f t="shared" si="5"/>
        <v>0</v>
      </c>
      <c r="CW62" s="531">
        <f t="shared" si="6"/>
        <v>0</v>
      </c>
      <c r="CX62" s="532">
        <f t="shared" si="7"/>
        <v>0</v>
      </c>
      <c r="CY62" s="157">
        <f t="shared" si="4"/>
        <v>0</v>
      </c>
    </row>
    <row r="63" spans="1:103">
      <c r="A63" s="534" t="s">
        <v>404</v>
      </c>
      <c r="B63" s="152" t="str">
        <f>IFERROR(VLOOKUP(PArticipationFevrier1[[#This Row],[Référence]],ListeÉtudiants1[],18,FALSE),"")</f>
        <v>FIRPION ALLISON</v>
      </c>
      <c r="AF63" s="19"/>
      <c r="AG63" s="478"/>
      <c r="AH63" s="439">
        <f>COUNTIF(PArticipationFevrier1[[#This Row],[1]:[30]],Code1)</f>
        <v>0</v>
      </c>
      <c r="AI63" s="474">
        <f>COUNTIF(PArticipationFevrier1[[#This Row],[1]:[30]],code22)</f>
        <v>0</v>
      </c>
      <c r="AJ63" s="439">
        <f>COUNTIF(PArticipationFevrier1[[#This Row],[1]:[30]],Code2)</f>
        <v>0</v>
      </c>
      <c r="AK63" s="439">
        <f>COUNTIF(PArticipationFevrier1[[#This Row],[1]:[30]],Code3)</f>
        <v>0</v>
      </c>
      <c r="AL63" s="439">
        <f>COUNTIF(PArticipationFevrier1[[#This Row],[1]:[30]],Code4)</f>
        <v>0</v>
      </c>
      <c r="AM63" s="474">
        <f>COUNTIF(PArticipationFevrier1[[#This Row],[1]:[30]],Code5)</f>
        <v>0</v>
      </c>
      <c r="AN63" s="474"/>
      <c r="AO63" s="474">
        <f>COUNTIF(PArticipationFevrier1[[#This Row],[1]:[30]],Code6)</f>
        <v>0</v>
      </c>
      <c r="AP63" s="474">
        <f>COUNTIF(PArticipationFevrier1[[#This Row],[1]:[30]],Code7)</f>
        <v>0</v>
      </c>
      <c r="AQ63" s="474">
        <f>COUNTIF(PArticipationFevrier1[[#This Row],[1]:[30]],Code8)</f>
        <v>0</v>
      </c>
      <c r="AR63" s="474">
        <f>COUNTIF(PArticipationFevrier1[[#This Row],[1]:[30]],Code9)</f>
        <v>0</v>
      </c>
      <c r="AS63" s="474">
        <f>COUNTIF(PArticipationFevrier1[[#This Row],[1]:[30]],Code10)</f>
        <v>0</v>
      </c>
      <c r="AT63" s="474">
        <f>COUNTIF(PArticipationFevrier1[[#This Row],[1]:[30]],Code11)</f>
        <v>0</v>
      </c>
      <c r="AU63" s="474">
        <f>COUNTIF(PArticipationFevrier1[[#This Row],[1]:[30]],Code12)</f>
        <v>0</v>
      </c>
      <c r="AV63" s="474">
        <f>COUNTIF(PArticipationFevrier1[[#This Row],[1]:[30]],Code13)</f>
        <v>0</v>
      </c>
      <c r="AW63" s="474">
        <f>COUNTIF(PArticipationFevrier1[[#This Row],[1]:[30]],Code14)</f>
        <v>0</v>
      </c>
      <c r="AX63" s="474">
        <f>COUNTIF(PArticipationFevrier1[[#This Row],[1]:[30]],Code15)</f>
        <v>0</v>
      </c>
      <c r="AY63" s="474">
        <f>COUNTIF(PArticipationFevrier1[[#This Row],[1]:[30]],Code16)</f>
        <v>0</v>
      </c>
      <c r="AZ63" s="474">
        <f>COUNTIF(PArticipationFevrier1[[#This Row],[1]:[30]],Code17)</f>
        <v>0</v>
      </c>
      <c r="BA63" s="474">
        <f>COUNTIF(PArticipationFevrier1[[#This Row],[1]:[30]],Code26)</f>
        <v>0</v>
      </c>
      <c r="BB63" s="474">
        <f>COUNTIF(PArticipationFevrier1[[#This Row],[1]:[30]],Code25)</f>
        <v>0</v>
      </c>
      <c r="BC63" s="474">
        <f>COUNTIF(PArticipationFevrier1[[#This Row],[1]:[30]],Code27)</f>
        <v>0</v>
      </c>
      <c r="BD63" s="474">
        <f>COUNTIF(PArticipationFevrier1[[#This Row],[1]:[30]],Code28)</f>
        <v>0</v>
      </c>
      <c r="BE63" s="474">
        <f>COUNTIF(PArticipationFevrier1[[#This Row],[1]:[30]],code30)</f>
        <v>0</v>
      </c>
      <c r="BF63" s="474">
        <f>COUNTIF(PArticipationFevrier1[[#This Row],[1]:[30]],Code31)</f>
        <v>0</v>
      </c>
      <c r="BG63" s="474">
        <f>COUNTIF(PArticipationFevrier1[[#This Row],[1]:[30]],code21)</f>
        <v>0</v>
      </c>
      <c r="BH63" s="474">
        <f>COUNTIF(PArticipationFevrier1[[#This Row],[1]:[30]],Code24)</f>
        <v>0</v>
      </c>
      <c r="BI63" s="474">
        <f>COUNTIF(PArticipationFevrier1[[#This Row],[1]:[30]],code18)</f>
        <v>0</v>
      </c>
      <c r="BJ63" s="474">
        <f>COUNTIF(PArticipationFevrier1[[#This Row],[1]:[30]],code19)</f>
        <v>0</v>
      </c>
      <c r="BK63" s="474">
        <f>COUNTIF(PArticipationFevrier1[[#This Row],[1]:[30]],code20)</f>
        <v>0</v>
      </c>
      <c r="BL63" s="476">
        <f>COUNTIF(PArticipationFevrier1[[#This Row],[1]:[30]],code29)</f>
        <v>0</v>
      </c>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c r="CP63" s="472"/>
      <c r="CQ63" s="472"/>
      <c r="CR63" s="472"/>
      <c r="CS63" s="472"/>
      <c r="CT63" s="472"/>
      <c r="CU63" s="300"/>
      <c r="CV63" s="507">
        <f t="shared" si="5"/>
        <v>0</v>
      </c>
      <c r="CW63" s="531">
        <f t="shared" si="6"/>
        <v>0</v>
      </c>
      <c r="CX63" s="532">
        <f t="shared" si="7"/>
        <v>0</v>
      </c>
      <c r="CY63" s="157">
        <f t="shared" si="4"/>
        <v>0</v>
      </c>
    </row>
    <row r="64" spans="1:103">
      <c r="A64" s="510" t="s">
        <v>405</v>
      </c>
      <c r="B64" s="152" t="str">
        <f>IFERROR(VLOOKUP(PArticipationFevrier1[[#This Row],[Référence]],ListeÉtudiants1[],18,FALSE),"")</f>
        <v>GARGIULO  LUCIE</v>
      </c>
      <c r="K64" t="s">
        <v>496</v>
      </c>
      <c r="AF64" s="19"/>
      <c r="AG64" s="478"/>
      <c r="AH64" s="439">
        <f>COUNTIF(PArticipationFevrier1[[#This Row],[1]:[30]],Code1)</f>
        <v>0</v>
      </c>
      <c r="AI64" s="474">
        <f>COUNTIF(PArticipationFevrier1[[#This Row],[1]:[30]],code22)</f>
        <v>0</v>
      </c>
      <c r="AJ64" s="439">
        <f>COUNTIF(PArticipationFevrier1[[#This Row],[1]:[30]],Code2)</f>
        <v>0</v>
      </c>
      <c r="AK64" s="439">
        <f>COUNTIF(PArticipationFevrier1[[#This Row],[1]:[30]],Code3)</f>
        <v>0</v>
      </c>
      <c r="AL64" s="439">
        <f>COUNTIF(PArticipationFevrier1[[#This Row],[1]:[30]],Code4)</f>
        <v>0</v>
      </c>
      <c r="AM64" s="474">
        <f>COUNTIF(PArticipationFevrier1[[#This Row],[1]:[30]],Code5)</f>
        <v>0</v>
      </c>
      <c r="AN64" s="474"/>
      <c r="AO64" s="474">
        <f>COUNTIF(PArticipationFevrier1[[#This Row],[1]:[30]],Code6)</f>
        <v>0</v>
      </c>
      <c r="AP64" s="474">
        <f>COUNTIF(PArticipationFevrier1[[#This Row],[1]:[30]],Code7)</f>
        <v>0</v>
      </c>
      <c r="AQ64" s="474">
        <f>COUNTIF(PArticipationFevrier1[[#This Row],[1]:[30]],Code8)</f>
        <v>0</v>
      </c>
      <c r="AR64" s="474">
        <f>COUNTIF(PArticipationFevrier1[[#This Row],[1]:[30]],Code9)</f>
        <v>0</v>
      </c>
      <c r="AS64" s="474">
        <f>COUNTIF(PArticipationFevrier1[[#This Row],[1]:[30]],Code10)</f>
        <v>0</v>
      </c>
      <c r="AT64" s="474">
        <f>COUNTIF(PArticipationFevrier1[[#This Row],[1]:[30]],Code11)</f>
        <v>0</v>
      </c>
      <c r="AU64" s="474">
        <f>COUNTIF(PArticipationFevrier1[[#This Row],[1]:[30]],Code12)</f>
        <v>0</v>
      </c>
      <c r="AV64" s="474">
        <f>COUNTIF(PArticipationFevrier1[[#This Row],[1]:[30]],Code13)</f>
        <v>0</v>
      </c>
      <c r="AW64" s="474">
        <f>COUNTIF(PArticipationFevrier1[[#This Row],[1]:[30]],Code14)</f>
        <v>0</v>
      </c>
      <c r="AX64" s="474">
        <f>COUNTIF(PArticipationFevrier1[[#This Row],[1]:[30]],Code15)</f>
        <v>0</v>
      </c>
      <c r="AY64" s="474">
        <f>COUNTIF(PArticipationFevrier1[[#This Row],[1]:[30]],Code16)</f>
        <v>0</v>
      </c>
      <c r="AZ64" s="474">
        <f>COUNTIF(PArticipationFevrier1[[#This Row],[1]:[30]],Code17)</f>
        <v>0</v>
      </c>
      <c r="BA64" s="474">
        <f>COUNTIF(PArticipationFevrier1[[#This Row],[1]:[30]],Code26)</f>
        <v>0</v>
      </c>
      <c r="BB64" s="474">
        <f>COUNTIF(PArticipationFevrier1[[#This Row],[1]:[30]],Code25)</f>
        <v>0</v>
      </c>
      <c r="BC64" s="474">
        <f>COUNTIF(PArticipationFevrier1[[#This Row],[1]:[30]],Code27)</f>
        <v>0</v>
      </c>
      <c r="BD64" s="474">
        <f>COUNTIF(PArticipationFevrier1[[#This Row],[1]:[30]],Code28)</f>
        <v>0</v>
      </c>
      <c r="BE64" s="474">
        <f>COUNTIF(PArticipationFevrier1[[#This Row],[1]:[30]],code30)</f>
        <v>0</v>
      </c>
      <c r="BF64" s="474">
        <f>COUNTIF(PArticipationFevrier1[[#This Row],[1]:[30]],Code31)</f>
        <v>0</v>
      </c>
      <c r="BG64" s="474">
        <f>COUNTIF(PArticipationFevrier1[[#This Row],[1]:[30]],code21)</f>
        <v>0</v>
      </c>
      <c r="BH64" s="474">
        <f>COUNTIF(PArticipationFevrier1[[#This Row],[1]:[30]],Code24)</f>
        <v>0</v>
      </c>
      <c r="BI64" s="474">
        <f>COUNTIF(PArticipationFevrier1[[#This Row],[1]:[30]],code18)</f>
        <v>1</v>
      </c>
      <c r="BJ64" s="474">
        <f>COUNTIF(PArticipationFevrier1[[#This Row],[1]:[30]],code19)</f>
        <v>0</v>
      </c>
      <c r="BK64" s="474">
        <f>COUNTIF(PArticipationFevrier1[[#This Row],[1]:[30]],code20)</f>
        <v>0</v>
      </c>
      <c r="BL64" s="476">
        <f>COUNTIF(PArticipationFevrier1[[#This Row],[1]:[30]],code29)</f>
        <v>0</v>
      </c>
      <c r="BM64" s="472"/>
      <c r="BN64" s="472"/>
      <c r="BO64" s="472"/>
      <c r="BP64" s="472"/>
      <c r="BQ64" s="472"/>
      <c r="BR64" s="472"/>
      <c r="BS64" s="472"/>
      <c r="BT64" s="472"/>
      <c r="BU64" s="472"/>
      <c r="BV64" s="472"/>
      <c r="BW64" s="472"/>
      <c r="BX64" s="472"/>
      <c r="BY64" s="472"/>
      <c r="BZ64" s="472"/>
      <c r="CA64" s="472"/>
      <c r="CB64" s="472"/>
      <c r="CC64" s="472"/>
      <c r="CD64" s="472"/>
      <c r="CE64" s="472"/>
      <c r="CF64" s="472"/>
      <c r="CG64" s="472"/>
      <c r="CH64" s="472"/>
      <c r="CI64" s="472"/>
      <c r="CJ64" s="472"/>
      <c r="CK64" s="472"/>
      <c r="CL64" s="472"/>
      <c r="CM64" s="472"/>
      <c r="CN64" s="472"/>
      <c r="CO64" s="472"/>
      <c r="CP64" s="472"/>
      <c r="CQ64" s="472"/>
      <c r="CR64" s="472"/>
      <c r="CS64" s="472"/>
      <c r="CT64" s="472"/>
      <c r="CU64" s="300"/>
      <c r="CV64" s="507">
        <f t="shared" si="5"/>
        <v>0</v>
      </c>
      <c r="CW64" s="531">
        <f t="shared" si="6"/>
        <v>0</v>
      </c>
      <c r="CX64" s="532">
        <f t="shared" si="7"/>
        <v>0</v>
      </c>
      <c r="CY64" s="157">
        <f t="shared" si="4"/>
        <v>7</v>
      </c>
    </row>
    <row r="65" spans="1:103">
      <c r="A65" s="510" t="s">
        <v>406</v>
      </c>
      <c r="B65" s="152" t="str">
        <f>IFERROR(VLOOKUP(PArticipationFevrier1[[#This Row],[Référence]],ListeÉtudiants1[],18,FALSE),"")</f>
        <v>GASQUET ANTOINE</v>
      </c>
      <c r="AF65" s="19"/>
      <c r="AG65" s="478"/>
      <c r="AH65" s="439">
        <f>COUNTIF(PArticipationFevrier1[[#This Row],[1]:[30]],Code1)</f>
        <v>0</v>
      </c>
      <c r="AI65" s="474">
        <f>COUNTIF(PArticipationFevrier1[[#This Row],[1]:[30]],code22)</f>
        <v>0</v>
      </c>
      <c r="AJ65" s="439">
        <f>COUNTIF(PArticipationFevrier1[[#This Row],[1]:[30]],Code2)</f>
        <v>0</v>
      </c>
      <c r="AK65" s="439">
        <f>COUNTIF(PArticipationFevrier1[[#This Row],[1]:[30]],Code3)</f>
        <v>0</v>
      </c>
      <c r="AL65" s="439">
        <f>COUNTIF(PArticipationFevrier1[[#This Row],[1]:[30]],Code4)</f>
        <v>0</v>
      </c>
      <c r="AM65" s="474">
        <f>COUNTIF(PArticipationFevrier1[[#This Row],[1]:[30]],Code5)</f>
        <v>0</v>
      </c>
      <c r="AN65" s="474"/>
      <c r="AO65" s="474">
        <f>COUNTIF(PArticipationFevrier1[[#This Row],[1]:[30]],Code6)</f>
        <v>0</v>
      </c>
      <c r="AP65" s="474">
        <f>COUNTIF(PArticipationFevrier1[[#This Row],[1]:[30]],Code7)</f>
        <v>0</v>
      </c>
      <c r="AQ65" s="474">
        <f>COUNTIF(PArticipationFevrier1[[#This Row],[1]:[30]],Code8)</f>
        <v>0</v>
      </c>
      <c r="AR65" s="474">
        <f>COUNTIF(PArticipationFevrier1[[#This Row],[1]:[30]],Code9)</f>
        <v>0</v>
      </c>
      <c r="AS65" s="474">
        <f>COUNTIF(PArticipationFevrier1[[#This Row],[1]:[30]],Code10)</f>
        <v>0</v>
      </c>
      <c r="AT65" s="474">
        <f>COUNTIF(PArticipationFevrier1[[#This Row],[1]:[30]],Code11)</f>
        <v>0</v>
      </c>
      <c r="AU65" s="474">
        <f>COUNTIF(PArticipationFevrier1[[#This Row],[1]:[30]],Code12)</f>
        <v>0</v>
      </c>
      <c r="AV65" s="474">
        <f>COUNTIF(PArticipationFevrier1[[#This Row],[1]:[30]],Code13)</f>
        <v>0</v>
      </c>
      <c r="AW65" s="474">
        <f>COUNTIF(PArticipationFevrier1[[#This Row],[1]:[30]],Code14)</f>
        <v>0</v>
      </c>
      <c r="AX65" s="474">
        <f>COUNTIF(PArticipationFevrier1[[#This Row],[1]:[30]],Code15)</f>
        <v>0</v>
      </c>
      <c r="AY65" s="474">
        <f>COUNTIF(PArticipationFevrier1[[#This Row],[1]:[30]],Code16)</f>
        <v>0</v>
      </c>
      <c r="AZ65" s="474">
        <f>COUNTIF(PArticipationFevrier1[[#This Row],[1]:[30]],Code17)</f>
        <v>0</v>
      </c>
      <c r="BA65" s="474">
        <f>COUNTIF(PArticipationFevrier1[[#This Row],[1]:[30]],Code26)</f>
        <v>0</v>
      </c>
      <c r="BB65" s="474">
        <f>COUNTIF(PArticipationFevrier1[[#This Row],[1]:[30]],Code25)</f>
        <v>0</v>
      </c>
      <c r="BC65" s="474">
        <f>COUNTIF(PArticipationFevrier1[[#This Row],[1]:[30]],Code27)</f>
        <v>0</v>
      </c>
      <c r="BD65" s="474">
        <f>COUNTIF(PArticipationFevrier1[[#This Row],[1]:[30]],Code28)</f>
        <v>0</v>
      </c>
      <c r="BE65" s="474">
        <f>COUNTIF(PArticipationFevrier1[[#This Row],[1]:[30]],code30)</f>
        <v>0</v>
      </c>
      <c r="BF65" s="474">
        <f>COUNTIF(PArticipationFevrier1[[#This Row],[1]:[30]],Code31)</f>
        <v>0</v>
      </c>
      <c r="BG65" s="474">
        <f>COUNTIF(PArticipationFevrier1[[#This Row],[1]:[30]],code21)</f>
        <v>0</v>
      </c>
      <c r="BH65" s="474">
        <f>COUNTIF(PArticipationFevrier1[[#This Row],[1]:[30]],Code24)</f>
        <v>0</v>
      </c>
      <c r="BI65" s="474">
        <f>COUNTIF(PArticipationFevrier1[[#This Row],[1]:[30]],code18)</f>
        <v>0</v>
      </c>
      <c r="BJ65" s="474">
        <f>COUNTIF(PArticipationFevrier1[[#This Row],[1]:[30]],code19)</f>
        <v>0</v>
      </c>
      <c r="BK65" s="474">
        <f>COUNTIF(PArticipationFevrier1[[#This Row],[1]:[30]],code20)</f>
        <v>0</v>
      </c>
      <c r="BL65" s="476">
        <f>COUNTIF(PArticipationFevrier1[[#This Row],[1]:[30]],code29)</f>
        <v>0</v>
      </c>
      <c r="BM65" s="472"/>
      <c r="BN65" s="472"/>
      <c r="BO65" s="472"/>
      <c r="BP65" s="472"/>
      <c r="BQ65" s="472"/>
      <c r="BR65" s="472"/>
      <c r="BS65" s="472"/>
      <c r="BT65" s="472"/>
      <c r="BU65" s="472"/>
      <c r="BV65" s="472"/>
      <c r="BW65" s="472"/>
      <c r="BX65" s="472"/>
      <c r="BY65" s="472"/>
      <c r="BZ65" s="472"/>
      <c r="CA65" s="472"/>
      <c r="CB65" s="472"/>
      <c r="CC65" s="472"/>
      <c r="CD65" s="472"/>
      <c r="CE65" s="472"/>
      <c r="CF65" s="472"/>
      <c r="CG65" s="472"/>
      <c r="CH65" s="472"/>
      <c r="CI65" s="472"/>
      <c r="CJ65" s="472"/>
      <c r="CK65" s="472"/>
      <c r="CL65" s="472"/>
      <c r="CM65" s="472"/>
      <c r="CN65" s="472"/>
      <c r="CO65" s="472"/>
      <c r="CP65" s="472"/>
      <c r="CQ65" s="472"/>
      <c r="CR65" s="472"/>
      <c r="CS65" s="472"/>
      <c r="CT65" s="472"/>
      <c r="CU65" s="300"/>
      <c r="CV65" s="507">
        <f t="shared" si="5"/>
        <v>0</v>
      </c>
      <c r="CW65" s="531">
        <f t="shared" si="6"/>
        <v>0</v>
      </c>
      <c r="CX65" s="532">
        <f t="shared" si="7"/>
        <v>0</v>
      </c>
      <c r="CY65" s="157">
        <f t="shared" si="4"/>
        <v>0</v>
      </c>
    </row>
    <row r="66" spans="1:103">
      <c r="A66" s="534" t="s">
        <v>407</v>
      </c>
      <c r="B66" s="152" t="str">
        <f>IFERROR(VLOOKUP(PArticipationFevrier1[[#This Row],[Référence]],ListeÉtudiants1[],18,FALSE),"")</f>
        <v>GATIBELZA LESLEY</v>
      </c>
      <c r="AF66" s="19"/>
      <c r="AG66" s="478"/>
      <c r="AH66" s="439">
        <f>COUNTIF(PArticipationFevrier1[[#This Row],[1]:[30]],Code1)</f>
        <v>0</v>
      </c>
      <c r="AI66" s="474">
        <f>COUNTIF(PArticipationFevrier1[[#This Row],[1]:[30]],code22)</f>
        <v>0</v>
      </c>
      <c r="AJ66" s="439">
        <f>COUNTIF(PArticipationFevrier1[[#This Row],[1]:[30]],Code2)</f>
        <v>0</v>
      </c>
      <c r="AK66" s="439">
        <f>COUNTIF(PArticipationFevrier1[[#This Row],[1]:[30]],Code3)</f>
        <v>0</v>
      </c>
      <c r="AL66" s="439">
        <f>COUNTIF(PArticipationFevrier1[[#This Row],[1]:[30]],Code4)</f>
        <v>0</v>
      </c>
      <c r="AM66" s="474">
        <f>COUNTIF(PArticipationFevrier1[[#This Row],[1]:[30]],Code5)</f>
        <v>0</v>
      </c>
      <c r="AN66" s="474"/>
      <c r="AO66" s="474">
        <f>COUNTIF(PArticipationFevrier1[[#This Row],[1]:[30]],Code6)</f>
        <v>0</v>
      </c>
      <c r="AP66" s="474">
        <f>COUNTIF(PArticipationFevrier1[[#This Row],[1]:[30]],Code7)</f>
        <v>0</v>
      </c>
      <c r="AQ66" s="474">
        <f>COUNTIF(PArticipationFevrier1[[#This Row],[1]:[30]],Code8)</f>
        <v>0</v>
      </c>
      <c r="AR66" s="474">
        <f>COUNTIF(PArticipationFevrier1[[#This Row],[1]:[30]],Code9)</f>
        <v>0</v>
      </c>
      <c r="AS66" s="474">
        <f>COUNTIF(PArticipationFevrier1[[#This Row],[1]:[30]],Code10)</f>
        <v>0</v>
      </c>
      <c r="AT66" s="474">
        <f>COUNTIF(PArticipationFevrier1[[#This Row],[1]:[30]],Code11)</f>
        <v>0</v>
      </c>
      <c r="AU66" s="474">
        <f>COUNTIF(PArticipationFevrier1[[#This Row],[1]:[30]],Code12)</f>
        <v>0</v>
      </c>
      <c r="AV66" s="474">
        <f>COUNTIF(PArticipationFevrier1[[#This Row],[1]:[30]],Code13)</f>
        <v>0</v>
      </c>
      <c r="AW66" s="474">
        <f>COUNTIF(PArticipationFevrier1[[#This Row],[1]:[30]],Code14)</f>
        <v>0</v>
      </c>
      <c r="AX66" s="474">
        <f>COUNTIF(PArticipationFevrier1[[#This Row],[1]:[30]],Code15)</f>
        <v>0</v>
      </c>
      <c r="AY66" s="474">
        <f>COUNTIF(PArticipationFevrier1[[#This Row],[1]:[30]],Code16)</f>
        <v>0</v>
      </c>
      <c r="AZ66" s="474">
        <f>COUNTIF(PArticipationFevrier1[[#This Row],[1]:[30]],Code17)</f>
        <v>0</v>
      </c>
      <c r="BA66" s="474">
        <f>COUNTIF(PArticipationFevrier1[[#This Row],[1]:[30]],Code26)</f>
        <v>0</v>
      </c>
      <c r="BB66" s="474">
        <f>COUNTIF(PArticipationFevrier1[[#This Row],[1]:[30]],Code25)</f>
        <v>0</v>
      </c>
      <c r="BC66" s="474">
        <f>COUNTIF(PArticipationFevrier1[[#This Row],[1]:[30]],Code27)</f>
        <v>0</v>
      </c>
      <c r="BD66" s="474">
        <f>COUNTIF(PArticipationFevrier1[[#This Row],[1]:[30]],Code28)</f>
        <v>0</v>
      </c>
      <c r="BE66" s="474">
        <f>COUNTIF(PArticipationFevrier1[[#This Row],[1]:[30]],code30)</f>
        <v>0</v>
      </c>
      <c r="BF66" s="474">
        <f>COUNTIF(PArticipationFevrier1[[#This Row],[1]:[30]],Code31)</f>
        <v>0</v>
      </c>
      <c r="BG66" s="474">
        <f>COUNTIF(PArticipationFevrier1[[#This Row],[1]:[30]],code21)</f>
        <v>0</v>
      </c>
      <c r="BH66" s="474">
        <f>COUNTIF(PArticipationFevrier1[[#This Row],[1]:[30]],Code24)</f>
        <v>0</v>
      </c>
      <c r="BI66" s="474">
        <f>COUNTIF(PArticipationFevrier1[[#This Row],[1]:[30]],code18)</f>
        <v>0</v>
      </c>
      <c r="BJ66" s="474">
        <f>COUNTIF(PArticipationFevrier1[[#This Row],[1]:[30]],code19)</f>
        <v>0</v>
      </c>
      <c r="BK66" s="474">
        <f>COUNTIF(PArticipationFevrier1[[#This Row],[1]:[30]],code20)</f>
        <v>0</v>
      </c>
      <c r="BL66" s="476">
        <f>COUNTIF(PArticipationFevrier1[[#This Row],[1]:[30]],code29)</f>
        <v>0</v>
      </c>
      <c r="BM66" s="472"/>
      <c r="BN66" s="472"/>
      <c r="BO66" s="472"/>
      <c r="BP66" s="472"/>
      <c r="BQ66" s="472"/>
      <c r="BR66" s="472"/>
      <c r="BS66" s="472"/>
      <c r="BT66" s="472"/>
      <c r="BU66" s="472"/>
      <c r="BV66" s="472"/>
      <c r="BW66" s="472"/>
      <c r="BX66" s="472"/>
      <c r="BY66" s="472"/>
      <c r="BZ66" s="472"/>
      <c r="CA66" s="472"/>
      <c r="CB66" s="472"/>
      <c r="CC66" s="472"/>
      <c r="CD66" s="472"/>
      <c r="CE66" s="472"/>
      <c r="CF66" s="472"/>
      <c r="CG66" s="472"/>
      <c r="CH66" s="472"/>
      <c r="CI66" s="472"/>
      <c r="CJ66" s="472"/>
      <c r="CK66" s="472"/>
      <c r="CL66" s="472"/>
      <c r="CM66" s="472"/>
      <c r="CN66" s="472"/>
      <c r="CO66" s="472"/>
      <c r="CP66" s="472"/>
      <c r="CQ66" s="472"/>
      <c r="CR66" s="472"/>
      <c r="CS66" s="472"/>
      <c r="CT66" s="472"/>
      <c r="CU66" s="300"/>
      <c r="CV66" s="507">
        <f t="shared" si="5"/>
        <v>0</v>
      </c>
      <c r="CW66" s="531">
        <f t="shared" si="6"/>
        <v>0</v>
      </c>
      <c r="CX66" s="532">
        <f t="shared" si="7"/>
        <v>0</v>
      </c>
      <c r="CY66" s="157">
        <f t="shared" si="4"/>
        <v>0</v>
      </c>
    </row>
    <row r="67" spans="1:103">
      <c r="A67" s="534" t="s">
        <v>408</v>
      </c>
      <c r="B67" s="152" t="str">
        <f>IFERROR(VLOOKUP(PArticipationFevrier1[[#This Row],[Référence]],ListeÉtudiants1[],18,FALSE),"")</f>
        <v>GOMES SEMEDO LUCY</v>
      </c>
      <c r="AF67" s="19"/>
      <c r="AG67" s="478"/>
      <c r="AH67" s="439">
        <f>COUNTIF(PArticipationFevrier1[[#This Row],[1]:[30]],Code1)</f>
        <v>0</v>
      </c>
      <c r="AI67" s="474">
        <f>COUNTIF(PArticipationFevrier1[[#This Row],[1]:[30]],code22)</f>
        <v>0</v>
      </c>
      <c r="AJ67" s="439">
        <f>COUNTIF(PArticipationFevrier1[[#This Row],[1]:[30]],Code2)</f>
        <v>0</v>
      </c>
      <c r="AK67" s="439">
        <f>COUNTIF(PArticipationFevrier1[[#This Row],[1]:[30]],Code3)</f>
        <v>0</v>
      </c>
      <c r="AL67" s="439">
        <f>COUNTIF(PArticipationFevrier1[[#This Row],[1]:[30]],Code4)</f>
        <v>0</v>
      </c>
      <c r="AM67" s="474">
        <f>COUNTIF(PArticipationFevrier1[[#This Row],[1]:[30]],Code5)</f>
        <v>0</v>
      </c>
      <c r="AN67" s="474"/>
      <c r="AO67" s="474">
        <f>COUNTIF(PArticipationFevrier1[[#This Row],[1]:[30]],Code6)</f>
        <v>0</v>
      </c>
      <c r="AP67" s="474">
        <f>COUNTIF(PArticipationFevrier1[[#This Row],[1]:[30]],Code7)</f>
        <v>0</v>
      </c>
      <c r="AQ67" s="474">
        <f>COUNTIF(PArticipationFevrier1[[#This Row],[1]:[30]],Code8)</f>
        <v>0</v>
      </c>
      <c r="AR67" s="474">
        <f>COUNTIF(PArticipationFevrier1[[#This Row],[1]:[30]],Code9)</f>
        <v>0</v>
      </c>
      <c r="AS67" s="474">
        <f>COUNTIF(PArticipationFevrier1[[#This Row],[1]:[30]],Code10)</f>
        <v>0</v>
      </c>
      <c r="AT67" s="474">
        <f>COUNTIF(PArticipationFevrier1[[#This Row],[1]:[30]],Code11)</f>
        <v>0</v>
      </c>
      <c r="AU67" s="474">
        <f>COUNTIF(PArticipationFevrier1[[#This Row],[1]:[30]],Code12)</f>
        <v>0</v>
      </c>
      <c r="AV67" s="474">
        <f>COUNTIF(PArticipationFevrier1[[#This Row],[1]:[30]],Code13)</f>
        <v>0</v>
      </c>
      <c r="AW67" s="474">
        <f>COUNTIF(PArticipationFevrier1[[#This Row],[1]:[30]],Code14)</f>
        <v>0</v>
      </c>
      <c r="AX67" s="474">
        <f>COUNTIF(PArticipationFevrier1[[#This Row],[1]:[30]],Code15)</f>
        <v>0</v>
      </c>
      <c r="AY67" s="474">
        <f>COUNTIF(PArticipationFevrier1[[#This Row],[1]:[30]],Code16)</f>
        <v>0</v>
      </c>
      <c r="AZ67" s="474">
        <f>COUNTIF(PArticipationFevrier1[[#This Row],[1]:[30]],Code17)</f>
        <v>0</v>
      </c>
      <c r="BA67" s="474">
        <f>COUNTIF(PArticipationFevrier1[[#This Row],[1]:[30]],Code26)</f>
        <v>0</v>
      </c>
      <c r="BB67" s="474">
        <f>COUNTIF(PArticipationFevrier1[[#This Row],[1]:[30]],Code25)</f>
        <v>0</v>
      </c>
      <c r="BC67" s="474">
        <f>COUNTIF(PArticipationFevrier1[[#This Row],[1]:[30]],Code27)</f>
        <v>0</v>
      </c>
      <c r="BD67" s="474">
        <f>COUNTIF(PArticipationFevrier1[[#This Row],[1]:[30]],Code28)</f>
        <v>0</v>
      </c>
      <c r="BE67" s="474">
        <f>COUNTIF(PArticipationFevrier1[[#This Row],[1]:[30]],code30)</f>
        <v>0</v>
      </c>
      <c r="BF67" s="474">
        <f>COUNTIF(PArticipationFevrier1[[#This Row],[1]:[30]],Code31)</f>
        <v>0</v>
      </c>
      <c r="BG67" s="474">
        <f>COUNTIF(PArticipationFevrier1[[#This Row],[1]:[30]],code21)</f>
        <v>0</v>
      </c>
      <c r="BH67" s="474">
        <f>COUNTIF(PArticipationFevrier1[[#This Row],[1]:[30]],Code24)</f>
        <v>0</v>
      </c>
      <c r="BI67" s="474">
        <f>COUNTIF(PArticipationFevrier1[[#This Row],[1]:[30]],code18)</f>
        <v>0</v>
      </c>
      <c r="BJ67" s="474">
        <f>COUNTIF(PArticipationFevrier1[[#This Row],[1]:[30]],code19)</f>
        <v>0</v>
      </c>
      <c r="BK67" s="474">
        <f>COUNTIF(PArticipationFevrier1[[#This Row],[1]:[30]],code20)</f>
        <v>0</v>
      </c>
      <c r="BL67" s="476">
        <f>COUNTIF(PArticipationFevrier1[[#This Row],[1]:[30]],code29)</f>
        <v>0</v>
      </c>
      <c r="BM67" s="472"/>
      <c r="BN67" s="472"/>
      <c r="BO67" s="472"/>
      <c r="BP67" s="472"/>
      <c r="BQ67" s="472"/>
      <c r="BR67" s="472"/>
      <c r="BS67" s="472"/>
      <c r="BT67" s="472"/>
      <c r="BU67" s="472"/>
      <c r="BV67" s="472"/>
      <c r="BW67" s="472"/>
      <c r="BX67" s="472"/>
      <c r="BY67" s="472"/>
      <c r="BZ67" s="472"/>
      <c r="CA67" s="472"/>
      <c r="CB67" s="472"/>
      <c r="CC67" s="472"/>
      <c r="CD67" s="472"/>
      <c r="CE67" s="472"/>
      <c r="CF67" s="472"/>
      <c r="CG67" s="472"/>
      <c r="CH67" s="472"/>
      <c r="CI67" s="472"/>
      <c r="CJ67" s="472"/>
      <c r="CK67" s="472"/>
      <c r="CL67" s="472"/>
      <c r="CM67" s="472"/>
      <c r="CN67" s="472"/>
      <c r="CO67" s="472"/>
      <c r="CP67" s="472"/>
      <c r="CQ67" s="472"/>
      <c r="CR67" s="472"/>
      <c r="CS67" s="472"/>
      <c r="CT67" s="472"/>
      <c r="CU67" s="300"/>
      <c r="CV67" s="507">
        <f t="shared" si="5"/>
        <v>0</v>
      </c>
      <c r="CW67" s="531">
        <f t="shared" si="6"/>
        <v>0</v>
      </c>
      <c r="CX67" s="532">
        <f t="shared" si="7"/>
        <v>0</v>
      </c>
      <c r="CY67" s="157">
        <f t="shared" si="4"/>
        <v>0</v>
      </c>
    </row>
    <row r="68" spans="1:103">
      <c r="A68" s="534" t="s">
        <v>409</v>
      </c>
      <c r="B68" s="152" t="str">
        <f>IFERROR(VLOOKUP(PArticipationFevrier1[[#This Row],[Référence]],ListeÉtudiants1[],18,FALSE),"")</f>
        <v>GORDON  MAIVA</v>
      </c>
      <c r="AF68" s="19"/>
      <c r="AG68" s="478"/>
      <c r="AH68" s="439">
        <f>COUNTIF(PArticipationFevrier1[[#This Row],[1]:[30]],Code1)</f>
        <v>0</v>
      </c>
      <c r="AI68" s="474">
        <f>COUNTIF(PArticipationFevrier1[[#This Row],[1]:[30]],code22)</f>
        <v>0</v>
      </c>
      <c r="AJ68" s="439">
        <f>COUNTIF(PArticipationFevrier1[[#This Row],[1]:[30]],Code2)</f>
        <v>0</v>
      </c>
      <c r="AK68" s="439">
        <f>COUNTIF(PArticipationFevrier1[[#This Row],[1]:[30]],Code3)</f>
        <v>0</v>
      </c>
      <c r="AL68" s="439">
        <f>COUNTIF(PArticipationFevrier1[[#This Row],[1]:[30]],Code4)</f>
        <v>0</v>
      </c>
      <c r="AM68" s="474">
        <f>COUNTIF(PArticipationFevrier1[[#This Row],[1]:[30]],Code5)</f>
        <v>0</v>
      </c>
      <c r="AN68" s="474"/>
      <c r="AO68" s="474">
        <f>COUNTIF(PArticipationFevrier1[[#This Row],[1]:[30]],Code6)</f>
        <v>0</v>
      </c>
      <c r="AP68" s="474">
        <f>COUNTIF(PArticipationFevrier1[[#This Row],[1]:[30]],Code7)</f>
        <v>0</v>
      </c>
      <c r="AQ68" s="474">
        <f>COUNTIF(PArticipationFevrier1[[#This Row],[1]:[30]],Code8)</f>
        <v>0</v>
      </c>
      <c r="AR68" s="474">
        <f>COUNTIF(PArticipationFevrier1[[#This Row],[1]:[30]],Code9)</f>
        <v>0</v>
      </c>
      <c r="AS68" s="474">
        <f>COUNTIF(PArticipationFevrier1[[#This Row],[1]:[30]],Code10)</f>
        <v>0</v>
      </c>
      <c r="AT68" s="474">
        <f>COUNTIF(PArticipationFevrier1[[#This Row],[1]:[30]],Code11)</f>
        <v>0</v>
      </c>
      <c r="AU68" s="474">
        <f>COUNTIF(PArticipationFevrier1[[#This Row],[1]:[30]],Code12)</f>
        <v>0</v>
      </c>
      <c r="AV68" s="474">
        <f>COUNTIF(PArticipationFevrier1[[#This Row],[1]:[30]],Code13)</f>
        <v>0</v>
      </c>
      <c r="AW68" s="474">
        <f>COUNTIF(PArticipationFevrier1[[#This Row],[1]:[30]],Code14)</f>
        <v>0</v>
      </c>
      <c r="AX68" s="474">
        <f>COUNTIF(PArticipationFevrier1[[#This Row],[1]:[30]],Code15)</f>
        <v>0</v>
      </c>
      <c r="AY68" s="474">
        <f>COUNTIF(PArticipationFevrier1[[#This Row],[1]:[30]],Code16)</f>
        <v>0</v>
      </c>
      <c r="AZ68" s="474">
        <f>COUNTIF(PArticipationFevrier1[[#This Row],[1]:[30]],Code17)</f>
        <v>0</v>
      </c>
      <c r="BA68" s="474">
        <f>COUNTIF(PArticipationFevrier1[[#This Row],[1]:[30]],Code26)</f>
        <v>0</v>
      </c>
      <c r="BB68" s="474">
        <f>COUNTIF(PArticipationFevrier1[[#This Row],[1]:[30]],Code25)</f>
        <v>0</v>
      </c>
      <c r="BC68" s="474">
        <f>COUNTIF(PArticipationFevrier1[[#This Row],[1]:[30]],Code27)</f>
        <v>0</v>
      </c>
      <c r="BD68" s="474">
        <f>COUNTIF(PArticipationFevrier1[[#This Row],[1]:[30]],Code28)</f>
        <v>0</v>
      </c>
      <c r="BE68" s="474">
        <f>COUNTIF(PArticipationFevrier1[[#This Row],[1]:[30]],code30)</f>
        <v>0</v>
      </c>
      <c r="BF68" s="474">
        <f>COUNTIF(PArticipationFevrier1[[#This Row],[1]:[30]],Code31)</f>
        <v>0</v>
      </c>
      <c r="BG68" s="474">
        <f>COUNTIF(PArticipationFevrier1[[#This Row],[1]:[30]],code21)</f>
        <v>0</v>
      </c>
      <c r="BH68" s="474">
        <f>COUNTIF(PArticipationFevrier1[[#This Row],[1]:[30]],Code24)</f>
        <v>0</v>
      </c>
      <c r="BI68" s="474">
        <f>COUNTIF(PArticipationFevrier1[[#This Row],[1]:[30]],code18)</f>
        <v>0</v>
      </c>
      <c r="BJ68" s="474">
        <f>COUNTIF(PArticipationFevrier1[[#This Row],[1]:[30]],code19)</f>
        <v>0</v>
      </c>
      <c r="BK68" s="474">
        <f>COUNTIF(PArticipationFevrier1[[#This Row],[1]:[30]],code20)</f>
        <v>0</v>
      </c>
      <c r="BL68" s="476">
        <f>COUNTIF(PArticipationFevrier1[[#This Row],[1]:[30]],code29)</f>
        <v>0</v>
      </c>
      <c r="BM68" s="472"/>
      <c r="BN68" s="472"/>
      <c r="BO68" s="472"/>
      <c r="BP68" s="472"/>
      <c r="BQ68" s="472"/>
      <c r="BR68" s="472"/>
      <c r="BS68" s="472"/>
      <c r="BT68" s="472"/>
      <c r="BU68" s="472"/>
      <c r="BV68" s="472"/>
      <c r="BW68" s="472"/>
      <c r="BX68" s="472"/>
      <c r="BY68" s="472"/>
      <c r="BZ68" s="472"/>
      <c r="CA68" s="472"/>
      <c r="CB68" s="472"/>
      <c r="CC68" s="472"/>
      <c r="CD68" s="472"/>
      <c r="CE68" s="472"/>
      <c r="CF68" s="472"/>
      <c r="CG68" s="472"/>
      <c r="CH68" s="472"/>
      <c r="CI68" s="472"/>
      <c r="CJ68" s="472"/>
      <c r="CK68" s="472"/>
      <c r="CL68" s="472"/>
      <c r="CM68" s="472"/>
      <c r="CN68" s="472"/>
      <c r="CO68" s="472"/>
      <c r="CP68" s="472"/>
      <c r="CQ68" s="472"/>
      <c r="CR68" s="472"/>
      <c r="CS68" s="472"/>
      <c r="CT68" s="472"/>
      <c r="CU68" s="300"/>
      <c r="CV68" s="507">
        <f t="shared" si="5"/>
        <v>0</v>
      </c>
      <c r="CW68" s="531">
        <f t="shared" si="6"/>
        <v>0</v>
      </c>
      <c r="CX68" s="532">
        <f t="shared" si="7"/>
        <v>0</v>
      </c>
      <c r="CY68" s="157">
        <f t="shared" si="4"/>
        <v>0</v>
      </c>
    </row>
    <row r="69" spans="1:103">
      <c r="A69" s="510" t="s">
        <v>410</v>
      </c>
      <c r="B69" s="152" t="str">
        <f>IFERROR(VLOOKUP(PArticipationFevrier1[[#This Row],[Référence]],ListeÉtudiants1[],18,FALSE),"")</f>
        <v>GRANCHON-RIOLZIR DOROTHEE</v>
      </c>
      <c r="AF69" s="19"/>
      <c r="AG69" s="478"/>
      <c r="AH69" s="439">
        <f>COUNTIF(PArticipationFevrier1[[#This Row],[1]:[30]],Code1)</f>
        <v>0</v>
      </c>
      <c r="AI69" s="474">
        <f>COUNTIF(PArticipationFevrier1[[#This Row],[1]:[30]],code22)</f>
        <v>0</v>
      </c>
      <c r="AJ69" s="439">
        <f>COUNTIF(PArticipationFevrier1[[#This Row],[1]:[30]],Code2)</f>
        <v>0</v>
      </c>
      <c r="AK69" s="439">
        <f>COUNTIF(PArticipationFevrier1[[#This Row],[1]:[30]],Code3)</f>
        <v>0</v>
      </c>
      <c r="AL69" s="439">
        <f>COUNTIF(PArticipationFevrier1[[#This Row],[1]:[30]],Code4)</f>
        <v>0</v>
      </c>
      <c r="AM69" s="474">
        <f>COUNTIF(PArticipationFevrier1[[#This Row],[1]:[30]],Code5)</f>
        <v>0</v>
      </c>
      <c r="AN69" s="474"/>
      <c r="AO69" s="474">
        <f>COUNTIF(PArticipationFevrier1[[#This Row],[1]:[30]],Code6)</f>
        <v>0</v>
      </c>
      <c r="AP69" s="474">
        <f>COUNTIF(PArticipationFevrier1[[#This Row],[1]:[30]],Code7)</f>
        <v>0</v>
      </c>
      <c r="AQ69" s="474">
        <f>COUNTIF(PArticipationFevrier1[[#This Row],[1]:[30]],Code8)</f>
        <v>0</v>
      </c>
      <c r="AR69" s="474">
        <f>COUNTIF(PArticipationFevrier1[[#This Row],[1]:[30]],Code9)</f>
        <v>0</v>
      </c>
      <c r="AS69" s="474">
        <f>COUNTIF(PArticipationFevrier1[[#This Row],[1]:[30]],Code10)</f>
        <v>0</v>
      </c>
      <c r="AT69" s="474">
        <f>COUNTIF(PArticipationFevrier1[[#This Row],[1]:[30]],Code11)</f>
        <v>0</v>
      </c>
      <c r="AU69" s="474">
        <f>COUNTIF(PArticipationFevrier1[[#This Row],[1]:[30]],Code12)</f>
        <v>0</v>
      </c>
      <c r="AV69" s="474">
        <f>COUNTIF(PArticipationFevrier1[[#This Row],[1]:[30]],Code13)</f>
        <v>0</v>
      </c>
      <c r="AW69" s="474">
        <f>COUNTIF(PArticipationFevrier1[[#This Row],[1]:[30]],Code14)</f>
        <v>0</v>
      </c>
      <c r="AX69" s="474">
        <f>COUNTIF(PArticipationFevrier1[[#This Row],[1]:[30]],Code15)</f>
        <v>0</v>
      </c>
      <c r="AY69" s="474">
        <f>COUNTIF(PArticipationFevrier1[[#This Row],[1]:[30]],Code16)</f>
        <v>0</v>
      </c>
      <c r="AZ69" s="474">
        <f>COUNTIF(PArticipationFevrier1[[#This Row],[1]:[30]],Code17)</f>
        <v>0</v>
      </c>
      <c r="BA69" s="474">
        <f>COUNTIF(PArticipationFevrier1[[#This Row],[1]:[30]],Code26)</f>
        <v>0</v>
      </c>
      <c r="BB69" s="474">
        <f>COUNTIF(PArticipationFevrier1[[#This Row],[1]:[30]],Code25)</f>
        <v>0</v>
      </c>
      <c r="BC69" s="474">
        <f>COUNTIF(PArticipationFevrier1[[#This Row],[1]:[30]],Code27)</f>
        <v>0</v>
      </c>
      <c r="BD69" s="474">
        <f>COUNTIF(PArticipationFevrier1[[#This Row],[1]:[30]],Code28)</f>
        <v>0</v>
      </c>
      <c r="BE69" s="474">
        <f>COUNTIF(PArticipationFevrier1[[#This Row],[1]:[30]],code30)</f>
        <v>0</v>
      </c>
      <c r="BF69" s="474">
        <f>COUNTIF(PArticipationFevrier1[[#This Row],[1]:[30]],Code31)</f>
        <v>0</v>
      </c>
      <c r="BG69" s="474">
        <f>COUNTIF(PArticipationFevrier1[[#This Row],[1]:[30]],code21)</f>
        <v>0</v>
      </c>
      <c r="BH69" s="474">
        <f>COUNTIF(PArticipationFevrier1[[#This Row],[1]:[30]],Code24)</f>
        <v>0</v>
      </c>
      <c r="BI69" s="474">
        <f>COUNTIF(PArticipationFevrier1[[#This Row],[1]:[30]],code18)</f>
        <v>0</v>
      </c>
      <c r="BJ69" s="474">
        <f>COUNTIF(PArticipationFevrier1[[#This Row],[1]:[30]],code19)</f>
        <v>0</v>
      </c>
      <c r="BK69" s="474">
        <f>COUNTIF(PArticipationFevrier1[[#This Row],[1]:[30]],code20)</f>
        <v>0</v>
      </c>
      <c r="BL69" s="476">
        <f>COUNTIF(PArticipationFevrier1[[#This Row],[1]:[30]],code29)</f>
        <v>0</v>
      </c>
      <c r="BM69" s="472"/>
      <c r="BN69" s="472"/>
      <c r="BO69" s="472"/>
      <c r="BP69" s="472"/>
      <c r="BQ69" s="472"/>
      <c r="BR69" s="472"/>
      <c r="BS69" s="472"/>
      <c r="BT69" s="472"/>
      <c r="BU69" s="472"/>
      <c r="BV69" s="472"/>
      <c r="BW69" s="472"/>
      <c r="BX69" s="472"/>
      <c r="BY69" s="472"/>
      <c r="BZ69" s="472"/>
      <c r="CA69" s="472"/>
      <c r="CB69" s="472"/>
      <c r="CC69" s="472"/>
      <c r="CD69" s="472"/>
      <c r="CE69" s="472"/>
      <c r="CF69" s="472"/>
      <c r="CG69" s="472"/>
      <c r="CH69" s="472"/>
      <c r="CI69" s="472"/>
      <c r="CJ69" s="472"/>
      <c r="CK69" s="472"/>
      <c r="CL69" s="472"/>
      <c r="CM69" s="472"/>
      <c r="CN69" s="472"/>
      <c r="CO69" s="472"/>
      <c r="CP69" s="472"/>
      <c r="CQ69" s="472"/>
      <c r="CR69" s="472"/>
      <c r="CS69" s="472"/>
      <c r="CT69" s="472"/>
      <c r="CU69" s="300"/>
      <c r="CV69" s="507">
        <f t="shared" si="5"/>
        <v>0</v>
      </c>
      <c r="CW69" s="531">
        <f t="shared" si="6"/>
        <v>0</v>
      </c>
      <c r="CX69" s="532">
        <f t="shared" si="7"/>
        <v>0</v>
      </c>
      <c r="CY69" s="157">
        <f t="shared" si="4"/>
        <v>0</v>
      </c>
    </row>
    <row r="70" spans="1:103">
      <c r="A70" s="510" t="s">
        <v>411</v>
      </c>
      <c r="B70" s="152" t="str">
        <f>IFERROR(VLOOKUP(PArticipationFevrier1[[#This Row],[Référence]],ListeÉtudiants1[],18,FALSE),"")</f>
        <v>GROEVIUS EMILIE</v>
      </c>
      <c r="AF70" s="19"/>
      <c r="AG70" s="478"/>
      <c r="AH70" s="439">
        <f>COUNTIF(PArticipationFevrier1[[#This Row],[1]:[30]],Code1)</f>
        <v>0</v>
      </c>
      <c r="AI70" s="474">
        <f>COUNTIF(PArticipationFevrier1[[#This Row],[1]:[30]],code22)</f>
        <v>0</v>
      </c>
      <c r="AJ70" s="439">
        <f>COUNTIF(PArticipationFevrier1[[#This Row],[1]:[30]],Code2)</f>
        <v>0</v>
      </c>
      <c r="AK70" s="439">
        <f>COUNTIF(PArticipationFevrier1[[#This Row],[1]:[30]],Code3)</f>
        <v>0</v>
      </c>
      <c r="AL70" s="439">
        <f>COUNTIF(PArticipationFevrier1[[#This Row],[1]:[30]],Code4)</f>
        <v>0</v>
      </c>
      <c r="AM70" s="474">
        <f>COUNTIF(PArticipationFevrier1[[#This Row],[1]:[30]],Code5)</f>
        <v>0</v>
      </c>
      <c r="AN70" s="474"/>
      <c r="AO70" s="474">
        <f>COUNTIF(PArticipationFevrier1[[#This Row],[1]:[30]],Code6)</f>
        <v>0</v>
      </c>
      <c r="AP70" s="474">
        <f>COUNTIF(PArticipationFevrier1[[#This Row],[1]:[30]],Code7)</f>
        <v>0</v>
      </c>
      <c r="AQ70" s="474">
        <f>COUNTIF(PArticipationFevrier1[[#This Row],[1]:[30]],Code8)</f>
        <v>0</v>
      </c>
      <c r="AR70" s="474">
        <f>COUNTIF(PArticipationFevrier1[[#This Row],[1]:[30]],Code9)</f>
        <v>0</v>
      </c>
      <c r="AS70" s="474">
        <f>COUNTIF(PArticipationFevrier1[[#This Row],[1]:[30]],Code10)</f>
        <v>0</v>
      </c>
      <c r="AT70" s="474">
        <f>COUNTIF(PArticipationFevrier1[[#This Row],[1]:[30]],Code11)</f>
        <v>0</v>
      </c>
      <c r="AU70" s="474">
        <f>COUNTIF(PArticipationFevrier1[[#This Row],[1]:[30]],Code12)</f>
        <v>0</v>
      </c>
      <c r="AV70" s="474">
        <f>COUNTIF(PArticipationFevrier1[[#This Row],[1]:[30]],Code13)</f>
        <v>0</v>
      </c>
      <c r="AW70" s="474">
        <f>COUNTIF(PArticipationFevrier1[[#This Row],[1]:[30]],Code14)</f>
        <v>0</v>
      </c>
      <c r="AX70" s="474">
        <f>COUNTIF(PArticipationFevrier1[[#This Row],[1]:[30]],Code15)</f>
        <v>0</v>
      </c>
      <c r="AY70" s="474">
        <f>COUNTIF(PArticipationFevrier1[[#This Row],[1]:[30]],Code16)</f>
        <v>0</v>
      </c>
      <c r="AZ70" s="474">
        <f>COUNTIF(PArticipationFevrier1[[#This Row],[1]:[30]],Code17)</f>
        <v>0</v>
      </c>
      <c r="BA70" s="474">
        <f>COUNTIF(PArticipationFevrier1[[#This Row],[1]:[30]],Code26)</f>
        <v>0</v>
      </c>
      <c r="BB70" s="474">
        <f>COUNTIF(PArticipationFevrier1[[#This Row],[1]:[30]],Code25)</f>
        <v>0</v>
      </c>
      <c r="BC70" s="474">
        <f>COUNTIF(PArticipationFevrier1[[#This Row],[1]:[30]],Code27)</f>
        <v>0</v>
      </c>
      <c r="BD70" s="474">
        <f>COUNTIF(PArticipationFevrier1[[#This Row],[1]:[30]],Code28)</f>
        <v>0</v>
      </c>
      <c r="BE70" s="474">
        <f>COUNTIF(PArticipationFevrier1[[#This Row],[1]:[30]],code30)</f>
        <v>0</v>
      </c>
      <c r="BF70" s="474">
        <f>COUNTIF(PArticipationFevrier1[[#This Row],[1]:[30]],Code31)</f>
        <v>0</v>
      </c>
      <c r="BG70" s="474">
        <f>COUNTIF(PArticipationFevrier1[[#This Row],[1]:[30]],code21)</f>
        <v>0</v>
      </c>
      <c r="BH70" s="474">
        <f>COUNTIF(PArticipationFevrier1[[#This Row],[1]:[30]],Code24)</f>
        <v>0</v>
      </c>
      <c r="BI70" s="474">
        <f>COUNTIF(PArticipationFevrier1[[#This Row],[1]:[30]],code18)</f>
        <v>0</v>
      </c>
      <c r="BJ70" s="474">
        <f>COUNTIF(PArticipationFevrier1[[#This Row],[1]:[30]],code19)</f>
        <v>0</v>
      </c>
      <c r="BK70" s="474">
        <f>COUNTIF(PArticipationFevrier1[[#This Row],[1]:[30]],code20)</f>
        <v>0</v>
      </c>
      <c r="BL70" s="476">
        <f>COUNTIF(PArticipationFevrier1[[#This Row],[1]:[30]],code29)</f>
        <v>0</v>
      </c>
      <c r="BM70" s="472"/>
      <c r="BN70" s="472"/>
      <c r="BO70" s="472"/>
      <c r="BP70" s="472"/>
      <c r="BQ70" s="472"/>
      <c r="BR70" s="472"/>
      <c r="BS70" s="472"/>
      <c r="BT70" s="472"/>
      <c r="BU70" s="472"/>
      <c r="BV70" s="472"/>
      <c r="BW70" s="472"/>
      <c r="BX70" s="472"/>
      <c r="BY70" s="472"/>
      <c r="BZ70" s="472"/>
      <c r="CA70" s="472"/>
      <c r="CB70" s="472"/>
      <c r="CC70" s="472"/>
      <c r="CD70" s="472"/>
      <c r="CE70" s="472"/>
      <c r="CF70" s="472"/>
      <c r="CG70" s="472"/>
      <c r="CH70" s="472"/>
      <c r="CI70" s="472"/>
      <c r="CJ70" s="472"/>
      <c r="CK70" s="472"/>
      <c r="CL70" s="472"/>
      <c r="CM70" s="472"/>
      <c r="CN70" s="472"/>
      <c r="CO70" s="472"/>
      <c r="CP70" s="472"/>
      <c r="CQ70" s="472"/>
      <c r="CR70" s="472"/>
      <c r="CS70" s="472"/>
      <c r="CT70" s="472"/>
      <c r="CU70" s="300"/>
      <c r="CV70" s="507">
        <f t="shared" si="5"/>
        <v>0</v>
      </c>
      <c r="CW70" s="531">
        <f t="shared" si="6"/>
        <v>0</v>
      </c>
      <c r="CX70" s="532">
        <f t="shared" si="7"/>
        <v>0</v>
      </c>
      <c r="CY70" s="157">
        <f t="shared" si="4"/>
        <v>0</v>
      </c>
    </row>
    <row r="71" spans="1:103">
      <c r="A71" s="534" t="s">
        <v>412</v>
      </c>
      <c r="B71" s="152" t="str">
        <f>IFERROR(VLOOKUP(PArticipationFevrier1[[#This Row],[Référence]],ListeÉtudiants1[],18,FALSE),"")</f>
        <v>GUECHI DOUNIA</v>
      </c>
      <c r="AF71" s="19"/>
      <c r="AG71" s="478"/>
      <c r="AH71" s="439">
        <f>COUNTIF(PArticipationFevrier1[[#This Row],[1]:[30]],Code1)</f>
        <v>0</v>
      </c>
      <c r="AI71" s="474">
        <f>COUNTIF(PArticipationFevrier1[[#This Row],[1]:[30]],code22)</f>
        <v>0</v>
      </c>
      <c r="AJ71" s="439">
        <f>COUNTIF(PArticipationFevrier1[[#This Row],[1]:[30]],Code2)</f>
        <v>0</v>
      </c>
      <c r="AK71" s="439">
        <f>COUNTIF(PArticipationFevrier1[[#This Row],[1]:[30]],Code3)</f>
        <v>0</v>
      </c>
      <c r="AL71" s="439">
        <f>COUNTIF(PArticipationFevrier1[[#This Row],[1]:[30]],Code4)</f>
        <v>0</v>
      </c>
      <c r="AM71" s="474">
        <f>COUNTIF(PArticipationFevrier1[[#This Row],[1]:[30]],Code5)</f>
        <v>0</v>
      </c>
      <c r="AN71" s="474"/>
      <c r="AO71" s="474">
        <f>COUNTIF(PArticipationFevrier1[[#This Row],[1]:[30]],Code6)</f>
        <v>0</v>
      </c>
      <c r="AP71" s="474">
        <f>COUNTIF(PArticipationFevrier1[[#This Row],[1]:[30]],Code7)</f>
        <v>0</v>
      </c>
      <c r="AQ71" s="474">
        <f>COUNTIF(PArticipationFevrier1[[#This Row],[1]:[30]],Code8)</f>
        <v>0</v>
      </c>
      <c r="AR71" s="474">
        <f>COUNTIF(PArticipationFevrier1[[#This Row],[1]:[30]],Code9)</f>
        <v>0</v>
      </c>
      <c r="AS71" s="474">
        <f>COUNTIF(PArticipationFevrier1[[#This Row],[1]:[30]],Code10)</f>
        <v>0</v>
      </c>
      <c r="AT71" s="474">
        <f>COUNTIF(PArticipationFevrier1[[#This Row],[1]:[30]],Code11)</f>
        <v>0</v>
      </c>
      <c r="AU71" s="474">
        <f>COUNTIF(PArticipationFevrier1[[#This Row],[1]:[30]],Code12)</f>
        <v>0</v>
      </c>
      <c r="AV71" s="474">
        <f>COUNTIF(PArticipationFevrier1[[#This Row],[1]:[30]],Code13)</f>
        <v>0</v>
      </c>
      <c r="AW71" s="474">
        <f>COUNTIF(PArticipationFevrier1[[#This Row],[1]:[30]],Code14)</f>
        <v>0</v>
      </c>
      <c r="AX71" s="474">
        <f>COUNTIF(PArticipationFevrier1[[#This Row],[1]:[30]],Code15)</f>
        <v>0</v>
      </c>
      <c r="AY71" s="474">
        <f>COUNTIF(PArticipationFevrier1[[#This Row],[1]:[30]],Code16)</f>
        <v>0</v>
      </c>
      <c r="AZ71" s="474">
        <f>COUNTIF(PArticipationFevrier1[[#This Row],[1]:[30]],Code17)</f>
        <v>0</v>
      </c>
      <c r="BA71" s="474">
        <f>COUNTIF(PArticipationFevrier1[[#This Row],[1]:[30]],Code26)</f>
        <v>0</v>
      </c>
      <c r="BB71" s="474">
        <f>COUNTIF(PArticipationFevrier1[[#This Row],[1]:[30]],Code25)</f>
        <v>0</v>
      </c>
      <c r="BC71" s="474">
        <f>COUNTIF(PArticipationFevrier1[[#This Row],[1]:[30]],Code27)</f>
        <v>0</v>
      </c>
      <c r="BD71" s="474">
        <f>COUNTIF(PArticipationFevrier1[[#This Row],[1]:[30]],Code28)</f>
        <v>0</v>
      </c>
      <c r="BE71" s="474">
        <f>COUNTIF(PArticipationFevrier1[[#This Row],[1]:[30]],code30)</f>
        <v>0</v>
      </c>
      <c r="BF71" s="474">
        <f>COUNTIF(PArticipationFevrier1[[#This Row],[1]:[30]],Code31)</f>
        <v>0</v>
      </c>
      <c r="BG71" s="474">
        <f>COUNTIF(PArticipationFevrier1[[#This Row],[1]:[30]],code21)</f>
        <v>0</v>
      </c>
      <c r="BH71" s="474">
        <f>COUNTIF(PArticipationFevrier1[[#This Row],[1]:[30]],Code24)</f>
        <v>0</v>
      </c>
      <c r="BI71" s="474">
        <f>COUNTIF(PArticipationFevrier1[[#This Row],[1]:[30]],code18)</f>
        <v>0</v>
      </c>
      <c r="BJ71" s="474">
        <f>COUNTIF(PArticipationFevrier1[[#This Row],[1]:[30]],code19)</f>
        <v>0</v>
      </c>
      <c r="BK71" s="474">
        <f>COUNTIF(PArticipationFevrier1[[#This Row],[1]:[30]],code20)</f>
        <v>0</v>
      </c>
      <c r="BL71" s="476">
        <f>COUNTIF(PArticipationFevrier1[[#This Row],[1]:[30]],code29)</f>
        <v>0</v>
      </c>
      <c r="BM71" s="472"/>
      <c r="BN71" s="472"/>
      <c r="BO71" s="472"/>
      <c r="BP71" s="472"/>
      <c r="BQ71" s="472"/>
      <c r="BR71" s="472"/>
      <c r="BS71" s="472"/>
      <c r="BT71" s="472"/>
      <c r="BU71" s="472"/>
      <c r="BV71" s="472"/>
      <c r="BW71" s="472"/>
      <c r="BX71" s="472"/>
      <c r="BY71" s="472"/>
      <c r="BZ71" s="472"/>
      <c r="CA71" s="472"/>
      <c r="CB71" s="472"/>
      <c r="CC71" s="472"/>
      <c r="CD71" s="472"/>
      <c r="CE71" s="472"/>
      <c r="CF71" s="472"/>
      <c r="CG71" s="472"/>
      <c r="CH71" s="472"/>
      <c r="CI71" s="472"/>
      <c r="CJ71" s="472"/>
      <c r="CK71" s="472"/>
      <c r="CL71" s="472"/>
      <c r="CM71" s="472"/>
      <c r="CN71" s="472"/>
      <c r="CO71" s="472"/>
      <c r="CP71" s="472"/>
      <c r="CQ71" s="472"/>
      <c r="CR71" s="472"/>
      <c r="CS71" s="472"/>
      <c r="CT71" s="472"/>
      <c r="CU71" s="300"/>
      <c r="CV71" s="507">
        <f t="shared" si="5"/>
        <v>0</v>
      </c>
      <c r="CW71" s="531">
        <f t="shared" si="6"/>
        <v>0</v>
      </c>
      <c r="CX71" s="532">
        <f t="shared" si="7"/>
        <v>0</v>
      </c>
      <c r="CY71" s="157">
        <f t="shared" si="4"/>
        <v>0</v>
      </c>
    </row>
    <row r="72" spans="1:103">
      <c r="A72" s="534" t="s">
        <v>413</v>
      </c>
      <c r="B72" s="152" t="str">
        <f>IFERROR(VLOOKUP(PArticipationFevrier1[[#This Row],[Référence]],ListeÉtudiants1[],18,FALSE),"")</f>
        <v>HASSANI CHERINE</v>
      </c>
      <c r="AF72" s="19"/>
      <c r="AG72" s="478"/>
      <c r="AH72" s="439">
        <f>COUNTIF(PArticipationFevrier1[[#This Row],[1]:[30]],Code1)</f>
        <v>0</v>
      </c>
      <c r="AI72" s="474">
        <f>COUNTIF(PArticipationFevrier1[[#This Row],[1]:[30]],code22)</f>
        <v>0</v>
      </c>
      <c r="AJ72" s="439">
        <f>COUNTIF(PArticipationFevrier1[[#This Row],[1]:[30]],Code2)</f>
        <v>0</v>
      </c>
      <c r="AK72" s="439">
        <f>COUNTIF(PArticipationFevrier1[[#This Row],[1]:[30]],Code3)</f>
        <v>0</v>
      </c>
      <c r="AL72" s="439">
        <f>COUNTIF(PArticipationFevrier1[[#This Row],[1]:[30]],Code4)</f>
        <v>0</v>
      </c>
      <c r="AM72" s="474">
        <f>COUNTIF(PArticipationFevrier1[[#This Row],[1]:[30]],Code5)</f>
        <v>0</v>
      </c>
      <c r="AN72" s="474"/>
      <c r="AO72" s="474">
        <f>COUNTIF(PArticipationFevrier1[[#This Row],[1]:[30]],Code6)</f>
        <v>0</v>
      </c>
      <c r="AP72" s="474">
        <f>COUNTIF(PArticipationFevrier1[[#This Row],[1]:[30]],Code7)</f>
        <v>0</v>
      </c>
      <c r="AQ72" s="474">
        <f>COUNTIF(PArticipationFevrier1[[#This Row],[1]:[30]],Code8)</f>
        <v>0</v>
      </c>
      <c r="AR72" s="474">
        <f>COUNTIF(PArticipationFevrier1[[#This Row],[1]:[30]],Code9)</f>
        <v>0</v>
      </c>
      <c r="AS72" s="474">
        <f>COUNTIF(PArticipationFevrier1[[#This Row],[1]:[30]],Code10)</f>
        <v>0</v>
      </c>
      <c r="AT72" s="474">
        <f>COUNTIF(PArticipationFevrier1[[#This Row],[1]:[30]],Code11)</f>
        <v>0</v>
      </c>
      <c r="AU72" s="474">
        <f>COUNTIF(PArticipationFevrier1[[#This Row],[1]:[30]],Code12)</f>
        <v>0</v>
      </c>
      <c r="AV72" s="474">
        <f>COUNTIF(PArticipationFevrier1[[#This Row],[1]:[30]],Code13)</f>
        <v>0</v>
      </c>
      <c r="AW72" s="474">
        <f>COUNTIF(PArticipationFevrier1[[#This Row],[1]:[30]],Code14)</f>
        <v>0</v>
      </c>
      <c r="AX72" s="474">
        <f>COUNTIF(PArticipationFevrier1[[#This Row],[1]:[30]],Code15)</f>
        <v>0</v>
      </c>
      <c r="AY72" s="474">
        <f>COUNTIF(PArticipationFevrier1[[#This Row],[1]:[30]],Code16)</f>
        <v>0</v>
      </c>
      <c r="AZ72" s="474">
        <f>COUNTIF(PArticipationFevrier1[[#This Row],[1]:[30]],Code17)</f>
        <v>0</v>
      </c>
      <c r="BA72" s="474">
        <f>COUNTIF(PArticipationFevrier1[[#This Row],[1]:[30]],Code26)</f>
        <v>0</v>
      </c>
      <c r="BB72" s="474">
        <f>COUNTIF(PArticipationFevrier1[[#This Row],[1]:[30]],Code25)</f>
        <v>0</v>
      </c>
      <c r="BC72" s="474">
        <f>COUNTIF(PArticipationFevrier1[[#This Row],[1]:[30]],Code27)</f>
        <v>0</v>
      </c>
      <c r="BD72" s="474">
        <f>COUNTIF(PArticipationFevrier1[[#This Row],[1]:[30]],Code28)</f>
        <v>0</v>
      </c>
      <c r="BE72" s="474">
        <f>COUNTIF(PArticipationFevrier1[[#This Row],[1]:[30]],code30)</f>
        <v>0</v>
      </c>
      <c r="BF72" s="474">
        <f>COUNTIF(PArticipationFevrier1[[#This Row],[1]:[30]],Code31)</f>
        <v>0</v>
      </c>
      <c r="BG72" s="474">
        <f>COUNTIF(PArticipationFevrier1[[#This Row],[1]:[30]],code21)</f>
        <v>0</v>
      </c>
      <c r="BH72" s="474">
        <f>COUNTIF(PArticipationFevrier1[[#This Row],[1]:[30]],Code24)</f>
        <v>0</v>
      </c>
      <c r="BI72" s="474">
        <f>COUNTIF(PArticipationFevrier1[[#This Row],[1]:[30]],code18)</f>
        <v>0</v>
      </c>
      <c r="BJ72" s="474">
        <f>COUNTIF(PArticipationFevrier1[[#This Row],[1]:[30]],code19)</f>
        <v>0</v>
      </c>
      <c r="BK72" s="474">
        <f>COUNTIF(PArticipationFevrier1[[#This Row],[1]:[30]],code20)</f>
        <v>0</v>
      </c>
      <c r="BL72" s="476">
        <f>COUNTIF(PArticipationFevrier1[[#This Row],[1]:[30]],code29)</f>
        <v>0</v>
      </c>
      <c r="BM72" s="472"/>
      <c r="BN72" s="472"/>
      <c r="BO72" s="472"/>
      <c r="BP72" s="472"/>
      <c r="BQ72" s="472"/>
      <c r="BR72" s="472"/>
      <c r="BS72" s="472"/>
      <c r="BT72" s="472"/>
      <c r="BU72" s="472"/>
      <c r="BV72" s="472"/>
      <c r="BW72" s="472"/>
      <c r="BX72" s="472"/>
      <c r="BY72" s="472"/>
      <c r="BZ72" s="472"/>
      <c r="CA72" s="472"/>
      <c r="CB72" s="472"/>
      <c r="CC72" s="472"/>
      <c r="CD72" s="472"/>
      <c r="CE72" s="472"/>
      <c r="CF72" s="472"/>
      <c r="CG72" s="472"/>
      <c r="CH72" s="472"/>
      <c r="CI72" s="472"/>
      <c r="CJ72" s="472"/>
      <c r="CK72" s="472"/>
      <c r="CL72" s="472"/>
      <c r="CM72" s="472"/>
      <c r="CN72" s="472"/>
      <c r="CO72" s="472"/>
      <c r="CP72" s="472"/>
      <c r="CQ72" s="472"/>
      <c r="CR72" s="472"/>
      <c r="CS72" s="472"/>
      <c r="CT72" s="472"/>
      <c r="CU72" s="300"/>
      <c r="CV72" s="507">
        <f t="shared" si="5"/>
        <v>0</v>
      </c>
      <c r="CW72" s="531">
        <f t="shared" si="6"/>
        <v>0</v>
      </c>
      <c r="CX72" s="532">
        <f t="shared" si="7"/>
        <v>0</v>
      </c>
      <c r="CY72" s="157">
        <f t="shared" si="4"/>
        <v>0</v>
      </c>
    </row>
    <row r="73" spans="1:103">
      <c r="A73" s="510" t="s">
        <v>414</v>
      </c>
      <c r="B73" s="152" t="str">
        <f>IFERROR(VLOOKUP(PArticipationFevrier1[[#This Row],[Référence]],ListeÉtudiants1[],18,FALSE),"")</f>
        <v>HERMANN-MANETTE  CORALIE</v>
      </c>
      <c r="AF73" s="19"/>
      <c r="AG73" s="478"/>
      <c r="AH73" s="439">
        <f>COUNTIF(PArticipationFevrier1[[#This Row],[1]:[30]],Code1)</f>
        <v>0</v>
      </c>
      <c r="AI73" s="474">
        <f>COUNTIF(PArticipationFevrier1[[#This Row],[1]:[30]],code22)</f>
        <v>0</v>
      </c>
      <c r="AJ73" s="439">
        <f>COUNTIF(PArticipationFevrier1[[#This Row],[1]:[30]],Code2)</f>
        <v>0</v>
      </c>
      <c r="AK73" s="439">
        <f>COUNTIF(PArticipationFevrier1[[#This Row],[1]:[30]],Code3)</f>
        <v>0</v>
      </c>
      <c r="AL73" s="439">
        <f>COUNTIF(PArticipationFevrier1[[#This Row],[1]:[30]],Code4)</f>
        <v>0</v>
      </c>
      <c r="AM73" s="474">
        <f>COUNTIF(PArticipationFevrier1[[#This Row],[1]:[30]],Code5)</f>
        <v>0</v>
      </c>
      <c r="AN73" s="474"/>
      <c r="AO73" s="474">
        <f>COUNTIF(PArticipationFevrier1[[#This Row],[1]:[30]],Code6)</f>
        <v>0</v>
      </c>
      <c r="AP73" s="474">
        <f>COUNTIF(PArticipationFevrier1[[#This Row],[1]:[30]],Code7)</f>
        <v>0</v>
      </c>
      <c r="AQ73" s="474">
        <f>COUNTIF(PArticipationFevrier1[[#This Row],[1]:[30]],Code8)</f>
        <v>0</v>
      </c>
      <c r="AR73" s="474">
        <f>COUNTIF(PArticipationFevrier1[[#This Row],[1]:[30]],Code9)</f>
        <v>0</v>
      </c>
      <c r="AS73" s="474">
        <f>COUNTIF(PArticipationFevrier1[[#This Row],[1]:[30]],Code10)</f>
        <v>0</v>
      </c>
      <c r="AT73" s="474">
        <f>COUNTIF(PArticipationFevrier1[[#This Row],[1]:[30]],Code11)</f>
        <v>0</v>
      </c>
      <c r="AU73" s="474">
        <f>COUNTIF(PArticipationFevrier1[[#This Row],[1]:[30]],Code12)</f>
        <v>0</v>
      </c>
      <c r="AV73" s="474">
        <f>COUNTIF(PArticipationFevrier1[[#This Row],[1]:[30]],Code13)</f>
        <v>0</v>
      </c>
      <c r="AW73" s="474">
        <f>COUNTIF(PArticipationFevrier1[[#This Row],[1]:[30]],Code14)</f>
        <v>0</v>
      </c>
      <c r="AX73" s="474">
        <f>COUNTIF(PArticipationFevrier1[[#This Row],[1]:[30]],Code15)</f>
        <v>0</v>
      </c>
      <c r="AY73" s="474">
        <f>COUNTIF(PArticipationFevrier1[[#This Row],[1]:[30]],Code16)</f>
        <v>0</v>
      </c>
      <c r="AZ73" s="474">
        <f>COUNTIF(PArticipationFevrier1[[#This Row],[1]:[30]],Code17)</f>
        <v>0</v>
      </c>
      <c r="BA73" s="474">
        <f>COUNTIF(PArticipationFevrier1[[#This Row],[1]:[30]],Code26)</f>
        <v>0</v>
      </c>
      <c r="BB73" s="474">
        <f>COUNTIF(PArticipationFevrier1[[#This Row],[1]:[30]],Code25)</f>
        <v>0</v>
      </c>
      <c r="BC73" s="474">
        <f>COUNTIF(PArticipationFevrier1[[#This Row],[1]:[30]],Code27)</f>
        <v>0</v>
      </c>
      <c r="BD73" s="474">
        <f>COUNTIF(PArticipationFevrier1[[#This Row],[1]:[30]],Code28)</f>
        <v>0</v>
      </c>
      <c r="BE73" s="474">
        <f>COUNTIF(PArticipationFevrier1[[#This Row],[1]:[30]],code30)</f>
        <v>0</v>
      </c>
      <c r="BF73" s="474">
        <f>COUNTIF(PArticipationFevrier1[[#This Row],[1]:[30]],Code31)</f>
        <v>0</v>
      </c>
      <c r="BG73" s="474">
        <f>COUNTIF(PArticipationFevrier1[[#This Row],[1]:[30]],code21)</f>
        <v>0</v>
      </c>
      <c r="BH73" s="474">
        <f>COUNTIF(PArticipationFevrier1[[#This Row],[1]:[30]],Code24)</f>
        <v>0</v>
      </c>
      <c r="BI73" s="474">
        <f>COUNTIF(PArticipationFevrier1[[#This Row],[1]:[30]],code18)</f>
        <v>0</v>
      </c>
      <c r="BJ73" s="474">
        <f>COUNTIF(PArticipationFevrier1[[#This Row],[1]:[30]],code19)</f>
        <v>0</v>
      </c>
      <c r="BK73" s="474">
        <f>COUNTIF(PArticipationFevrier1[[#This Row],[1]:[30]],code20)</f>
        <v>0</v>
      </c>
      <c r="BL73" s="476">
        <f>COUNTIF(PArticipationFevrier1[[#This Row],[1]:[30]],code29)</f>
        <v>0</v>
      </c>
      <c r="BM73" s="472"/>
      <c r="BN73" s="472"/>
      <c r="BO73" s="472"/>
      <c r="BP73" s="472"/>
      <c r="BQ73" s="472"/>
      <c r="BR73" s="472"/>
      <c r="BS73" s="472"/>
      <c r="BT73" s="472"/>
      <c r="BU73" s="472"/>
      <c r="BV73" s="472"/>
      <c r="BW73" s="472"/>
      <c r="BX73" s="472"/>
      <c r="BY73" s="472"/>
      <c r="BZ73" s="472"/>
      <c r="CA73" s="472"/>
      <c r="CB73" s="472"/>
      <c r="CC73" s="472"/>
      <c r="CD73" s="472"/>
      <c r="CE73" s="472"/>
      <c r="CF73" s="472"/>
      <c r="CG73" s="472"/>
      <c r="CH73" s="472"/>
      <c r="CI73" s="472"/>
      <c r="CJ73" s="472"/>
      <c r="CK73" s="472"/>
      <c r="CL73" s="472"/>
      <c r="CM73" s="472"/>
      <c r="CN73" s="472"/>
      <c r="CO73" s="472"/>
      <c r="CP73" s="472"/>
      <c r="CQ73" s="472"/>
      <c r="CR73" s="472"/>
      <c r="CS73" s="472"/>
      <c r="CT73" s="472"/>
      <c r="CU73" s="300"/>
      <c r="CV73" s="507">
        <f t="shared" si="5"/>
        <v>0</v>
      </c>
      <c r="CW73" s="531">
        <f t="shared" si="6"/>
        <v>0</v>
      </c>
      <c r="CX73" s="532">
        <f t="shared" si="7"/>
        <v>0</v>
      </c>
      <c r="CY73" s="157">
        <f t="shared" si="4"/>
        <v>0</v>
      </c>
    </row>
    <row r="74" spans="1:103">
      <c r="A74" s="534" t="s">
        <v>415</v>
      </c>
      <c r="B74" s="152" t="str">
        <f>IFERROR(VLOOKUP(PArticipationFevrier1[[#This Row],[Référence]],ListeÉtudiants1[],18,FALSE),"")</f>
        <v>HOSTI MATHIAS</v>
      </c>
      <c r="AF74" s="19"/>
      <c r="AG74" s="478"/>
      <c r="AH74" s="439">
        <f>COUNTIF(PArticipationFevrier1[[#This Row],[1]:[30]],Code1)</f>
        <v>0</v>
      </c>
      <c r="AI74" s="474">
        <f>COUNTIF(PArticipationFevrier1[[#This Row],[1]:[30]],code22)</f>
        <v>0</v>
      </c>
      <c r="AJ74" s="439">
        <f>COUNTIF(PArticipationFevrier1[[#This Row],[1]:[30]],Code2)</f>
        <v>0</v>
      </c>
      <c r="AK74" s="439">
        <f>COUNTIF(PArticipationFevrier1[[#This Row],[1]:[30]],Code3)</f>
        <v>0</v>
      </c>
      <c r="AL74" s="439">
        <f>COUNTIF(PArticipationFevrier1[[#This Row],[1]:[30]],Code4)</f>
        <v>0</v>
      </c>
      <c r="AM74" s="474">
        <f>COUNTIF(PArticipationFevrier1[[#This Row],[1]:[30]],Code5)</f>
        <v>0</v>
      </c>
      <c r="AN74" s="474"/>
      <c r="AO74" s="474">
        <f>COUNTIF(PArticipationFevrier1[[#This Row],[1]:[30]],Code6)</f>
        <v>0</v>
      </c>
      <c r="AP74" s="474">
        <f>COUNTIF(PArticipationFevrier1[[#This Row],[1]:[30]],Code7)</f>
        <v>0</v>
      </c>
      <c r="AQ74" s="474">
        <f>COUNTIF(PArticipationFevrier1[[#This Row],[1]:[30]],Code8)</f>
        <v>0</v>
      </c>
      <c r="AR74" s="474">
        <f>COUNTIF(PArticipationFevrier1[[#This Row],[1]:[30]],Code9)</f>
        <v>0</v>
      </c>
      <c r="AS74" s="474">
        <f>COUNTIF(PArticipationFevrier1[[#This Row],[1]:[30]],Code10)</f>
        <v>0</v>
      </c>
      <c r="AT74" s="474">
        <f>COUNTIF(PArticipationFevrier1[[#This Row],[1]:[30]],Code11)</f>
        <v>0</v>
      </c>
      <c r="AU74" s="474">
        <f>COUNTIF(PArticipationFevrier1[[#This Row],[1]:[30]],Code12)</f>
        <v>0</v>
      </c>
      <c r="AV74" s="474">
        <f>COUNTIF(PArticipationFevrier1[[#This Row],[1]:[30]],Code13)</f>
        <v>0</v>
      </c>
      <c r="AW74" s="474">
        <f>COUNTIF(PArticipationFevrier1[[#This Row],[1]:[30]],Code14)</f>
        <v>0</v>
      </c>
      <c r="AX74" s="474">
        <f>COUNTIF(PArticipationFevrier1[[#This Row],[1]:[30]],Code15)</f>
        <v>0</v>
      </c>
      <c r="AY74" s="474">
        <f>COUNTIF(PArticipationFevrier1[[#This Row],[1]:[30]],Code16)</f>
        <v>0</v>
      </c>
      <c r="AZ74" s="474">
        <f>COUNTIF(PArticipationFevrier1[[#This Row],[1]:[30]],Code17)</f>
        <v>0</v>
      </c>
      <c r="BA74" s="474">
        <f>COUNTIF(PArticipationFevrier1[[#This Row],[1]:[30]],Code26)</f>
        <v>0</v>
      </c>
      <c r="BB74" s="474">
        <f>COUNTIF(PArticipationFevrier1[[#This Row],[1]:[30]],Code25)</f>
        <v>0</v>
      </c>
      <c r="BC74" s="474">
        <f>COUNTIF(PArticipationFevrier1[[#This Row],[1]:[30]],Code27)</f>
        <v>0</v>
      </c>
      <c r="BD74" s="474">
        <f>COUNTIF(PArticipationFevrier1[[#This Row],[1]:[30]],Code28)</f>
        <v>0</v>
      </c>
      <c r="BE74" s="474">
        <f>COUNTIF(PArticipationFevrier1[[#This Row],[1]:[30]],code30)</f>
        <v>0</v>
      </c>
      <c r="BF74" s="474">
        <f>COUNTIF(PArticipationFevrier1[[#This Row],[1]:[30]],Code31)</f>
        <v>0</v>
      </c>
      <c r="BG74" s="474">
        <f>COUNTIF(PArticipationFevrier1[[#This Row],[1]:[30]],code21)</f>
        <v>0</v>
      </c>
      <c r="BH74" s="474">
        <f>COUNTIF(PArticipationFevrier1[[#This Row],[1]:[30]],Code24)</f>
        <v>0</v>
      </c>
      <c r="BI74" s="474">
        <f>COUNTIF(PArticipationFevrier1[[#This Row],[1]:[30]],code18)</f>
        <v>0</v>
      </c>
      <c r="BJ74" s="474">
        <f>COUNTIF(PArticipationFevrier1[[#This Row],[1]:[30]],code19)</f>
        <v>0</v>
      </c>
      <c r="BK74" s="474">
        <f>COUNTIF(PArticipationFevrier1[[#This Row],[1]:[30]],code20)</f>
        <v>0</v>
      </c>
      <c r="BL74" s="476">
        <f>COUNTIF(PArticipationFevrier1[[#This Row],[1]:[30]],code29)</f>
        <v>0</v>
      </c>
      <c r="BM74" s="472"/>
      <c r="BN74" s="472"/>
      <c r="BO74" s="472"/>
      <c r="BP74" s="472"/>
      <c r="BQ74" s="472"/>
      <c r="BR74" s="472"/>
      <c r="BS74" s="472"/>
      <c r="BT74" s="472"/>
      <c r="BU74" s="472"/>
      <c r="BV74" s="472"/>
      <c r="BW74" s="472"/>
      <c r="BX74" s="472"/>
      <c r="BY74" s="472"/>
      <c r="BZ74" s="472"/>
      <c r="CA74" s="472"/>
      <c r="CB74" s="472"/>
      <c r="CC74" s="472"/>
      <c r="CD74" s="472"/>
      <c r="CE74" s="472"/>
      <c r="CF74" s="472"/>
      <c r="CG74" s="472"/>
      <c r="CH74" s="472"/>
      <c r="CI74" s="472"/>
      <c r="CJ74" s="472"/>
      <c r="CK74" s="472"/>
      <c r="CL74" s="472"/>
      <c r="CM74" s="472"/>
      <c r="CN74" s="472"/>
      <c r="CO74" s="472"/>
      <c r="CP74" s="472"/>
      <c r="CQ74" s="472"/>
      <c r="CR74" s="472"/>
      <c r="CS74" s="472"/>
      <c r="CT74" s="472"/>
      <c r="CU74" s="300"/>
      <c r="CV74" s="507">
        <f t="shared" si="5"/>
        <v>0</v>
      </c>
      <c r="CW74" s="531">
        <f t="shared" si="6"/>
        <v>0</v>
      </c>
      <c r="CX74" s="532">
        <f t="shared" si="7"/>
        <v>0</v>
      </c>
      <c r="CY74" s="157">
        <f t="shared" si="4"/>
        <v>0</v>
      </c>
    </row>
    <row r="75" spans="1:103">
      <c r="A75" s="534" t="s">
        <v>416</v>
      </c>
      <c r="B75" s="152" t="str">
        <f>IFERROR(VLOOKUP(PArticipationFevrier1[[#This Row],[Référence]],ListeÉtudiants1[],18,FALSE),"")</f>
        <v>ITSOTSO MEGGIE</v>
      </c>
      <c r="AF75" s="19"/>
      <c r="AG75" s="478"/>
      <c r="AH75" s="439">
        <f>COUNTIF(PArticipationFevrier1[[#This Row],[1]:[30]],Code1)</f>
        <v>0</v>
      </c>
      <c r="AI75" s="474">
        <f>COUNTIF(PArticipationFevrier1[[#This Row],[1]:[30]],code22)</f>
        <v>0</v>
      </c>
      <c r="AJ75" s="439">
        <f>COUNTIF(PArticipationFevrier1[[#This Row],[1]:[30]],Code2)</f>
        <v>0</v>
      </c>
      <c r="AK75" s="439">
        <f>COUNTIF(PArticipationFevrier1[[#This Row],[1]:[30]],Code3)</f>
        <v>0</v>
      </c>
      <c r="AL75" s="439">
        <f>COUNTIF(PArticipationFevrier1[[#This Row],[1]:[30]],Code4)</f>
        <v>0</v>
      </c>
      <c r="AM75" s="474">
        <f>COUNTIF(PArticipationFevrier1[[#This Row],[1]:[30]],Code5)</f>
        <v>0</v>
      </c>
      <c r="AN75" s="474"/>
      <c r="AO75" s="474">
        <f>COUNTIF(PArticipationFevrier1[[#This Row],[1]:[30]],Code6)</f>
        <v>0</v>
      </c>
      <c r="AP75" s="474">
        <f>COUNTIF(PArticipationFevrier1[[#This Row],[1]:[30]],Code7)</f>
        <v>0</v>
      </c>
      <c r="AQ75" s="474">
        <f>COUNTIF(PArticipationFevrier1[[#This Row],[1]:[30]],Code8)</f>
        <v>0</v>
      </c>
      <c r="AR75" s="474">
        <f>COUNTIF(PArticipationFevrier1[[#This Row],[1]:[30]],Code9)</f>
        <v>0</v>
      </c>
      <c r="AS75" s="474">
        <f>COUNTIF(PArticipationFevrier1[[#This Row],[1]:[30]],Code10)</f>
        <v>0</v>
      </c>
      <c r="AT75" s="474">
        <f>COUNTIF(PArticipationFevrier1[[#This Row],[1]:[30]],Code11)</f>
        <v>0</v>
      </c>
      <c r="AU75" s="474">
        <f>COUNTIF(PArticipationFevrier1[[#This Row],[1]:[30]],Code12)</f>
        <v>0</v>
      </c>
      <c r="AV75" s="474">
        <f>COUNTIF(PArticipationFevrier1[[#This Row],[1]:[30]],Code13)</f>
        <v>0</v>
      </c>
      <c r="AW75" s="474">
        <f>COUNTIF(PArticipationFevrier1[[#This Row],[1]:[30]],Code14)</f>
        <v>0</v>
      </c>
      <c r="AX75" s="474">
        <f>COUNTIF(PArticipationFevrier1[[#This Row],[1]:[30]],Code15)</f>
        <v>0</v>
      </c>
      <c r="AY75" s="474">
        <f>COUNTIF(PArticipationFevrier1[[#This Row],[1]:[30]],Code16)</f>
        <v>0</v>
      </c>
      <c r="AZ75" s="474">
        <f>COUNTIF(PArticipationFevrier1[[#This Row],[1]:[30]],Code17)</f>
        <v>0</v>
      </c>
      <c r="BA75" s="474">
        <f>COUNTIF(PArticipationFevrier1[[#This Row],[1]:[30]],Code26)</f>
        <v>0</v>
      </c>
      <c r="BB75" s="474">
        <f>COUNTIF(PArticipationFevrier1[[#This Row],[1]:[30]],Code25)</f>
        <v>0</v>
      </c>
      <c r="BC75" s="474">
        <f>COUNTIF(PArticipationFevrier1[[#This Row],[1]:[30]],Code27)</f>
        <v>0</v>
      </c>
      <c r="BD75" s="474">
        <f>COUNTIF(PArticipationFevrier1[[#This Row],[1]:[30]],Code28)</f>
        <v>0</v>
      </c>
      <c r="BE75" s="474">
        <f>COUNTIF(PArticipationFevrier1[[#This Row],[1]:[30]],code30)</f>
        <v>0</v>
      </c>
      <c r="BF75" s="474">
        <f>COUNTIF(PArticipationFevrier1[[#This Row],[1]:[30]],Code31)</f>
        <v>0</v>
      </c>
      <c r="BG75" s="474">
        <f>COUNTIF(PArticipationFevrier1[[#This Row],[1]:[30]],code21)</f>
        <v>0</v>
      </c>
      <c r="BH75" s="474">
        <f>COUNTIF(PArticipationFevrier1[[#This Row],[1]:[30]],Code24)</f>
        <v>0</v>
      </c>
      <c r="BI75" s="474">
        <f>COUNTIF(PArticipationFevrier1[[#This Row],[1]:[30]],code18)</f>
        <v>0</v>
      </c>
      <c r="BJ75" s="474">
        <f>COUNTIF(PArticipationFevrier1[[#This Row],[1]:[30]],code19)</f>
        <v>0</v>
      </c>
      <c r="BK75" s="474">
        <f>COUNTIF(PArticipationFevrier1[[#This Row],[1]:[30]],code20)</f>
        <v>0</v>
      </c>
      <c r="BL75" s="476">
        <f>COUNTIF(PArticipationFevrier1[[#This Row],[1]:[30]],code29)</f>
        <v>0</v>
      </c>
      <c r="BM75" s="472"/>
      <c r="BN75" s="472"/>
      <c r="BO75" s="472"/>
      <c r="BP75" s="472"/>
      <c r="BQ75" s="472"/>
      <c r="BR75" s="472"/>
      <c r="BS75" s="472"/>
      <c r="BT75" s="472"/>
      <c r="BU75" s="472"/>
      <c r="BV75" s="472"/>
      <c r="BW75" s="472"/>
      <c r="BX75" s="472"/>
      <c r="BY75" s="472"/>
      <c r="BZ75" s="472"/>
      <c r="CA75" s="472"/>
      <c r="CB75" s="472"/>
      <c r="CC75" s="472"/>
      <c r="CD75" s="472"/>
      <c r="CE75" s="472"/>
      <c r="CF75" s="472"/>
      <c r="CG75" s="472"/>
      <c r="CH75" s="472"/>
      <c r="CI75" s="472"/>
      <c r="CJ75" s="472"/>
      <c r="CK75" s="472"/>
      <c r="CL75" s="472"/>
      <c r="CM75" s="472"/>
      <c r="CN75" s="472"/>
      <c r="CO75" s="472"/>
      <c r="CP75" s="472"/>
      <c r="CQ75" s="472"/>
      <c r="CR75" s="472"/>
      <c r="CS75" s="472"/>
      <c r="CT75" s="472"/>
      <c r="CU75" s="300"/>
      <c r="CV75" s="507">
        <f t="shared" si="5"/>
        <v>0</v>
      </c>
      <c r="CW75" s="531">
        <f t="shared" si="6"/>
        <v>0</v>
      </c>
      <c r="CX75" s="532">
        <f t="shared" si="7"/>
        <v>0</v>
      </c>
      <c r="CY75" s="157">
        <f t="shared" si="4"/>
        <v>0</v>
      </c>
    </row>
    <row r="76" spans="1:103">
      <c r="A76" s="510" t="s">
        <v>417</v>
      </c>
      <c r="B76" s="152" t="str">
        <f>IFERROR(VLOOKUP(PArticipationFevrier1[[#This Row],[Référence]],ListeÉtudiants1[],18,FALSE),"")</f>
        <v>JACQUIN  LAURENE</v>
      </c>
      <c r="AF76" s="19"/>
      <c r="AG76" s="478"/>
      <c r="AH76" s="439">
        <f>COUNTIF(PArticipationFevrier1[[#This Row],[1]:[30]],Code1)</f>
        <v>0</v>
      </c>
      <c r="AI76" s="474">
        <f>COUNTIF(PArticipationFevrier1[[#This Row],[1]:[30]],code22)</f>
        <v>0</v>
      </c>
      <c r="AJ76" s="439">
        <f>COUNTIF(PArticipationFevrier1[[#This Row],[1]:[30]],Code2)</f>
        <v>0</v>
      </c>
      <c r="AK76" s="439">
        <f>COUNTIF(PArticipationFevrier1[[#This Row],[1]:[30]],Code3)</f>
        <v>0</v>
      </c>
      <c r="AL76" s="439">
        <f>COUNTIF(PArticipationFevrier1[[#This Row],[1]:[30]],Code4)</f>
        <v>0</v>
      </c>
      <c r="AM76" s="474">
        <f>COUNTIF(PArticipationFevrier1[[#This Row],[1]:[30]],Code5)</f>
        <v>0</v>
      </c>
      <c r="AN76" s="474"/>
      <c r="AO76" s="474">
        <f>COUNTIF(PArticipationFevrier1[[#This Row],[1]:[30]],Code6)</f>
        <v>0</v>
      </c>
      <c r="AP76" s="474">
        <f>COUNTIF(PArticipationFevrier1[[#This Row],[1]:[30]],Code7)</f>
        <v>0</v>
      </c>
      <c r="AQ76" s="474">
        <f>COUNTIF(PArticipationFevrier1[[#This Row],[1]:[30]],Code8)</f>
        <v>0</v>
      </c>
      <c r="AR76" s="474">
        <f>COUNTIF(PArticipationFevrier1[[#This Row],[1]:[30]],Code9)</f>
        <v>0</v>
      </c>
      <c r="AS76" s="474">
        <f>COUNTIF(PArticipationFevrier1[[#This Row],[1]:[30]],Code10)</f>
        <v>0</v>
      </c>
      <c r="AT76" s="474">
        <f>COUNTIF(PArticipationFevrier1[[#This Row],[1]:[30]],Code11)</f>
        <v>0</v>
      </c>
      <c r="AU76" s="474">
        <f>COUNTIF(PArticipationFevrier1[[#This Row],[1]:[30]],Code12)</f>
        <v>0</v>
      </c>
      <c r="AV76" s="474">
        <f>COUNTIF(PArticipationFevrier1[[#This Row],[1]:[30]],Code13)</f>
        <v>0</v>
      </c>
      <c r="AW76" s="474">
        <f>COUNTIF(PArticipationFevrier1[[#This Row],[1]:[30]],Code14)</f>
        <v>0</v>
      </c>
      <c r="AX76" s="474">
        <f>COUNTIF(PArticipationFevrier1[[#This Row],[1]:[30]],Code15)</f>
        <v>0</v>
      </c>
      <c r="AY76" s="474">
        <f>COUNTIF(PArticipationFevrier1[[#This Row],[1]:[30]],Code16)</f>
        <v>0</v>
      </c>
      <c r="AZ76" s="474">
        <f>COUNTIF(PArticipationFevrier1[[#This Row],[1]:[30]],Code17)</f>
        <v>0</v>
      </c>
      <c r="BA76" s="474">
        <f>COUNTIF(PArticipationFevrier1[[#This Row],[1]:[30]],Code26)</f>
        <v>0</v>
      </c>
      <c r="BB76" s="474">
        <f>COUNTIF(PArticipationFevrier1[[#This Row],[1]:[30]],Code25)</f>
        <v>0</v>
      </c>
      <c r="BC76" s="474">
        <f>COUNTIF(PArticipationFevrier1[[#This Row],[1]:[30]],Code27)</f>
        <v>0</v>
      </c>
      <c r="BD76" s="474">
        <f>COUNTIF(PArticipationFevrier1[[#This Row],[1]:[30]],Code28)</f>
        <v>0</v>
      </c>
      <c r="BE76" s="474">
        <f>COUNTIF(PArticipationFevrier1[[#This Row],[1]:[30]],code30)</f>
        <v>0</v>
      </c>
      <c r="BF76" s="474">
        <f>COUNTIF(PArticipationFevrier1[[#This Row],[1]:[30]],Code31)</f>
        <v>0</v>
      </c>
      <c r="BG76" s="474">
        <f>COUNTIF(PArticipationFevrier1[[#This Row],[1]:[30]],code21)</f>
        <v>0</v>
      </c>
      <c r="BH76" s="474">
        <f>COUNTIF(PArticipationFevrier1[[#This Row],[1]:[30]],Code24)</f>
        <v>0</v>
      </c>
      <c r="BI76" s="474">
        <f>COUNTIF(PArticipationFevrier1[[#This Row],[1]:[30]],code18)</f>
        <v>0</v>
      </c>
      <c r="BJ76" s="474">
        <f>COUNTIF(PArticipationFevrier1[[#This Row],[1]:[30]],code19)</f>
        <v>0</v>
      </c>
      <c r="BK76" s="474">
        <f>COUNTIF(PArticipationFevrier1[[#This Row],[1]:[30]],code20)</f>
        <v>0</v>
      </c>
      <c r="BL76" s="476">
        <f>COUNTIF(PArticipationFevrier1[[#This Row],[1]:[30]],code29)</f>
        <v>0</v>
      </c>
      <c r="BM76" s="472"/>
      <c r="BN76" s="472"/>
      <c r="BO76" s="472"/>
      <c r="BP76" s="472"/>
      <c r="BQ76" s="472"/>
      <c r="BR76" s="472"/>
      <c r="BS76" s="472"/>
      <c r="BT76" s="472"/>
      <c r="BU76" s="472"/>
      <c r="BV76" s="472"/>
      <c r="BW76" s="472"/>
      <c r="BX76" s="472"/>
      <c r="BY76" s="472"/>
      <c r="BZ76" s="472"/>
      <c r="CA76" s="472"/>
      <c r="CB76" s="472"/>
      <c r="CC76" s="472"/>
      <c r="CD76" s="472"/>
      <c r="CE76" s="472"/>
      <c r="CF76" s="472"/>
      <c r="CG76" s="472"/>
      <c r="CH76" s="472"/>
      <c r="CI76" s="472"/>
      <c r="CJ76" s="472"/>
      <c r="CK76" s="472"/>
      <c r="CL76" s="472"/>
      <c r="CM76" s="472"/>
      <c r="CN76" s="472"/>
      <c r="CO76" s="472"/>
      <c r="CP76" s="472"/>
      <c r="CQ76" s="472"/>
      <c r="CR76" s="472"/>
      <c r="CS76" s="472"/>
      <c r="CT76" s="472"/>
      <c r="CU76" s="300"/>
      <c r="CV76" s="507">
        <f t="shared" si="5"/>
        <v>0</v>
      </c>
      <c r="CW76" s="531">
        <f t="shared" si="6"/>
        <v>0</v>
      </c>
      <c r="CX76" s="532">
        <f t="shared" si="7"/>
        <v>0</v>
      </c>
      <c r="CY76" s="157">
        <f t="shared" si="4"/>
        <v>0</v>
      </c>
    </row>
    <row r="77" spans="1:103">
      <c r="A77" s="534" t="s">
        <v>418</v>
      </c>
      <c r="B77" s="152" t="str">
        <f>IFERROR(VLOOKUP(PArticipationFevrier1[[#This Row],[Référence]],ListeÉtudiants1[],18,FALSE),"")</f>
        <v>JOSEPH PALOUNA</v>
      </c>
      <c r="AF77" s="19"/>
      <c r="AG77" s="478"/>
      <c r="AH77" s="439">
        <f>COUNTIF(PArticipationFevrier1[[#This Row],[1]:[30]],Code1)</f>
        <v>0</v>
      </c>
      <c r="AI77" s="474">
        <f>COUNTIF(PArticipationFevrier1[[#This Row],[1]:[30]],code22)</f>
        <v>0</v>
      </c>
      <c r="AJ77" s="439">
        <f>COUNTIF(PArticipationFevrier1[[#This Row],[1]:[30]],Code2)</f>
        <v>0</v>
      </c>
      <c r="AK77" s="439">
        <f>COUNTIF(PArticipationFevrier1[[#This Row],[1]:[30]],Code3)</f>
        <v>0</v>
      </c>
      <c r="AL77" s="439">
        <f>COUNTIF(PArticipationFevrier1[[#This Row],[1]:[30]],Code4)</f>
        <v>0</v>
      </c>
      <c r="AM77" s="474">
        <f>COUNTIF(PArticipationFevrier1[[#This Row],[1]:[30]],Code5)</f>
        <v>0</v>
      </c>
      <c r="AN77" s="474"/>
      <c r="AO77" s="474">
        <f>COUNTIF(PArticipationFevrier1[[#This Row],[1]:[30]],Code6)</f>
        <v>0</v>
      </c>
      <c r="AP77" s="474">
        <f>COUNTIF(PArticipationFevrier1[[#This Row],[1]:[30]],Code7)</f>
        <v>0</v>
      </c>
      <c r="AQ77" s="474">
        <f>COUNTIF(PArticipationFevrier1[[#This Row],[1]:[30]],Code8)</f>
        <v>0</v>
      </c>
      <c r="AR77" s="474">
        <f>COUNTIF(PArticipationFevrier1[[#This Row],[1]:[30]],Code9)</f>
        <v>0</v>
      </c>
      <c r="AS77" s="474">
        <f>COUNTIF(PArticipationFevrier1[[#This Row],[1]:[30]],Code10)</f>
        <v>0</v>
      </c>
      <c r="AT77" s="474">
        <f>COUNTIF(PArticipationFevrier1[[#This Row],[1]:[30]],Code11)</f>
        <v>0</v>
      </c>
      <c r="AU77" s="474">
        <f>COUNTIF(PArticipationFevrier1[[#This Row],[1]:[30]],Code12)</f>
        <v>0</v>
      </c>
      <c r="AV77" s="474">
        <f>COUNTIF(PArticipationFevrier1[[#This Row],[1]:[30]],Code13)</f>
        <v>0</v>
      </c>
      <c r="AW77" s="474">
        <f>COUNTIF(PArticipationFevrier1[[#This Row],[1]:[30]],Code14)</f>
        <v>0</v>
      </c>
      <c r="AX77" s="474">
        <f>COUNTIF(PArticipationFevrier1[[#This Row],[1]:[30]],Code15)</f>
        <v>0</v>
      </c>
      <c r="AY77" s="474">
        <f>COUNTIF(PArticipationFevrier1[[#This Row],[1]:[30]],Code16)</f>
        <v>0</v>
      </c>
      <c r="AZ77" s="474">
        <f>COUNTIF(PArticipationFevrier1[[#This Row],[1]:[30]],Code17)</f>
        <v>0</v>
      </c>
      <c r="BA77" s="474">
        <f>COUNTIF(PArticipationFevrier1[[#This Row],[1]:[30]],Code26)</f>
        <v>0</v>
      </c>
      <c r="BB77" s="474">
        <f>COUNTIF(PArticipationFevrier1[[#This Row],[1]:[30]],Code25)</f>
        <v>0</v>
      </c>
      <c r="BC77" s="474">
        <f>COUNTIF(PArticipationFevrier1[[#This Row],[1]:[30]],Code27)</f>
        <v>0</v>
      </c>
      <c r="BD77" s="474">
        <f>COUNTIF(PArticipationFevrier1[[#This Row],[1]:[30]],Code28)</f>
        <v>0</v>
      </c>
      <c r="BE77" s="474">
        <f>COUNTIF(PArticipationFevrier1[[#This Row],[1]:[30]],code30)</f>
        <v>0</v>
      </c>
      <c r="BF77" s="474">
        <f>COUNTIF(PArticipationFevrier1[[#This Row],[1]:[30]],Code31)</f>
        <v>0</v>
      </c>
      <c r="BG77" s="474">
        <f>COUNTIF(PArticipationFevrier1[[#This Row],[1]:[30]],code21)</f>
        <v>0</v>
      </c>
      <c r="BH77" s="474">
        <f>COUNTIF(PArticipationFevrier1[[#This Row],[1]:[30]],Code24)</f>
        <v>0</v>
      </c>
      <c r="BI77" s="474">
        <f>COUNTIF(PArticipationFevrier1[[#This Row],[1]:[30]],code18)</f>
        <v>0</v>
      </c>
      <c r="BJ77" s="474">
        <f>COUNTIF(PArticipationFevrier1[[#This Row],[1]:[30]],code19)</f>
        <v>0</v>
      </c>
      <c r="BK77" s="474">
        <f>COUNTIF(PArticipationFevrier1[[#This Row],[1]:[30]],code20)</f>
        <v>0</v>
      </c>
      <c r="BL77" s="476">
        <f>COUNTIF(PArticipationFevrier1[[#This Row],[1]:[30]],code29)</f>
        <v>0</v>
      </c>
      <c r="BM77" s="472"/>
      <c r="BN77" s="472"/>
      <c r="BO77" s="472"/>
      <c r="BP77" s="472"/>
      <c r="BQ77" s="472"/>
      <c r="BR77" s="472"/>
      <c r="BS77" s="472"/>
      <c r="BT77" s="472"/>
      <c r="BU77" s="472"/>
      <c r="BV77" s="472"/>
      <c r="BW77" s="472"/>
      <c r="BX77" s="472"/>
      <c r="BY77" s="472"/>
      <c r="BZ77" s="472"/>
      <c r="CA77" s="472"/>
      <c r="CB77" s="472"/>
      <c r="CC77" s="472"/>
      <c r="CD77" s="472"/>
      <c r="CE77" s="472"/>
      <c r="CF77" s="472"/>
      <c r="CG77" s="472"/>
      <c r="CH77" s="472"/>
      <c r="CI77" s="472"/>
      <c r="CJ77" s="472"/>
      <c r="CK77" s="472"/>
      <c r="CL77" s="472"/>
      <c r="CM77" s="472"/>
      <c r="CN77" s="472"/>
      <c r="CO77" s="472"/>
      <c r="CP77" s="472"/>
      <c r="CQ77" s="472"/>
      <c r="CR77" s="472"/>
      <c r="CS77" s="472"/>
      <c r="CT77" s="472"/>
      <c r="CU77" s="300"/>
      <c r="CV77" s="507">
        <f t="shared" si="5"/>
        <v>0</v>
      </c>
      <c r="CW77" s="531">
        <f t="shared" si="6"/>
        <v>0</v>
      </c>
      <c r="CX77" s="532">
        <f t="shared" si="7"/>
        <v>0</v>
      </c>
      <c r="CY77" s="157">
        <f t="shared" si="4"/>
        <v>0</v>
      </c>
    </row>
    <row r="78" spans="1:103">
      <c r="A78" s="510" t="s">
        <v>419</v>
      </c>
      <c r="B78" s="152" t="str">
        <f>IFERROR(VLOOKUP(PArticipationFevrier1[[#This Row],[Référence]],ListeÉtudiants1[],18,FALSE),"")</f>
        <v>JUAN DORINE</v>
      </c>
      <c r="AF78" s="19"/>
      <c r="AG78" s="478"/>
      <c r="AH78" s="439">
        <f>COUNTIF(PArticipationFevrier1[[#This Row],[1]:[30]],Code1)</f>
        <v>0</v>
      </c>
      <c r="AI78" s="474">
        <f>COUNTIF(PArticipationFevrier1[[#This Row],[1]:[30]],code22)</f>
        <v>0</v>
      </c>
      <c r="AJ78" s="439">
        <f>COUNTIF(PArticipationFevrier1[[#This Row],[1]:[30]],Code2)</f>
        <v>0</v>
      </c>
      <c r="AK78" s="439">
        <f>COUNTIF(PArticipationFevrier1[[#This Row],[1]:[30]],Code3)</f>
        <v>0</v>
      </c>
      <c r="AL78" s="439">
        <f>COUNTIF(PArticipationFevrier1[[#This Row],[1]:[30]],Code4)</f>
        <v>0</v>
      </c>
      <c r="AM78" s="474">
        <f>COUNTIF(PArticipationFevrier1[[#This Row],[1]:[30]],Code5)</f>
        <v>0</v>
      </c>
      <c r="AN78" s="474"/>
      <c r="AO78" s="474">
        <f>COUNTIF(PArticipationFevrier1[[#This Row],[1]:[30]],Code6)</f>
        <v>0</v>
      </c>
      <c r="AP78" s="474">
        <f>COUNTIF(PArticipationFevrier1[[#This Row],[1]:[30]],Code7)</f>
        <v>0</v>
      </c>
      <c r="AQ78" s="474">
        <f>COUNTIF(PArticipationFevrier1[[#This Row],[1]:[30]],Code8)</f>
        <v>0</v>
      </c>
      <c r="AR78" s="474">
        <f>COUNTIF(PArticipationFevrier1[[#This Row],[1]:[30]],Code9)</f>
        <v>0</v>
      </c>
      <c r="AS78" s="474">
        <f>COUNTIF(PArticipationFevrier1[[#This Row],[1]:[30]],Code10)</f>
        <v>0</v>
      </c>
      <c r="AT78" s="474">
        <f>COUNTIF(PArticipationFevrier1[[#This Row],[1]:[30]],Code11)</f>
        <v>0</v>
      </c>
      <c r="AU78" s="474">
        <f>COUNTIF(PArticipationFevrier1[[#This Row],[1]:[30]],Code12)</f>
        <v>0</v>
      </c>
      <c r="AV78" s="474">
        <f>COUNTIF(PArticipationFevrier1[[#This Row],[1]:[30]],Code13)</f>
        <v>0</v>
      </c>
      <c r="AW78" s="474">
        <f>COUNTIF(PArticipationFevrier1[[#This Row],[1]:[30]],Code14)</f>
        <v>0</v>
      </c>
      <c r="AX78" s="474">
        <f>COUNTIF(PArticipationFevrier1[[#This Row],[1]:[30]],Code15)</f>
        <v>0</v>
      </c>
      <c r="AY78" s="474">
        <f>COUNTIF(PArticipationFevrier1[[#This Row],[1]:[30]],Code16)</f>
        <v>0</v>
      </c>
      <c r="AZ78" s="474">
        <f>COUNTIF(PArticipationFevrier1[[#This Row],[1]:[30]],Code17)</f>
        <v>0</v>
      </c>
      <c r="BA78" s="474">
        <f>COUNTIF(PArticipationFevrier1[[#This Row],[1]:[30]],Code26)</f>
        <v>0</v>
      </c>
      <c r="BB78" s="474">
        <f>COUNTIF(PArticipationFevrier1[[#This Row],[1]:[30]],Code25)</f>
        <v>0</v>
      </c>
      <c r="BC78" s="474">
        <f>COUNTIF(PArticipationFevrier1[[#This Row],[1]:[30]],Code27)</f>
        <v>0</v>
      </c>
      <c r="BD78" s="474">
        <f>COUNTIF(PArticipationFevrier1[[#This Row],[1]:[30]],Code28)</f>
        <v>0</v>
      </c>
      <c r="BE78" s="474">
        <f>COUNTIF(PArticipationFevrier1[[#This Row],[1]:[30]],code30)</f>
        <v>0</v>
      </c>
      <c r="BF78" s="474">
        <f>COUNTIF(PArticipationFevrier1[[#This Row],[1]:[30]],Code31)</f>
        <v>0</v>
      </c>
      <c r="BG78" s="474">
        <f>COUNTIF(PArticipationFevrier1[[#This Row],[1]:[30]],code21)</f>
        <v>0</v>
      </c>
      <c r="BH78" s="474">
        <f>COUNTIF(PArticipationFevrier1[[#This Row],[1]:[30]],Code24)</f>
        <v>0</v>
      </c>
      <c r="BI78" s="474">
        <f>COUNTIF(PArticipationFevrier1[[#This Row],[1]:[30]],code18)</f>
        <v>0</v>
      </c>
      <c r="BJ78" s="474">
        <f>COUNTIF(PArticipationFevrier1[[#This Row],[1]:[30]],code19)</f>
        <v>0</v>
      </c>
      <c r="BK78" s="474">
        <f>COUNTIF(PArticipationFevrier1[[#This Row],[1]:[30]],code20)</f>
        <v>0</v>
      </c>
      <c r="BL78" s="476">
        <f>COUNTIF(PArticipationFevrier1[[#This Row],[1]:[30]],code29)</f>
        <v>0</v>
      </c>
      <c r="BM78" s="472"/>
      <c r="BN78" s="472"/>
      <c r="BO78" s="472"/>
      <c r="BP78" s="472"/>
      <c r="BQ78" s="472"/>
      <c r="BR78" s="472"/>
      <c r="BS78" s="472"/>
      <c r="BT78" s="472"/>
      <c r="BU78" s="472"/>
      <c r="BV78" s="472"/>
      <c r="BW78" s="472"/>
      <c r="BX78" s="472"/>
      <c r="BY78" s="472"/>
      <c r="BZ78" s="472"/>
      <c r="CA78" s="472"/>
      <c r="CB78" s="472"/>
      <c r="CC78" s="472"/>
      <c r="CD78" s="472"/>
      <c r="CE78" s="472"/>
      <c r="CF78" s="472"/>
      <c r="CG78" s="472"/>
      <c r="CH78" s="472"/>
      <c r="CI78" s="472"/>
      <c r="CJ78" s="472"/>
      <c r="CK78" s="472"/>
      <c r="CL78" s="472"/>
      <c r="CM78" s="472"/>
      <c r="CN78" s="472"/>
      <c r="CO78" s="472"/>
      <c r="CP78" s="472"/>
      <c r="CQ78" s="472"/>
      <c r="CR78" s="472"/>
      <c r="CS78" s="472"/>
      <c r="CT78" s="472"/>
      <c r="CU78" s="300"/>
      <c r="CV78" s="507">
        <f t="shared" si="5"/>
        <v>0</v>
      </c>
      <c r="CW78" s="531">
        <f t="shared" si="6"/>
        <v>0</v>
      </c>
      <c r="CX78" s="532">
        <f t="shared" si="7"/>
        <v>0</v>
      </c>
      <c r="CY78" s="157">
        <f t="shared" si="4"/>
        <v>0</v>
      </c>
    </row>
    <row r="79" spans="1:103">
      <c r="A79" s="534" t="s">
        <v>420</v>
      </c>
      <c r="B79" s="152" t="str">
        <f>IFERROR(VLOOKUP(PArticipationFevrier1[[#This Row],[Référence]],ListeÉtudiants1[],18,FALSE),"")</f>
        <v>KABOL HELENA</v>
      </c>
      <c r="AF79" s="19"/>
      <c r="AG79" s="478"/>
      <c r="AH79" s="439">
        <f>COUNTIF(PArticipationFevrier1[[#This Row],[1]:[30]],Code1)</f>
        <v>0</v>
      </c>
      <c r="AI79" s="474">
        <f>COUNTIF(PArticipationFevrier1[[#This Row],[1]:[30]],code22)</f>
        <v>0</v>
      </c>
      <c r="AJ79" s="439">
        <f>COUNTIF(PArticipationFevrier1[[#This Row],[1]:[30]],Code2)</f>
        <v>0</v>
      </c>
      <c r="AK79" s="439">
        <f>COUNTIF(PArticipationFevrier1[[#This Row],[1]:[30]],Code3)</f>
        <v>0</v>
      </c>
      <c r="AL79" s="439">
        <f>COUNTIF(PArticipationFevrier1[[#This Row],[1]:[30]],Code4)</f>
        <v>0</v>
      </c>
      <c r="AM79" s="474">
        <f>COUNTIF(PArticipationFevrier1[[#This Row],[1]:[30]],Code5)</f>
        <v>0</v>
      </c>
      <c r="AN79" s="474"/>
      <c r="AO79" s="474">
        <f>COUNTIF(PArticipationFevrier1[[#This Row],[1]:[30]],Code6)</f>
        <v>0</v>
      </c>
      <c r="AP79" s="474">
        <f>COUNTIF(PArticipationFevrier1[[#This Row],[1]:[30]],Code7)</f>
        <v>0</v>
      </c>
      <c r="AQ79" s="474">
        <f>COUNTIF(PArticipationFevrier1[[#This Row],[1]:[30]],Code8)</f>
        <v>0</v>
      </c>
      <c r="AR79" s="474">
        <f>COUNTIF(PArticipationFevrier1[[#This Row],[1]:[30]],Code9)</f>
        <v>0</v>
      </c>
      <c r="AS79" s="474">
        <f>COUNTIF(PArticipationFevrier1[[#This Row],[1]:[30]],Code10)</f>
        <v>0</v>
      </c>
      <c r="AT79" s="474">
        <f>COUNTIF(PArticipationFevrier1[[#This Row],[1]:[30]],Code11)</f>
        <v>0</v>
      </c>
      <c r="AU79" s="474">
        <f>COUNTIF(PArticipationFevrier1[[#This Row],[1]:[30]],Code12)</f>
        <v>0</v>
      </c>
      <c r="AV79" s="474">
        <f>COUNTIF(PArticipationFevrier1[[#This Row],[1]:[30]],Code13)</f>
        <v>0</v>
      </c>
      <c r="AW79" s="474">
        <f>COUNTIF(PArticipationFevrier1[[#This Row],[1]:[30]],Code14)</f>
        <v>0</v>
      </c>
      <c r="AX79" s="474">
        <f>COUNTIF(PArticipationFevrier1[[#This Row],[1]:[30]],Code15)</f>
        <v>0</v>
      </c>
      <c r="AY79" s="474">
        <f>COUNTIF(PArticipationFevrier1[[#This Row],[1]:[30]],Code16)</f>
        <v>0</v>
      </c>
      <c r="AZ79" s="474">
        <f>COUNTIF(PArticipationFevrier1[[#This Row],[1]:[30]],Code17)</f>
        <v>0</v>
      </c>
      <c r="BA79" s="474">
        <f>COUNTIF(PArticipationFevrier1[[#This Row],[1]:[30]],Code26)</f>
        <v>0</v>
      </c>
      <c r="BB79" s="474">
        <f>COUNTIF(PArticipationFevrier1[[#This Row],[1]:[30]],Code25)</f>
        <v>0</v>
      </c>
      <c r="BC79" s="474">
        <f>COUNTIF(PArticipationFevrier1[[#This Row],[1]:[30]],Code27)</f>
        <v>0</v>
      </c>
      <c r="BD79" s="474">
        <f>COUNTIF(PArticipationFevrier1[[#This Row],[1]:[30]],Code28)</f>
        <v>0</v>
      </c>
      <c r="BE79" s="474">
        <f>COUNTIF(PArticipationFevrier1[[#This Row],[1]:[30]],code30)</f>
        <v>0</v>
      </c>
      <c r="BF79" s="474">
        <f>COUNTIF(PArticipationFevrier1[[#This Row],[1]:[30]],Code31)</f>
        <v>0</v>
      </c>
      <c r="BG79" s="474">
        <f>COUNTIF(PArticipationFevrier1[[#This Row],[1]:[30]],code21)</f>
        <v>0</v>
      </c>
      <c r="BH79" s="474">
        <f>COUNTIF(PArticipationFevrier1[[#This Row],[1]:[30]],Code24)</f>
        <v>0</v>
      </c>
      <c r="BI79" s="474">
        <f>COUNTIF(PArticipationFevrier1[[#This Row],[1]:[30]],code18)</f>
        <v>0</v>
      </c>
      <c r="BJ79" s="474">
        <f>COUNTIF(PArticipationFevrier1[[#This Row],[1]:[30]],code19)</f>
        <v>0</v>
      </c>
      <c r="BK79" s="474">
        <f>COUNTIF(PArticipationFevrier1[[#This Row],[1]:[30]],code20)</f>
        <v>0</v>
      </c>
      <c r="BL79" s="476">
        <f>COUNTIF(PArticipationFevrier1[[#This Row],[1]:[30]],code29)</f>
        <v>0</v>
      </c>
      <c r="BM79" s="472"/>
      <c r="BN79" s="472"/>
      <c r="BO79" s="472"/>
      <c r="BP79" s="472"/>
      <c r="BQ79" s="472"/>
      <c r="BR79" s="472"/>
      <c r="BS79" s="472"/>
      <c r="BT79" s="472"/>
      <c r="BU79" s="472"/>
      <c r="BV79" s="472"/>
      <c r="BW79" s="472"/>
      <c r="BX79" s="472"/>
      <c r="BY79" s="472"/>
      <c r="BZ79" s="472"/>
      <c r="CA79" s="472"/>
      <c r="CB79" s="472"/>
      <c r="CC79" s="472"/>
      <c r="CD79" s="472"/>
      <c r="CE79" s="472"/>
      <c r="CF79" s="472"/>
      <c r="CG79" s="472"/>
      <c r="CH79" s="472"/>
      <c r="CI79" s="472"/>
      <c r="CJ79" s="472"/>
      <c r="CK79" s="472"/>
      <c r="CL79" s="472"/>
      <c r="CM79" s="472"/>
      <c r="CN79" s="472"/>
      <c r="CO79" s="472"/>
      <c r="CP79" s="472"/>
      <c r="CQ79" s="472"/>
      <c r="CR79" s="472"/>
      <c r="CS79" s="472"/>
      <c r="CT79" s="472"/>
      <c r="CU79" s="300"/>
      <c r="CV79" s="507">
        <f t="shared" si="5"/>
        <v>0</v>
      </c>
      <c r="CW79" s="531">
        <f t="shared" si="6"/>
        <v>0</v>
      </c>
      <c r="CX79" s="532">
        <f t="shared" si="7"/>
        <v>0</v>
      </c>
      <c r="CY79" s="157">
        <f t="shared" si="4"/>
        <v>0</v>
      </c>
    </row>
    <row r="80" spans="1:103">
      <c r="A80" s="534" t="s">
        <v>421</v>
      </c>
      <c r="B80" s="152" t="str">
        <f>IFERROR(VLOOKUP(PArticipationFevrier1[[#This Row],[Référence]],ListeÉtudiants1[],18,FALSE),"")</f>
        <v>KANTE TIGUIDA</v>
      </c>
      <c r="AF80" s="19"/>
      <c r="AG80" s="478"/>
      <c r="AH80" s="439">
        <f>COUNTIF(PArticipationFevrier1[[#This Row],[1]:[30]],Code1)</f>
        <v>0</v>
      </c>
      <c r="AI80" s="474">
        <f>COUNTIF(PArticipationFevrier1[[#This Row],[1]:[30]],code22)</f>
        <v>0</v>
      </c>
      <c r="AJ80" s="439">
        <f>COUNTIF(PArticipationFevrier1[[#This Row],[1]:[30]],Code2)</f>
        <v>0</v>
      </c>
      <c r="AK80" s="439">
        <f>COUNTIF(PArticipationFevrier1[[#This Row],[1]:[30]],Code3)</f>
        <v>0</v>
      </c>
      <c r="AL80" s="439">
        <f>COUNTIF(PArticipationFevrier1[[#This Row],[1]:[30]],Code4)</f>
        <v>0</v>
      </c>
      <c r="AM80" s="474">
        <f>COUNTIF(PArticipationFevrier1[[#This Row],[1]:[30]],Code5)</f>
        <v>0</v>
      </c>
      <c r="AN80" s="474"/>
      <c r="AO80" s="474">
        <f>COUNTIF(PArticipationFevrier1[[#This Row],[1]:[30]],Code6)</f>
        <v>0</v>
      </c>
      <c r="AP80" s="474">
        <f>COUNTIF(PArticipationFevrier1[[#This Row],[1]:[30]],Code7)</f>
        <v>0</v>
      </c>
      <c r="AQ80" s="474">
        <f>COUNTIF(PArticipationFevrier1[[#This Row],[1]:[30]],Code8)</f>
        <v>0</v>
      </c>
      <c r="AR80" s="474">
        <f>COUNTIF(PArticipationFevrier1[[#This Row],[1]:[30]],Code9)</f>
        <v>0</v>
      </c>
      <c r="AS80" s="474">
        <f>COUNTIF(PArticipationFevrier1[[#This Row],[1]:[30]],Code10)</f>
        <v>0</v>
      </c>
      <c r="AT80" s="474">
        <f>COUNTIF(PArticipationFevrier1[[#This Row],[1]:[30]],Code11)</f>
        <v>0</v>
      </c>
      <c r="AU80" s="474">
        <f>COUNTIF(PArticipationFevrier1[[#This Row],[1]:[30]],Code12)</f>
        <v>0</v>
      </c>
      <c r="AV80" s="474">
        <f>COUNTIF(PArticipationFevrier1[[#This Row],[1]:[30]],Code13)</f>
        <v>0</v>
      </c>
      <c r="AW80" s="474">
        <f>COUNTIF(PArticipationFevrier1[[#This Row],[1]:[30]],Code14)</f>
        <v>0</v>
      </c>
      <c r="AX80" s="474">
        <f>COUNTIF(PArticipationFevrier1[[#This Row],[1]:[30]],Code15)</f>
        <v>0</v>
      </c>
      <c r="AY80" s="474">
        <f>COUNTIF(PArticipationFevrier1[[#This Row],[1]:[30]],Code16)</f>
        <v>0</v>
      </c>
      <c r="AZ80" s="474">
        <f>COUNTIF(PArticipationFevrier1[[#This Row],[1]:[30]],Code17)</f>
        <v>0</v>
      </c>
      <c r="BA80" s="474">
        <f>COUNTIF(PArticipationFevrier1[[#This Row],[1]:[30]],Code26)</f>
        <v>0</v>
      </c>
      <c r="BB80" s="474">
        <f>COUNTIF(PArticipationFevrier1[[#This Row],[1]:[30]],Code25)</f>
        <v>0</v>
      </c>
      <c r="BC80" s="474">
        <f>COUNTIF(PArticipationFevrier1[[#This Row],[1]:[30]],Code27)</f>
        <v>0</v>
      </c>
      <c r="BD80" s="474">
        <f>COUNTIF(PArticipationFevrier1[[#This Row],[1]:[30]],Code28)</f>
        <v>0</v>
      </c>
      <c r="BE80" s="474">
        <f>COUNTIF(PArticipationFevrier1[[#This Row],[1]:[30]],code30)</f>
        <v>0</v>
      </c>
      <c r="BF80" s="474">
        <f>COUNTIF(PArticipationFevrier1[[#This Row],[1]:[30]],Code31)</f>
        <v>0</v>
      </c>
      <c r="BG80" s="474">
        <f>COUNTIF(PArticipationFevrier1[[#This Row],[1]:[30]],code21)</f>
        <v>0</v>
      </c>
      <c r="BH80" s="474">
        <f>COUNTIF(PArticipationFevrier1[[#This Row],[1]:[30]],Code24)</f>
        <v>0</v>
      </c>
      <c r="BI80" s="474">
        <f>COUNTIF(PArticipationFevrier1[[#This Row],[1]:[30]],code18)</f>
        <v>0</v>
      </c>
      <c r="BJ80" s="474">
        <f>COUNTIF(PArticipationFevrier1[[#This Row],[1]:[30]],code19)</f>
        <v>0</v>
      </c>
      <c r="BK80" s="474">
        <f>COUNTIF(PArticipationFevrier1[[#This Row],[1]:[30]],code20)</f>
        <v>0</v>
      </c>
      <c r="BL80" s="476">
        <f>COUNTIF(PArticipationFevrier1[[#This Row],[1]:[30]],code29)</f>
        <v>0</v>
      </c>
      <c r="BM80" s="472"/>
      <c r="BN80" s="472"/>
      <c r="BO80" s="472"/>
      <c r="BP80" s="472"/>
      <c r="BQ80" s="472"/>
      <c r="BR80" s="472"/>
      <c r="BS80" s="472"/>
      <c r="BT80" s="472"/>
      <c r="BU80" s="472"/>
      <c r="BV80" s="472"/>
      <c r="BW80" s="472"/>
      <c r="BX80" s="472"/>
      <c r="BY80" s="472"/>
      <c r="BZ80" s="472"/>
      <c r="CA80" s="472"/>
      <c r="CB80" s="472"/>
      <c r="CC80" s="472"/>
      <c r="CD80" s="472"/>
      <c r="CE80" s="472"/>
      <c r="CF80" s="472"/>
      <c r="CG80" s="472"/>
      <c r="CH80" s="472"/>
      <c r="CI80" s="472"/>
      <c r="CJ80" s="472"/>
      <c r="CK80" s="472"/>
      <c r="CL80" s="472"/>
      <c r="CM80" s="472"/>
      <c r="CN80" s="472"/>
      <c r="CO80" s="472"/>
      <c r="CP80" s="472"/>
      <c r="CQ80" s="472"/>
      <c r="CR80" s="472"/>
      <c r="CS80" s="472"/>
      <c r="CT80" s="472"/>
      <c r="CU80" s="300"/>
      <c r="CV80" s="507">
        <f t="shared" si="5"/>
        <v>0</v>
      </c>
      <c r="CW80" s="531">
        <f t="shared" si="6"/>
        <v>0</v>
      </c>
      <c r="CX80" s="532">
        <f t="shared" si="7"/>
        <v>0</v>
      </c>
      <c r="CY80" s="157">
        <f t="shared" si="4"/>
        <v>0</v>
      </c>
    </row>
    <row r="81" spans="1:103">
      <c r="A81" s="510" t="s">
        <v>422</v>
      </c>
      <c r="B81" s="152" t="str">
        <f>IFERROR(VLOOKUP(PArticipationFevrier1[[#This Row],[Référence]],ListeÉtudiants1[],18,FALSE),"")</f>
        <v>KERMESH NELLY</v>
      </c>
      <c r="AF81" s="19"/>
      <c r="AG81" s="478"/>
      <c r="AH81" s="439">
        <f>COUNTIF(PArticipationFevrier1[[#This Row],[1]:[30]],Code1)</f>
        <v>0</v>
      </c>
      <c r="AI81" s="474">
        <f>COUNTIF(PArticipationFevrier1[[#This Row],[1]:[30]],code22)</f>
        <v>0</v>
      </c>
      <c r="AJ81" s="439">
        <f>COUNTIF(PArticipationFevrier1[[#This Row],[1]:[30]],Code2)</f>
        <v>0</v>
      </c>
      <c r="AK81" s="439">
        <f>COUNTIF(PArticipationFevrier1[[#This Row],[1]:[30]],Code3)</f>
        <v>0</v>
      </c>
      <c r="AL81" s="439">
        <f>COUNTIF(PArticipationFevrier1[[#This Row],[1]:[30]],Code4)</f>
        <v>0</v>
      </c>
      <c r="AM81" s="474">
        <f>COUNTIF(PArticipationFevrier1[[#This Row],[1]:[30]],Code5)</f>
        <v>0</v>
      </c>
      <c r="AN81" s="474"/>
      <c r="AO81" s="474">
        <f>COUNTIF(PArticipationFevrier1[[#This Row],[1]:[30]],Code6)</f>
        <v>0</v>
      </c>
      <c r="AP81" s="474">
        <f>COUNTIF(PArticipationFevrier1[[#This Row],[1]:[30]],Code7)</f>
        <v>0</v>
      </c>
      <c r="AQ81" s="474">
        <f>COUNTIF(PArticipationFevrier1[[#This Row],[1]:[30]],Code8)</f>
        <v>0</v>
      </c>
      <c r="AR81" s="474">
        <f>COUNTIF(PArticipationFevrier1[[#This Row],[1]:[30]],Code9)</f>
        <v>0</v>
      </c>
      <c r="AS81" s="474">
        <f>COUNTIF(PArticipationFevrier1[[#This Row],[1]:[30]],Code10)</f>
        <v>0</v>
      </c>
      <c r="AT81" s="474">
        <f>COUNTIF(PArticipationFevrier1[[#This Row],[1]:[30]],Code11)</f>
        <v>0</v>
      </c>
      <c r="AU81" s="474">
        <f>COUNTIF(PArticipationFevrier1[[#This Row],[1]:[30]],Code12)</f>
        <v>0</v>
      </c>
      <c r="AV81" s="474">
        <f>COUNTIF(PArticipationFevrier1[[#This Row],[1]:[30]],Code13)</f>
        <v>0</v>
      </c>
      <c r="AW81" s="474">
        <f>COUNTIF(PArticipationFevrier1[[#This Row],[1]:[30]],Code14)</f>
        <v>0</v>
      </c>
      <c r="AX81" s="474">
        <f>COUNTIF(PArticipationFevrier1[[#This Row],[1]:[30]],Code15)</f>
        <v>0</v>
      </c>
      <c r="AY81" s="474">
        <f>COUNTIF(PArticipationFevrier1[[#This Row],[1]:[30]],Code16)</f>
        <v>0</v>
      </c>
      <c r="AZ81" s="474">
        <f>COUNTIF(PArticipationFevrier1[[#This Row],[1]:[30]],Code17)</f>
        <v>0</v>
      </c>
      <c r="BA81" s="474">
        <f>COUNTIF(PArticipationFevrier1[[#This Row],[1]:[30]],Code26)</f>
        <v>0</v>
      </c>
      <c r="BB81" s="474">
        <f>COUNTIF(PArticipationFevrier1[[#This Row],[1]:[30]],Code25)</f>
        <v>0</v>
      </c>
      <c r="BC81" s="474">
        <f>COUNTIF(PArticipationFevrier1[[#This Row],[1]:[30]],Code27)</f>
        <v>0</v>
      </c>
      <c r="BD81" s="474">
        <f>COUNTIF(PArticipationFevrier1[[#This Row],[1]:[30]],Code28)</f>
        <v>0</v>
      </c>
      <c r="BE81" s="474">
        <f>COUNTIF(PArticipationFevrier1[[#This Row],[1]:[30]],code30)</f>
        <v>0</v>
      </c>
      <c r="BF81" s="474">
        <f>COUNTIF(PArticipationFevrier1[[#This Row],[1]:[30]],Code31)</f>
        <v>0</v>
      </c>
      <c r="BG81" s="474">
        <f>COUNTIF(PArticipationFevrier1[[#This Row],[1]:[30]],code21)</f>
        <v>0</v>
      </c>
      <c r="BH81" s="474">
        <f>COUNTIF(PArticipationFevrier1[[#This Row],[1]:[30]],Code24)</f>
        <v>0</v>
      </c>
      <c r="BI81" s="474">
        <f>COUNTIF(PArticipationFevrier1[[#This Row],[1]:[30]],code18)</f>
        <v>0</v>
      </c>
      <c r="BJ81" s="474">
        <f>COUNTIF(PArticipationFevrier1[[#This Row],[1]:[30]],code19)</f>
        <v>0</v>
      </c>
      <c r="BK81" s="474">
        <f>COUNTIF(PArticipationFevrier1[[#This Row],[1]:[30]],code20)</f>
        <v>0</v>
      </c>
      <c r="BL81" s="476">
        <f>COUNTIF(PArticipationFevrier1[[#This Row],[1]:[30]],code29)</f>
        <v>0</v>
      </c>
      <c r="BM81" s="472"/>
      <c r="BN81" s="472"/>
      <c r="BO81" s="472"/>
      <c r="BP81" s="472"/>
      <c r="BQ81" s="472"/>
      <c r="BR81" s="472"/>
      <c r="BS81" s="472"/>
      <c r="BT81" s="472"/>
      <c r="BU81" s="472"/>
      <c r="BV81" s="472"/>
      <c r="BW81" s="472"/>
      <c r="BX81" s="472"/>
      <c r="BY81" s="472"/>
      <c r="BZ81" s="472"/>
      <c r="CA81" s="472"/>
      <c r="CB81" s="472"/>
      <c r="CC81" s="472"/>
      <c r="CD81" s="472"/>
      <c r="CE81" s="472"/>
      <c r="CF81" s="472"/>
      <c r="CG81" s="472"/>
      <c r="CH81" s="472"/>
      <c r="CI81" s="472"/>
      <c r="CJ81" s="472"/>
      <c r="CK81" s="472"/>
      <c r="CL81" s="472"/>
      <c r="CM81" s="472"/>
      <c r="CN81" s="472"/>
      <c r="CO81" s="472"/>
      <c r="CP81" s="472"/>
      <c r="CQ81" s="472"/>
      <c r="CR81" s="472"/>
      <c r="CS81" s="472"/>
      <c r="CT81" s="472"/>
      <c r="CU81" s="300"/>
      <c r="CV81" s="507">
        <f t="shared" si="5"/>
        <v>0</v>
      </c>
      <c r="CW81" s="531">
        <f t="shared" si="6"/>
        <v>0</v>
      </c>
      <c r="CX81" s="532">
        <f t="shared" si="7"/>
        <v>0</v>
      </c>
      <c r="CY81" s="157">
        <f t="shared" si="4"/>
        <v>0</v>
      </c>
    </row>
    <row r="82" spans="1:103">
      <c r="A82" s="534" t="s">
        <v>423</v>
      </c>
      <c r="B82" s="152" t="str">
        <f>IFERROR(VLOOKUP(PArticipationFevrier1[[#This Row],[Référence]],ListeÉtudiants1[],18,FALSE),"")</f>
        <v>KESSIE INES</v>
      </c>
      <c r="AF82" s="19"/>
      <c r="AG82" s="478"/>
      <c r="AH82" s="439">
        <f>COUNTIF(PArticipationFevrier1[[#This Row],[1]:[30]],Code1)</f>
        <v>0</v>
      </c>
      <c r="AI82" s="474">
        <f>COUNTIF(PArticipationFevrier1[[#This Row],[1]:[30]],code22)</f>
        <v>0</v>
      </c>
      <c r="AJ82" s="439">
        <f>COUNTIF(PArticipationFevrier1[[#This Row],[1]:[30]],Code2)</f>
        <v>0</v>
      </c>
      <c r="AK82" s="439">
        <f>COUNTIF(PArticipationFevrier1[[#This Row],[1]:[30]],Code3)</f>
        <v>0</v>
      </c>
      <c r="AL82" s="439">
        <f>COUNTIF(PArticipationFevrier1[[#This Row],[1]:[30]],Code4)</f>
        <v>0</v>
      </c>
      <c r="AM82" s="474">
        <f>COUNTIF(PArticipationFevrier1[[#This Row],[1]:[30]],Code5)</f>
        <v>0</v>
      </c>
      <c r="AN82" s="474"/>
      <c r="AO82" s="474">
        <f>COUNTIF(PArticipationFevrier1[[#This Row],[1]:[30]],Code6)</f>
        <v>0</v>
      </c>
      <c r="AP82" s="474">
        <f>COUNTIF(PArticipationFevrier1[[#This Row],[1]:[30]],Code7)</f>
        <v>0</v>
      </c>
      <c r="AQ82" s="474">
        <f>COUNTIF(PArticipationFevrier1[[#This Row],[1]:[30]],Code8)</f>
        <v>0</v>
      </c>
      <c r="AR82" s="474">
        <f>COUNTIF(PArticipationFevrier1[[#This Row],[1]:[30]],Code9)</f>
        <v>0</v>
      </c>
      <c r="AS82" s="474">
        <f>COUNTIF(PArticipationFevrier1[[#This Row],[1]:[30]],Code10)</f>
        <v>0</v>
      </c>
      <c r="AT82" s="474">
        <f>COUNTIF(PArticipationFevrier1[[#This Row],[1]:[30]],Code11)</f>
        <v>0</v>
      </c>
      <c r="AU82" s="474">
        <f>COUNTIF(PArticipationFevrier1[[#This Row],[1]:[30]],Code12)</f>
        <v>0</v>
      </c>
      <c r="AV82" s="474">
        <f>COUNTIF(PArticipationFevrier1[[#This Row],[1]:[30]],Code13)</f>
        <v>0</v>
      </c>
      <c r="AW82" s="474">
        <f>COUNTIF(PArticipationFevrier1[[#This Row],[1]:[30]],Code14)</f>
        <v>0</v>
      </c>
      <c r="AX82" s="474">
        <f>COUNTIF(PArticipationFevrier1[[#This Row],[1]:[30]],Code15)</f>
        <v>0</v>
      </c>
      <c r="AY82" s="474">
        <f>COUNTIF(PArticipationFevrier1[[#This Row],[1]:[30]],Code16)</f>
        <v>0</v>
      </c>
      <c r="AZ82" s="474">
        <f>COUNTIF(PArticipationFevrier1[[#This Row],[1]:[30]],Code17)</f>
        <v>0</v>
      </c>
      <c r="BA82" s="474">
        <f>COUNTIF(PArticipationFevrier1[[#This Row],[1]:[30]],Code26)</f>
        <v>0</v>
      </c>
      <c r="BB82" s="474">
        <f>COUNTIF(PArticipationFevrier1[[#This Row],[1]:[30]],Code25)</f>
        <v>0</v>
      </c>
      <c r="BC82" s="474">
        <f>COUNTIF(PArticipationFevrier1[[#This Row],[1]:[30]],Code27)</f>
        <v>0</v>
      </c>
      <c r="BD82" s="474">
        <f>COUNTIF(PArticipationFevrier1[[#This Row],[1]:[30]],Code28)</f>
        <v>0</v>
      </c>
      <c r="BE82" s="474">
        <f>COUNTIF(PArticipationFevrier1[[#This Row],[1]:[30]],code30)</f>
        <v>0</v>
      </c>
      <c r="BF82" s="474">
        <f>COUNTIF(PArticipationFevrier1[[#This Row],[1]:[30]],Code31)</f>
        <v>0</v>
      </c>
      <c r="BG82" s="474">
        <f>COUNTIF(PArticipationFevrier1[[#This Row],[1]:[30]],code21)</f>
        <v>0</v>
      </c>
      <c r="BH82" s="474">
        <f>COUNTIF(PArticipationFevrier1[[#This Row],[1]:[30]],Code24)</f>
        <v>0</v>
      </c>
      <c r="BI82" s="474">
        <f>COUNTIF(PArticipationFevrier1[[#This Row],[1]:[30]],code18)</f>
        <v>0</v>
      </c>
      <c r="BJ82" s="474">
        <f>COUNTIF(PArticipationFevrier1[[#This Row],[1]:[30]],code19)</f>
        <v>0</v>
      </c>
      <c r="BK82" s="474">
        <f>COUNTIF(PArticipationFevrier1[[#This Row],[1]:[30]],code20)</f>
        <v>0</v>
      </c>
      <c r="BL82" s="476">
        <f>COUNTIF(PArticipationFevrier1[[#This Row],[1]:[30]],code29)</f>
        <v>0</v>
      </c>
      <c r="BM82" s="472"/>
      <c r="BN82" s="472"/>
      <c r="BO82" s="472"/>
      <c r="BP82" s="472"/>
      <c r="BQ82" s="472"/>
      <c r="BR82" s="472"/>
      <c r="BS82" s="472"/>
      <c r="BT82" s="472"/>
      <c r="BU82" s="472"/>
      <c r="BV82" s="472"/>
      <c r="BW82" s="472"/>
      <c r="BX82" s="472"/>
      <c r="BY82" s="472"/>
      <c r="BZ82" s="472"/>
      <c r="CA82" s="472"/>
      <c r="CB82" s="472"/>
      <c r="CC82" s="472"/>
      <c r="CD82" s="472"/>
      <c r="CE82" s="472"/>
      <c r="CF82" s="472"/>
      <c r="CG82" s="472"/>
      <c r="CH82" s="472"/>
      <c r="CI82" s="472"/>
      <c r="CJ82" s="472"/>
      <c r="CK82" s="472"/>
      <c r="CL82" s="472"/>
      <c r="CM82" s="472"/>
      <c r="CN82" s="472"/>
      <c r="CO82" s="472"/>
      <c r="CP82" s="472"/>
      <c r="CQ82" s="472"/>
      <c r="CR82" s="472"/>
      <c r="CS82" s="472"/>
      <c r="CT82" s="472"/>
      <c r="CU82" s="300"/>
      <c r="CV82" s="507">
        <f t="shared" si="5"/>
        <v>0</v>
      </c>
      <c r="CW82" s="531">
        <f t="shared" si="6"/>
        <v>0</v>
      </c>
      <c r="CX82" s="532">
        <f t="shared" si="7"/>
        <v>0</v>
      </c>
      <c r="CY82" s="157">
        <f t="shared" si="4"/>
        <v>0</v>
      </c>
    </row>
    <row r="83" spans="1:103">
      <c r="A83" s="534" t="s">
        <v>424</v>
      </c>
      <c r="B83" s="152" t="str">
        <f>IFERROR(VLOOKUP(PArticipationFevrier1[[#This Row],[Référence]],ListeÉtudiants1[],18,FALSE),"")</f>
        <v>KIFIA ALI HILDA</v>
      </c>
      <c r="AF83" s="19"/>
      <c r="AG83" s="478"/>
      <c r="AH83" s="439">
        <f>COUNTIF(PArticipationFevrier1[[#This Row],[1]:[30]],Code1)</f>
        <v>0</v>
      </c>
      <c r="AI83" s="474">
        <f>COUNTIF(PArticipationFevrier1[[#This Row],[1]:[30]],code22)</f>
        <v>0</v>
      </c>
      <c r="AJ83" s="439">
        <f>COUNTIF(PArticipationFevrier1[[#This Row],[1]:[30]],Code2)</f>
        <v>0</v>
      </c>
      <c r="AK83" s="439">
        <f>COUNTIF(PArticipationFevrier1[[#This Row],[1]:[30]],Code3)</f>
        <v>0</v>
      </c>
      <c r="AL83" s="439">
        <f>COUNTIF(PArticipationFevrier1[[#This Row],[1]:[30]],Code4)</f>
        <v>0</v>
      </c>
      <c r="AM83" s="474">
        <f>COUNTIF(PArticipationFevrier1[[#This Row],[1]:[30]],Code5)</f>
        <v>0</v>
      </c>
      <c r="AN83" s="474"/>
      <c r="AO83" s="474">
        <f>COUNTIF(PArticipationFevrier1[[#This Row],[1]:[30]],Code6)</f>
        <v>0</v>
      </c>
      <c r="AP83" s="474">
        <f>COUNTIF(PArticipationFevrier1[[#This Row],[1]:[30]],Code7)</f>
        <v>0</v>
      </c>
      <c r="AQ83" s="474">
        <f>COUNTIF(PArticipationFevrier1[[#This Row],[1]:[30]],Code8)</f>
        <v>0</v>
      </c>
      <c r="AR83" s="474">
        <f>COUNTIF(PArticipationFevrier1[[#This Row],[1]:[30]],Code9)</f>
        <v>0</v>
      </c>
      <c r="AS83" s="474">
        <f>COUNTIF(PArticipationFevrier1[[#This Row],[1]:[30]],Code10)</f>
        <v>0</v>
      </c>
      <c r="AT83" s="474">
        <f>COUNTIF(PArticipationFevrier1[[#This Row],[1]:[30]],Code11)</f>
        <v>0</v>
      </c>
      <c r="AU83" s="474">
        <f>COUNTIF(PArticipationFevrier1[[#This Row],[1]:[30]],Code12)</f>
        <v>0</v>
      </c>
      <c r="AV83" s="474">
        <f>COUNTIF(PArticipationFevrier1[[#This Row],[1]:[30]],Code13)</f>
        <v>0</v>
      </c>
      <c r="AW83" s="474">
        <f>COUNTIF(PArticipationFevrier1[[#This Row],[1]:[30]],Code14)</f>
        <v>0</v>
      </c>
      <c r="AX83" s="474">
        <f>COUNTIF(PArticipationFevrier1[[#This Row],[1]:[30]],Code15)</f>
        <v>0</v>
      </c>
      <c r="AY83" s="474">
        <f>COUNTIF(PArticipationFevrier1[[#This Row],[1]:[30]],Code16)</f>
        <v>0</v>
      </c>
      <c r="AZ83" s="474">
        <f>COUNTIF(PArticipationFevrier1[[#This Row],[1]:[30]],Code17)</f>
        <v>0</v>
      </c>
      <c r="BA83" s="474">
        <f>COUNTIF(PArticipationFevrier1[[#This Row],[1]:[30]],Code26)</f>
        <v>0</v>
      </c>
      <c r="BB83" s="474">
        <f>COUNTIF(PArticipationFevrier1[[#This Row],[1]:[30]],Code25)</f>
        <v>0</v>
      </c>
      <c r="BC83" s="474">
        <f>COUNTIF(PArticipationFevrier1[[#This Row],[1]:[30]],Code27)</f>
        <v>0</v>
      </c>
      <c r="BD83" s="474">
        <f>COUNTIF(PArticipationFevrier1[[#This Row],[1]:[30]],Code28)</f>
        <v>0</v>
      </c>
      <c r="BE83" s="474">
        <f>COUNTIF(PArticipationFevrier1[[#This Row],[1]:[30]],code30)</f>
        <v>0</v>
      </c>
      <c r="BF83" s="474">
        <f>COUNTIF(PArticipationFevrier1[[#This Row],[1]:[30]],Code31)</f>
        <v>0</v>
      </c>
      <c r="BG83" s="474">
        <f>COUNTIF(PArticipationFevrier1[[#This Row],[1]:[30]],code21)</f>
        <v>0</v>
      </c>
      <c r="BH83" s="474">
        <f>COUNTIF(PArticipationFevrier1[[#This Row],[1]:[30]],Code24)</f>
        <v>0</v>
      </c>
      <c r="BI83" s="474">
        <f>COUNTIF(PArticipationFevrier1[[#This Row],[1]:[30]],code18)</f>
        <v>0</v>
      </c>
      <c r="BJ83" s="474">
        <f>COUNTIF(PArticipationFevrier1[[#This Row],[1]:[30]],code19)</f>
        <v>0</v>
      </c>
      <c r="BK83" s="474">
        <f>COUNTIF(PArticipationFevrier1[[#This Row],[1]:[30]],code20)</f>
        <v>0</v>
      </c>
      <c r="BL83" s="476">
        <f>COUNTIF(PArticipationFevrier1[[#This Row],[1]:[30]],code29)</f>
        <v>0</v>
      </c>
      <c r="BM83" s="472"/>
      <c r="BN83" s="472"/>
      <c r="BO83" s="472"/>
      <c r="BP83" s="472"/>
      <c r="BQ83" s="472"/>
      <c r="BR83" s="472"/>
      <c r="BS83" s="472"/>
      <c r="BT83" s="472"/>
      <c r="BU83" s="472"/>
      <c r="BV83" s="472"/>
      <c r="BW83" s="472"/>
      <c r="BX83" s="472"/>
      <c r="BY83" s="472"/>
      <c r="BZ83" s="472"/>
      <c r="CA83" s="472"/>
      <c r="CB83" s="472"/>
      <c r="CC83" s="472"/>
      <c r="CD83" s="472"/>
      <c r="CE83" s="472"/>
      <c r="CF83" s="472"/>
      <c r="CG83" s="472"/>
      <c r="CH83" s="472"/>
      <c r="CI83" s="472"/>
      <c r="CJ83" s="472"/>
      <c r="CK83" s="472"/>
      <c r="CL83" s="472"/>
      <c r="CM83" s="472"/>
      <c r="CN83" s="472"/>
      <c r="CO83" s="472"/>
      <c r="CP83" s="472"/>
      <c r="CQ83" s="472"/>
      <c r="CR83" s="472"/>
      <c r="CS83" s="472"/>
      <c r="CT83" s="472"/>
      <c r="CU83" s="300"/>
      <c r="CV83" s="507">
        <f t="shared" si="5"/>
        <v>0</v>
      </c>
      <c r="CW83" s="531">
        <f t="shared" si="6"/>
        <v>0</v>
      </c>
      <c r="CX83" s="532">
        <f t="shared" si="7"/>
        <v>0</v>
      </c>
      <c r="CY83" s="157">
        <f t="shared" si="4"/>
        <v>0</v>
      </c>
    </row>
    <row r="84" spans="1:103">
      <c r="A84" s="534" t="s">
        <v>425</v>
      </c>
      <c r="B84" s="152" t="str">
        <f>IFERROR(VLOOKUP(PArticipationFevrier1[[#This Row],[Référence]],ListeÉtudiants1[],18,FALSE),"")</f>
        <v>KONATE FATOUMATA</v>
      </c>
      <c r="AF84" s="19"/>
      <c r="AG84" s="478"/>
      <c r="AH84" s="439">
        <f>COUNTIF(PArticipationFevrier1[[#This Row],[1]:[30]],Code1)</f>
        <v>0</v>
      </c>
      <c r="AI84" s="474">
        <f>COUNTIF(PArticipationFevrier1[[#This Row],[1]:[30]],code22)</f>
        <v>0</v>
      </c>
      <c r="AJ84" s="439">
        <f>COUNTIF(PArticipationFevrier1[[#This Row],[1]:[30]],Code2)</f>
        <v>0</v>
      </c>
      <c r="AK84" s="439">
        <f>COUNTIF(PArticipationFevrier1[[#This Row],[1]:[30]],Code3)</f>
        <v>0</v>
      </c>
      <c r="AL84" s="439">
        <f>COUNTIF(PArticipationFevrier1[[#This Row],[1]:[30]],Code4)</f>
        <v>0</v>
      </c>
      <c r="AM84" s="474">
        <f>COUNTIF(PArticipationFevrier1[[#This Row],[1]:[30]],Code5)</f>
        <v>0</v>
      </c>
      <c r="AN84" s="474"/>
      <c r="AO84" s="474">
        <f>COUNTIF(PArticipationFevrier1[[#This Row],[1]:[30]],Code6)</f>
        <v>0</v>
      </c>
      <c r="AP84" s="474">
        <f>COUNTIF(PArticipationFevrier1[[#This Row],[1]:[30]],Code7)</f>
        <v>0</v>
      </c>
      <c r="AQ84" s="474">
        <f>COUNTIF(PArticipationFevrier1[[#This Row],[1]:[30]],Code8)</f>
        <v>0</v>
      </c>
      <c r="AR84" s="474">
        <f>COUNTIF(PArticipationFevrier1[[#This Row],[1]:[30]],Code9)</f>
        <v>0</v>
      </c>
      <c r="AS84" s="474">
        <f>COUNTIF(PArticipationFevrier1[[#This Row],[1]:[30]],Code10)</f>
        <v>0</v>
      </c>
      <c r="AT84" s="474">
        <f>COUNTIF(PArticipationFevrier1[[#This Row],[1]:[30]],Code11)</f>
        <v>0</v>
      </c>
      <c r="AU84" s="474">
        <f>COUNTIF(PArticipationFevrier1[[#This Row],[1]:[30]],Code12)</f>
        <v>0</v>
      </c>
      <c r="AV84" s="474">
        <f>COUNTIF(PArticipationFevrier1[[#This Row],[1]:[30]],Code13)</f>
        <v>0</v>
      </c>
      <c r="AW84" s="474">
        <f>COUNTIF(PArticipationFevrier1[[#This Row],[1]:[30]],Code14)</f>
        <v>0</v>
      </c>
      <c r="AX84" s="474">
        <f>COUNTIF(PArticipationFevrier1[[#This Row],[1]:[30]],Code15)</f>
        <v>0</v>
      </c>
      <c r="AY84" s="474">
        <f>COUNTIF(PArticipationFevrier1[[#This Row],[1]:[30]],Code16)</f>
        <v>0</v>
      </c>
      <c r="AZ84" s="474">
        <f>COUNTIF(PArticipationFevrier1[[#This Row],[1]:[30]],Code17)</f>
        <v>0</v>
      </c>
      <c r="BA84" s="474">
        <f>COUNTIF(PArticipationFevrier1[[#This Row],[1]:[30]],Code26)</f>
        <v>0</v>
      </c>
      <c r="BB84" s="474">
        <f>COUNTIF(PArticipationFevrier1[[#This Row],[1]:[30]],Code25)</f>
        <v>0</v>
      </c>
      <c r="BC84" s="474">
        <f>COUNTIF(PArticipationFevrier1[[#This Row],[1]:[30]],Code27)</f>
        <v>0</v>
      </c>
      <c r="BD84" s="474">
        <f>COUNTIF(PArticipationFevrier1[[#This Row],[1]:[30]],Code28)</f>
        <v>0</v>
      </c>
      <c r="BE84" s="474">
        <f>COUNTIF(PArticipationFevrier1[[#This Row],[1]:[30]],code30)</f>
        <v>0</v>
      </c>
      <c r="BF84" s="474">
        <f>COUNTIF(PArticipationFevrier1[[#This Row],[1]:[30]],Code31)</f>
        <v>0</v>
      </c>
      <c r="BG84" s="474">
        <f>COUNTIF(PArticipationFevrier1[[#This Row],[1]:[30]],code21)</f>
        <v>0</v>
      </c>
      <c r="BH84" s="474">
        <f>COUNTIF(PArticipationFevrier1[[#This Row],[1]:[30]],Code24)</f>
        <v>0</v>
      </c>
      <c r="BI84" s="474">
        <f>COUNTIF(PArticipationFevrier1[[#This Row],[1]:[30]],code18)</f>
        <v>0</v>
      </c>
      <c r="BJ84" s="474">
        <f>COUNTIF(PArticipationFevrier1[[#This Row],[1]:[30]],code19)</f>
        <v>0</v>
      </c>
      <c r="BK84" s="474">
        <f>COUNTIF(PArticipationFevrier1[[#This Row],[1]:[30]],code20)</f>
        <v>0</v>
      </c>
      <c r="BL84" s="476">
        <f>COUNTIF(PArticipationFevrier1[[#This Row],[1]:[30]],code29)</f>
        <v>0</v>
      </c>
      <c r="BM84" s="472"/>
      <c r="BN84" s="472"/>
      <c r="BO84" s="472"/>
      <c r="BP84" s="472"/>
      <c r="BQ84" s="472"/>
      <c r="BR84" s="472"/>
      <c r="BS84" s="472"/>
      <c r="BT84" s="472"/>
      <c r="BU84" s="472"/>
      <c r="BV84" s="472"/>
      <c r="BW84" s="472"/>
      <c r="BX84" s="472"/>
      <c r="BY84" s="472"/>
      <c r="BZ84" s="472"/>
      <c r="CA84" s="472"/>
      <c r="CB84" s="472"/>
      <c r="CC84" s="472"/>
      <c r="CD84" s="472"/>
      <c r="CE84" s="472"/>
      <c r="CF84" s="472"/>
      <c r="CG84" s="472"/>
      <c r="CH84" s="472"/>
      <c r="CI84" s="472"/>
      <c r="CJ84" s="472"/>
      <c r="CK84" s="472"/>
      <c r="CL84" s="472"/>
      <c r="CM84" s="472"/>
      <c r="CN84" s="472"/>
      <c r="CO84" s="472"/>
      <c r="CP84" s="472"/>
      <c r="CQ84" s="472"/>
      <c r="CR84" s="472"/>
      <c r="CS84" s="472"/>
      <c r="CT84" s="472"/>
      <c r="CU84" s="300"/>
      <c r="CV84" s="507">
        <f t="shared" si="5"/>
        <v>0</v>
      </c>
      <c r="CW84" s="531">
        <f t="shared" si="6"/>
        <v>0</v>
      </c>
      <c r="CX84" s="532">
        <f t="shared" si="7"/>
        <v>0</v>
      </c>
      <c r="CY84" s="157">
        <f t="shared" si="4"/>
        <v>0</v>
      </c>
    </row>
    <row r="85" spans="1:103">
      <c r="A85" s="510" t="s">
        <v>426</v>
      </c>
      <c r="B85" s="152" t="str">
        <f>IFERROR(VLOOKUP(PArticipationFevrier1[[#This Row],[Référence]],ListeÉtudiants1[],18,FALSE),"")</f>
        <v>KRIR DINA</v>
      </c>
      <c r="AF85" s="19"/>
      <c r="AG85" s="478"/>
      <c r="AH85" s="439">
        <f>COUNTIF(PArticipationFevrier1[[#This Row],[1]:[30]],Code1)</f>
        <v>0</v>
      </c>
      <c r="AI85" s="474">
        <f>COUNTIF(PArticipationFevrier1[[#This Row],[1]:[30]],code22)</f>
        <v>0</v>
      </c>
      <c r="AJ85" s="439">
        <f>COUNTIF(PArticipationFevrier1[[#This Row],[1]:[30]],Code2)</f>
        <v>0</v>
      </c>
      <c r="AK85" s="439">
        <f>COUNTIF(PArticipationFevrier1[[#This Row],[1]:[30]],Code3)</f>
        <v>0</v>
      </c>
      <c r="AL85" s="439">
        <f>COUNTIF(PArticipationFevrier1[[#This Row],[1]:[30]],Code4)</f>
        <v>0</v>
      </c>
      <c r="AM85" s="474">
        <f>COUNTIF(PArticipationFevrier1[[#This Row],[1]:[30]],Code5)</f>
        <v>0</v>
      </c>
      <c r="AN85" s="474"/>
      <c r="AO85" s="474">
        <f>COUNTIF(PArticipationFevrier1[[#This Row],[1]:[30]],Code6)</f>
        <v>0</v>
      </c>
      <c r="AP85" s="474">
        <f>COUNTIF(PArticipationFevrier1[[#This Row],[1]:[30]],Code7)</f>
        <v>0</v>
      </c>
      <c r="AQ85" s="474">
        <f>COUNTIF(PArticipationFevrier1[[#This Row],[1]:[30]],Code8)</f>
        <v>0</v>
      </c>
      <c r="AR85" s="474">
        <f>COUNTIF(PArticipationFevrier1[[#This Row],[1]:[30]],Code9)</f>
        <v>0</v>
      </c>
      <c r="AS85" s="474">
        <f>COUNTIF(PArticipationFevrier1[[#This Row],[1]:[30]],Code10)</f>
        <v>0</v>
      </c>
      <c r="AT85" s="474">
        <f>COUNTIF(PArticipationFevrier1[[#This Row],[1]:[30]],Code11)</f>
        <v>0</v>
      </c>
      <c r="AU85" s="474">
        <f>COUNTIF(PArticipationFevrier1[[#This Row],[1]:[30]],Code12)</f>
        <v>0</v>
      </c>
      <c r="AV85" s="474">
        <f>COUNTIF(PArticipationFevrier1[[#This Row],[1]:[30]],Code13)</f>
        <v>0</v>
      </c>
      <c r="AW85" s="474">
        <f>COUNTIF(PArticipationFevrier1[[#This Row],[1]:[30]],Code14)</f>
        <v>0</v>
      </c>
      <c r="AX85" s="474">
        <f>COUNTIF(PArticipationFevrier1[[#This Row],[1]:[30]],Code15)</f>
        <v>0</v>
      </c>
      <c r="AY85" s="474">
        <f>COUNTIF(PArticipationFevrier1[[#This Row],[1]:[30]],Code16)</f>
        <v>0</v>
      </c>
      <c r="AZ85" s="474">
        <f>COUNTIF(PArticipationFevrier1[[#This Row],[1]:[30]],Code17)</f>
        <v>0</v>
      </c>
      <c r="BA85" s="474">
        <f>COUNTIF(PArticipationFevrier1[[#This Row],[1]:[30]],Code26)</f>
        <v>0</v>
      </c>
      <c r="BB85" s="474">
        <f>COUNTIF(PArticipationFevrier1[[#This Row],[1]:[30]],Code25)</f>
        <v>0</v>
      </c>
      <c r="BC85" s="474">
        <f>COUNTIF(PArticipationFevrier1[[#This Row],[1]:[30]],Code27)</f>
        <v>0</v>
      </c>
      <c r="BD85" s="474">
        <f>COUNTIF(PArticipationFevrier1[[#This Row],[1]:[30]],Code28)</f>
        <v>0</v>
      </c>
      <c r="BE85" s="474">
        <f>COUNTIF(PArticipationFevrier1[[#This Row],[1]:[30]],code30)</f>
        <v>0</v>
      </c>
      <c r="BF85" s="474">
        <f>COUNTIF(PArticipationFevrier1[[#This Row],[1]:[30]],Code31)</f>
        <v>0</v>
      </c>
      <c r="BG85" s="474">
        <f>COUNTIF(PArticipationFevrier1[[#This Row],[1]:[30]],code21)</f>
        <v>0</v>
      </c>
      <c r="BH85" s="474">
        <f>COUNTIF(PArticipationFevrier1[[#This Row],[1]:[30]],Code24)</f>
        <v>0</v>
      </c>
      <c r="BI85" s="474">
        <f>COUNTIF(PArticipationFevrier1[[#This Row],[1]:[30]],code18)</f>
        <v>0</v>
      </c>
      <c r="BJ85" s="474">
        <f>COUNTIF(PArticipationFevrier1[[#This Row],[1]:[30]],code19)</f>
        <v>0</v>
      </c>
      <c r="BK85" s="474">
        <f>COUNTIF(PArticipationFevrier1[[#This Row],[1]:[30]],code20)</f>
        <v>0</v>
      </c>
      <c r="BL85" s="476">
        <f>COUNTIF(PArticipationFevrier1[[#This Row],[1]:[30]],code29)</f>
        <v>0</v>
      </c>
      <c r="BM85" s="472"/>
      <c r="BN85" s="472"/>
      <c r="BO85" s="472"/>
      <c r="BP85" s="472"/>
      <c r="BQ85" s="472"/>
      <c r="BR85" s="472"/>
      <c r="BS85" s="472"/>
      <c r="BT85" s="472"/>
      <c r="BU85" s="472"/>
      <c r="BV85" s="472"/>
      <c r="BW85" s="472"/>
      <c r="BX85" s="472"/>
      <c r="BY85" s="472"/>
      <c r="BZ85" s="472"/>
      <c r="CA85" s="472"/>
      <c r="CB85" s="472"/>
      <c r="CC85" s="472"/>
      <c r="CD85" s="472"/>
      <c r="CE85" s="472"/>
      <c r="CF85" s="472"/>
      <c r="CG85" s="472"/>
      <c r="CH85" s="472"/>
      <c r="CI85" s="472"/>
      <c r="CJ85" s="472"/>
      <c r="CK85" s="472"/>
      <c r="CL85" s="472"/>
      <c r="CM85" s="472"/>
      <c r="CN85" s="472"/>
      <c r="CO85" s="472"/>
      <c r="CP85" s="472"/>
      <c r="CQ85" s="472"/>
      <c r="CR85" s="472"/>
      <c r="CS85" s="472"/>
      <c r="CT85" s="472"/>
      <c r="CU85" s="300"/>
      <c r="CV85" s="507">
        <f t="shared" si="5"/>
        <v>0</v>
      </c>
      <c r="CW85" s="531">
        <f t="shared" si="6"/>
        <v>0</v>
      </c>
      <c r="CX85" s="532">
        <f t="shared" si="7"/>
        <v>0</v>
      </c>
      <c r="CY85" s="157">
        <f t="shared" si="4"/>
        <v>0</v>
      </c>
    </row>
    <row r="86" spans="1:103">
      <c r="A86" s="510" t="s">
        <v>427</v>
      </c>
      <c r="B86" s="152" t="str">
        <f>IFERROR(VLOOKUP(PArticipationFevrier1[[#This Row],[Référence]],ListeÉtudiants1[],18,FALSE),"")</f>
        <v>LACROIX LORRY</v>
      </c>
      <c r="AF86" s="19"/>
      <c r="AG86" s="478"/>
      <c r="AH86" s="439">
        <f>COUNTIF(PArticipationFevrier1[[#This Row],[1]:[30]],Code1)</f>
        <v>0</v>
      </c>
      <c r="AI86" s="474">
        <f>COUNTIF(PArticipationFevrier1[[#This Row],[1]:[30]],code22)</f>
        <v>0</v>
      </c>
      <c r="AJ86" s="439">
        <f>COUNTIF(PArticipationFevrier1[[#This Row],[1]:[30]],Code2)</f>
        <v>0</v>
      </c>
      <c r="AK86" s="439">
        <f>COUNTIF(PArticipationFevrier1[[#This Row],[1]:[30]],Code3)</f>
        <v>0</v>
      </c>
      <c r="AL86" s="439">
        <f>COUNTIF(PArticipationFevrier1[[#This Row],[1]:[30]],Code4)</f>
        <v>0</v>
      </c>
      <c r="AM86" s="474">
        <f>COUNTIF(PArticipationFevrier1[[#This Row],[1]:[30]],Code5)</f>
        <v>0</v>
      </c>
      <c r="AN86" s="474"/>
      <c r="AO86" s="474">
        <f>COUNTIF(PArticipationFevrier1[[#This Row],[1]:[30]],Code6)</f>
        <v>0</v>
      </c>
      <c r="AP86" s="474">
        <f>COUNTIF(PArticipationFevrier1[[#This Row],[1]:[30]],Code7)</f>
        <v>0</v>
      </c>
      <c r="AQ86" s="474">
        <f>COUNTIF(PArticipationFevrier1[[#This Row],[1]:[30]],Code8)</f>
        <v>0</v>
      </c>
      <c r="AR86" s="474">
        <f>COUNTIF(PArticipationFevrier1[[#This Row],[1]:[30]],Code9)</f>
        <v>0</v>
      </c>
      <c r="AS86" s="474">
        <f>COUNTIF(PArticipationFevrier1[[#This Row],[1]:[30]],Code10)</f>
        <v>0</v>
      </c>
      <c r="AT86" s="474">
        <f>COUNTIF(PArticipationFevrier1[[#This Row],[1]:[30]],Code11)</f>
        <v>0</v>
      </c>
      <c r="AU86" s="474">
        <f>COUNTIF(PArticipationFevrier1[[#This Row],[1]:[30]],Code12)</f>
        <v>0</v>
      </c>
      <c r="AV86" s="474">
        <f>COUNTIF(PArticipationFevrier1[[#This Row],[1]:[30]],Code13)</f>
        <v>0</v>
      </c>
      <c r="AW86" s="474">
        <f>COUNTIF(PArticipationFevrier1[[#This Row],[1]:[30]],Code14)</f>
        <v>0</v>
      </c>
      <c r="AX86" s="474">
        <f>COUNTIF(PArticipationFevrier1[[#This Row],[1]:[30]],Code15)</f>
        <v>0</v>
      </c>
      <c r="AY86" s="474">
        <f>COUNTIF(PArticipationFevrier1[[#This Row],[1]:[30]],Code16)</f>
        <v>0</v>
      </c>
      <c r="AZ86" s="474">
        <f>COUNTIF(PArticipationFevrier1[[#This Row],[1]:[30]],Code17)</f>
        <v>0</v>
      </c>
      <c r="BA86" s="474">
        <f>COUNTIF(PArticipationFevrier1[[#This Row],[1]:[30]],Code26)</f>
        <v>0</v>
      </c>
      <c r="BB86" s="474">
        <f>COUNTIF(PArticipationFevrier1[[#This Row],[1]:[30]],Code25)</f>
        <v>0</v>
      </c>
      <c r="BC86" s="474">
        <f>COUNTIF(PArticipationFevrier1[[#This Row],[1]:[30]],Code27)</f>
        <v>0</v>
      </c>
      <c r="BD86" s="474">
        <f>COUNTIF(PArticipationFevrier1[[#This Row],[1]:[30]],Code28)</f>
        <v>0</v>
      </c>
      <c r="BE86" s="474">
        <f>COUNTIF(PArticipationFevrier1[[#This Row],[1]:[30]],code30)</f>
        <v>0</v>
      </c>
      <c r="BF86" s="474">
        <f>COUNTIF(PArticipationFevrier1[[#This Row],[1]:[30]],Code31)</f>
        <v>0</v>
      </c>
      <c r="BG86" s="474">
        <f>COUNTIF(PArticipationFevrier1[[#This Row],[1]:[30]],code21)</f>
        <v>0</v>
      </c>
      <c r="BH86" s="474">
        <f>COUNTIF(PArticipationFevrier1[[#This Row],[1]:[30]],Code24)</f>
        <v>0</v>
      </c>
      <c r="BI86" s="474">
        <f>COUNTIF(PArticipationFevrier1[[#This Row],[1]:[30]],code18)</f>
        <v>0</v>
      </c>
      <c r="BJ86" s="474">
        <f>COUNTIF(PArticipationFevrier1[[#This Row],[1]:[30]],code19)</f>
        <v>0</v>
      </c>
      <c r="BK86" s="474">
        <f>COUNTIF(PArticipationFevrier1[[#This Row],[1]:[30]],code20)</f>
        <v>0</v>
      </c>
      <c r="BL86" s="476">
        <f>COUNTIF(PArticipationFevrier1[[#This Row],[1]:[30]],code29)</f>
        <v>0</v>
      </c>
      <c r="BM86" s="472"/>
      <c r="BN86" s="472"/>
      <c r="BO86" s="472"/>
      <c r="BP86" s="472"/>
      <c r="BQ86" s="472"/>
      <c r="BR86" s="472"/>
      <c r="BS86" s="472"/>
      <c r="BT86" s="472"/>
      <c r="BU86" s="472"/>
      <c r="BV86" s="472"/>
      <c r="BW86" s="472"/>
      <c r="BX86" s="472"/>
      <c r="BY86" s="472"/>
      <c r="BZ86" s="472"/>
      <c r="CA86" s="472"/>
      <c r="CB86" s="472"/>
      <c r="CC86" s="472"/>
      <c r="CD86" s="472"/>
      <c r="CE86" s="472"/>
      <c r="CF86" s="472"/>
      <c r="CG86" s="472"/>
      <c r="CH86" s="472"/>
      <c r="CI86" s="472"/>
      <c r="CJ86" s="472"/>
      <c r="CK86" s="472"/>
      <c r="CL86" s="472"/>
      <c r="CM86" s="472"/>
      <c r="CN86" s="472"/>
      <c r="CO86" s="472"/>
      <c r="CP86" s="472"/>
      <c r="CQ86" s="472"/>
      <c r="CR86" s="472"/>
      <c r="CS86" s="472"/>
      <c r="CT86" s="472"/>
      <c r="CU86" s="300"/>
      <c r="CV86" s="507">
        <f t="shared" si="5"/>
        <v>0</v>
      </c>
      <c r="CW86" s="531">
        <f t="shared" si="6"/>
        <v>0</v>
      </c>
      <c r="CX86" s="532">
        <f t="shared" si="7"/>
        <v>0</v>
      </c>
      <c r="CY86" s="157">
        <f t="shared" si="4"/>
        <v>0</v>
      </c>
    </row>
    <row r="87" spans="1:103">
      <c r="A87" s="534" t="s">
        <v>428</v>
      </c>
      <c r="B87" s="152" t="str">
        <f>IFERROR(VLOOKUP(PArticipationFevrier1[[#This Row],[Référence]],ListeÉtudiants1[],18,FALSE),"")</f>
        <v>LADERVAL TATIANA</v>
      </c>
      <c r="AF87" s="19"/>
      <c r="AG87" s="478"/>
      <c r="AH87" s="439">
        <f>COUNTIF(PArticipationFevrier1[[#This Row],[1]:[30]],Code1)</f>
        <v>0</v>
      </c>
      <c r="AI87" s="474">
        <f>COUNTIF(PArticipationFevrier1[[#This Row],[1]:[30]],code22)</f>
        <v>0</v>
      </c>
      <c r="AJ87" s="439">
        <f>COUNTIF(PArticipationFevrier1[[#This Row],[1]:[30]],Code2)</f>
        <v>0</v>
      </c>
      <c r="AK87" s="439">
        <f>COUNTIF(PArticipationFevrier1[[#This Row],[1]:[30]],Code3)</f>
        <v>0</v>
      </c>
      <c r="AL87" s="439">
        <f>COUNTIF(PArticipationFevrier1[[#This Row],[1]:[30]],Code4)</f>
        <v>0</v>
      </c>
      <c r="AM87" s="474">
        <f>COUNTIF(PArticipationFevrier1[[#This Row],[1]:[30]],Code5)</f>
        <v>0</v>
      </c>
      <c r="AN87" s="474"/>
      <c r="AO87" s="474">
        <f>COUNTIF(PArticipationFevrier1[[#This Row],[1]:[30]],Code6)</f>
        <v>0</v>
      </c>
      <c r="AP87" s="474">
        <f>COUNTIF(PArticipationFevrier1[[#This Row],[1]:[30]],Code7)</f>
        <v>0</v>
      </c>
      <c r="AQ87" s="474">
        <f>COUNTIF(PArticipationFevrier1[[#This Row],[1]:[30]],Code8)</f>
        <v>0</v>
      </c>
      <c r="AR87" s="474">
        <f>COUNTIF(PArticipationFevrier1[[#This Row],[1]:[30]],Code9)</f>
        <v>0</v>
      </c>
      <c r="AS87" s="474">
        <f>COUNTIF(PArticipationFevrier1[[#This Row],[1]:[30]],Code10)</f>
        <v>0</v>
      </c>
      <c r="AT87" s="474">
        <f>COUNTIF(PArticipationFevrier1[[#This Row],[1]:[30]],Code11)</f>
        <v>0</v>
      </c>
      <c r="AU87" s="474">
        <f>COUNTIF(PArticipationFevrier1[[#This Row],[1]:[30]],Code12)</f>
        <v>0</v>
      </c>
      <c r="AV87" s="474">
        <f>COUNTIF(PArticipationFevrier1[[#This Row],[1]:[30]],Code13)</f>
        <v>0</v>
      </c>
      <c r="AW87" s="474">
        <f>COUNTIF(PArticipationFevrier1[[#This Row],[1]:[30]],Code14)</f>
        <v>0</v>
      </c>
      <c r="AX87" s="474">
        <f>COUNTIF(PArticipationFevrier1[[#This Row],[1]:[30]],Code15)</f>
        <v>0</v>
      </c>
      <c r="AY87" s="474">
        <f>COUNTIF(PArticipationFevrier1[[#This Row],[1]:[30]],Code16)</f>
        <v>0</v>
      </c>
      <c r="AZ87" s="474">
        <f>COUNTIF(PArticipationFevrier1[[#This Row],[1]:[30]],Code17)</f>
        <v>0</v>
      </c>
      <c r="BA87" s="474">
        <f>COUNTIF(PArticipationFevrier1[[#This Row],[1]:[30]],Code26)</f>
        <v>0</v>
      </c>
      <c r="BB87" s="474">
        <f>COUNTIF(PArticipationFevrier1[[#This Row],[1]:[30]],Code25)</f>
        <v>0</v>
      </c>
      <c r="BC87" s="474">
        <f>COUNTIF(PArticipationFevrier1[[#This Row],[1]:[30]],Code27)</f>
        <v>0</v>
      </c>
      <c r="BD87" s="474">
        <f>COUNTIF(PArticipationFevrier1[[#This Row],[1]:[30]],Code28)</f>
        <v>0</v>
      </c>
      <c r="BE87" s="474">
        <f>COUNTIF(PArticipationFevrier1[[#This Row],[1]:[30]],code30)</f>
        <v>0</v>
      </c>
      <c r="BF87" s="474">
        <f>COUNTIF(PArticipationFevrier1[[#This Row],[1]:[30]],Code31)</f>
        <v>0</v>
      </c>
      <c r="BG87" s="474">
        <f>COUNTIF(PArticipationFevrier1[[#This Row],[1]:[30]],code21)</f>
        <v>0</v>
      </c>
      <c r="BH87" s="474">
        <f>COUNTIF(PArticipationFevrier1[[#This Row],[1]:[30]],Code24)</f>
        <v>0</v>
      </c>
      <c r="BI87" s="474">
        <f>COUNTIF(PArticipationFevrier1[[#This Row],[1]:[30]],code18)</f>
        <v>0</v>
      </c>
      <c r="BJ87" s="474">
        <f>COUNTIF(PArticipationFevrier1[[#This Row],[1]:[30]],code19)</f>
        <v>0</v>
      </c>
      <c r="BK87" s="474">
        <f>COUNTIF(PArticipationFevrier1[[#This Row],[1]:[30]],code20)</f>
        <v>0</v>
      </c>
      <c r="BL87" s="476">
        <f>COUNTIF(PArticipationFevrier1[[#This Row],[1]:[30]],code29)</f>
        <v>0</v>
      </c>
      <c r="BM87" s="472"/>
      <c r="BN87" s="472"/>
      <c r="BO87" s="472"/>
      <c r="BP87" s="472"/>
      <c r="BQ87" s="472"/>
      <c r="BR87" s="472"/>
      <c r="BS87" s="472"/>
      <c r="BT87" s="472"/>
      <c r="BU87" s="472"/>
      <c r="BV87" s="472"/>
      <c r="BW87" s="472"/>
      <c r="BX87" s="472"/>
      <c r="BY87" s="472"/>
      <c r="BZ87" s="472"/>
      <c r="CA87" s="472"/>
      <c r="CB87" s="472"/>
      <c r="CC87" s="472"/>
      <c r="CD87" s="472"/>
      <c r="CE87" s="472"/>
      <c r="CF87" s="472"/>
      <c r="CG87" s="472"/>
      <c r="CH87" s="472"/>
      <c r="CI87" s="472"/>
      <c r="CJ87" s="472"/>
      <c r="CK87" s="472"/>
      <c r="CL87" s="472"/>
      <c r="CM87" s="472"/>
      <c r="CN87" s="472"/>
      <c r="CO87" s="472"/>
      <c r="CP87" s="472"/>
      <c r="CQ87" s="472"/>
      <c r="CR87" s="472"/>
      <c r="CS87" s="472"/>
      <c r="CT87" s="472"/>
      <c r="CU87" s="300"/>
      <c r="CV87" s="507">
        <f t="shared" si="5"/>
        <v>0</v>
      </c>
      <c r="CW87" s="531">
        <f t="shared" si="6"/>
        <v>0</v>
      </c>
      <c r="CX87" s="532">
        <f t="shared" si="7"/>
        <v>0</v>
      </c>
      <c r="CY87" s="157">
        <f t="shared" si="4"/>
        <v>0</v>
      </c>
    </row>
    <row r="88" spans="1:103">
      <c r="A88" s="510" t="s">
        <v>429</v>
      </c>
      <c r="B88" s="152" t="str">
        <f>IFERROR(VLOOKUP(PArticipationFevrier1[[#This Row],[Référence]],ListeÉtudiants1[],18,FALSE),"")</f>
        <v>LALARDIE EMMANUELLE</v>
      </c>
      <c r="AF88" s="19"/>
      <c r="AG88" s="478"/>
      <c r="AH88" s="439">
        <f>COUNTIF(PArticipationFevrier1[[#This Row],[1]:[30]],Code1)</f>
        <v>0</v>
      </c>
      <c r="AI88" s="474">
        <f>COUNTIF(PArticipationFevrier1[[#This Row],[1]:[30]],code22)</f>
        <v>0</v>
      </c>
      <c r="AJ88" s="439">
        <f>COUNTIF(PArticipationFevrier1[[#This Row],[1]:[30]],Code2)</f>
        <v>0</v>
      </c>
      <c r="AK88" s="439">
        <f>COUNTIF(PArticipationFevrier1[[#This Row],[1]:[30]],Code3)</f>
        <v>0</v>
      </c>
      <c r="AL88" s="439">
        <f>COUNTIF(PArticipationFevrier1[[#This Row],[1]:[30]],Code4)</f>
        <v>0</v>
      </c>
      <c r="AM88" s="474">
        <f>COUNTIF(PArticipationFevrier1[[#This Row],[1]:[30]],Code5)</f>
        <v>0</v>
      </c>
      <c r="AN88" s="474"/>
      <c r="AO88" s="474">
        <f>COUNTIF(PArticipationFevrier1[[#This Row],[1]:[30]],Code6)</f>
        <v>0</v>
      </c>
      <c r="AP88" s="474">
        <f>COUNTIF(PArticipationFevrier1[[#This Row],[1]:[30]],Code7)</f>
        <v>0</v>
      </c>
      <c r="AQ88" s="474">
        <f>COUNTIF(PArticipationFevrier1[[#This Row],[1]:[30]],Code8)</f>
        <v>0</v>
      </c>
      <c r="AR88" s="474">
        <f>COUNTIF(PArticipationFevrier1[[#This Row],[1]:[30]],Code9)</f>
        <v>0</v>
      </c>
      <c r="AS88" s="474">
        <f>COUNTIF(PArticipationFevrier1[[#This Row],[1]:[30]],Code10)</f>
        <v>0</v>
      </c>
      <c r="AT88" s="474">
        <f>COUNTIF(PArticipationFevrier1[[#This Row],[1]:[30]],Code11)</f>
        <v>0</v>
      </c>
      <c r="AU88" s="474">
        <f>COUNTIF(PArticipationFevrier1[[#This Row],[1]:[30]],Code12)</f>
        <v>0</v>
      </c>
      <c r="AV88" s="474">
        <f>COUNTIF(PArticipationFevrier1[[#This Row],[1]:[30]],Code13)</f>
        <v>0</v>
      </c>
      <c r="AW88" s="474">
        <f>COUNTIF(PArticipationFevrier1[[#This Row],[1]:[30]],Code14)</f>
        <v>0</v>
      </c>
      <c r="AX88" s="474">
        <f>COUNTIF(PArticipationFevrier1[[#This Row],[1]:[30]],Code15)</f>
        <v>0</v>
      </c>
      <c r="AY88" s="474">
        <f>COUNTIF(PArticipationFevrier1[[#This Row],[1]:[30]],Code16)</f>
        <v>0</v>
      </c>
      <c r="AZ88" s="474">
        <f>COUNTIF(PArticipationFevrier1[[#This Row],[1]:[30]],Code17)</f>
        <v>0</v>
      </c>
      <c r="BA88" s="474">
        <f>COUNTIF(PArticipationFevrier1[[#This Row],[1]:[30]],Code26)</f>
        <v>0</v>
      </c>
      <c r="BB88" s="474">
        <f>COUNTIF(PArticipationFevrier1[[#This Row],[1]:[30]],Code25)</f>
        <v>0</v>
      </c>
      <c r="BC88" s="474">
        <f>COUNTIF(PArticipationFevrier1[[#This Row],[1]:[30]],Code27)</f>
        <v>0</v>
      </c>
      <c r="BD88" s="474">
        <f>COUNTIF(PArticipationFevrier1[[#This Row],[1]:[30]],Code28)</f>
        <v>0</v>
      </c>
      <c r="BE88" s="474">
        <f>COUNTIF(PArticipationFevrier1[[#This Row],[1]:[30]],code30)</f>
        <v>0</v>
      </c>
      <c r="BF88" s="474">
        <f>COUNTIF(PArticipationFevrier1[[#This Row],[1]:[30]],Code31)</f>
        <v>0</v>
      </c>
      <c r="BG88" s="474">
        <f>COUNTIF(PArticipationFevrier1[[#This Row],[1]:[30]],code21)</f>
        <v>0</v>
      </c>
      <c r="BH88" s="474">
        <f>COUNTIF(PArticipationFevrier1[[#This Row],[1]:[30]],Code24)</f>
        <v>0</v>
      </c>
      <c r="BI88" s="474">
        <f>COUNTIF(PArticipationFevrier1[[#This Row],[1]:[30]],code18)</f>
        <v>0</v>
      </c>
      <c r="BJ88" s="474">
        <f>COUNTIF(PArticipationFevrier1[[#This Row],[1]:[30]],code19)</f>
        <v>0</v>
      </c>
      <c r="BK88" s="474">
        <f>COUNTIF(PArticipationFevrier1[[#This Row],[1]:[30]],code20)</f>
        <v>0</v>
      </c>
      <c r="BL88" s="476">
        <f>COUNTIF(PArticipationFevrier1[[#This Row],[1]:[30]],code29)</f>
        <v>0</v>
      </c>
      <c r="BM88" s="472"/>
      <c r="BN88" s="472"/>
      <c r="BO88" s="472"/>
      <c r="BP88" s="472"/>
      <c r="BQ88" s="472"/>
      <c r="BR88" s="472"/>
      <c r="BS88" s="472"/>
      <c r="BT88" s="472"/>
      <c r="BU88" s="472"/>
      <c r="BV88" s="472"/>
      <c r="BW88" s="472"/>
      <c r="BX88" s="472"/>
      <c r="BY88" s="472"/>
      <c r="BZ88" s="472"/>
      <c r="CA88" s="472"/>
      <c r="CB88" s="472"/>
      <c r="CC88" s="472"/>
      <c r="CD88" s="472"/>
      <c r="CE88" s="472"/>
      <c r="CF88" s="472"/>
      <c r="CG88" s="472"/>
      <c r="CH88" s="472"/>
      <c r="CI88" s="472"/>
      <c r="CJ88" s="472"/>
      <c r="CK88" s="472"/>
      <c r="CL88" s="472"/>
      <c r="CM88" s="472"/>
      <c r="CN88" s="472"/>
      <c r="CO88" s="472"/>
      <c r="CP88" s="472"/>
      <c r="CQ88" s="472"/>
      <c r="CR88" s="472"/>
      <c r="CS88" s="472"/>
      <c r="CT88" s="472"/>
      <c r="CU88" s="300"/>
      <c r="CV88" s="507">
        <f t="shared" si="5"/>
        <v>0</v>
      </c>
      <c r="CW88" s="531">
        <f t="shared" si="6"/>
        <v>0</v>
      </c>
      <c r="CX88" s="532">
        <f t="shared" si="7"/>
        <v>0</v>
      </c>
      <c r="CY88" s="157">
        <f t="shared" si="4"/>
        <v>0</v>
      </c>
    </row>
    <row r="89" spans="1:103">
      <c r="A89" s="535" t="s">
        <v>430</v>
      </c>
      <c r="B89" s="152" t="str">
        <f>IFERROR(VLOOKUP(PArticipationFevrier1[[#This Row],[Référence]],ListeÉtudiants1[],18,FALSE),"")</f>
        <v/>
      </c>
      <c r="AF89" s="19"/>
      <c r="AG89" s="478"/>
      <c r="AH89" s="439">
        <f>COUNTIF(PArticipationFevrier1[[#This Row],[1]:[30]],Code1)</f>
        <v>0</v>
      </c>
      <c r="AI89" s="474">
        <f>COUNTIF(PArticipationFevrier1[[#This Row],[1]:[30]],code22)</f>
        <v>0</v>
      </c>
      <c r="AJ89" s="439">
        <f>COUNTIF(PArticipationFevrier1[[#This Row],[1]:[30]],Code2)</f>
        <v>0</v>
      </c>
      <c r="AK89" s="439">
        <f>COUNTIF(PArticipationFevrier1[[#This Row],[1]:[30]],Code3)</f>
        <v>0</v>
      </c>
      <c r="AL89" s="439">
        <f>COUNTIF(PArticipationFevrier1[[#This Row],[1]:[30]],Code4)</f>
        <v>0</v>
      </c>
      <c r="AM89" s="474">
        <f>COUNTIF(PArticipationFevrier1[[#This Row],[1]:[30]],Code5)</f>
        <v>0</v>
      </c>
      <c r="AN89" s="474"/>
      <c r="AO89" s="474">
        <f>COUNTIF(PArticipationFevrier1[[#This Row],[1]:[30]],Code6)</f>
        <v>0</v>
      </c>
      <c r="AP89" s="474">
        <f>COUNTIF(PArticipationFevrier1[[#This Row],[1]:[30]],Code7)</f>
        <v>0</v>
      </c>
      <c r="AQ89" s="474">
        <f>COUNTIF(PArticipationFevrier1[[#This Row],[1]:[30]],Code8)</f>
        <v>0</v>
      </c>
      <c r="AR89" s="474">
        <f>COUNTIF(PArticipationFevrier1[[#This Row],[1]:[30]],Code9)</f>
        <v>0</v>
      </c>
      <c r="AS89" s="474">
        <f>COUNTIF(PArticipationFevrier1[[#This Row],[1]:[30]],Code10)</f>
        <v>0</v>
      </c>
      <c r="AT89" s="474">
        <f>COUNTIF(PArticipationFevrier1[[#This Row],[1]:[30]],Code11)</f>
        <v>0</v>
      </c>
      <c r="AU89" s="474">
        <f>COUNTIF(PArticipationFevrier1[[#This Row],[1]:[30]],Code12)</f>
        <v>0</v>
      </c>
      <c r="AV89" s="474">
        <f>COUNTIF(PArticipationFevrier1[[#This Row],[1]:[30]],Code13)</f>
        <v>0</v>
      </c>
      <c r="AW89" s="474">
        <f>COUNTIF(PArticipationFevrier1[[#This Row],[1]:[30]],Code14)</f>
        <v>0</v>
      </c>
      <c r="AX89" s="474">
        <f>COUNTIF(PArticipationFevrier1[[#This Row],[1]:[30]],Code15)</f>
        <v>0</v>
      </c>
      <c r="AY89" s="474">
        <f>COUNTIF(PArticipationFevrier1[[#This Row],[1]:[30]],Code16)</f>
        <v>0</v>
      </c>
      <c r="AZ89" s="474">
        <f>COUNTIF(PArticipationFevrier1[[#This Row],[1]:[30]],Code17)</f>
        <v>0</v>
      </c>
      <c r="BA89" s="474">
        <f>COUNTIF(PArticipationFevrier1[[#This Row],[1]:[30]],Code26)</f>
        <v>0</v>
      </c>
      <c r="BB89" s="474">
        <f>COUNTIF(PArticipationFevrier1[[#This Row],[1]:[30]],Code25)</f>
        <v>0</v>
      </c>
      <c r="BC89" s="474">
        <f>COUNTIF(PArticipationFevrier1[[#This Row],[1]:[30]],Code27)</f>
        <v>0</v>
      </c>
      <c r="BD89" s="474">
        <f>COUNTIF(PArticipationFevrier1[[#This Row],[1]:[30]],Code28)</f>
        <v>0</v>
      </c>
      <c r="BE89" s="474">
        <f>COUNTIF(PArticipationFevrier1[[#This Row],[1]:[30]],code30)</f>
        <v>0</v>
      </c>
      <c r="BF89" s="474">
        <f>COUNTIF(PArticipationFevrier1[[#This Row],[1]:[30]],Code31)</f>
        <v>0</v>
      </c>
      <c r="BG89" s="474">
        <f>COUNTIF(PArticipationFevrier1[[#This Row],[1]:[30]],code21)</f>
        <v>0</v>
      </c>
      <c r="BH89" s="474">
        <f>COUNTIF(PArticipationFevrier1[[#This Row],[1]:[30]],Code24)</f>
        <v>0</v>
      </c>
      <c r="BI89" s="474">
        <f>COUNTIF(PArticipationFevrier1[[#This Row],[1]:[30]],code18)</f>
        <v>0</v>
      </c>
      <c r="BJ89" s="474">
        <f>COUNTIF(PArticipationFevrier1[[#This Row],[1]:[30]],code19)</f>
        <v>0</v>
      </c>
      <c r="BK89" s="474">
        <f>COUNTIF(PArticipationFevrier1[[#This Row],[1]:[30]],code20)</f>
        <v>0</v>
      </c>
      <c r="BL89" s="476">
        <f>COUNTIF(PArticipationFevrier1[[#This Row],[1]:[30]],code29)</f>
        <v>0</v>
      </c>
      <c r="BM89" s="472"/>
      <c r="BN89" s="472"/>
      <c r="BO89" s="472"/>
      <c r="BP89" s="472"/>
      <c r="BQ89" s="472"/>
      <c r="BR89" s="472"/>
      <c r="BS89" s="472"/>
      <c r="BT89" s="472"/>
      <c r="BU89" s="472"/>
      <c r="BV89" s="472"/>
      <c r="BW89" s="472"/>
      <c r="BX89" s="472"/>
      <c r="BY89" s="472"/>
      <c r="BZ89" s="472"/>
      <c r="CA89" s="472"/>
      <c r="CB89" s="472"/>
      <c r="CC89" s="472"/>
      <c r="CD89" s="472"/>
      <c r="CE89" s="472"/>
      <c r="CF89" s="472"/>
      <c r="CG89" s="472"/>
      <c r="CH89" s="472"/>
      <c r="CI89" s="472"/>
      <c r="CJ89" s="472"/>
      <c r="CK89" s="472"/>
      <c r="CL89" s="472"/>
      <c r="CM89" s="472"/>
      <c r="CN89" s="472"/>
      <c r="CO89" s="472"/>
      <c r="CP89" s="472"/>
      <c r="CQ89" s="472"/>
      <c r="CR89" s="472"/>
      <c r="CS89" s="472"/>
      <c r="CT89" s="472"/>
      <c r="CU89" s="300"/>
      <c r="CV89" s="507">
        <f t="shared" si="5"/>
        <v>0</v>
      </c>
      <c r="CW89" s="531">
        <f t="shared" si="6"/>
        <v>0</v>
      </c>
      <c r="CX89" s="532">
        <f t="shared" si="7"/>
        <v>0</v>
      </c>
      <c r="CY89" s="157">
        <f t="shared" si="4"/>
        <v>0</v>
      </c>
    </row>
    <row r="90" spans="1:103">
      <c r="A90" s="510" t="s">
        <v>431</v>
      </c>
      <c r="B90" s="152" t="str">
        <f>IFERROR(VLOOKUP(PArticipationFevrier1[[#This Row],[Référence]],ListeÉtudiants1[],18,FALSE),"")</f>
        <v>LAMETTE JENNYFER</v>
      </c>
      <c r="AF90" s="19"/>
      <c r="AG90" s="478"/>
      <c r="AH90" s="439">
        <f>COUNTIF(PArticipationFevrier1[[#This Row],[1]:[30]],Code1)</f>
        <v>0</v>
      </c>
      <c r="AI90" s="474">
        <f>COUNTIF(PArticipationFevrier1[[#This Row],[1]:[30]],code22)</f>
        <v>0</v>
      </c>
      <c r="AJ90" s="439">
        <f>COUNTIF(PArticipationFevrier1[[#This Row],[1]:[30]],Code2)</f>
        <v>0</v>
      </c>
      <c r="AK90" s="439">
        <f>COUNTIF(PArticipationFevrier1[[#This Row],[1]:[30]],Code3)</f>
        <v>0</v>
      </c>
      <c r="AL90" s="439">
        <f>COUNTIF(PArticipationFevrier1[[#This Row],[1]:[30]],Code4)</f>
        <v>0</v>
      </c>
      <c r="AM90" s="474">
        <f>COUNTIF(PArticipationFevrier1[[#This Row],[1]:[30]],Code5)</f>
        <v>0</v>
      </c>
      <c r="AN90" s="474"/>
      <c r="AO90" s="474">
        <f>COUNTIF(PArticipationFevrier1[[#This Row],[1]:[30]],Code6)</f>
        <v>0</v>
      </c>
      <c r="AP90" s="474">
        <f>COUNTIF(PArticipationFevrier1[[#This Row],[1]:[30]],Code7)</f>
        <v>0</v>
      </c>
      <c r="AQ90" s="474">
        <f>COUNTIF(PArticipationFevrier1[[#This Row],[1]:[30]],Code8)</f>
        <v>0</v>
      </c>
      <c r="AR90" s="474">
        <f>COUNTIF(PArticipationFevrier1[[#This Row],[1]:[30]],Code9)</f>
        <v>0</v>
      </c>
      <c r="AS90" s="474">
        <f>COUNTIF(PArticipationFevrier1[[#This Row],[1]:[30]],Code10)</f>
        <v>0</v>
      </c>
      <c r="AT90" s="474">
        <f>COUNTIF(PArticipationFevrier1[[#This Row],[1]:[30]],Code11)</f>
        <v>0</v>
      </c>
      <c r="AU90" s="474">
        <f>COUNTIF(PArticipationFevrier1[[#This Row],[1]:[30]],Code12)</f>
        <v>0</v>
      </c>
      <c r="AV90" s="474">
        <f>COUNTIF(PArticipationFevrier1[[#This Row],[1]:[30]],Code13)</f>
        <v>0</v>
      </c>
      <c r="AW90" s="474">
        <f>COUNTIF(PArticipationFevrier1[[#This Row],[1]:[30]],Code14)</f>
        <v>0</v>
      </c>
      <c r="AX90" s="474">
        <f>COUNTIF(PArticipationFevrier1[[#This Row],[1]:[30]],Code15)</f>
        <v>0</v>
      </c>
      <c r="AY90" s="474">
        <f>COUNTIF(PArticipationFevrier1[[#This Row],[1]:[30]],Code16)</f>
        <v>0</v>
      </c>
      <c r="AZ90" s="474">
        <f>COUNTIF(PArticipationFevrier1[[#This Row],[1]:[30]],Code17)</f>
        <v>0</v>
      </c>
      <c r="BA90" s="474">
        <f>COUNTIF(PArticipationFevrier1[[#This Row],[1]:[30]],Code26)</f>
        <v>0</v>
      </c>
      <c r="BB90" s="474">
        <f>COUNTIF(PArticipationFevrier1[[#This Row],[1]:[30]],Code25)</f>
        <v>0</v>
      </c>
      <c r="BC90" s="474">
        <f>COUNTIF(PArticipationFevrier1[[#This Row],[1]:[30]],Code27)</f>
        <v>0</v>
      </c>
      <c r="BD90" s="474">
        <f>COUNTIF(PArticipationFevrier1[[#This Row],[1]:[30]],Code28)</f>
        <v>0</v>
      </c>
      <c r="BE90" s="474">
        <f>COUNTIF(PArticipationFevrier1[[#This Row],[1]:[30]],code30)</f>
        <v>0</v>
      </c>
      <c r="BF90" s="474">
        <f>COUNTIF(PArticipationFevrier1[[#This Row],[1]:[30]],Code31)</f>
        <v>0</v>
      </c>
      <c r="BG90" s="474">
        <f>COUNTIF(PArticipationFevrier1[[#This Row],[1]:[30]],code21)</f>
        <v>0</v>
      </c>
      <c r="BH90" s="474">
        <f>COUNTIF(PArticipationFevrier1[[#This Row],[1]:[30]],Code24)</f>
        <v>0</v>
      </c>
      <c r="BI90" s="474">
        <f>COUNTIF(PArticipationFevrier1[[#This Row],[1]:[30]],code18)</f>
        <v>0</v>
      </c>
      <c r="BJ90" s="474">
        <f>COUNTIF(PArticipationFevrier1[[#This Row],[1]:[30]],code19)</f>
        <v>0</v>
      </c>
      <c r="BK90" s="474">
        <f>COUNTIF(PArticipationFevrier1[[#This Row],[1]:[30]],code20)</f>
        <v>0</v>
      </c>
      <c r="BL90" s="476">
        <f>COUNTIF(PArticipationFevrier1[[#This Row],[1]:[30]],code29)</f>
        <v>0</v>
      </c>
      <c r="BM90" s="472"/>
      <c r="BN90" s="472"/>
      <c r="BO90" s="472"/>
      <c r="BP90" s="472"/>
      <c r="BQ90" s="472"/>
      <c r="BR90" s="472"/>
      <c r="BS90" s="472"/>
      <c r="BT90" s="472"/>
      <c r="BU90" s="472"/>
      <c r="BV90" s="472"/>
      <c r="BW90" s="472"/>
      <c r="BX90" s="472"/>
      <c r="BY90" s="472"/>
      <c r="BZ90" s="472"/>
      <c r="CA90" s="472"/>
      <c r="CB90" s="472"/>
      <c r="CC90" s="472"/>
      <c r="CD90" s="472"/>
      <c r="CE90" s="472"/>
      <c r="CF90" s="472"/>
      <c r="CG90" s="472"/>
      <c r="CH90" s="472"/>
      <c r="CI90" s="472"/>
      <c r="CJ90" s="472"/>
      <c r="CK90" s="472"/>
      <c r="CL90" s="472"/>
      <c r="CM90" s="472"/>
      <c r="CN90" s="472"/>
      <c r="CO90" s="472"/>
      <c r="CP90" s="472"/>
      <c r="CQ90" s="472"/>
      <c r="CR90" s="472"/>
      <c r="CS90" s="472"/>
      <c r="CT90" s="472"/>
      <c r="CU90" s="300"/>
      <c r="CV90" s="507">
        <f t="shared" si="5"/>
        <v>0</v>
      </c>
      <c r="CW90" s="531">
        <f t="shared" si="6"/>
        <v>0</v>
      </c>
      <c r="CX90" s="532">
        <f t="shared" si="7"/>
        <v>0</v>
      </c>
      <c r="CY90" s="157">
        <f t="shared" si="4"/>
        <v>0</v>
      </c>
    </row>
    <row r="91" spans="1:103">
      <c r="A91" s="534" t="s">
        <v>432</v>
      </c>
      <c r="B91" s="152" t="str">
        <f>IFERROR(VLOOKUP(PArticipationFevrier1[[#This Row],[Référence]],ListeÉtudiants1[],18,FALSE),"")</f>
        <v>LAMGHARI / DAHAN BOUCHRA</v>
      </c>
      <c r="AF91" s="19"/>
      <c r="AG91" s="478"/>
      <c r="AH91" s="439">
        <f>COUNTIF(PArticipationFevrier1[[#This Row],[1]:[30]],Code1)</f>
        <v>0</v>
      </c>
      <c r="AI91" s="474">
        <f>COUNTIF(PArticipationFevrier1[[#This Row],[1]:[30]],code22)</f>
        <v>0</v>
      </c>
      <c r="AJ91" s="439">
        <f>COUNTIF(PArticipationFevrier1[[#This Row],[1]:[30]],Code2)</f>
        <v>0</v>
      </c>
      <c r="AK91" s="439">
        <f>COUNTIF(PArticipationFevrier1[[#This Row],[1]:[30]],Code3)</f>
        <v>0</v>
      </c>
      <c r="AL91" s="439">
        <f>COUNTIF(PArticipationFevrier1[[#This Row],[1]:[30]],Code4)</f>
        <v>0</v>
      </c>
      <c r="AM91" s="474">
        <f>COUNTIF(PArticipationFevrier1[[#This Row],[1]:[30]],Code5)</f>
        <v>0</v>
      </c>
      <c r="AN91" s="474"/>
      <c r="AO91" s="474">
        <f>COUNTIF(PArticipationFevrier1[[#This Row],[1]:[30]],Code6)</f>
        <v>0</v>
      </c>
      <c r="AP91" s="474">
        <f>COUNTIF(PArticipationFevrier1[[#This Row],[1]:[30]],Code7)</f>
        <v>0</v>
      </c>
      <c r="AQ91" s="474">
        <f>COUNTIF(PArticipationFevrier1[[#This Row],[1]:[30]],Code8)</f>
        <v>0</v>
      </c>
      <c r="AR91" s="474">
        <f>COUNTIF(PArticipationFevrier1[[#This Row],[1]:[30]],Code9)</f>
        <v>0</v>
      </c>
      <c r="AS91" s="474">
        <f>COUNTIF(PArticipationFevrier1[[#This Row],[1]:[30]],Code10)</f>
        <v>0</v>
      </c>
      <c r="AT91" s="474">
        <f>COUNTIF(PArticipationFevrier1[[#This Row],[1]:[30]],Code11)</f>
        <v>0</v>
      </c>
      <c r="AU91" s="474">
        <f>COUNTIF(PArticipationFevrier1[[#This Row],[1]:[30]],Code12)</f>
        <v>0</v>
      </c>
      <c r="AV91" s="474">
        <f>COUNTIF(PArticipationFevrier1[[#This Row],[1]:[30]],Code13)</f>
        <v>0</v>
      </c>
      <c r="AW91" s="474">
        <f>COUNTIF(PArticipationFevrier1[[#This Row],[1]:[30]],Code14)</f>
        <v>0</v>
      </c>
      <c r="AX91" s="474">
        <f>COUNTIF(PArticipationFevrier1[[#This Row],[1]:[30]],Code15)</f>
        <v>0</v>
      </c>
      <c r="AY91" s="474">
        <f>COUNTIF(PArticipationFevrier1[[#This Row],[1]:[30]],Code16)</f>
        <v>0</v>
      </c>
      <c r="AZ91" s="474">
        <f>COUNTIF(PArticipationFevrier1[[#This Row],[1]:[30]],Code17)</f>
        <v>0</v>
      </c>
      <c r="BA91" s="474">
        <f>COUNTIF(PArticipationFevrier1[[#This Row],[1]:[30]],Code26)</f>
        <v>0</v>
      </c>
      <c r="BB91" s="474">
        <f>COUNTIF(PArticipationFevrier1[[#This Row],[1]:[30]],Code25)</f>
        <v>0</v>
      </c>
      <c r="BC91" s="474">
        <f>COUNTIF(PArticipationFevrier1[[#This Row],[1]:[30]],Code27)</f>
        <v>0</v>
      </c>
      <c r="BD91" s="474">
        <f>COUNTIF(PArticipationFevrier1[[#This Row],[1]:[30]],Code28)</f>
        <v>0</v>
      </c>
      <c r="BE91" s="474">
        <f>COUNTIF(PArticipationFevrier1[[#This Row],[1]:[30]],code30)</f>
        <v>0</v>
      </c>
      <c r="BF91" s="474">
        <f>COUNTIF(PArticipationFevrier1[[#This Row],[1]:[30]],Code31)</f>
        <v>0</v>
      </c>
      <c r="BG91" s="474">
        <f>COUNTIF(PArticipationFevrier1[[#This Row],[1]:[30]],code21)</f>
        <v>0</v>
      </c>
      <c r="BH91" s="474">
        <f>COUNTIF(PArticipationFevrier1[[#This Row],[1]:[30]],Code24)</f>
        <v>0</v>
      </c>
      <c r="BI91" s="474">
        <f>COUNTIF(PArticipationFevrier1[[#This Row],[1]:[30]],code18)</f>
        <v>0</v>
      </c>
      <c r="BJ91" s="474">
        <f>COUNTIF(PArticipationFevrier1[[#This Row],[1]:[30]],code19)</f>
        <v>0</v>
      </c>
      <c r="BK91" s="474">
        <f>COUNTIF(PArticipationFevrier1[[#This Row],[1]:[30]],code20)</f>
        <v>0</v>
      </c>
      <c r="BL91" s="476">
        <f>COUNTIF(PArticipationFevrier1[[#This Row],[1]:[30]],code29)</f>
        <v>0</v>
      </c>
      <c r="BM91" s="472"/>
      <c r="BN91" s="472"/>
      <c r="BO91" s="472"/>
      <c r="BP91" s="472"/>
      <c r="BQ91" s="472"/>
      <c r="BR91" s="472"/>
      <c r="BS91" s="472"/>
      <c r="BT91" s="472"/>
      <c r="BU91" s="472"/>
      <c r="BV91" s="472"/>
      <c r="BW91" s="472"/>
      <c r="BX91" s="472"/>
      <c r="BY91" s="472"/>
      <c r="BZ91" s="472"/>
      <c r="CA91" s="472"/>
      <c r="CB91" s="472"/>
      <c r="CC91" s="472"/>
      <c r="CD91" s="472"/>
      <c r="CE91" s="472"/>
      <c r="CF91" s="472"/>
      <c r="CG91" s="472"/>
      <c r="CH91" s="472"/>
      <c r="CI91" s="472"/>
      <c r="CJ91" s="472"/>
      <c r="CK91" s="472"/>
      <c r="CL91" s="472"/>
      <c r="CM91" s="472"/>
      <c r="CN91" s="472"/>
      <c r="CO91" s="472"/>
      <c r="CP91" s="472"/>
      <c r="CQ91" s="472"/>
      <c r="CR91" s="472"/>
      <c r="CS91" s="472"/>
      <c r="CT91" s="472"/>
      <c r="CU91" s="300"/>
      <c r="CV91" s="507">
        <f t="shared" si="5"/>
        <v>0</v>
      </c>
      <c r="CW91" s="531">
        <f t="shared" si="6"/>
        <v>0</v>
      </c>
      <c r="CX91" s="532">
        <f t="shared" si="7"/>
        <v>0</v>
      </c>
      <c r="CY91" s="157">
        <f t="shared" si="4"/>
        <v>0</v>
      </c>
    </row>
    <row r="92" spans="1:103">
      <c r="A92" s="510" t="s">
        <v>433</v>
      </c>
      <c r="B92" s="152" t="str">
        <f>IFERROR(VLOOKUP(PArticipationFevrier1[[#This Row],[Référence]],ListeÉtudiants1[],18,FALSE),"")</f>
        <v>LAURENT GUILLAUME</v>
      </c>
      <c r="AF92" s="19"/>
      <c r="AG92" s="478"/>
      <c r="AH92" s="439">
        <f>COUNTIF(PArticipationFevrier1[[#This Row],[1]:[30]],Code1)</f>
        <v>0</v>
      </c>
      <c r="AI92" s="474">
        <f>COUNTIF(PArticipationFevrier1[[#This Row],[1]:[30]],code22)</f>
        <v>0</v>
      </c>
      <c r="AJ92" s="439">
        <f>COUNTIF(PArticipationFevrier1[[#This Row],[1]:[30]],Code2)</f>
        <v>0</v>
      </c>
      <c r="AK92" s="439">
        <f>COUNTIF(PArticipationFevrier1[[#This Row],[1]:[30]],Code3)</f>
        <v>0</v>
      </c>
      <c r="AL92" s="439">
        <f>COUNTIF(PArticipationFevrier1[[#This Row],[1]:[30]],Code4)</f>
        <v>0</v>
      </c>
      <c r="AM92" s="474">
        <f>COUNTIF(PArticipationFevrier1[[#This Row],[1]:[30]],Code5)</f>
        <v>0</v>
      </c>
      <c r="AN92" s="474"/>
      <c r="AO92" s="474">
        <f>COUNTIF(PArticipationFevrier1[[#This Row],[1]:[30]],Code6)</f>
        <v>0</v>
      </c>
      <c r="AP92" s="474">
        <f>COUNTIF(PArticipationFevrier1[[#This Row],[1]:[30]],Code7)</f>
        <v>0</v>
      </c>
      <c r="AQ92" s="474">
        <f>COUNTIF(PArticipationFevrier1[[#This Row],[1]:[30]],Code8)</f>
        <v>0</v>
      </c>
      <c r="AR92" s="474">
        <f>COUNTIF(PArticipationFevrier1[[#This Row],[1]:[30]],Code9)</f>
        <v>0</v>
      </c>
      <c r="AS92" s="474">
        <f>COUNTIF(PArticipationFevrier1[[#This Row],[1]:[30]],Code10)</f>
        <v>0</v>
      </c>
      <c r="AT92" s="474">
        <f>COUNTIF(PArticipationFevrier1[[#This Row],[1]:[30]],Code11)</f>
        <v>0</v>
      </c>
      <c r="AU92" s="474">
        <f>COUNTIF(PArticipationFevrier1[[#This Row],[1]:[30]],Code12)</f>
        <v>0</v>
      </c>
      <c r="AV92" s="474">
        <f>COUNTIF(PArticipationFevrier1[[#This Row],[1]:[30]],Code13)</f>
        <v>0</v>
      </c>
      <c r="AW92" s="474">
        <f>COUNTIF(PArticipationFevrier1[[#This Row],[1]:[30]],Code14)</f>
        <v>0</v>
      </c>
      <c r="AX92" s="474">
        <f>COUNTIF(PArticipationFevrier1[[#This Row],[1]:[30]],Code15)</f>
        <v>0</v>
      </c>
      <c r="AY92" s="474">
        <f>COUNTIF(PArticipationFevrier1[[#This Row],[1]:[30]],Code16)</f>
        <v>0</v>
      </c>
      <c r="AZ92" s="474">
        <f>COUNTIF(PArticipationFevrier1[[#This Row],[1]:[30]],Code17)</f>
        <v>0</v>
      </c>
      <c r="BA92" s="474">
        <f>COUNTIF(PArticipationFevrier1[[#This Row],[1]:[30]],Code26)</f>
        <v>0</v>
      </c>
      <c r="BB92" s="474">
        <f>COUNTIF(PArticipationFevrier1[[#This Row],[1]:[30]],Code25)</f>
        <v>0</v>
      </c>
      <c r="BC92" s="474">
        <f>COUNTIF(PArticipationFevrier1[[#This Row],[1]:[30]],Code27)</f>
        <v>0</v>
      </c>
      <c r="BD92" s="474">
        <f>COUNTIF(PArticipationFevrier1[[#This Row],[1]:[30]],Code28)</f>
        <v>0</v>
      </c>
      <c r="BE92" s="474">
        <f>COUNTIF(PArticipationFevrier1[[#This Row],[1]:[30]],code30)</f>
        <v>0</v>
      </c>
      <c r="BF92" s="474">
        <f>COUNTIF(PArticipationFevrier1[[#This Row],[1]:[30]],Code31)</f>
        <v>0</v>
      </c>
      <c r="BG92" s="474">
        <f>COUNTIF(PArticipationFevrier1[[#This Row],[1]:[30]],code21)</f>
        <v>0</v>
      </c>
      <c r="BH92" s="474">
        <f>COUNTIF(PArticipationFevrier1[[#This Row],[1]:[30]],Code24)</f>
        <v>0</v>
      </c>
      <c r="BI92" s="474">
        <f>COUNTIF(PArticipationFevrier1[[#This Row],[1]:[30]],code18)</f>
        <v>0</v>
      </c>
      <c r="BJ92" s="474">
        <f>COUNTIF(PArticipationFevrier1[[#This Row],[1]:[30]],code19)</f>
        <v>0</v>
      </c>
      <c r="BK92" s="474">
        <f>COUNTIF(PArticipationFevrier1[[#This Row],[1]:[30]],code20)</f>
        <v>0</v>
      </c>
      <c r="BL92" s="476">
        <f>COUNTIF(PArticipationFevrier1[[#This Row],[1]:[30]],code29)</f>
        <v>0</v>
      </c>
      <c r="BM92" s="472"/>
      <c r="BN92" s="472"/>
      <c r="BO92" s="472"/>
      <c r="BP92" s="472"/>
      <c r="BQ92" s="472"/>
      <c r="BR92" s="472"/>
      <c r="BS92" s="472"/>
      <c r="BT92" s="472"/>
      <c r="BU92" s="472"/>
      <c r="BV92" s="472"/>
      <c r="BW92" s="472"/>
      <c r="BX92" s="472"/>
      <c r="BY92" s="472"/>
      <c r="BZ92" s="472"/>
      <c r="CA92" s="472"/>
      <c r="CB92" s="472"/>
      <c r="CC92" s="472"/>
      <c r="CD92" s="472"/>
      <c r="CE92" s="472"/>
      <c r="CF92" s="472"/>
      <c r="CG92" s="472"/>
      <c r="CH92" s="472"/>
      <c r="CI92" s="472"/>
      <c r="CJ92" s="472"/>
      <c r="CK92" s="472"/>
      <c r="CL92" s="472"/>
      <c r="CM92" s="472"/>
      <c r="CN92" s="472"/>
      <c r="CO92" s="472"/>
      <c r="CP92" s="472"/>
      <c r="CQ92" s="472"/>
      <c r="CR92" s="472"/>
      <c r="CS92" s="472"/>
      <c r="CT92" s="472"/>
      <c r="CU92" s="300"/>
      <c r="CV92" s="507">
        <f t="shared" si="5"/>
        <v>0</v>
      </c>
      <c r="CW92" s="531">
        <f t="shared" si="6"/>
        <v>0</v>
      </c>
      <c r="CX92" s="532">
        <f t="shared" si="7"/>
        <v>0</v>
      </c>
      <c r="CY92" s="157">
        <f t="shared" si="4"/>
        <v>0</v>
      </c>
    </row>
    <row r="93" spans="1:103">
      <c r="A93" s="510" t="s">
        <v>434</v>
      </c>
      <c r="B93" s="152" t="str">
        <f>IFERROR(VLOOKUP(PArticipationFevrier1[[#This Row],[Référence]],ListeÉtudiants1[],18,FALSE),"")</f>
        <v>LEMAIRE SHANONE</v>
      </c>
      <c r="AF93" s="19"/>
      <c r="AG93" s="478"/>
      <c r="AH93" s="439">
        <f>COUNTIF(PArticipationFevrier1[[#This Row],[1]:[30]],Code1)</f>
        <v>0</v>
      </c>
      <c r="AI93" s="474">
        <f>COUNTIF(PArticipationFevrier1[[#This Row],[1]:[30]],code22)</f>
        <v>0</v>
      </c>
      <c r="AJ93" s="439">
        <f>COUNTIF(PArticipationFevrier1[[#This Row],[1]:[30]],Code2)</f>
        <v>0</v>
      </c>
      <c r="AK93" s="439">
        <f>COUNTIF(PArticipationFevrier1[[#This Row],[1]:[30]],Code3)</f>
        <v>0</v>
      </c>
      <c r="AL93" s="439">
        <f>COUNTIF(PArticipationFevrier1[[#This Row],[1]:[30]],Code4)</f>
        <v>0</v>
      </c>
      <c r="AM93" s="474">
        <f>COUNTIF(PArticipationFevrier1[[#This Row],[1]:[30]],Code5)</f>
        <v>0</v>
      </c>
      <c r="AN93" s="474"/>
      <c r="AO93" s="474">
        <f>COUNTIF(PArticipationFevrier1[[#This Row],[1]:[30]],Code6)</f>
        <v>0</v>
      </c>
      <c r="AP93" s="474">
        <f>COUNTIF(PArticipationFevrier1[[#This Row],[1]:[30]],Code7)</f>
        <v>0</v>
      </c>
      <c r="AQ93" s="474">
        <f>COUNTIF(PArticipationFevrier1[[#This Row],[1]:[30]],Code8)</f>
        <v>0</v>
      </c>
      <c r="AR93" s="474">
        <f>COUNTIF(PArticipationFevrier1[[#This Row],[1]:[30]],Code9)</f>
        <v>0</v>
      </c>
      <c r="AS93" s="474">
        <f>COUNTIF(PArticipationFevrier1[[#This Row],[1]:[30]],Code10)</f>
        <v>0</v>
      </c>
      <c r="AT93" s="474">
        <f>COUNTIF(PArticipationFevrier1[[#This Row],[1]:[30]],Code11)</f>
        <v>0</v>
      </c>
      <c r="AU93" s="474">
        <f>COUNTIF(PArticipationFevrier1[[#This Row],[1]:[30]],Code12)</f>
        <v>0</v>
      </c>
      <c r="AV93" s="474">
        <f>COUNTIF(PArticipationFevrier1[[#This Row],[1]:[30]],Code13)</f>
        <v>0</v>
      </c>
      <c r="AW93" s="474">
        <f>COUNTIF(PArticipationFevrier1[[#This Row],[1]:[30]],Code14)</f>
        <v>0</v>
      </c>
      <c r="AX93" s="474">
        <f>COUNTIF(PArticipationFevrier1[[#This Row],[1]:[30]],Code15)</f>
        <v>0</v>
      </c>
      <c r="AY93" s="474">
        <f>COUNTIF(PArticipationFevrier1[[#This Row],[1]:[30]],Code16)</f>
        <v>0</v>
      </c>
      <c r="AZ93" s="474">
        <f>COUNTIF(PArticipationFevrier1[[#This Row],[1]:[30]],Code17)</f>
        <v>0</v>
      </c>
      <c r="BA93" s="474">
        <f>COUNTIF(PArticipationFevrier1[[#This Row],[1]:[30]],Code26)</f>
        <v>0</v>
      </c>
      <c r="BB93" s="474">
        <f>COUNTIF(PArticipationFevrier1[[#This Row],[1]:[30]],Code25)</f>
        <v>0</v>
      </c>
      <c r="BC93" s="474">
        <f>COUNTIF(PArticipationFevrier1[[#This Row],[1]:[30]],Code27)</f>
        <v>0</v>
      </c>
      <c r="BD93" s="474">
        <f>COUNTIF(PArticipationFevrier1[[#This Row],[1]:[30]],Code28)</f>
        <v>0</v>
      </c>
      <c r="BE93" s="474">
        <f>COUNTIF(PArticipationFevrier1[[#This Row],[1]:[30]],code30)</f>
        <v>0</v>
      </c>
      <c r="BF93" s="474">
        <f>COUNTIF(PArticipationFevrier1[[#This Row],[1]:[30]],Code31)</f>
        <v>0</v>
      </c>
      <c r="BG93" s="474">
        <f>COUNTIF(PArticipationFevrier1[[#This Row],[1]:[30]],code21)</f>
        <v>0</v>
      </c>
      <c r="BH93" s="474">
        <f>COUNTIF(PArticipationFevrier1[[#This Row],[1]:[30]],Code24)</f>
        <v>0</v>
      </c>
      <c r="BI93" s="474">
        <f>COUNTIF(PArticipationFevrier1[[#This Row],[1]:[30]],code18)</f>
        <v>0</v>
      </c>
      <c r="BJ93" s="474">
        <f>COUNTIF(PArticipationFevrier1[[#This Row],[1]:[30]],code19)</f>
        <v>0</v>
      </c>
      <c r="BK93" s="474">
        <f>COUNTIF(PArticipationFevrier1[[#This Row],[1]:[30]],code20)</f>
        <v>0</v>
      </c>
      <c r="BL93" s="476">
        <f>COUNTIF(PArticipationFevrier1[[#This Row],[1]:[30]],code29)</f>
        <v>0</v>
      </c>
      <c r="BM93" s="472"/>
      <c r="BN93" s="472"/>
      <c r="BO93" s="472"/>
      <c r="BP93" s="472"/>
      <c r="BQ93" s="472"/>
      <c r="BR93" s="472"/>
      <c r="BS93" s="472"/>
      <c r="BT93" s="472"/>
      <c r="BU93" s="472"/>
      <c r="BV93" s="472"/>
      <c r="BW93" s="472"/>
      <c r="BX93" s="472"/>
      <c r="BY93" s="472"/>
      <c r="BZ93" s="472"/>
      <c r="CA93" s="472"/>
      <c r="CB93" s="472"/>
      <c r="CC93" s="472"/>
      <c r="CD93" s="472"/>
      <c r="CE93" s="472"/>
      <c r="CF93" s="472"/>
      <c r="CG93" s="472"/>
      <c r="CH93" s="472"/>
      <c r="CI93" s="472"/>
      <c r="CJ93" s="472"/>
      <c r="CK93" s="472"/>
      <c r="CL93" s="472"/>
      <c r="CM93" s="472"/>
      <c r="CN93" s="472"/>
      <c r="CO93" s="472"/>
      <c r="CP93" s="472"/>
      <c r="CQ93" s="472"/>
      <c r="CR93" s="472"/>
      <c r="CS93" s="472"/>
      <c r="CT93" s="472"/>
      <c r="CU93" s="300"/>
      <c r="CV93" s="507">
        <f t="shared" si="5"/>
        <v>0</v>
      </c>
      <c r="CW93" s="531">
        <f t="shared" si="6"/>
        <v>0</v>
      </c>
      <c r="CX93" s="532">
        <f t="shared" si="7"/>
        <v>0</v>
      </c>
      <c r="CY93" s="157">
        <f t="shared" si="4"/>
        <v>0</v>
      </c>
    </row>
    <row r="94" spans="1:103">
      <c r="A94" s="510" t="s">
        <v>435</v>
      </c>
      <c r="B94" s="152" t="str">
        <f>IFERROR(VLOOKUP(PArticipationFevrier1[[#This Row],[Référence]],ListeÉtudiants1[],18,FALSE),"")</f>
        <v>L'HERMITTE ROMAIN</v>
      </c>
      <c r="AF94" s="19"/>
      <c r="AG94" s="478"/>
      <c r="AH94" s="439">
        <f>COUNTIF(PArticipationFevrier1[[#This Row],[1]:[30]],Code1)</f>
        <v>0</v>
      </c>
      <c r="AI94" s="474">
        <f>COUNTIF(PArticipationFevrier1[[#This Row],[1]:[30]],code22)</f>
        <v>0</v>
      </c>
      <c r="AJ94" s="439">
        <f>COUNTIF(PArticipationFevrier1[[#This Row],[1]:[30]],Code2)</f>
        <v>0</v>
      </c>
      <c r="AK94" s="439">
        <f>COUNTIF(PArticipationFevrier1[[#This Row],[1]:[30]],Code3)</f>
        <v>0</v>
      </c>
      <c r="AL94" s="439">
        <f>COUNTIF(PArticipationFevrier1[[#This Row],[1]:[30]],Code4)</f>
        <v>0</v>
      </c>
      <c r="AM94" s="474">
        <f>COUNTIF(PArticipationFevrier1[[#This Row],[1]:[30]],Code5)</f>
        <v>0</v>
      </c>
      <c r="AN94" s="474"/>
      <c r="AO94" s="474">
        <f>COUNTIF(PArticipationFevrier1[[#This Row],[1]:[30]],Code6)</f>
        <v>0</v>
      </c>
      <c r="AP94" s="474">
        <f>COUNTIF(PArticipationFevrier1[[#This Row],[1]:[30]],Code7)</f>
        <v>0</v>
      </c>
      <c r="AQ94" s="474">
        <f>COUNTIF(PArticipationFevrier1[[#This Row],[1]:[30]],Code8)</f>
        <v>0</v>
      </c>
      <c r="AR94" s="474">
        <f>COUNTIF(PArticipationFevrier1[[#This Row],[1]:[30]],Code9)</f>
        <v>0</v>
      </c>
      <c r="AS94" s="474">
        <f>COUNTIF(PArticipationFevrier1[[#This Row],[1]:[30]],Code10)</f>
        <v>0</v>
      </c>
      <c r="AT94" s="474">
        <f>COUNTIF(PArticipationFevrier1[[#This Row],[1]:[30]],Code11)</f>
        <v>0</v>
      </c>
      <c r="AU94" s="474">
        <f>COUNTIF(PArticipationFevrier1[[#This Row],[1]:[30]],Code12)</f>
        <v>0</v>
      </c>
      <c r="AV94" s="474">
        <f>COUNTIF(PArticipationFevrier1[[#This Row],[1]:[30]],Code13)</f>
        <v>0</v>
      </c>
      <c r="AW94" s="474">
        <f>COUNTIF(PArticipationFevrier1[[#This Row],[1]:[30]],Code14)</f>
        <v>0</v>
      </c>
      <c r="AX94" s="474">
        <f>COUNTIF(PArticipationFevrier1[[#This Row],[1]:[30]],Code15)</f>
        <v>0</v>
      </c>
      <c r="AY94" s="474">
        <f>COUNTIF(PArticipationFevrier1[[#This Row],[1]:[30]],Code16)</f>
        <v>0</v>
      </c>
      <c r="AZ94" s="474">
        <f>COUNTIF(PArticipationFevrier1[[#This Row],[1]:[30]],Code17)</f>
        <v>0</v>
      </c>
      <c r="BA94" s="474">
        <f>COUNTIF(PArticipationFevrier1[[#This Row],[1]:[30]],Code26)</f>
        <v>0</v>
      </c>
      <c r="BB94" s="474">
        <f>COUNTIF(PArticipationFevrier1[[#This Row],[1]:[30]],Code25)</f>
        <v>0</v>
      </c>
      <c r="BC94" s="474">
        <f>COUNTIF(PArticipationFevrier1[[#This Row],[1]:[30]],Code27)</f>
        <v>0</v>
      </c>
      <c r="BD94" s="474">
        <f>COUNTIF(PArticipationFevrier1[[#This Row],[1]:[30]],Code28)</f>
        <v>0</v>
      </c>
      <c r="BE94" s="474">
        <f>COUNTIF(PArticipationFevrier1[[#This Row],[1]:[30]],code30)</f>
        <v>0</v>
      </c>
      <c r="BF94" s="474">
        <f>COUNTIF(PArticipationFevrier1[[#This Row],[1]:[30]],Code31)</f>
        <v>0</v>
      </c>
      <c r="BG94" s="474">
        <f>COUNTIF(PArticipationFevrier1[[#This Row],[1]:[30]],code21)</f>
        <v>0</v>
      </c>
      <c r="BH94" s="474">
        <f>COUNTIF(PArticipationFevrier1[[#This Row],[1]:[30]],Code24)</f>
        <v>0</v>
      </c>
      <c r="BI94" s="474">
        <f>COUNTIF(PArticipationFevrier1[[#This Row],[1]:[30]],code18)</f>
        <v>0</v>
      </c>
      <c r="BJ94" s="474">
        <f>COUNTIF(PArticipationFevrier1[[#This Row],[1]:[30]],code19)</f>
        <v>0</v>
      </c>
      <c r="BK94" s="474">
        <f>COUNTIF(PArticipationFevrier1[[#This Row],[1]:[30]],code20)</f>
        <v>0</v>
      </c>
      <c r="BL94" s="476">
        <f>COUNTIF(PArticipationFevrier1[[#This Row],[1]:[30]],code29)</f>
        <v>0</v>
      </c>
      <c r="BM94" s="472"/>
      <c r="BN94" s="472"/>
      <c r="BO94" s="472"/>
      <c r="BP94" s="472"/>
      <c r="BQ94" s="472"/>
      <c r="BR94" s="472"/>
      <c r="BS94" s="472"/>
      <c r="BT94" s="472"/>
      <c r="BU94" s="472"/>
      <c r="BV94" s="472"/>
      <c r="BW94" s="472"/>
      <c r="BX94" s="472"/>
      <c r="BY94" s="472"/>
      <c r="BZ94" s="472"/>
      <c r="CA94" s="472"/>
      <c r="CB94" s="472"/>
      <c r="CC94" s="472"/>
      <c r="CD94" s="472"/>
      <c r="CE94" s="472"/>
      <c r="CF94" s="472"/>
      <c r="CG94" s="472"/>
      <c r="CH94" s="472"/>
      <c r="CI94" s="472"/>
      <c r="CJ94" s="472"/>
      <c r="CK94" s="472"/>
      <c r="CL94" s="472"/>
      <c r="CM94" s="472"/>
      <c r="CN94" s="472"/>
      <c r="CO94" s="472"/>
      <c r="CP94" s="472"/>
      <c r="CQ94" s="472"/>
      <c r="CR94" s="472"/>
      <c r="CS94" s="472"/>
      <c r="CT94" s="472"/>
      <c r="CU94" s="300"/>
      <c r="CV94" s="507">
        <f t="shared" si="5"/>
        <v>0</v>
      </c>
      <c r="CW94" s="531">
        <f t="shared" si="6"/>
        <v>0</v>
      </c>
      <c r="CX94" s="532">
        <f t="shared" si="7"/>
        <v>0</v>
      </c>
      <c r="CY94" s="157">
        <f t="shared" ref="CY94:CY155" si="8">SUM((BI94*7)+(BJ94*10)+(BK94*12))</f>
        <v>0</v>
      </c>
    </row>
    <row r="95" spans="1:103">
      <c r="A95" s="534" t="s">
        <v>436</v>
      </c>
      <c r="B95" s="152" t="str">
        <f>IFERROR(VLOOKUP(PArticipationFevrier1[[#This Row],[Référence]],ListeÉtudiants1[],18,FALSE),"")</f>
        <v>LIBON ADRIANA</v>
      </c>
      <c r="AF95" s="19"/>
      <c r="AG95" s="478"/>
      <c r="AH95" s="439">
        <f>COUNTIF(PArticipationFevrier1[[#This Row],[1]:[30]],Code1)</f>
        <v>0</v>
      </c>
      <c r="AI95" s="474">
        <f>COUNTIF(PArticipationFevrier1[[#This Row],[1]:[30]],code22)</f>
        <v>0</v>
      </c>
      <c r="AJ95" s="439">
        <f>COUNTIF(PArticipationFevrier1[[#This Row],[1]:[30]],Code2)</f>
        <v>0</v>
      </c>
      <c r="AK95" s="439">
        <f>COUNTIF(PArticipationFevrier1[[#This Row],[1]:[30]],Code3)</f>
        <v>0</v>
      </c>
      <c r="AL95" s="439">
        <f>COUNTIF(PArticipationFevrier1[[#This Row],[1]:[30]],Code4)</f>
        <v>0</v>
      </c>
      <c r="AM95" s="474">
        <f>COUNTIF(PArticipationFevrier1[[#This Row],[1]:[30]],Code5)</f>
        <v>0</v>
      </c>
      <c r="AN95" s="474"/>
      <c r="AO95" s="474">
        <f>COUNTIF(PArticipationFevrier1[[#This Row],[1]:[30]],Code6)</f>
        <v>0</v>
      </c>
      <c r="AP95" s="474">
        <f>COUNTIF(PArticipationFevrier1[[#This Row],[1]:[30]],Code7)</f>
        <v>0</v>
      </c>
      <c r="AQ95" s="474">
        <f>COUNTIF(PArticipationFevrier1[[#This Row],[1]:[30]],Code8)</f>
        <v>0</v>
      </c>
      <c r="AR95" s="474">
        <f>COUNTIF(PArticipationFevrier1[[#This Row],[1]:[30]],Code9)</f>
        <v>0</v>
      </c>
      <c r="AS95" s="474">
        <f>COUNTIF(PArticipationFevrier1[[#This Row],[1]:[30]],Code10)</f>
        <v>0</v>
      </c>
      <c r="AT95" s="474">
        <f>COUNTIF(PArticipationFevrier1[[#This Row],[1]:[30]],Code11)</f>
        <v>0</v>
      </c>
      <c r="AU95" s="474">
        <f>COUNTIF(PArticipationFevrier1[[#This Row],[1]:[30]],Code12)</f>
        <v>0</v>
      </c>
      <c r="AV95" s="474">
        <f>COUNTIF(PArticipationFevrier1[[#This Row],[1]:[30]],Code13)</f>
        <v>0</v>
      </c>
      <c r="AW95" s="474">
        <f>COUNTIF(PArticipationFevrier1[[#This Row],[1]:[30]],Code14)</f>
        <v>0</v>
      </c>
      <c r="AX95" s="474">
        <f>COUNTIF(PArticipationFevrier1[[#This Row],[1]:[30]],Code15)</f>
        <v>0</v>
      </c>
      <c r="AY95" s="474">
        <f>COUNTIF(PArticipationFevrier1[[#This Row],[1]:[30]],Code16)</f>
        <v>0</v>
      </c>
      <c r="AZ95" s="474">
        <f>COUNTIF(PArticipationFevrier1[[#This Row],[1]:[30]],Code17)</f>
        <v>0</v>
      </c>
      <c r="BA95" s="474">
        <f>COUNTIF(PArticipationFevrier1[[#This Row],[1]:[30]],Code26)</f>
        <v>0</v>
      </c>
      <c r="BB95" s="474">
        <f>COUNTIF(PArticipationFevrier1[[#This Row],[1]:[30]],Code25)</f>
        <v>0</v>
      </c>
      <c r="BC95" s="474">
        <f>COUNTIF(PArticipationFevrier1[[#This Row],[1]:[30]],Code27)</f>
        <v>0</v>
      </c>
      <c r="BD95" s="474">
        <f>COUNTIF(PArticipationFevrier1[[#This Row],[1]:[30]],Code28)</f>
        <v>0</v>
      </c>
      <c r="BE95" s="474">
        <f>COUNTIF(PArticipationFevrier1[[#This Row],[1]:[30]],code30)</f>
        <v>0</v>
      </c>
      <c r="BF95" s="474">
        <f>COUNTIF(PArticipationFevrier1[[#This Row],[1]:[30]],Code31)</f>
        <v>0</v>
      </c>
      <c r="BG95" s="474">
        <f>COUNTIF(PArticipationFevrier1[[#This Row],[1]:[30]],code21)</f>
        <v>0</v>
      </c>
      <c r="BH95" s="474">
        <f>COUNTIF(PArticipationFevrier1[[#This Row],[1]:[30]],Code24)</f>
        <v>0</v>
      </c>
      <c r="BI95" s="474">
        <f>COUNTIF(PArticipationFevrier1[[#This Row],[1]:[30]],code18)</f>
        <v>0</v>
      </c>
      <c r="BJ95" s="474">
        <f>COUNTIF(PArticipationFevrier1[[#This Row],[1]:[30]],code19)</f>
        <v>0</v>
      </c>
      <c r="BK95" s="474">
        <f>COUNTIF(PArticipationFevrier1[[#This Row],[1]:[30]],code20)</f>
        <v>0</v>
      </c>
      <c r="BL95" s="476">
        <f>COUNTIF(PArticipationFevrier1[[#This Row],[1]:[30]],code29)</f>
        <v>0</v>
      </c>
      <c r="BM95" s="472"/>
      <c r="BN95" s="472"/>
      <c r="BO95" s="472"/>
      <c r="BP95" s="472"/>
      <c r="BQ95" s="472"/>
      <c r="BR95" s="472"/>
      <c r="BS95" s="472"/>
      <c r="BT95" s="472"/>
      <c r="BU95" s="472"/>
      <c r="BV95" s="472"/>
      <c r="BW95" s="472"/>
      <c r="BX95" s="472"/>
      <c r="BY95" s="472"/>
      <c r="BZ95" s="472"/>
      <c r="CA95" s="472"/>
      <c r="CB95" s="472"/>
      <c r="CC95" s="472"/>
      <c r="CD95" s="472"/>
      <c r="CE95" s="472"/>
      <c r="CF95" s="472"/>
      <c r="CG95" s="472"/>
      <c r="CH95" s="472"/>
      <c r="CI95" s="472"/>
      <c r="CJ95" s="472"/>
      <c r="CK95" s="472"/>
      <c r="CL95" s="472"/>
      <c r="CM95" s="472"/>
      <c r="CN95" s="472"/>
      <c r="CO95" s="472"/>
      <c r="CP95" s="472"/>
      <c r="CQ95" s="472"/>
      <c r="CR95" s="472"/>
      <c r="CS95" s="472"/>
      <c r="CT95" s="472"/>
      <c r="CU95" s="300"/>
      <c r="CV95" s="507">
        <f t="shared" si="5"/>
        <v>0</v>
      </c>
      <c r="CW95" s="531">
        <f t="shared" si="6"/>
        <v>0</v>
      </c>
      <c r="CX95" s="532">
        <f t="shared" si="7"/>
        <v>0</v>
      </c>
      <c r="CY95" s="157">
        <f t="shared" si="8"/>
        <v>0</v>
      </c>
    </row>
    <row r="96" spans="1:103">
      <c r="A96" s="534" t="s">
        <v>437</v>
      </c>
      <c r="B96" s="152" t="str">
        <f>IFERROR(VLOOKUP(PArticipationFevrier1[[#This Row],[Référence]],ListeÉtudiants1[],18,FALSE),"")</f>
        <v>LIGER MARION</v>
      </c>
      <c r="AF96" s="19"/>
      <c r="AG96" s="478"/>
      <c r="AH96" s="439">
        <f>COUNTIF(PArticipationFevrier1[[#This Row],[1]:[30]],Code1)</f>
        <v>0</v>
      </c>
      <c r="AI96" s="474">
        <f>COUNTIF(PArticipationFevrier1[[#This Row],[1]:[30]],code22)</f>
        <v>0</v>
      </c>
      <c r="AJ96" s="439">
        <f>COUNTIF(PArticipationFevrier1[[#This Row],[1]:[30]],Code2)</f>
        <v>0</v>
      </c>
      <c r="AK96" s="439">
        <f>COUNTIF(PArticipationFevrier1[[#This Row],[1]:[30]],Code3)</f>
        <v>0</v>
      </c>
      <c r="AL96" s="439">
        <f>COUNTIF(PArticipationFevrier1[[#This Row],[1]:[30]],Code4)</f>
        <v>0</v>
      </c>
      <c r="AM96" s="474">
        <f>COUNTIF(PArticipationFevrier1[[#This Row],[1]:[30]],Code5)</f>
        <v>0</v>
      </c>
      <c r="AN96" s="474"/>
      <c r="AO96" s="474">
        <f>COUNTIF(PArticipationFevrier1[[#This Row],[1]:[30]],Code6)</f>
        <v>0</v>
      </c>
      <c r="AP96" s="474">
        <f>COUNTIF(PArticipationFevrier1[[#This Row],[1]:[30]],Code7)</f>
        <v>0</v>
      </c>
      <c r="AQ96" s="474">
        <f>COUNTIF(PArticipationFevrier1[[#This Row],[1]:[30]],Code8)</f>
        <v>0</v>
      </c>
      <c r="AR96" s="474">
        <f>COUNTIF(PArticipationFevrier1[[#This Row],[1]:[30]],Code9)</f>
        <v>0</v>
      </c>
      <c r="AS96" s="474">
        <f>COUNTIF(PArticipationFevrier1[[#This Row],[1]:[30]],Code10)</f>
        <v>0</v>
      </c>
      <c r="AT96" s="474">
        <f>COUNTIF(PArticipationFevrier1[[#This Row],[1]:[30]],Code11)</f>
        <v>0</v>
      </c>
      <c r="AU96" s="474">
        <f>COUNTIF(PArticipationFevrier1[[#This Row],[1]:[30]],Code12)</f>
        <v>0</v>
      </c>
      <c r="AV96" s="474">
        <f>COUNTIF(PArticipationFevrier1[[#This Row],[1]:[30]],Code13)</f>
        <v>0</v>
      </c>
      <c r="AW96" s="474">
        <f>COUNTIF(PArticipationFevrier1[[#This Row],[1]:[30]],Code14)</f>
        <v>0</v>
      </c>
      <c r="AX96" s="474">
        <f>COUNTIF(PArticipationFevrier1[[#This Row],[1]:[30]],Code15)</f>
        <v>0</v>
      </c>
      <c r="AY96" s="474">
        <f>COUNTIF(PArticipationFevrier1[[#This Row],[1]:[30]],Code16)</f>
        <v>0</v>
      </c>
      <c r="AZ96" s="474">
        <f>COUNTIF(PArticipationFevrier1[[#This Row],[1]:[30]],Code17)</f>
        <v>0</v>
      </c>
      <c r="BA96" s="474">
        <f>COUNTIF(PArticipationFevrier1[[#This Row],[1]:[30]],Code26)</f>
        <v>0</v>
      </c>
      <c r="BB96" s="474">
        <f>COUNTIF(PArticipationFevrier1[[#This Row],[1]:[30]],Code25)</f>
        <v>0</v>
      </c>
      <c r="BC96" s="474">
        <f>COUNTIF(PArticipationFevrier1[[#This Row],[1]:[30]],Code27)</f>
        <v>0</v>
      </c>
      <c r="BD96" s="474">
        <f>COUNTIF(PArticipationFevrier1[[#This Row],[1]:[30]],Code28)</f>
        <v>0</v>
      </c>
      <c r="BE96" s="474">
        <f>COUNTIF(PArticipationFevrier1[[#This Row],[1]:[30]],code30)</f>
        <v>0</v>
      </c>
      <c r="BF96" s="474">
        <f>COUNTIF(PArticipationFevrier1[[#This Row],[1]:[30]],Code31)</f>
        <v>0</v>
      </c>
      <c r="BG96" s="474">
        <f>COUNTIF(PArticipationFevrier1[[#This Row],[1]:[30]],code21)</f>
        <v>0</v>
      </c>
      <c r="BH96" s="474">
        <f>COUNTIF(PArticipationFevrier1[[#This Row],[1]:[30]],Code24)</f>
        <v>0</v>
      </c>
      <c r="BI96" s="474">
        <f>COUNTIF(PArticipationFevrier1[[#This Row],[1]:[30]],code18)</f>
        <v>0</v>
      </c>
      <c r="BJ96" s="474">
        <f>COUNTIF(PArticipationFevrier1[[#This Row],[1]:[30]],code19)</f>
        <v>0</v>
      </c>
      <c r="BK96" s="474">
        <f>COUNTIF(PArticipationFevrier1[[#This Row],[1]:[30]],code20)</f>
        <v>0</v>
      </c>
      <c r="BL96" s="476">
        <f>COUNTIF(PArticipationFevrier1[[#This Row],[1]:[30]],code29)</f>
        <v>0</v>
      </c>
      <c r="BM96" s="472"/>
      <c r="BN96" s="472"/>
      <c r="BO96" s="472"/>
      <c r="BP96" s="472"/>
      <c r="BQ96" s="472"/>
      <c r="BR96" s="472"/>
      <c r="BS96" s="472"/>
      <c r="BT96" s="472"/>
      <c r="BU96" s="472"/>
      <c r="BV96" s="472"/>
      <c r="BW96" s="472"/>
      <c r="BX96" s="472"/>
      <c r="BY96" s="472"/>
      <c r="BZ96" s="472"/>
      <c r="CA96" s="472"/>
      <c r="CB96" s="472"/>
      <c r="CC96" s="472"/>
      <c r="CD96" s="472"/>
      <c r="CE96" s="472"/>
      <c r="CF96" s="472"/>
      <c r="CG96" s="472"/>
      <c r="CH96" s="472"/>
      <c r="CI96" s="472"/>
      <c r="CJ96" s="472"/>
      <c r="CK96" s="472"/>
      <c r="CL96" s="472"/>
      <c r="CM96" s="472"/>
      <c r="CN96" s="472"/>
      <c r="CO96" s="472"/>
      <c r="CP96" s="472"/>
      <c r="CQ96" s="472"/>
      <c r="CR96" s="472"/>
      <c r="CS96" s="472"/>
      <c r="CT96" s="472"/>
      <c r="CU96" s="300"/>
      <c r="CV96" s="507">
        <f t="shared" si="5"/>
        <v>0</v>
      </c>
      <c r="CW96" s="531">
        <f t="shared" si="6"/>
        <v>0</v>
      </c>
      <c r="CX96" s="532">
        <f t="shared" si="7"/>
        <v>0</v>
      </c>
      <c r="CY96" s="157">
        <f t="shared" si="8"/>
        <v>0</v>
      </c>
    </row>
    <row r="97" spans="1:103">
      <c r="A97" s="534" t="s">
        <v>438</v>
      </c>
      <c r="B97" s="152" t="str">
        <f>IFERROR(VLOOKUP(PArticipationFevrier1[[#This Row],[Référence]],ListeÉtudiants1[],18,FALSE),"")</f>
        <v>MARCHAL RAPHAEL</v>
      </c>
      <c r="AF97" s="19"/>
      <c r="AG97" s="478"/>
      <c r="AH97" s="439">
        <f>COUNTIF(PArticipationFevrier1[[#This Row],[1]:[30]],Code1)</f>
        <v>0</v>
      </c>
      <c r="AI97" s="474">
        <f>COUNTIF(PArticipationFevrier1[[#This Row],[1]:[30]],code22)</f>
        <v>0</v>
      </c>
      <c r="AJ97" s="439">
        <f>COUNTIF(PArticipationFevrier1[[#This Row],[1]:[30]],Code2)</f>
        <v>0</v>
      </c>
      <c r="AK97" s="439">
        <f>COUNTIF(PArticipationFevrier1[[#This Row],[1]:[30]],Code3)</f>
        <v>0</v>
      </c>
      <c r="AL97" s="439">
        <f>COUNTIF(PArticipationFevrier1[[#This Row],[1]:[30]],Code4)</f>
        <v>0</v>
      </c>
      <c r="AM97" s="474">
        <f>COUNTIF(PArticipationFevrier1[[#This Row],[1]:[30]],Code5)</f>
        <v>0</v>
      </c>
      <c r="AN97" s="474"/>
      <c r="AO97" s="474">
        <f>COUNTIF(PArticipationFevrier1[[#This Row],[1]:[30]],Code6)</f>
        <v>0</v>
      </c>
      <c r="AP97" s="474">
        <f>COUNTIF(PArticipationFevrier1[[#This Row],[1]:[30]],Code7)</f>
        <v>0</v>
      </c>
      <c r="AQ97" s="474">
        <f>COUNTIF(PArticipationFevrier1[[#This Row],[1]:[30]],Code8)</f>
        <v>0</v>
      </c>
      <c r="AR97" s="474">
        <f>COUNTIF(PArticipationFevrier1[[#This Row],[1]:[30]],Code9)</f>
        <v>0</v>
      </c>
      <c r="AS97" s="474">
        <f>COUNTIF(PArticipationFevrier1[[#This Row],[1]:[30]],Code10)</f>
        <v>0</v>
      </c>
      <c r="AT97" s="474">
        <f>COUNTIF(PArticipationFevrier1[[#This Row],[1]:[30]],Code11)</f>
        <v>0</v>
      </c>
      <c r="AU97" s="474">
        <f>COUNTIF(PArticipationFevrier1[[#This Row],[1]:[30]],Code12)</f>
        <v>0</v>
      </c>
      <c r="AV97" s="474">
        <f>COUNTIF(PArticipationFevrier1[[#This Row],[1]:[30]],Code13)</f>
        <v>0</v>
      </c>
      <c r="AW97" s="474">
        <f>COUNTIF(PArticipationFevrier1[[#This Row],[1]:[30]],Code14)</f>
        <v>0</v>
      </c>
      <c r="AX97" s="474">
        <f>COUNTIF(PArticipationFevrier1[[#This Row],[1]:[30]],Code15)</f>
        <v>0</v>
      </c>
      <c r="AY97" s="474">
        <f>COUNTIF(PArticipationFevrier1[[#This Row],[1]:[30]],Code16)</f>
        <v>0</v>
      </c>
      <c r="AZ97" s="474">
        <f>COUNTIF(PArticipationFevrier1[[#This Row],[1]:[30]],Code17)</f>
        <v>0</v>
      </c>
      <c r="BA97" s="474">
        <f>COUNTIF(PArticipationFevrier1[[#This Row],[1]:[30]],Code26)</f>
        <v>0</v>
      </c>
      <c r="BB97" s="474">
        <f>COUNTIF(PArticipationFevrier1[[#This Row],[1]:[30]],Code25)</f>
        <v>0</v>
      </c>
      <c r="BC97" s="474">
        <f>COUNTIF(PArticipationFevrier1[[#This Row],[1]:[30]],Code27)</f>
        <v>0</v>
      </c>
      <c r="BD97" s="474">
        <f>COUNTIF(PArticipationFevrier1[[#This Row],[1]:[30]],Code28)</f>
        <v>0</v>
      </c>
      <c r="BE97" s="474">
        <f>COUNTIF(PArticipationFevrier1[[#This Row],[1]:[30]],code30)</f>
        <v>0</v>
      </c>
      <c r="BF97" s="474">
        <f>COUNTIF(PArticipationFevrier1[[#This Row],[1]:[30]],Code31)</f>
        <v>0</v>
      </c>
      <c r="BG97" s="474">
        <f>COUNTIF(PArticipationFevrier1[[#This Row],[1]:[30]],code21)</f>
        <v>0</v>
      </c>
      <c r="BH97" s="474">
        <f>COUNTIF(PArticipationFevrier1[[#This Row],[1]:[30]],Code24)</f>
        <v>0</v>
      </c>
      <c r="BI97" s="474">
        <f>COUNTIF(PArticipationFevrier1[[#This Row],[1]:[30]],code18)</f>
        <v>0</v>
      </c>
      <c r="BJ97" s="474">
        <f>COUNTIF(PArticipationFevrier1[[#This Row],[1]:[30]],code19)</f>
        <v>0</v>
      </c>
      <c r="BK97" s="474">
        <f>COUNTIF(PArticipationFevrier1[[#This Row],[1]:[30]],code20)</f>
        <v>0</v>
      </c>
      <c r="BL97" s="476">
        <f>COUNTIF(PArticipationFevrier1[[#This Row],[1]:[30]],code29)</f>
        <v>0</v>
      </c>
      <c r="BM97" s="472"/>
      <c r="BN97" s="472"/>
      <c r="BO97" s="472"/>
      <c r="BP97" s="472"/>
      <c r="BQ97" s="472"/>
      <c r="BR97" s="472"/>
      <c r="BS97" s="472"/>
      <c r="BT97" s="472"/>
      <c r="BU97" s="472"/>
      <c r="BV97" s="472"/>
      <c r="BW97" s="472"/>
      <c r="BX97" s="472"/>
      <c r="BY97" s="472"/>
      <c r="BZ97" s="472"/>
      <c r="CA97" s="472"/>
      <c r="CB97" s="472"/>
      <c r="CC97" s="472"/>
      <c r="CD97" s="472"/>
      <c r="CE97" s="472"/>
      <c r="CF97" s="472"/>
      <c r="CG97" s="472"/>
      <c r="CH97" s="472"/>
      <c r="CI97" s="472"/>
      <c r="CJ97" s="472"/>
      <c r="CK97" s="472"/>
      <c r="CL97" s="472"/>
      <c r="CM97" s="472"/>
      <c r="CN97" s="472"/>
      <c r="CO97" s="472"/>
      <c r="CP97" s="472"/>
      <c r="CQ97" s="472"/>
      <c r="CR97" s="472"/>
      <c r="CS97" s="472"/>
      <c r="CT97" s="472"/>
      <c r="CU97" s="300"/>
      <c r="CV97" s="507">
        <f t="shared" si="5"/>
        <v>0</v>
      </c>
      <c r="CW97" s="531">
        <f t="shared" si="6"/>
        <v>0</v>
      </c>
      <c r="CX97" s="532">
        <f t="shared" si="7"/>
        <v>0</v>
      </c>
      <c r="CY97" s="157">
        <f t="shared" si="8"/>
        <v>0</v>
      </c>
    </row>
    <row r="98" spans="1:103">
      <c r="A98" s="510" t="s">
        <v>439</v>
      </c>
      <c r="B98" s="152" t="str">
        <f>IFERROR(VLOOKUP(PArticipationFevrier1[[#This Row],[Référence]],ListeÉtudiants1[],18,FALSE),"")</f>
        <v>MARIE-ANAIS OLIVIER</v>
      </c>
      <c r="AF98" s="19"/>
      <c r="AG98" s="478"/>
      <c r="AH98" s="439">
        <f>COUNTIF(PArticipationFevrier1[[#This Row],[1]:[30]],Code1)</f>
        <v>0</v>
      </c>
      <c r="AI98" s="474">
        <f>COUNTIF(PArticipationFevrier1[[#This Row],[1]:[30]],code22)</f>
        <v>0</v>
      </c>
      <c r="AJ98" s="439">
        <f>COUNTIF(PArticipationFevrier1[[#This Row],[1]:[30]],Code2)</f>
        <v>0</v>
      </c>
      <c r="AK98" s="439">
        <f>COUNTIF(PArticipationFevrier1[[#This Row],[1]:[30]],Code3)</f>
        <v>0</v>
      </c>
      <c r="AL98" s="439">
        <f>COUNTIF(PArticipationFevrier1[[#This Row],[1]:[30]],Code4)</f>
        <v>0</v>
      </c>
      <c r="AM98" s="474">
        <f>COUNTIF(PArticipationFevrier1[[#This Row],[1]:[30]],Code5)</f>
        <v>0</v>
      </c>
      <c r="AN98" s="474"/>
      <c r="AO98" s="474">
        <f>COUNTIF(PArticipationFevrier1[[#This Row],[1]:[30]],Code6)</f>
        <v>0</v>
      </c>
      <c r="AP98" s="474">
        <f>COUNTIF(PArticipationFevrier1[[#This Row],[1]:[30]],Code7)</f>
        <v>0</v>
      </c>
      <c r="AQ98" s="474">
        <f>COUNTIF(PArticipationFevrier1[[#This Row],[1]:[30]],Code8)</f>
        <v>0</v>
      </c>
      <c r="AR98" s="474">
        <f>COUNTIF(PArticipationFevrier1[[#This Row],[1]:[30]],Code9)</f>
        <v>0</v>
      </c>
      <c r="AS98" s="474">
        <f>COUNTIF(PArticipationFevrier1[[#This Row],[1]:[30]],Code10)</f>
        <v>0</v>
      </c>
      <c r="AT98" s="474">
        <f>COUNTIF(PArticipationFevrier1[[#This Row],[1]:[30]],Code11)</f>
        <v>0</v>
      </c>
      <c r="AU98" s="474">
        <f>COUNTIF(PArticipationFevrier1[[#This Row],[1]:[30]],Code12)</f>
        <v>0</v>
      </c>
      <c r="AV98" s="474">
        <f>COUNTIF(PArticipationFevrier1[[#This Row],[1]:[30]],Code13)</f>
        <v>0</v>
      </c>
      <c r="AW98" s="474">
        <f>COUNTIF(PArticipationFevrier1[[#This Row],[1]:[30]],Code14)</f>
        <v>0</v>
      </c>
      <c r="AX98" s="474">
        <f>COUNTIF(PArticipationFevrier1[[#This Row],[1]:[30]],Code15)</f>
        <v>0</v>
      </c>
      <c r="AY98" s="474">
        <f>COUNTIF(PArticipationFevrier1[[#This Row],[1]:[30]],Code16)</f>
        <v>0</v>
      </c>
      <c r="AZ98" s="474">
        <f>COUNTIF(PArticipationFevrier1[[#This Row],[1]:[30]],Code17)</f>
        <v>0</v>
      </c>
      <c r="BA98" s="474">
        <f>COUNTIF(PArticipationFevrier1[[#This Row],[1]:[30]],Code26)</f>
        <v>0</v>
      </c>
      <c r="BB98" s="474">
        <f>COUNTIF(PArticipationFevrier1[[#This Row],[1]:[30]],Code25)</f>
        <v>0</v>
      </c>
      <c r="BC98" s="474">
        <f>COUNTIF(PArticipationFevrier1[[#This Row],[1]:[30]],Code27)</f>
        <v>0</v>
      </c>
      <c r="BD98" s="474">
        <f>COUNTIF(PArticipationFevrier1[[#This Row],[1]:[30]],Code28)</f>
        <v>0</v>
      </c>
      <c r="BE98" s="474">
        <f>COUNTIF(PArticipationFevrier1[[#This Row],[1]:[30]],code30)</f>
        <v>0</v>
      </c>
      <c r="BF98" s="474">
        <f>COUNTIF(PArticipationFevrier1[[#This Row],[1]:[30]],Code31)</f>
        <v>0</v>
      </c>
      <c r="BG98" s="474">
        <f>COUNTIF(PArticipationFevrier1[[#This Row],[1]:[30]],code21)</f>
        <v>0</v>
      </c>
      <c r="BH98" s="474">
        <f>COUNTIF(PArticipationFevrier1[[#This Row],[1]:[30]],Code24)</f>
        <v>0</v>
      </c>
      <c r="BI98" s="474">
        <f>COUNTIF(PArticipationFevrier1[[#This Row],[1]:[30]],code18)</f>
        <v>0</v>
      </c>
      <c r="BJ98" s="474">
        <f>COUNTIF(PArticipationFevrier1[[#This Row],[1]:[30]],code19)</f>
        <v>0</v>
      </c>
      <c r="BK98" s="474">
        <f>COUNTIF(PArticipationFevrier1[[#This Row],[1]:[30]],code20)</f>
        <v>0</v>
      </c>
      <c r="BL98" s="476">
        <f>COUNTIF(PArticipationFevrier1[[#This Row],[1]:[30]],code29)</f>
        <v>0</v>
      </c>
      <c r="BM98" s="472"/>
      <c r="BN98" s="472"/>
      <c r="BO98" s="472"/>
      <c r="BP98" s="472"/>
      <c r="BQ98" s="472"/>
      <c r="BR98" s="472"/>
      <c r="BS98" s="472"/>
      <c r="BT98" s="472"/>
      <c r="BU98" s="472"/>
      <c r="BV98" s="472"/>
      <c r="BW98" s="472"/>
      <c r="BX98" s="472"/>
      <c r="BY98" s="472"/>
      <c r="BZ98" s="472"/>
      <c r="CA98" s="472"/>
      <c r="CB98" s="472"/>
      <c r="CC98" s="472"/>
      <c r="CD98" s="472"/>
      <c r="CE98" s="472"/>
      <c r="CF98" s="472"/>
      <c r="CG98" s="472"/>
      <c r="CH98" s="472"/>
      <c r="CI98" s="472"/>
      <c r="CJ98" s="472"/>
      <c r="CK98" s="472"/>
      <c r="CL98" s="472"/>
      <c r="CM98" s="472"/>
      <c r="CN98" s="472"/>
      <c r="CO98" s="472"/>
      <c r="CP98" s="472"/>
      <c r="CQ98" s="472"/>
      <c r="CR98" s="472"/>
      <c r="CS98" s="472"/>
      <c r="CT98" s="472"/>
      <c r="CU98" s="300"/>
      <c r="CV98" s="507">
        <f t="shared" si="5"/>
        <v>0</v>
      </c>
      <c r="CW98" s="531">
        <f t="shared" si="6"/>
        <v>0</v>
      </c>
      <c r="CX98" s="532">
        <f t="shared" si="7"/>
        <v>0</v>
      </c>
      <c r="CY98" s="157">
        <f t="shared" si="8"/>
        <v>0</v>
      </c>
    </row>
    <row r="99" spans="1:103">
      <c r="A99" s="510" t="s">
        <v>440</v>
      </c>
      <c r="B99" s="152" t="str">
        <f>IFERROR(VLOOKUP(PArticipationFevrier1[[#This Row],[Référence]],ListeÉtudiants1[],18,FALSE),"")</f>
        <v>MATEUS ANDREA</v>
      </c>
      <c r="AF99" s="19"/>
      <c r="AG99" s="478"/>
      <c r="AH99" s="439">
        <f>COUNTIF(PArticipationFevrier1[[#This Row],[1]:[30]],Code1)</f>
        <v>0</v>
      </c>
      <c r="AI99" s="474">
        <f>COUNTIF(PArticipationFevrier1[[#This Row],[1]:[30]],code22)</f>
        <v>0</v>
      </c>
      <c r="AJ99" s="439">
        <f>COUNTIF(PArticipationFevrier1[[#This Row],[1]:[30]],Code2)</f>
        <v>0</v>
      </c>
      <c r="AK99" s="439">
        <f>COUNTIF(PArticipationFevrier1[[#This Row],[1]:[30]],Code3)</f>
        <v>0</v>
      </c>
      <c r="AL99" s="439">
        <f>COUNTIF(PArticipationFevrier1[[#This Row],[1]:[30]],Code4)</f>
        <v>0</v>
      </c>
      <c r="AM99" s="474">
        <f>COUNTIF(PArticipationFevrier1[[#This Row],[1]:[30]],Code5)</f>
        <v>0</v>
      </c>
      <c r="AN99" s="474"/>
      <c r="AO99" s="474">
        <f>COUNTIF(PArticipationFevrier1[[#This Row],[1]:[30]],Code6)</f>
        <v>0</v>
      </c>
      <c r="AP99" s="474">
        <f>COUNTIF(PArticipationFevrier1[[#This Row],[1]:[30]],Code7)</f>
        <v>0</v>
      </c>
      <c r="AQ99" s="474">
        <f>COUNTIF(PArticipationFevrier1[[#This Row],[1]:[30]],Code8)</f>
        <v>0</v>
      </c>
      <c r="AR99" s="474">
        <f>COUNTIF(PArticipationFevrier1[[#This Row],[1]:[30]],Code9)</f>
        <v>0</v>
      </c>
      <c r="AS99" s="474">
        <f>COUNTIF(PArticipationFevrier1[[#This Row],[1]:[30]],Code10)</f>
        <v>0</v>
      </c>
      <c r="AT99" s="474">
        <f>COUNTIF(PArticipationFevrier1[[#This Row],[1]:[30]],Code11)</f>
        <v>0</v>
      </c>
      <c r="AU99" s="474">
        <f>COUNTIF(PArticipationFevrier1[[#This Row],[1]:[30]],Code12)</f>
        <v>0</v>
      </c>
      <c r="AV99" s="474">
        <f>COUNTIF(PArticipationFevrier1[[#This Row],[1]:[30]],Code13)</f>
        <v>0</v>
      </c>
      <c r="AW99" s="474">
        <f>COUNTIF(PArticipationFevrier1[[#This Row],[1]:[30]],Code14)</f>
        <v>0</v>
      </c>
      <c r="AX99" s="474">
        <f>COUNTIF(PArticipationFevrier1[[#This Row],[1]:[30]],Code15)</f>
        <v>0</v>
      </c>
      <c r="AY99" s="474">
        <f>COUNTIF(PArticipationFevrier1[[#This Row],[1]:[30]],Code16)</f>
        <v>0</v>
      </c>
      <c r="AZ99" s="474">
        <f>COUNTIF(PArticipationFevrier1[[#This Row],[1]:[30]],Code17)</f>
        <v>0</v>
      </c>
      <c r="BA99" s="474">
        <f>COUNTIF(PArticipationFevrier1[[#This Row],[1]:[30]],Code26)</f>
        <v>0</v>
      </c>
      <c r="BB99" s="474">
        <f>COUNTIF(PArticipationFevrier1[[#This Row],[1]:[30]],Code25)</f>
        <v>0</v>
      </c>
      <c r="BC99" s="474">
        <f>COUNTIF(PArticipationFevrier1[[#This Row],[1]:[30]],Code27)</f>
        <v>0</v>
      </c>
      <c r="BD99" s="474">
        <f>COUNTIF(PArticipationFevrier1[[#This Row],[1]:[30]],Code28)</f>
        <v>0</v>
      </c>
      <c r="BE99" s="474">
        <f>COUNTIF(PArticipationFevrier1[[#This Row],[1]:[30]],code30)</f>
        <v>0</v>
      </c>
      <c r="BF99" s="474">
        <f>COUNTIF(PArticipationFevrier1[[#This Row],[1]:[30]],Code31)</f>
        <v>0</v>
      </c>
      <c r="BG99" s="474">
        <f>COUNTIF(PArticipationFevrier1[[#This Row],[1]:[30]],code21)</f>
        <v>0</v>
      </c>
      <c r="BH99" s="474">
        <f>COUNTIF(PArticipationFevrier1[[#This Row],[1]:[30]],Code24)</f>
        <v>0</v>
      </c>
      <c r="BI99" s="474">
        <f>COUNTIF(PArticipationFevrier1[[#This Row],[1]:[30]],code18)</f>
        <v>0</v>
      </c>
      <c r="BJ99" s="474">
        <f>COUNTIF(PArticipationFevrier1[[#This Row],[1]:[30]],code19)</f>
        <v>0</v>
      </c>
      <c r="BK99" s="474">
        <f>COUNTIF(PArticipationFevrier1[[#This Row],[1]:[30]],code20)</f>
        <v>0</v>
      </c>
      <c r="BL99" s="476">
        <f>COUNTIF(PArticipationFevrier1[[#This Row],[1]:[30]],code29)</f>
        <v>0</v>
      </c>
      <c r="BM99" s="472"/>
      <c r="BN99" s="472"/>
      <c r="BO99" s="472"/>
      <c r="BP99" s="472"/>
      <c r="BQ99" s="472"/>
      <c r="BR99" s="472"/>
      <c r="BS99" s="472"/>
      <c r="BT99" s="472"/>
      <c r="BU99" s="472"/>
      <c r="BV99" s="472"/>
      <c r="BW99" s="472"/>
      <c r="BX99" s="472"/>
      <c r="BY99" s="472"/>
      <c r="BZ99" s="472"/>
      <c r="CA99" s="472"/>
      <c r="CB99" s="472"/>
      <c r="CC99" s="472"/>
      <c r="CD99" s="472"/>
      <c r="CE99" s="472"/>
      <c r="CF99" s="472"/>
      <c r="CG99" s="472"/>
      <c r="CH99" s="472"/>
      <c r="CI99" s="472"/>
      <c r="CJ99" s="472"/>
      <c r="CK99" s="472"/>
      <c r="CL99" s="472"/>
      <c r="CM99" s="472"/>
      <c r="CN99" s="472"/>
      <c r="CO99" s="472"/>
      <c r="CP99" s="472"/>
      <c r="CQ99" s="472"/>
      <c r="CR99" s="472"/>
      <c r="CS99" s="472"/>
      <c r="CT99" s="472"/>
      <c r="CU99" s="300"/>
      <c r="CV99" s="507">
        <f t="shared" ref="CV99:CV155" si="9">SUM((AH99*1)+(AI99*1.5)+(AJ99*2)+(AK99*3)+(AP99*5)+(AQ99*6)+(AR99*7)+(AX99*3)+(AY99*4)+(BA99*5)+(BB99*3)+(BC99*2)+(BG99*2)+(AZ99*2)+(BD99*2))</f>
        <v>0</v>
      </c>
      <c r="CW99" s="531">
        <f t="shared" ref="CW99:CW155" si="10">SUM((AN99*1)+(AM99*2)+(AO99*3)+(AP99*4)+(AT99*5)+(AU99*6)+(AV99*7)+(AW99*7)+(AX99*4)+(AY99*3)+(BA99*2)+(BC99*4)+(BB99*1)+(BG99*2)+(AZ99*5)+(BD99*1))</f>
        <v>0</v>
      </c>
      <c r="CX99" s="532">
        <f t="shared" ref="CX99:CX155" si="11">BH99*1</f>
        <v>0</v>
      </c>
      <c r="CY99" s="157">
        <f t="shared" si="8"/>
        <v>0</v>
      </c>
    </row>
    <row r="100" spans="1:103">
      <c r="A100" s="534" t="s">
        <v>441</v>
      </c>
      <c r="B100" s="152" t="str">
        <f>IFERROR(VLOOKUP(PArticipationFevrier1[[#This Row],[Référence]],ListeÉtudiants1[],18,FALSE),"")</f>
        <v>MAWETE  JESSICA</v>
      </c>
      <c r="AF100" s="19"/>
      <c r="AG100" s="478"/>
      <c r="AH100" s="439">
        <f>COUNTIF(PArticipationFevrier1[[#This Row],[1]:[30]],Code1)</f>
        <v>0</v>
      </c>
      <c r="AI100" s="474">
        <f>COUNTIF(PArticipationFevrier1[[#This Row],[1]:[30]],code22)</f>
        <v>0</v>
      </c>
      <c r="AJ100" s="439">
        <f>COUNTIF(PArticipationFevrier1[[#This Row],[1]:[30]],Code2)</f>
        <v>0</v>
      </c>
      <c r="AK100" s="439">
        <f>COUNTIF(PArticipationFevrier1[[#This Row],[1]:[30]],Code3)</f>
        <v>0</v>
      </c>
      <c r="AL100" s="439">
        <f>COUNTIF(PArticipationFevrier1[[#This Row],[1]:[30]],Code4)</f>
        <v>0</v>
      </c>
      <c r="AM100" s="474">
        <f>COUNTIF(PArticipationFevrier1[[#This Row],[1]:[30]],Code5)</f>
        <v>0</v>
      </c>
      <c r="AN100" s="474"/>
      <c r="AO100" s="474">
        <f>COUNTIF(PArticipationFevrier1[[#This Row],[1]:[30]],Code6)</f>
        <v>0</v>
      </c>
      <c r="AP100" s="474">
        <f>COUNTIF(PArticipationFevrier1[[#This Row],[1]:[30]],Code7)</f>
        <v>0</v>
      </c>
      <c r="AQ100" s="474">
        <f>COUNTIF(PArticipationFevrier1[[#This Row],[1]:[30]],Code8)</f>
        <v>0</v>
      </c>
      <c r="AR100" s="474">
        <f>COUNTIF(PArticipationFevrier1[[#This Row],[1]:[30]],Code9)</f>
        <v>0</v>
      </c>
      <c r="AS100" s="474">
        <f>COUNTIF(PArticipationFevrier1[[#This Row],[1]:[30]],Code10)</f>
        <v>0</v>
      </c>
      <c r="AT100" s="474">
        <f>COUNTIF(PArticipationFevrier1[[#This Row],[1]:[30]],Code11)</f>
        <v>0</v>
      </c>
      <c r="AU100" s="474">
        <f>COUNTIF(PArticipationFevrier1[[#This Row],[1]:[30]],Code12)</f>
        <v>0</v>
      </c>
      <c r="AV100" s="474">
        <f>COUNTIF(PArticipationFevrier1[[#This Row],[1]:[30]],Code13)</f>
        <v>0</v>
      </c>
      <c r="AW100" s="474">
        <f>COUNTIF(PArticipationFevrier1[[#This Row],[1]:[30]],Code14)</f>
        <v>0</v>
      </c>
      <c r="AX100" s="474">
        <f>COUNTIF(PArticipationFevrier1[[#This Row],[1]:[30]],Code15)</f>
        <v>0</v>
      </c>
      <c r="AY100" s="474">
        <f>COUNTIF(PArticipationFevrier1[[#This Row],[1]:[30]],Code16)</f>
        <v>0</v>
      </c>
      <c r="AZ100" s="474">
        <f>COUNTIF(PArticipationFevrier1[[#This Row],[1]:[30]],Code17)</f>
        <v>0</v>
      </c>
      <c r="BA100" s="474">
        <f>COUNTIF(PArticipationFevrier1[[#This Row],[1]:[30]],Code26)</f>
        <v>0</v>
      </c>
      <c r="BB100" s="474">
        <f>COUNTIF(PArticipationFevrier1[[#This Row],[1]:[30]],Code25)</f>
        <v>0</v>
      </c>
      <c r="BC100" s="474">
        <f>COUNTIF(PArticipationFevrier1[[#This Row],[1]:[30]],Code27)</f>
        <v>0</v>
      </c>
      <c r="BD100" s="474">
        <f>COUNTIF(PArticipationFevrier1[[#This Row],[1]:[30]],Code28)</f>
        <v>0</v>
      </c>
      <c r="BE100" s="474">
        <f>COUNTIF(PArticipationFevrier1[[#This Row],[1]:[30]],code30)</f>
        <v>0</v>
      </c>
      <c r="BF100" s="474">
        <f>COUNTIF(PArticipationFevrier1[[#This Row],[1]:[30]],Code31)</f>
        <v>0</v>
      </c>
      <c r="BG100" s="474">
        <f>COUNTIF(PArticipationFevrier1[[#This Row],[1]:[30]],code21)</f>
        <v>0</v>
      </c>
      <c r="BH100" s="474">
        <f>COUNTIF(PArticipationFevrier1[[#This Row],[1]:[30]],Code24)</f>
        <v>0</v>
      </c>
      <c r="BI100" s="474">
        <f>COUNTIF(PArticipationFevrier1[[#This Row],[1]:[30]],code18)</f>
        <v>0</v>
      </c>
      <c r="BJ100" s="474">
        <f>COUNTIF(PArticipationFevrier1[[#This Row],[1]:[30]],code19)</f>
        <v>0</v>
      </c>
      <c r="BK100" s="474">
        <f>COUNTIF(PArticipationFevrier1[[#This Row],[1]:[30]],code20)</f>
        <v>0</v>
      </c>
      <c r="BL100" s="476">
        <f>COUNTIF(PArticipationFevrier1[[#This Row],[1]:[30]],code29)</f>
        <v>0</v>
      </c>
      <c r="BM100" s="472"/>
      <c r="BN100" s="472"/>
      <c r="BO100" s="472"/>
      <c r="BP100" s="472"/>
      <c r="BQ100" s="472"/>
      <c r="BR100" s="472"/>
      <c r="BS100" s="472"/>
      <c r="BT100" s="472"/>
      <c r="BU100" s="472"/>
      <c r="BV100" s="472"/>
      <c r="BW100" s="472"/>
      <c r="BX100" s="472"/>
      <c r="BY100" s="472"/>
      <c r="BZ100" s="472"/>
      <c r="CA100" s="472"/>
      <c r="CB100" s="472"/>
      <c r="CC100" s="472"/>
      <c r="CD100" s="472"/>
      <c r="CE100" s="472"/>
      <c r="CF100" s="472"/>
      <c r="CG100" s="472"/>
      <c r="CH100" s="472"/>
      <c r="CI100" s="472"/>
      <c r="CJ100" s="472"/>
      <c r="CK100" s="472"/>
      <c r="CL100" s="472"/>
      <c r="CM100" s="472"/>
      <c r="CN100" s="472"/>
      <c r="CO100" s="472"/>
      <c r="CP100" s="472"/>
      <c r="CQ100" s="472"/>
      <c r="CR100" s="472"/>
      <c r="CS100" s="472"/>
      <c r="CT100" s="472"/>
      <c r="CU100" s="300"/>
      <c r="CV100" s="507">
        <f t="shared" si="9"/>
        <v>0</v>
      </c>
      <c r="CW100" s="531">
        <f t="shared" si="10"/>
        <v>0</v>
      </c>
      <c r="CX100" s="532">
        <f t="shared" si="11"/>
        <v>0</v>
      </c>
      <c r="CY100" s="157">
        <f t="shared" si="8"/>
        <v>0</v>
      </c>
    </row>
    <row r="101" spans="1:103">
      <c r="A101" s="510" t="s">
        <v>442</v>
      </c>
      <c r="B101" s="152" t="str">
        <f>IFERROR(VLOOKUP(PArticipationFevrier1[[#This Row],[Référence]],ListeÉtudiants1[],18,FALSE),"")</f>
        <v>MAZIERS LAURENCE</v>
      </c>
      <c r="AF101" s="19"/>
      <c r="AG101" s="478"/>
      <c r="AH101" s="439">
        <f>COUNTIF(PArticipationFevrier1[[#This Row],[1]:[30]],Code1)</f>
        <v>0</v>
      </c>
      <c r="AI101" s="474">
        <f>COUNTIF(PArticipationFevrier1[[#This Row],[1]:[30]],code22)</f>
        <v>0</v>
      </c>
      <c r="AJ101" s="439">
        <f>COUNTIF(PArticipationFevrier1[[#This Row],[1]:[30]],Code2)</f>
        <v>0</v>
      </c>
      <c r="AK101" s="439">
        <f>COUNTIF(PArticipationFevrier1[[#This Row],[1]:[30]],Code3)</f>
        <v>0</v>
      </c>
      <c r="AL101" s="439">
        <f>COUNTIF(PArticipationFevrier1[[#This Row],[1]:[30]],Code4)</f>
        <v>0</v>
      </c>
      <c r="AM101" s="474">
        <f>COUNTIF(PArticipationFevrier1[[#This Row],[1]:[30]],Code5)</f>
        <v>0</v>
      </c>
      <c r="AN101" s="474"/>
      <c r="AO101" s="474">
        <f>COUNTIF(PArticipationFevrier1[[#This Row],[1]:[30]],Code6)</f>
        <v>0</v>
      </c>
      <c r="AP101" s="474">
        <f>COUNTIF(PArticipationFevrier1[[#This Row],[1]:[30]],Code7)</f>
        <v>0</v>
      </c>
      <c r="AQ101" s="474">
        <f>COUNTIF(PArticipationFevrier1[[#This Row],[1]:[30]],Code8)</f>
        <v>0</v>
      </c>
      <c r="AR101" s="474">
        <f>COUNTIF(PArticipationFevrier1[[#This Row],[1]:[30]],Code9)</f>
        <v>0</v>
      </c>
      <c r="AS101" s="474">
        <f>COUNTIF(PArticipationFevrier1[[#This Row],[1]:[30]],Code10)</f>
        <v>0</v>
      </c>
      <c r="AT101" s="474">
        <f>COUNTIF(PArticipationFevrier1[[#This Row],[1]:[30]],Code11)</f>
        <v>0</v>
      </c>
      <c r="AU101" s="474">
        <f>COUNTIF(PArticipationFevrier1[[#This Row],[1]:[30]],Code12)</f>
        <v>0</v>
      </c>
      <c r="AV101" s="474">
        <f>COUNTIF(PArticipationFevrier1[[#This Row],[1]:[30]],Code13)</f>
        <v>0</v>
      </c>
      <c r="AW101" s="474">
        <f>COUNTIF(PArticipationFevrier1[[#This Row],[1]:[30]],Code14)</f>
        <v>0</v>
      </c>
      <c r="AX101" s="474">
        <f>COUNTIF(PArticipationFevrier1[[#This Row],[1]:[30]],Code15)</f>
        <v>0</v>
      </c>
      <c r="AY101" s="474">
        <f>COUNTIF(PArticipationFevrier1[[#This Row],[1]:[30]],Code16)</f>
        <v>0</v>
      </c>
      <c r="AZ101" s="474">
        <f>COUNTIF(PArticipationFevrier1[[#This Row],[1]:[30]],Code17)</f>
        <v>0</v>
      </c>
      <c r="BA101" s="474">
        <f>COUNTIF(PArticipationFevrier1[[#This Row],[1]:[30]],Code26)</f>
        <v>0</v>
      </c>
      <c r="BB101" s="474">
        <f>COUNTIF(PArticipationFevrier1[[#This Row],[1]:[30]],Code25)</f>
        <v>0</v>
      </c>
      <c r="BC101" s="474">
        <f>COUNTIF(PArticipationFevrier1[[#This Row],[1]:[30]],Code27)</f>
        <v>0</v>
      </c>
      <c r="BD101" s="474">
        <f>COUNTIF(PArticipationFevrier1[[#This Row],[1]:[30]],Code28)</f>
        <v>0</v>
      </c>
      <c r="BE101" s="474">
        <f>COUNTIF(PArticipationFevrier1[[#This Row],[1]:[30]],code30)</f>
        <v>0</v>
      </c>
      <c r="BF101" s="474">
        <f>COUNTIF(PArticipationFevrier1[[#This Row],[1]:[30]],Code31)</f>
        <v>0</v>
      </c>
      <c r="BG101" s="474">
        <f>COUNTIF(PArticipationFevrier1[[#This Row],[1]:[30]],code21)</f>
        <v>0</v>
      </c>
      <c r="BH101" s="474">
        <f>COUNTIF(PArticipationFevrier1[[#This Row],[1]:[30]],Code24)</f>
        <v>0</v>
      </c>
      <c r="BI101" s="474">
        <f>COUNTIF(PArticipationFevrier1[[#This Row],[1]:[30]],code18)</f>
        <v>0</v>
      </c>
      <c r="BJ101" s="474">
        <f>COUNTIF(PArticipationFevrier1[[#This Row],[1]:[30]],code19)</f>
        <v>0</v>
      </c>
      <c r="BK101" s="474">
        <f>COUNTIF(PArticipationFevrier1[[#This Row],[1]:[30]],code20)</f>
        <v>0</v>
      </c>
      <c r="BL101" s="476">
        <f>COUNTIF(PArticipationFevrier1[[#This Row],[1]:[30]],code29)</f>
        <v>0</v>
      </c>
      <c r="BM101" s="472"/>
      <c r="BN101" s="472"/>
      <c r="BO101" s="472"/>
      <c r="BP101" s="472"/>
      <c r="BQ101" s="472"/>
      <c r="BR101" s="472"/>
      <c r="BS101" s="472"/>
      <c r="BT101" s="472"/>
      <c r="BU101" s="472"/>
      <c r="BV101" s="472"/>
      <c r="BW101" s="472"/>
      <c r="BX101" s="472"/>
      <c r="BY101" s="472"/>
      <c r="BZ101" s="472"/>
      <c r="CA101" s="472"/>
      <c r="CB101" s="472"/>
      <c r="CC101" s="472"/>
      <c r="CD101" s="472"/>
      <c r="CE101" s="472"/>
      <c r="CF101" s="472"/>
      <c r="CG101" s="472"/>
      <c r="CH101" s="472"/>
      <c r="CI101" s="472"/>
      <c r="CJ101" s="472"/>
      <c r="CK101" s="472"/>
      <c r="CL101" s="472"/>
      <c r="CM101" s="472"/>
      <c r="CN101" s="472"/>
      <c r="CO101" s="472"/>
      <c r="CP101" s="472"/>
      <c r="CQ101" s="472"/>
      <c r="CR101" s="472"/>
      <c r="CS101" s="472"/>
      <c r="CT101" s="472"/>
      <c r="CU101" s="300"/>
      <c r="CV101" s="507">
        <f t="shared" si="9"/>
        <v>0</v>
      </c>
      <c r="CW101" s="531">
        <f t="shared" si="10"/>
        <v>0</v>
      </c>
      <c r="CX101" s="532">
        <f t="shared" si="11"/>
        <v>0</v>
      </c>
      <c r="CY101" s="157">
        <f t="shared" si="8"/>
        <v>0</v>
      </c>
    </row>
    <row r="102" spans="1:103">
      <c r="A102" s="510" t="s">
        <v>443</v>
      </c>
      <c r="B102" s="152" t="str">
        <f>IFERROR(VLOOKUP(PArticipationFevrier1[[#This Row],[Référence]],ListeÉtudiants1[],18,FALSE),"")</f>
        <v>MENDES CORREIA GLADYS</v>
      </c>
      <c r="AF102" s="19"/>
      <c r="AG102" s="478"/>
      <c r="AH102" s="439">
        <f>COUNTIF(PArticipationFevrier1[[#This Row],[1]:[30]],Code1)</f>
        <v>0</v>
      </c>
      <c r="AI102" s="474">
        <f>COUNTIF(PArticipationFevrier1[[#This Row],[1]:[30]],code22)</f>
        <v>0</v>
      </c>
      <c r="AJ102" s="439">
        <f>COUNTIF(PArticipationFevrier1[[#This Row],[1]:[30]],Code2)</f>
        <v>0</v>
      </c>
      <c r="AK102" s="439">
        <f>COUNTIF(PArticipationFevrier1[[#This Row],[1]:[30]],Code3)</f>
        <v>0</v>
      </c>
      <c r="AL102" s="439">
        <f>COUNTIF(PArticipationFevrier1[[#This Row],[1]:[30]],Code4)</f>
        <v>0</v>
      </c>
      <c r="AM102" s="474">
        <f>COUNTIF(PArticipationFevrier1[[#This Row],[1]:[30]],Code5)</f>
        <v>0</v>
      </c>
      <c r="AN102" s="474"/>
      <c r="AO102" s="474">
        <f>COUNTIF(PArticipationFevrier1[[#This Row],[1]:[30]],Code6)</f>
        <v>0</v>
      </c>
      <c r="AP102" s="474">
        <f>COUNTIF(PArticipationFevrier1[[#This Row],[1]:[30]],Code7)</f>
        <v>0</v>
      </c>
      <c r="AQ102" s="474">
        <f>COUNTIF(PArticipationFevrier1[[#This Row],[1]:[30]],Code8)</f>
        <v>0</v>
      </c>
      <c r="AR102" s="474">
        <f>COUNTIF(PArticipationFevrier1[[#This Row],[1]:[30]],Code9)</f>
        <v>0</v>
      </c>
      <c r="AS102" s="474">
        <f>COUNTIF(PArticipationFevrier1[[#This Row],[1]:[30]],Code10)</f>
        <v>0</v>
      </c>
      <c r="AT102" s="474">
        <f>COUNTIF(PArticipationFevrier1[[#This Row],[1]:[30]],Code11)</f>
        <v>0</v>
      </c>
      <c r="AU102" s="474">
        <f>COUNTIF(PArticipationFevrier1[[#This Row],[1]:[30]],Code12)</f>
        <v>0</v>
      </c>
      <c r="AV102" s="474">
        <f>COUNTIF(PArticipationFevrier1[[#This Row],[1]:[30]],Code13)</f>
        <v>0</v>
      </c>
      <c r="AW102" s="474">
        <f>COUNTIF(PArticipationFevrier1[[#This Row],[1]:[30]],Code14)</f>
        <v>0</v>
      </c>
      <c r="AX102" s="474">
        <f>COUNTIF(PArticipationFevrier1[[#This Row],[1]:[30]],Code15)</f>
        <v>0</v>
      </c>
      <c r="AY102" s="474">
        <f>COUNTIF(PArticipationFevrier1[[#This Row],[1]:[30]],Code16)</f>
        <v>0</v>
      </c>
      <c r="AZ102" s="474">
        <f>COUNTIF(PArticipationFevrier1[[#This Row],[1]:[30]],Code17)</f>
        <v>0</v>
      </c>
      <c r="BA102" s="474">
        <f>COUNTIF(PArticipationFevrier1[[#This Row],[1]:[30]],Code26)</f>
        <v>0</v>
      </c>
      <c r="BB102" s="474">
        <f>COUNTIF(PArticipationFevrier1[[#This Row],[1]:[30]],Code25)</f>
        <v>0</v>
      </c>
      <c r="BC102" s="474">
        <f>COUNTIF(PArticipationFevrier1[[#This Row],[1]:[30]],Code27)</f>
        <v>0</v>
      </c>
      <c r="BD102" s="474">
        <f>COUNTIF(PArticipationFevrier1[[#This Row],[1]:[30]],Code28)</f>
        <v>0</v>
      </c>
      <c r="BE102" s="474">
        <f>COUNTIF(PArticipationFevrier1[[#This Row],[1]:[30]],code30)</f>
        <v>0</v>
      </c>
      <c r="BF102" s="474">
        <f>COUNTIF(PArticipationFevrier1[[#This Row],[1]:[30]],Code31)</f>
        <v>0</v>
      </c>
      <c r="BG102" s="474">
        <f>COUNTIF(PArticipationFevrier1[[#This Row],[1]:[30]],code21)</f>
        <v>0</v>
      </c>
      <c r="BH102" s="474">
        <f>COUNTIF(PArticipationFevrier1[[#This Row],[1]:[30]],Code24)</f>
        <v>0</v>
      </c>
      <c r="BI102" s="474">
        <f>COUNTIF(PArticipationFevrier1[[#This Row],[1]:[30]],code18)</f>
        <v>0</v>
      </c>
      <c r="BJ102" s="474">
        <f>COUNTIF(PArticipationFevrier1[[#This Row],[1]:[30]],code19)</f>
        <v>0</v>
      </c>
      <c r="BK102" s="474">
        <f>COUNTIF(PArticipationFevrier1[[#This Row],[1]:[30]],code20)</f>
        <v>0</v>
      </c>
      <c r="BL102" s="476">
        <f>COUNTIF(PArticipationFevrier1[[#This Row],[1]:[30]],code29)</f>
        <v>0</v>
      </c>
      <c r="BM102" s="472"/>
      <c r="BN102" s="472"/>
      <c r="BO102" s="472"/>
      <c r="BP102" s="472"/>
      <c r="BQ102" s="472"/>
      <c r="BR102" s="472"/>
      <c r="BS102" s="472"/>
      <c r="BT102" s="472"/>
      <c r="BU102" s="472"/>
      <c r="BV102" s="472"/>
      <c r="BW102" s="472"/>
      <c r="BX102" s="472"/>
      <c r="BY102" s="472"/>
      <c r="BZ102" s="472"/>
      <c r="CA102" s="472"/>
      <c r="CB102" s="472"/>
      <c r="CC102" s="472"/>
      <c r="CD102" s="472"/>
      <c r="CE102" s="472"/>
      <c r="CF102" s="472"/>
      <c r="CG102" s="472"/>
      <c r="CH102" s="472"/>
      <c r="CI102" s="472"/>
      <c r="CJ102" s="472"/>
      <c r="CK102" s="472"/>
      <c r="CL102" s="472"/>
      <c r="CM102" s="472"/>
      <c r="CN102" s="472"/>
      <c r="CO102" s="472"/>
      <c r="CP102" s="472"/>
      <c r="CQ102" s="472"/>
      <c r="CR102" s="472"/>
      <c r="CS102" s="472"/>
      <c r="CT102" s="472"/>
      <c r="CU102" s="300"/>
      <c r="CV102" s="507">
        <f t="shared" si="9"/>
        <v>0</v>
      </c>
      <c r="CW102" s="531">
        <f t="shared" si="10"/>
        <v>0</v>
      </c>
      <c r="CX102" s="532">
        <f t="shared" si="11"/>
        <v>0</v>
      </c>
      <c r="CY102" s="157">
        <f t="shared" si="8"/>
        <v>0</v>
      </c>
    </row>
    <row r="103" spans="1:103">
      <c r="A103" s="534" t="s">
        <v>444</v>
      </c>
      <c r="B103" s="152" t="str">
        <f>IFERROR(VLOOKUP(PArticipationFevrier1[[#This Row],[Référence]],ListeÉtudiants1[],18,FALSE),"")</f>
        <v>MITRAN IONELA</v>
      </c>
      <c r="AF103" s="19"/>
      <c r="AG103" s="478"/>
      <c r="AH103" s="439">
        <f>COUNTIF(PArticipationFevrier1[[#This Row],[1]:[30]],Code1)</f>
        <v>0</v>
      </c>
      <c r="AI103" s="474">
        <f>COUNTIF(PArticipationFevrier1[[#This Row],[1]:[30]],code22)</f>
        <v>0</v>
      </c>
      <c r="AJ103" s="439">
        <f>COUNTIF(PArticipationFevrier1[[#This Row],[1]:[30]],Code2)</f>
        <v>0</v>
      </c>
      <c r="AK103" s="439">
        <f>COUNTIF(PArticipationFevrier1[[#This Row],[1]:[30]],Code3)</f>
        <v>0</v>
      </c>
      <c r="AL103" s="439">
        <f>COUNTIF(PArticipationFevrier1[[#This Row],[1]:[30]],Code4)</f>
        <v>0</v>
      </c>
      <c r="AM103" s="474">
        <f>COUNTIF(PArticipationFevrier1[[#This Row],[1]:[30]],Code5)</f>
        <v>0</v>
      </c>
      <c r="AN103" s="474"/>
      <c r="AO103" s="474">
        <f>COUNTIF(PArticipationFevrier1[[#This Row],[1]:[30]],Code6)</f>
        <v>0</v>
      </c>
      <c r="AP103" s="474">
        <f>COUNTIF(PArticipationFevrier1[[#This Row],[1]:[30]],Code7)</f>
        <v>0</v>
      </c>
      <c r="AQ103" s="474">
        <f>COUNTIF(PArticipationFevrier1[[#This Row],[1]:[30]],Code8)</f>
        <v>0</v>
      </c>
      <c r="AR103" s="474">
        <f>COUNTIF(PArticipationFevrier1[[#This Row],[1]:[30]],Code9)</f>
        <v>0</v>
      </c>
      <c r="AS103" s="474">
        <f>COUNTIF(PArticipationFevrier1[[#This Row],[1]:[30]],Code10)</f>
        <v>0</v>
      </c>
      <c r="AT103" s="474">
        <f>COUNTIF(PArticipationFevrier1[[#This Row],[1]:[30]],Code11)</f>
        <v>0</v>
      </c>
      <c r="AU103" s="474">
        <f>COUNTIF(PArticipationFevrier1[[#This Row],[1]:[30]],Code12)</f>
        <v>0</v>
      </c>
      <c r="AV103" s="474">
        <f>COUNTIF(PArticipationFevrier1[[#This Row],[1]:[30]],Code13)</f>
        <v>0</v>
      </c>
      <c r="AW103" s="474">
        <f>COUNTIF(PArticipationFevrier1[[#This Row],[1]:[30]],Code14)</f>
        <v>0</v>
      </c>
      <c r="AX103" s="474">
        <f>COUNTIF(PArticipationFevrier1[[#This Row],[1]:[30]],Code15)</f>
        <v>0</v>
      </c>
      <c r="AY103" s="474">
        <f>COUNTIF(PArticipationFevrier1[[#This Row],[1]:[30]],Code16)</f>
        <v>0</v>
      </c>
      <c r="AZ103" s="474">
        <f>COUNTIF(PArticipationFevrier1[[#This Row],[1]:[30]],Code17)</f>
        <v>0</v>
      </c>
      <c r="BA103" s="474">
        <f>COUNTIF(PArticipationFevrier1[[#This Row],[1]:[30]],Code26)</f>
        <v>0</v>
      </c>
      <c r="BB103" s="474">
        <f>COUNTIF(PArticipationFevrier1[[#This Row],[1]:[30]],Code25)</f>
        <v>0</v>
      </c>
      <c r="BC103" s="474">
        <f>COUNTIF(PArticipationFevrier1[[#This Row],[1]:[30]],Code27)</f>
        <v>0</v>
      </c>
      <c r="BD103" s="474">
        <f>COUNTIF(PArticipationFevrier1[[#This Row],[1]:[30]],Code28)</f>
        <v>0</v>
      </c>
      <c r="BE103" s="474">
        <f>COUNTIF(PArticipationFevrier1[[#This Row],[1]:[30]],code30)</f>
        <v>0</v>
      </c>
      <c r="BF103" s="474">
        <f>COUNTIF(PArticipationFevrier1[[#This Row],[1]:[30]],Code31)</f>
        <v>0</v>
      </c>
      <c r="BG103" s="474">
        <f>COUNTIF(PArticipationFevrier1[[#This Row],[1]:[30]],code21)</f>
        <v>0</v>
      </c>
      <c r="BH103" s="474">
        <f>COUNTIF(PArticipationFevrier1[[#This Row],[1]:[30]],Code24)</f>
        <v>0</v>
      </c>
      <c r="BI103" s="474">
        <f>COUNTIF(PArticipationFevrier1[[#This Row],[1]:[30]],code18)</f>
        <v>0</v>
      </c>
      <c r="BJ103" s="474">
        <f>COUNTIF(PArticipationFevrier1[[#This Row],[1]:[30]],code19)</f>
        <v>0</v>
      </c>
      <c r="BK103" s="474">
        <f>COUNTIF(PArticipationFevrier1[[#This Row],[1]:[30]],code20)</f>
        <v>0</v>
      </c>
      <c r="BL103" s="476">
        <f>COUNTIF(PArticipationFevrier1[[#This Row],[1]:[30]],code29)</f>
        <v>0</v>
      </c>
      <c r="BM103" s="472"/>
      <c r="BN103" s="472"/>
      <c r="BO103" s="472"/>
      <c r="BP103" s="472"/>
      <c r="BQ103" s="472"/>
      <c r="BR103" s="472"/>
      <c r="BS103" s="472"/>
      <c r="BT103" s="472"/>
      <c r="BU103" s="472"/>
      <c r="BV103" s="472"/>
      <c r="BW103" s="472"/>
      <c r="BX103" s="472"/>
      <c r="BY103" s="472"/>
      <c r="BZ103" s="472"/>
      <c r="CA103" s="472"/>
      <c r="CB103" s="472"/>
      <c r="CC103" s="472"/>
      <c r="CD103" s="472"/>
      <c r="CE103" s="472"/>
      <c r="CF103" s="472"/>
      <c r="CG103" s="472"/>
      <c r="CH103" s="472"/>
      <c r="CI103" s="472"/>
      <c r="CJ103" s="472"/>
      <c r="CK103" s="472"/>
      <c r="CL103" s="472"/>
      <c r="CM103" s="472"/>
      <c r="CN103" s="472"/>
      <c r="CO103" s="472"/>
      <c r="CP103" s="472"/>
      <c r="CQ103" s="472"/>
      <c r="CR103" s="472"/>
      <c r="CS103" s="472"/>
      <c r="CT103" s="472"/>
      <c r="CU103" s="300"/>
      <c r="CV103" s="507">
        <f t="shared" si="9"/>
        <v>0</v>
      </c>
      <c r="CW103" s="531">
        <f t="shared" si="10"/>
        <v>0</v>
      </c>
      <c r="CX103" s="532">
        <f t="shared" si="11"/>
        <v>0</v>
      </c>
      <c r="CY103" s="157">
        <f t="shared" si="8"/>
        <v>0</v>
      </c>
    </row>
    <row r="104" spans="1:103">
      <c r="A104" s="510" t="s">
        <v>445</v>
      </c>
      <c r="B104" s="152" t="str">
        <f>IFERROR(VLOOKUP(PArticipationFevrier1[[#This Row],[Référence]],ListeÉtudiants1[],18,FALSE),"")</f>
        <v>MOREAU NOEMIE</v>
      </c>
      <c r="AF104" s="19"/>
      <c r="AG104" s="478"/>
      <c r="AH104" s="439">
        <f>COUNTIF(PArticipationFevrier1[[#This Row],[1]:[30]],Code1)</f>
        <v>0</v>
      </c>
      <c r="AI104" s="474">
        <f>COUNTIF(PArticipationFevrier1[[#This Row],[1]:[30]],code22)</f>
        <v>0</v>
      </c>
      <c r="AJ104" s="439">
        <f>COUNTIF(PArticipationFevrier1[[#This Row],[1]:[30]],Code2)</f>
        <v>0</v>
      </c>
      <c r="AK104" s="439">
        <f>COUNTIF(PArticipationFevrier1[[#This Row],[1]:[30]],Code3)</f>
        <v>0</v>
      </c>
      <c r="AL104" s="439">
        <f>COUNTIF(PArticipationFevrier1[[#This Row],[1]:[30]],Code4)</f>
        <v>0</v>
      </c>
      <c r="AM104" s="474">
        <f>COUNTIF(PArticipationFevrier1[[#This Row],[1]:[30]],Code5)</f>
        <v>0</v>
      </c>
      <c r="AN104" s="474"/>
      <c r="AO104" s="474">
        <f>COUNTIF(PArticipationFevrier1[[#This Row],[1]:[30]],Code6)</f>
        <v>0</v>
      </c>
      <c r="AP104" s="474">
        <f>COUNTIF(PArticipationFevrier1[[#This Row],[1]:[30]],Code7)</f>
        <v>0</v>
      </c>
      <c r="AQ104" s="474">
        <f>COUNTIF(PArticipationFevrier1[[#This Row],[1]:[30]],Code8)</f>
        <v>0</v>
      </c>
      <c r="AR104" s="474">
        <f>COUNTIF(PArticipationFevrier1[[#This Row],[1]:[30]],Code9)</f>
        <v>0</v>
      </c>
      <c r="AS104" s="474">
        <f>COUNTIF(PArticipationFevrier1[[#This Row],[1]:[30]],Code10)</f>
        <v>0</v>
      </c>
      <c r="AT104" s="474">
        <f>COUNTIF(PArticipationFevrier1[[#This Row],[1]:[30]],Code11)</f>
        <v>0</v>
      </c>
      <c r="AU104" s="474">
        <f>COUNTIF(PArticipationFevrier1[[#This Row],[1]:[30]],Code12)</f>
        <v>0</v>
      </c>
      <c r="AV104" s="474">
        <f>COUNTIF(PArticipationFevrier1[[#This Row],[1]:[30]],Code13)</f>
        <v>0</v>
      </c>
      <c r="AW104" s="474">
        <f>COUNTIF(PArticipationFevrier1[[#This Row],[1]:[30]],Code14)</f>
        <v>0</v>
      </c>
      <c r="AX104" s="474">
        <f>COUNTIF(PArticipationFevrier1[[#This Row],[1]:[30]],Code15)</f>
        <v>0</v>
      </c>
      <c r="AY104" s="474">
        <f>COUNTIF(PArticipationFevrier1[[#This Row],[1]:[30]],Code16)</f>
        <v>0</v>
      </c>
      <c r="AZ104" s="474">
        <f>COUNTIF(PArticipationFevrier1[[#This Row],[1]:[30]],Code17)</f>
        <v>0</v>
      </c>
      <c r="BA104" s="474">
        <f>COUNTIF(PArticipationFevrier1[[#This Row],[1]:[30]],Code26)</f>
        <v>0</v>
      </c>
      <c r="BB104" s="474">
        <f>COUNTIF(PArticipationFevrier1[[#This Row],[1]:[30]],Code25)</f>
        <v>0</v>
      </c>
      <c r="BC104" s="474">
        <f>COUNTIF(PArticipationFevrier1[[#This Row],[1]:[30]],Code27)</f>
        <v>0</v>
      </c>
      <c r="BD104" s="474">
        <f>COUNTIF(PArticipationFevrier1[[#This Row],[1]:[30]],Code28)</f>
        <v>0</v>
      </c>
      <c r="BE104" s="474">
        <f>COUNTIF(PArticipationFevrier1[[#This Row],[1]:[30]],code30)</f>
        <v>0</v>
      </c>
      <c r="BF104" s="474">
        <f>COUNTIF(PArticipationFevrier1[[#This Row],[1]:[30]],Code31)</f>
        <v>0</v>
      </c>
      <c r="BG104" s="474">
        <f>COUNTIF(PArticipationFevrier1[[#This Row],[1]:[30]],code21)</f>
        <v>0</v>
      </c>
      <c r="BH104" s="474">
        <f>COUNTIF(PArticipationFevrier1[[#This Row],[1]:[30]],Code24)</f>
        <v>0</v>
      </c>
      <c r="BI104" s="474">
        <f>COUNTIF(PArticipationFevrier1[[#This Row],[1]:[30]],code18)</f>
        <v>0</v>
      </c>
      <c r="BJ104" s="474">
        <f>COUNTIF(PArticipationFevrier1[[#This Row],[1]:[30]],code19)</f>
        <v>0</v>
      </c>
      <c r="BK104" s="474">
        <f>COUNTIF(PArticipationFevrier1[[#This Row],[1]:[30]],code20)</f>
        <v>0</v>
      </c>
      <c r="BL104" s="476">
        <f>COUNTIF(PArticipationFevrier1[[#This Row],[1]:[30]],code29)</f>
        <v>0</v>
      </c>
      <c r="BM104" s="472"/>
      <c r="BN104" s="472"/>
      <c r="BO104" s="472"/>
      <c r="BP104" s="472"/>
      <c r="BQ104" s="472"/>
      <c r="BR104" s="472"/>
      <c r="BS104" s="472"/>
      <c r="BT104" s="472"/>
      <c r="BU104" s="472"/>
      <c r="BV104" s="472"/>
      <c r="BW104" s="472"/>
      <c r="BX104" s="472"/>
      <c r="BY104" s="472"/>
      <c r="BZ104" s="472"/>
      <c r="CA104" s="472"/>
      <c r="CB104" s="472"/>
      <c r="CC104" s="472"/>
      <c r="CD104" s="472"/>
      <c r="CE104" s="472"/>
      <c r="CF104" s="472"/>
      <c r="CG104" s="472"/>
      <c r="CH104" s="472"/>
      <c r="CI104" s="472"/>
      <c r="CJ104" s="472"/>
      <c r="CK104" s="472"/>
      <c r="CL104" s="472"/>
      <c r="CM104" s="472"/>
      <c r="CN104" s="472"/>
      <c r="CO104" s="472"/>
      <c r="CP104" s="472"/>
      <c r="CQ104" s="472"/>
      <c r="CR104" s="472"/>
      <c r="CS104" s="472"/>
      <c r="CT104" s="472"/>
      <c r="CU104" s="300"/>
      <c r="CV104" s="507">
        <f t="shared" si="9"/>
        <v>0</v>
      </c>
      <c r="CW104" s="531">
        <f t="shared" si="10"/>
        <v>0</v>
      </c>
      <c r="CX104" s="532">
        <f t="shared" si="11"/>
        <v>0</v>
      </c>
      <c r="CY104" s="157">
        <f t="shared" si="8"/>
        <v>0</v>
      </c>
    </row>
    <row r="105" spans="1:103">
      <c r="A105" s="534" t="s">
        <v>446</v>
      </c>
      <c r="B105" s="152" t="str">
        <f>IFERROR(VLOOKUP(PArticipationFevrier1[[#This Row],[Référence]],ListeÉtudiants1[],18,FALSE),"")</f>
        <v>MOUNIER JEANNE</v>
      </c>
      <c r="AF105" s="19"/>
      <c r="AG105" s="478"/>
      <c r="AH105" s="439">
        <f>COUNTIF(PArticipationFevrier1[[#This Row],[1]:[30]],Code1)</f>
        <v>0</v>
      </c>
      <c r="AI105" s="474">
        <f>COUNTIF(PArticipationFevrier1[[#This Row],[1]:[30]],code22)</f>
        <v>0</v>
      </c>
      <c r="AJ105" s="439">
        <f>COUNTIF(PArticipationFevrier1[[#This Row],[1]:[30]],Code2)</f>
        <v>0</v>
      </c>
      <c r="AK105" s="439">
        <f>COUNTIF(PArticipationFevrier1[[#This Row],[1]:[30]],Code3)</f>
        <v>0</v>
      </c>
      <c r="AL105" s="439">
        <f>COUNTIF(PArticipationFevrier1[[#This Row],[1]:[30]],Code4)</f>
        <v>0</v>
      </c>
      <c r="AM105" s="474">
        <f>COUNTIF(PArticipationFevrier1[[#This Row],[1]:[30]],Code5)</f>
        <v>0</v>
      </c>
      <c r="AN105" s="474"/>
      <c r="AO105" s="474">
        <f>COUNTIF(PArticipationFevrier1[[#This Row],[1]:[30]],Code6)</f>
        <v>0</v>
      </c>
      <c r="AP105" s="474">
        <f>COUNTIF(PArticipationFevrier1[[#This Row],[1]:[30]],Code7)</f>
        <v>0</v>
      </c>
      <c r="AQ105" s="474">
        <f>COUNTIF(PArticipationFevrier1[[#This Row],[1]:[30]],Code8)</f>
        <v>0</v>
      </c>
      <c r="AR105" s="474">
        <f>COUNTIF(PArticipationFevrier1[[#This Row],[1]:[30]],Code9)</f>
        <v>0</v>
      </c>
      <c r="AS105" s="474">
        <f>COUNTIF(PArticipationFevrier1[[#This Row],[1]:[30]],Code10)</f>
        <v>0</v>
      </c>
      <c r="AT105" s="474">
        <f>COUNTIF(PArticipationFevrier1[[#This Row],[1]:[30]],Code11)</f>
        <v>0</v>
      </c>
      <c r="AU105" s="474">
        <f>COUNTIF(PArticipationFevrier1[[#This Row],[1]:[30]],Code12)</f>
        <v>0</v>
      </c>
      <c r="AV105" s="474">
        <f>COUNTIF(PArticipationFevrier1[[#This Row],[1]:[30]],Code13)</f>
        <v>0</v>
      </c>
      <c r="AW105" s="474">
        <f>COUNTIF(PArticipationFevrier1[[#This Row],[1]:[30]],Code14)</f>
        <v>0</v>
      </c>
      <c r="AX105" s="474">
        <f>COUNTIF(PArticipationFevrier1[[#This Row],[1]:[30]],Code15)</f>
        <v>0</v>
      </c>
      <c r="AY105" s="474">
        <f>COUNTIF(PArticipationFevrier1[[#This Row],[1]:[30]],Code16)</f>
        <v>0</v>
      </c>
      <c r="AZ105" s="474">
        <f>COUNTIF(PArticipationFevrier1[[#This Row],[1]:[30]],Code17)</f>
        <v>0</v>
      </c>
      <c r="BA105" s="474">
        <f>COUNTIF(PArticipationFevrier1[[#This Row],[1]:[30]],Code26)</f>
        <v>0</v>
      </c>
      <c r="BB105" s="474">
        <f>COUNTIF(PArticipationFevrier1[[#This Row],[1]:[30]],Code25)</f>
        <v>0</v>
      </c>
      <c r="BC105" s="474">
        <f>COUNTIF(PArticipationFevrier1[[#This Row],[1]:[30]],Code27)</f>
        <v>0</v>
      </c>
      <c r="BD105" s="474">
        <f>COUNTIF(PArticipationFevrier1[[#This Row],[1]:[30]],Code28)</f>
        <v>0</v>
      </c>
      <c r="BE105" s="474">
        <f>COUNTIF(PArticipationFevrier1[[#This Row],[1]:[30]],code30)</f>
        <v>0</v>
      </c>
      <c r="BF105" s="474">
        <f>COUNTIF(PArticipationFevrier1[[#This Row],[1]:[30]],Code31)</f>
        <v>0</v>
      </c>
      <c r="BG105" s="474">
        <f>COUNTIF(PArticipationFevrier1[[#This Row],[1]:[30]],code21)</f>
        <v>0</v>
      </c>
      <c r="BH105" s="474">
        <f>COUNTIF(PArticipationFevrier1[[#This Row],[1]:[30]],Code24)</f>
        <v>0</v>
      </c>
      <c r="BI105" s="474">
        <f>COUNTIF(PArticipationFevrier1[[#This Row],[1]:[30]],code18)</f>
        <v>0</v>
      </c>
      <c r="BJ105" s="474">
        <f>COUNTIF(PArticipationFevrier1[[#This Row],[1]:[30]],code19)</f>
        <v>0</v>
      </c>
      <c r="BK105" s="474">
        <f>COUNTIF(PArticipationFevrier1[[#This Row],[1]:[30]],code20)</f>
        <v>0</v>
      </c>
      <c r="BL105" s="476">
        <f>COUNTIF(PArticipationFevrier1[[#This Row],[1]:[30]],code29)</f>
        <v>0</v>
      </c>
      <c r="BM105" s="472"/>
      <c r="BN105" s="472"/>
      <c r="BO105" s="472"/>
      <c r="BP105" s="472"/>
      <c r="BQ105" s="472"/>
      <c r="BR105" s="472"/>
      <c r="BS105" s="472"/>
      <c r="BT105" s="472"/>
      <c r="BU105" s="472"/>
      <c r="BV105" s="472"/>
      <c r="BW105" s="472"/>
      <c r="BX105" s="472"/>
      <c r="BY105" s="472"/>
      <c r="BZ105" s="472"/>
      <c r="CA105" s="472"/>
      <c r="CB105" s="472"/>
      <c r="CC105" s="472"/>
      <c r="CD105" s="472"/>
      <c r="CE105" s="472"/>
      <c r="CF105" s="472"/>
      <c r="CG105" s="472"/>
      <c r="CH105" s="472"/>
      <c r="CI105" s="472"/>
      <c r="CJ105" s="472"/>
      <c r="CK105" s="472"/>
      <c r="CL105" s="472"/>
      <c r="CM105" s="472"/>
      <c r="CN105" s="472"/>
      <c r="CO105" s="472"/>
      <c r="CP105" s="472"/>
      <c r="CQ105" s="472"/>
      <c r="CR105" s="472"/>
      <c r="CS105" s="472"/>
      <c r="CT105" s="472"/>
      <c r="CU105" s="300"/>
      <c r="CV105" s="507">
        <f t="shared" si="9"/>
        <v>0</v>
      </c>
      <c r="CW105" s="531">
        <f t="shared" si="10"/>
        <v>0</v>
      </c>
      <c r="CX105" s="532">
        <f t="shared" si="11"/>
        <v>0</v>
      </c>
      <c r="CY105" s="157">
        <f t="shared" si="8"/>
        <v>0</v>
      </c>
    </row>
    <row r="106" spans="1:103">
      <c r="A106" s="510" t="s">
        <v>447</v>
      </c>
      <c r="B106" s="152" t="str">
        <f>IFERROR(VLOOKUP(PArticipationFevrier1[[#This Row],[Référence]],ListeÉtudiants1[],18,FALSE),"")</f>
        <v>NGAMFULANGOMA ALEXANDRINE</v>
      </c>
      <c r="AF106" s="19"/>
      <c r="AG106" s="478"/>
      <c r="AH106" s="439">
        <f>COUNTIF(PArticipationFevrier1[[#This Row],[1]:[30]],Code1)</f>
        <v>0</v>
      </c>
      <c r="AI106" s="474">
        <f>COUNTIF(PArticipationFevrier1[[#This Row],[1]:[30]],code22)</f>
        <v>0</v>
      </c>
      <c r="AJ106" s="439">
        <f>COUNTIF(PArticipationFevrier1[[#This Row],[1]:[30]],Code2)</f>
        <v>0</v>
      </c>
      <c r="AK106" s="439">
        <f>COUNTIF(PArticipationFevrier1[[#This Row],[1]:[30]],Code3)</f>
        <v>0</v>
      </c>
      <c r="AL106" s="439">
        <f>COUNTIF(PArticipationFevrier1[[#This Row],[1]:[30]],Code4)</f>
        <v>0</v>
      </c>
      <c r="AM106" s="474">
        <f>COUNTIF(PArticipationFevrier1[[#This Row],[1]:[30]],Code5)</f>
        <v>0</v>
      </c>
      <c r="AN106" s="474"/>
      <c r="AO106" s="474">
        <f>COUNTIF(PArticipationFevrier1[[#This Row],[1]:[30]],Code6)</f>
        <v>0</v>
      </c>
      <c r="AP106" s="474">
        <f>COUNTIF(PArticipationFevrier1[[#This Row],[1]:[30]],Code7)</f>
        <v>0</v>
      </c>
      <c r="AQ106" s="474">
        <f>COUNTIF(PArticipationFevrier1[[#This Row],[1]:[30]],Code8)</f>
        <v>0</v>
      </c>
      <c r="AR106" s="474">
        <f>COUNTIF(PArticipationFevrier1[[#This Row],[1]:[30]],Code9)</f>
        <v>0</v>
      </c>
      <c r="AS106" s="474">
        <f>COUNTIF(PArticipationFevrier1[[#This Row],[1]:[30]],Code10)</f>
        <v>0</v>
      </c>
      <c r="AT106" s="474">
        <f>COUNTIF(PArticipationFevrier1[[#This Row],[1]:[30]],Code11)</f>
        <v>0</v>
      </c>
      <c r="AU106" s="474">
        <f>COUNTIF(PArticipationFevrier1[[#This Row],[1]:[30]],Code12)</f>
        <v>0</v>
      </c>
      <c r="AV106" s="474">
        <f>COUNTIF(PArticipationFevrier1[[#This Row],[1]:[30]],Code13)</f>
        <v>0</v>
      </c>
      <c r="AW106" s="474">
        <f>COUNTIF(PArticipationFevrier1[[#This Row],[1]:[30]],Code14)</f>
        <v>0</v>
      </c>
      <c r="AX106" s="474">
        <f>COUNTIF(PArticipationFevrier1[[#This Row],[1]:[30]],Code15)</f>
        <v>0</v>
      </c>
      <c r="AY106" s="474">
        <f>COUNTIF(PArticipationFevrier1[[#This Row],[1]:[30]],Code16)</f>
        <v>0</v>
      </c>
      <c r="AZ106" s="474">
        <f>COUNTIF(PArticipationFevrier1[[#This Row],[1]:[30]],Code17)</f>
        <v>0</v>
      </c>
      <c r="BA106" s="474">
        <f>COUNTIF(PArticipationFevrier1[[#This Row],[1]:[30]],Code26)</f>
        <v>0</v>
      </c>
      <c r="BB106" s="474">
        <f>COUNTIF(PArticipationFevrier1[[#This Row],[1]:[30]],Code25)</f>
        <v>0</v>
      </c>
      <c r="BC106" s="474">
        <f>COUNTIF(PArticipationFevrier1[[#This Row],[1]:[30]],Code27)</f>
        <v>0</v>
      </c>
      <c r="BD106" s="474">
        <f>COUNTIF(PArticipationFevrier1[[#This Row],[1]:[30]],Code28)</f>
        <v>0</v>
      </c>
      <c r="BE106" s="474">
        <f>COUNTIF(PArticipationFevrier1[[#This Row],[1]:[30]],code30)</f>
        <v>0</v>
      </c>
      <c r="BF106" s="474">
        <f>COUNTIF(PArticipationFevrier1[[#This Row],[1]:[30]],Code31)</f>
        <v>0</v>
      </c>
      <c r="BG106" s="474">
        <f>COUNTIF(PArticipationFevrier1[[#This Row],[1]:[30]],code21)</f>
        <v>0</v>
      </c>
      <c r="BH106" s="474">
        <f>COUNTIF(PArticipationFevrier1[[#This Row],[1]:[30]],Code24)</f>
        <v>0</v>
      </c>
      <c r="BI106" s="474">
        <f>COUNTIF(PArticipationFevrier1[[#This Row],[1]:[30]],code18)</f>
        <v>0</v>
      </c>
      <c r="BJ106" s="474">
        <f>COUNTIF(PArticipationFevrier1[[#This Row],[1]:[30]],code19)</f>
        <v>0</v>
      </c>
      <c r="BK106" s="474">
        <f>COUNTIF(PArticipationFevrier1[[#This Row],[1]:[30]],code20)</f>
        <v>0</v>
      </c>
      <c r="BL106" s="476">
        <f>COUNTIF(PArticipationFevrier1[[#This Row],[1]:[30]],code29)</f>
        <v>0</v>
      </c>
      <c r="BM106" s="472"/>
      <c r="BN106" s="472"/>
      <c r="BO106" s="472"/>
      <c r="BP106" s="472"/>
      <c r="BQ106" s="472"/>
      <c r="BR106" s="472"/>
      <c r="BS106" s="472"/>
      <c r="BT106" s="472"/>
      <c r="BU106" s="472"/>
      <c r="BV106" s="472"/>
      <c r="BW106" s="472"/>
      <c r="BX106" s="472"/>
      <c r="BY106" s="472"/>
      <c r="BZ106" s="472"/>
      <c r="CA106" s="472"/>
      <c r="CB106" s="472"/>
      <c r="CC106" s="472"/>
      <c r="CD106" s="472"/>
      <c r="CE106" s="472"/>
      <c r="CF106" s="472"/>
      <c r="CG106" s="472"/>
      <c r="CH106" s="472"/>
      <c r="CI106" s="472"/>
      <c r="CJ106" s="472"/>
      <c r="CK106" s="472"/>
      <c r="CL106" s="472"/>
      <c r="CM106" s="472"/>
      <c r="CN106" s="472"/>
      <c r="CO106" s="472"/>
      <c r="CP106" s="472"/>
      <c r="CQ106" s="472"/>
      <c r="CR106" s="472"/>
      <c r="CS106" s="472"/>
      <c r="CT106" s="472"/>
      <c r="CU106" s="300"/>
      <c r="CV106" s="507">
        <f t="shared" si="9"/>
        <v>0</v>
      </c>
      <c r="CW106" s="531">
        <f t="shared" si="10"/>
        <v>0</v>
      </c>
      <c r="CX106" s="532">
        <f t="shared" si="11"/>
        <v>0</v>
      </c>
      <c r="CY106" s="157">
        <f t="shared" si="8"/>
        <v>0</v>
      </c>
    </row>
    <row r="107" spans="1:103">
      <c r="A107" s="510" t="s">
        <v>448</v>
      </c>
      <c r="B107" s="152" t="str">
        <f>IFERROR(VLOOKUP(PArticipationFevrier1[[#This Row],[Référence]],ListeÉtudiants1[],18,FALSE),"")</f>
        <v>NGO BONJE ERNESTINE</v>
      </c>
      <c r="AF107" s="19"/>
      <c r="AG107" s="478"/>
      <c r="AH107" s="439">
        <f>COUNTIF(PArticipationFevrier1[[#This Row],[1]:[30]],Code1)</f>
        <v>0</v>
      </c>
      <c r="AI107" s="474">
        <f>COUNTIF(PArticipationFevrier1[[#This Row],[1]:[30]],code22)</f>
        <v>0</v>
      </c>
      <c r="AJ107" s="439">
        <f>COUNTIF(PArticipationFevrier1[[#This Row],[1]:[30]],Code2)</f>
        <v>0</v>
      </c>
      <c r="AK107" s="439">
        <f>COUNTIF(PArticipationFevrier1[[#This Row],[1]:[30]],Code3)</f>
        <v>0</v>
      </c>
      <c r="AL107" s="439">
        <f>COUNTIF(PArticipationFevrier1[[#This Row],[1]:[30]],Code4)</f>
        <v>0</v>
      </c>
      <c r="AM107" s="474">
        <f>COUNTIF(PArticipationFevrier1[[#This Row],[1]:[30]],Code5)</f>
        <v>0</v>
      </c>
      <c r="AN107" s="474"/>
      <c r="AO107" s="474">
        <f>COUNTIF(PArticipationFevrier1[[#This Row],[1]:[30]],Code6)</f>
        <v>0</v>
      </c>
      <c r="AP107" s="474">
        <f>COUNTIF(PArticipationFevrier1[[#This Row],[1]:[30]],Code7)</f>
        <v>0</v>
      </c>
      <c r="AQ107" s="474">
        <f>COUNTIF(PArticipationFevrier1[[#This Row],[1]:[30]],Code8)</f>
        <v>0</v>
      </c>
      <c r="AR107" s="474">
        <f>COUNTIF(PArticipationFevrier1[[#This Row],[1]:[30]],Code9)</f>
        <v>0</v>
      </c>
      <c r="AS107" s="474">
        <f>COUNTIF(PArticipationFevrier1[[#This Row],[1]:[30]],Code10)</f>
        <v>0</v>
      </c>
      <c r="AT107" s="474">
        <f>COUNTIF(PArticipationFevrier1[[#This Row],[1]:[30]],Code11)</f>
        <v>0</v>
      </c>
      <c r="AU107" s="474">
        <f>COUNTIF(PArticipationFevrier1[[#This Row],[1]:[30]],Code12)</f>
        <v>0</v>
      </c>
      <c r="AV107" s="474">
        <f>COUNTIF(PArticipationFevrier1[[#This Row],[1]:[30]],Code13)</f>
        <v>0</v>
      </c>
      <c r="AW107" s="474">
        <f>COUNTIF(PArticipationFevrier1[[#This Row],[1]:[30]],Code14)</f>
        <v>0</v>
      </c>
      <c r="AX107" s="474">
        <f>COUNTIF(PArticipationFevrier1[[#This Row],[1]:[30]],Code15)</f>
        <v>0</v>
      </c>
      <c r="AY107" s="474">
        <f>COUNTIF(PArticipationFevrier1[[#This Row],[1]:[30]],Code16)</f>
        <v>0</v>
      </c>
      <c r="AZ107" s="474">
        <f>COUNTIF(PArticipationFevrier1[[#This Row],[1]:[30]],Code17)</f>
        <v>0</v>
      </c>
      <c r="BA107" s="474">
        <f>COUNTIF(PArticipationFevrier1[[#This Row],[1]:[30]],Code26)</f>
        <v>0</v>
      </c>
      <c r="BB107" s="474">
        <f>COUNTIF(PArticipationFevrier1[[#This Row],[1]:[30]],Code25)</f>
        <v>0</v>
      </c>
      <c r="BC107" s="474">
        <f>COUNTIF(PArticipationFevrier1[[#This Row],[1]:[30]],Code27)</f>
        <v>0</v>
      </c>
      <c r="BD107" s="474">
        <f>COUNTIF(PArticipationFevrier1[[#This Row],[1]:[30]],Code28)</f>
        <v>0</v>
      </c>
      <c r="BE107" s="474">
        <f>COUNTIF(PArticipationFevrier1[[#This Row],[1]:[30]],code30)</f>
        <v>0</v>
      </c>
      <c r="BF107" s="474">
        <f>COUNTIF(PArticipationFevrier1[[#This Row],[1]:[30]],Code31)</f>
        <v>0</v>
      </c>
      <c r="BG107" s="474">
        <f>COUNTIF(PArticipationFevrier1[[#This Row],[1]:[30]],code21)</f>
        <v>0</v>
      </c>
      <c r="BH107" s="474">
        <f>COUNTIF(PArticipationFevrier1[[#This Row],[1]:[30]],Code24)</f>
        <v>0</v>
      </c>
      <c r="BI107" s="474">
        <f>COUNTIF(PArticipationFevrier1[[#This Row],[1]:[30]],code18)</f>
        <v>0</v>
      </c>
      <c r="BJ107" s="474">
        <f>COUNTIF(PArticipationFevrier1[[#This Row],[1]:[30]],code19)</f>
        <v>0</v>
      </c>
      <c r="BK107" s="474">
        <f>COUNTIF(PArticipationFevrier1[[#This Row],[1]:[30]],code20)</f>
        <v>0</v>
      </c>
      <c r="BL107" s="476">
        <f>COUNTIF(PArticipationFevrier1[[#This Row],[1]:[30]],code29)</f>
        <v>0</v>
      </c>
      <c r="BM107" s="472"/>
      <c r="BN107" s="472"/>
      <c r="BO107" s="472"/>
      <c r="BP107" s="472"/>
      <c r="BQ107" s="472"/>
      <c r="BR107" s="472"/>
      <c r="BS107" s="472"/>
      <c r="BT107" s="472"/>
      <c r="BU107" s="472"/>
      <c r="BV107" s="472"/>
      <c r="BW107" s="472"/>
      <c r="BX107" s="472"/>
      <c r="BY107" s="472"/>
      <c r="BZ107" s="472"/>
      <c r="CA107" s="472"/>
      <c r="CB107" s="472"/>
      <c r="CC107" s="472"/>
      <c r="CD107" s="472"/>
      <c r="CE107" s="472"/>
      <c r="CF107" s="472"/>
      <c r="CG107" s="472"/>
      <c r="CH107" s="472"/>
      <c r="CI107" s="472"/>
      <c r="CJ107" s="472"/>
      <c r="CK107" s="472"/>
      <c r="CL107" s="472"/>
      <c r="CM107" s="472"/>
      <c r="CN107" s="472"/>
      <c r="CO107" s="472"/>
      <c r="CP107" s="472"/>
      <c r="CQ107" s="472"/>
      <c r="CR107" s="472"/>
      <c r="CS107" s="472"/>
      <c r="CT107" s="472"/>
      <c r="CU107" s="300"/>
      <c r="CV107" s="507">
        <f t="shared" si="9"/>
        <v>0</v>
      </c>
      <c r="CW107" s="531">
        <f t="shared" si="10"/>
        <v>0</v>
      </c>
      <c r="CX107" s="532">
        <f t="shared" si="11"/>
        <v>0</v>
      </c>
      <c r="CY107" s="157">
        <f t="shared" si="8"/>
        <v>0</v>
      </c>
    </row>
    <row r="108" spans="1:103">
      <c r="A108" s="510" t="s">
        <v>449</v>
      </c>
      <c r="B108" s="152" t="str">
        <f>IFERROR(VLOOKUP(PArticipationFevrier1[[#This Row],[Référence]],ListeÉtudiants1[],18,FALSE),"")</f>
        <v>NIRDE NICOLAS</v>
      </c>
      <c r="AF108" s="19"/>
      <c r="AG108" s="478"/>
      <c r="AH108" s="439">
        <f>COUNTIF(PArticipationFevrier1[[#This Row],[1]:[30]],Code1)</f>
        <v>0</v>
      </c>
      <c r="AI108" s="474">
        <f>COUNTIF(PArticipationFevrier1[[#This Row],[1]:[30]],code22)</f>
        <v>0</v>
      </c>
      <c r="AJ108" s="439">
        <f>COUNTIF(PArticipationFevrier1[[#This Row],[1]:[30]],Code2)</f>
        <v>0</v>
      </c>
      <c r="AK108" s="439">
        <f>COUNTIF(PArticipationFevrier1[[#This Row],[1]:[30]],Code3)</f>
        <v>0</v>
      </c>
      <c r="AL108" s="439">
        <f>COUNTIF(PArticipationFevrier1[[#This Row],[1]:[30]],Code4)</f>
        <v>0</v>
      </c>
      <c r="AM108" s="474">
        <f>COUNTIF(PArticipationFevrier1[[#This Row],[1]:[30]],Code5)</f>
        <v>0</v>
      </c>
      <c r="AN108" s="474"/>
      <c r="AO108" s="474">
        <f>COUNTIF(PArticipationFevrier1[[#This Row],[1]:[30]],Code6)</f>
        <v>0</v>
      </c>
      <c r="AP108" s="474">
        <f>COUNTIF(PArticipationFevrier1[[#This Row],[1]:[30]],Code7)</f>
        <v>0</v>
      </c>
      <c r="AQ108" s="474">
        <f>COUNTIF(PArticipationFevrier1[[#This Row],[1]:[30]],Code8)</f>
        <v>0</v>
      </c>
      <c r="AR108" s="474">
        <f>COUNTIF(PArticipationFevrier1[[#This Row],[1]:[30]],Code9)</f>
        <v>0</v>
      </c>
      <c r="AS108" s="474">
        <f>COUNTIF(PArticipationFevrier1[[#This Row],[1]:[30]],Code10)</f>
        <v>0</v>
      </c>
      <c r="AT108" s="474">
        <f>COUNTIF(PArticipationFevrier1[[#This Row],[1]:[30]],Code11)</f>
        <v>0</v>
      </c>
      <c r="AU108" s="474">
        <f>COUNTIF(PArticipationFevrier1[[#This Row],[1]:[30]],Code12)</f>
        <v>0</v>
      </c>
      <c r="AV108" s="474">
        <f>COUNTIF(PArticipationFevrier1[[#This Row],[1]:[30]],Code13)</f>
        <v>0</v>
      </c>
      <c r="AW108" s="474">
        <f>COUNTIF(PArticipationFevrier1[[#This Row],[1]:[30]],Code14)</f>
        <v>0</v>
      </c>
      <c r="AX108" s="474">
        <f>COUNTIF(PArticipationFevrier1[[#This Row],[1]:[30]],Code15)</f>
        <v>0</v>
      </c>
      <c r="AY108" s="474">
        <f>COUNTIF(PArticipationFevrier1[[#This Row],[1]:[30]],Code16)</f>
        <v>0</v>
      </c>
      <c r="AZ108" s="474">
        <f>COUNTIF(PArticipationFevrier1[[#This Row],[1]:[30]],Code17)</f>
        <v>0</v>
      </c>
      <c r="BA108" s="474">
        <f>COUNTIF(PArticipationFevrier1[[#This Row],[1]:[30]],Code26)</f>
        <v>0</v>
      </c>
      <c r="BB108" s="474">
        <f>COUNTIF(PArticipationFevrier1[[#This Row],[1]:[30]],Code25)</f>
        <v>0</v>
      </c>
      <c r="BC108" s="474">
        <f>COUNTIF(PArticipationFevrier1[[#This Row],[1]:[30]],Code27)</f>
        <v>0</v>
      </c>
      <c r="BD108" s="474">
        <f>COUNTIF(PArticipationFevrier1[[#This Row],[1]:[30]],Code28)</f>
        <v>0</v>
      </c>
      <c r="BE108" s="474">
        <f>COUNTIF(PArticipationFevrier1[[#This Row],[1]:[30]],code30)</f>
        <v>0</v>
      </c>
      <c r="BF108" s="474">
        <f>COUNTIF(PArticipationFevrier1[[#This Row],[1]:[30]],Code31)</f>
        <v>0</v>
      </c>
      <c r="BG108" s="474">
        <f>COUNTIF(PArticipationFevrier1[[#This Row],[1]:[30]],code21)</f>
        <v>0</v>
      </c>
      <c r="BH108" s="474">
        <f>COUNTIF(PArticipationFevrier1[[#This Row],[1]:[30]],Code24)</f>
        <v>0</v>
      </c>
      <c r="BI108" s="474">
        <f>COUNTIF(PArticipationFevrier1[[#This Row],[1]:[30]],code18)</f>
        <v>0</v>
      </c>
      <c r="BJ108" s="474">
        <f>COUNTIF(PArticipationFevrier1[[#This Row],[1]:[30]],code19)</f>
        <v>0</v>
      </c>
      <c r="BK108" s="474">
        <f>COUNTIF(PArticipationFevrier1[[#This Row],[1]:[30]],code20)</f>
        <v>0</v>
      </c>
      <c r="BL108" s="476">
        <f>COUNTIF(PArticipationFevrier1[[#This Row],[1]:[30]],code29)</f>
        <v>0</v>
      </c>
      <c r="BM108" s="472"/>
      <c r="BN108" s="472"/>
      <c r="BO108" s="472"/>
      <c r="BP108" s="472"/>
      <c r="BQ108" s="472"/>
      <c r="BR108" s="472"/>
      <c r="BS108" s="472"/>
      <c r="BT108" s="472"/>
      <c r="BU108" s="472"/>
      <c r="BV108" s="472"/>
      <c r="BW108" s="472"/>
      <c r="BX108" s="472"/>
      <c r="BY108" s="472"/>
      <c r="BZ108" s="472"/>
      <c r="CA108" s="472"/>
      <c r="CB108" s="472"/>
      <c r="CC108" s="472"/>
      <c r="CD108" s="472"/>
      <c r="CE108" s="472"/>
      <c r="CF108" s="472"/>
      <c r="CG108" s="472"/>
      <c r="CH108" s="472"/>
      <c r="CI108" s="472"/>
      <c r="CJ108" s="472"/>
      <c r="CK108" s="472"/>
      <c r="CL108" s="472"/>
      <c r="CM108" s="472"/>
      <c r="CN108" s="472"/>
      <c r="CO108" s="472"/>
      <c r="CP108" s="472"/>
      <c r="CQ108" s="472"/>
      <c r="CR108" s="472"/>
      <c r="CS108" s="472"/>
      <c r="CT108" s="472"/>
      <c r="CU108" s="300"/>
      <c r="CV108" s="507">
        <f t="shared" si="9"/>
        <v>0</v>
      </c>
      <c r="CW108" s="531">
        <f t="shared" si="10"/>
        <v>0</v>
      </c>
      <c r="CX108" s="532">
        <f t="shared" si="11"/>
        <v>0</v>
      </c>
      <c r="CY108" s="157">
        <f t="shared" si="8"/>
        <v>0</v>
      </c>
    </row>
    <row r="109" spans="1:103">
      <c r="A109" s="510" t="s">
        <v>450</v>
      </c>
      <c r="B109" s="152" t="str">
        <f>IFERROR(VLOOKUP(PArticipationFevrier1[[#This Row],[Référence]],ListeÉtudiants1[],18,FALSE),"")</f>
        <v>NOBIAL FABIENNE</v>
      </c>
      <c r="AF109" s="19"/>
      <c r="AG109" s="478"/>
      <c r="AH109" s="439">
        <f>COUNTIF(PArticipationFevrier1[[#This Row],[1]:[30]],Code1)</f>
        <v>0</v>
      </c>
      <c r="AI109" s="474">
        <f>COUNTIF(PArticipationFevrier1[[#This Row],[1]:[30]],code22)</f>
        <v>0</v>
      </c>
      <c r="AJ109" s="439">
        <f>COUNTIF(PArticipationFevrier1[[#This Row],[1]:[30]],Code2)</f>
        <v>0</v>
      </c>
      <c r="AK109" s="439">
        <f>COUNTIF(PArticipationFevrier1[[#This Row],[1]:[30]],Code3)</f>
        <v>0</v>
      </c>
      <c r="AL109" s="439">
        <f>COUNTIF(PArticipationFevrier1[[#This Row],[1]:[30]],Code4)</f>
        <v>0</v>
      </c>
      <c r="AM109" s="474">
        <f>COUNTIF(PArticipationFevrier1[[#This Row],[1]:[30]],Code5)</f>
        <v>0</v>
      </c>
      <c r="AN109" s="474"/>
      <c r="AO109" s="474">
        <f>COUNTIF(PArticipationFevrier1[[#This Row],[1]:[30]],Code6)</f>
        <v>0</v>
      </c>
      <c r="AP109" s="474">
        <f>COUNTIF(PArticipationFevrier1[[#This Row],[1]:[30]],Code7)</f>
        <v>0</v>
      </c>
      <c r="AQ109" s="474">
        <f>COUNTIF(PArticipationFevrier1[[#This Row],[1]:[30]],Code8)</f>
        <v>0</v>
      </c>
      <c r="AR109" s="474">
        <f>COUNTIF(PArticipationFevrier1[[#This Row],[1]:[30]],Code9)</f>
        <v>0</v>
      </c>
      <c r="AS109" s="474">
        <f>COUNTIF(PArticipationFevrier1[[#This Row],[1]:[30]],Code10)</f>
        <v>0</v>
      </c>
      <c r="AT109" s="474">
        <f>COUNTIF(PArticipationFevrier1[[#This Row],[1]:[30]],Code11)</f>
        <v>0</v>
      </c>
      <c r="AU109" s="474">
        <f>COUNTIF(PArticipationFevrier1[[#This Row],[1]:[30]],Code12)</f>
        <v>0</v>
      </c>
      <c r="AV109" s="474">
        <f>COUNTIF(PArticipationFevrier1[[#This Row],[1]:[30]],Code13)</f>
        <v>0</v>
      </c>
      <c r="AW109" s="474">
        <f>COUNTIF(PArticipationFevrier1[[#This Row],[1]:[30]],Code14)</f>
        <v>0</v>
      </c>
      <c r="AX109" s="474">
        <f>COUNTIF(PArticipationFevrier1[[#This Row],[1]:[30]],Code15)</f>
        <v>0</v>
      </c>
      <c r="AY109" s="474">
        <f>COUNTIF(PArticipationFevrier1[[#This Row],[1]:[30]],Code16)</f>
        <v>0</v>
      </c>
      <c r="AZ109" s="474">
        <f>COUNTIF(PArticipationFevrier1[[#This Row],[1]:[30]],Code17)</f>
        <v>0</v>
      </c>
      <c r="BA109" s="474">
        <f>COUNTIF(PArticipationFevrier1[[#This Row],[1]:[30]],Code26)</f>
        <v>0</v>
      </c>
      <c r="BB109" s="474">
        <f>COUNTIF(PArticipationFevrier1[[#This Row],[1]:[30]],Code25)</f>
        <v>0</v>
      </c>
      <c r="BC109" s="474">
        <f>COUNTIF(PArticipationFevrier1[[#This Row],[1]:[30]],Code27)</f>
        <v>0</v>
      </c>
      <c r="BD109" s="474">
        <f>COUNTIF(PArticipationFevrier1[[#This Row],[1]:[30]],Code28)</f>
        <v>0</v>
      </c>
      <c r="BE109" s="474">
        <f>COUNTIF(PArticipationFevrier1[[#This Row],[1]:[30]],code30)</f>
        <v>0</v>
      </c>
      <c r="BF109" s="474">
        <f>COUNTIF(PArticipationFevrier1[[#This Row],[1]:[30]],Code31)</f>
        <v>0</v>
      </c>
      <c r="BG109" s="474">
        <f>COUNTIF(PArticipationFevrier1[[#This Row],[1]:[30]],code21)</f>
        <v>0</v>
      </c>
      <c r="BH109" s="474">
        <f>COUNTIF(PArticipationFevrier1[[#This Row],[1]:[30]],Code24)</f>
        <v>0</v>
      </c>
      <c r="BI109" s="474">
        <f>COUNTIF(PArticipationFevrier1[[#This Row],[1]:[30]],code18)</f>
        <v>0</v>
      </c>
      <c r="BJ109" s="474">
        <f>COUNTIF(PArticipationFevrier1[[#This Row],[1]:[30]],code19)</f>
        <v>0</v>
      </c>
      <c r="BK109" s="474">
        <f>COUNTIF(PArticipationFevrier1[[#This Row],[1]:[30]],code20)</f>
        <v>0</v>
      </c>
      <c r="BL109" s="476">
        <f>COUNTIF(PArticipationFevrier1[[#This Row],[1]:[30]],code29)</f>
        <v>0</v>
      </c>
      <c r="BM109" s="472"/>
      <c r="BN109" s="472"/>
      <c r="BO109" s="472"/>
      <c r="BP109" s="472"/>
      <c r="BQ109" s="472"/>
      <c r="BR109" s="472"/>
      <c r="BS109" s="472"/>
      <c r="BT109" s="472"/>
      <c r="BU109" s="472"/>
      <c r="BV109" s="472"/>
      <c r="BW109" s="472"/>
      <c r="BX109" s="472"/>
      <c r="BY109" s="472"/>
      <c r="BZ109" s="472"/>
      <c r="CA109" s="472"/>
      <c r="CB109" s="472"/>
      <c r="CC109" s="472"/>
      <c r="CD109" s="472"/>
      <c r="CE109" s="472"/>
      <c r="CF109" s="472"/>
      <c r="CG109" s="472"/>
      <c r="CH109" s="472"/>
      <c r="CI109" s="472"/>
      <c r="CJ109" s="472"/>
      <c r="CK109" s="472"/>
      <c r="CL109" s="472"/>
      <c r="CM109" s="472"/>
      <c r="CN109" s="472"/>
      <c r="CO109" s="472"/>
      <c r="CP109" s="472"/>
      <c r="CQ109" s="472"/>
      <c r="CR109" s="472"/>
      <c r="CS109" s="472"/>
      <c r="CT109" s="472"/>
      <c r="CU109" s="300"/>
      <c r="CV109" s="507">
        <f t="shared" si="9"/>
        <v>0</v>
      </c>
      <c r="CW109" s="531">
        <f t="shared" si="10"/>
        <v>0</v>
      </c>
      <c r="CX109" s="532">
        <f t="shared" si="11"/>
        <v>0</v>
      </c>
      <c r="CY109" s="157">
        <f t="shared" si="8"/>
        <v>0</v>
      </c>
    </row>
    <row r="110" spans="1:103">
      <c r="A110" s="534" t="s">
        <v>451</v>
      </c>
      <c r="B110" s="152" t="str">
        <f>IFERROR(VLOOKUP(PArticipationFevrier1[[#This Row],[Référence]],ListeÉtudiants1[],18,FALSE),"")</f>
        <v>OUSSENI-COMBO ROMINAH</v>
      </c>
      <c r="AF110" s="19"/>
      <c r="AG110" s="478"/>
      <c r="AH110" s="439">
        <f>COUNTIF(PArticipationFevrier1[[#This Row],[1]:[30]],Code1)</f>
        <v>0</v>
      </c>
      <c r="AI110" s="474">
        <f>COUNTIF(PArticipationFevrier1[[#This Row],[1]:[30]],code22)</f>
        <v>0</v>
      </c>
      <c r="AJ110" s="439">
        <f>COUNTIF(PArticipationFevrier1[[#This Row],[1]:[30]],Code2)</f>
        <v>0</v>
      </c>
      <c r="AK110" s="439">
        <f>COUNTIF(PArticipationFevrier1[[#This Row],[1]:[30]],Code3)</f>
        <v>0</v>
      </c>
      <c r="AL110" s="439">
        <f>COUNTIF(PArticipationFevrier1[[#This Row],[1]:[30]],Code4)</f>
        <v>0</v>
      </c>
      <c r="AM110" s="474">
        <f>COUNTIF(PArticipationFevrier1[[#This Row],[1]:[30]],Code5)</f>
        <v>0</v>
      </c>
      <c r="AN110" s="474"/>
      <c r="AO110" s="474">
        <f>COUNTIF(PArticipationFevrier1[[#This Row],[1]:[30]],Code6)</f>
        <v>0</v>
      </c>
      <c r="AP110" s="474">
        <f>COUNTIF(PArticipationFevrier1[[#This Row],[1]:[30]],Code7)</f>
        <v>0</v>
      </c>
      <c r="AQ110" s="474">
        <f>COUNTIF(PArticipationFevrier1[[#This Row],[1]:[30]],Code8)</f>
        <v>0</v>
      </c>
      <c r="AR110" s="474">
        <f>COUNTIF(PArticipationFevrier1[[#This Row],[1]:[30]],Code9)</f>
        <v>0</v>
      </c>
      <c r="AS110" s="474">
        <f>COUNTIF(PArticipationFevrier1[[#This Row],[1]:[30]],Code10)</f>
        <v>0</v>
      </c>
      <c r="AT110" s="474">
        <f>COUNTIF(PArticipationFevrier1[[#This Row],[1]:[30]],Code11)</f>
        <v>0</v>
      </c>
      <c r="AU110" s="474">
        <f>COUNTIF(PArticipationFevrier1[[#This Row],[1]:[30]],Code12)</f>
        <v>0</v>
      </c>
      <c r="AV110" s="474">
        <f>COUNTIF(PArticipationFevrier1[[#This Row],[1]:[30]],Code13)</f>
        <v>0</v>
      </c>
      <c r="AW110" s="474">
        <f>COUNTIF(PArticipationFevrier1[[#This Row],[1]:[30]],Code14)</f>
        <v>0</v>
      </c>
      <c r="AX110" s="474">
        <f>COUNTIF(PArticipationFevrier1[[#This Row],[1]:[30]],Code15)</f>
        <v>0</v>
      </c>
      <c r="AY110" s="474">
        <f>COUNTIF(PArticipationFevrier1[[#This Row],[1]:[30]],Code16)</f>
        <v>0</v>
      </c>
      <c r="AZ110" s="474">
        <f>COUNTIF(PArticipationFevrier1[[#This Row],[1]:[30]],Code17)</f>
        <v>0</v>
      </c>
      <c r="BA110" s="474">
        <f>COUNTIF(PArticipationFevrier1[[#This Row],[1]:[30]],Code26)</f>
        <v>0</v>
      </c>
      <c r="BB110" s="474">
        <f>COUNTIF(PArticipationFevrier1[[#This Row],[1]:[30]],Code25)</f>
        <v>0</v>
      </c>
      <c r="BC110" s="474">
        <f>COUNTIF(PArticipationFevrier1[[#This Row],[1]:[30]],Code27)</f>
        <v>0</v>
      </c>
      <c r="BD110" s="474">
        <f>COUNTIF(PArticipationFevrier1[[#This Row],[1]:[30]],Code28)</f>
        <v>0</v>
      </c>
      <c r="BE110" s="474">
        <f>COUNTIF(PArticipationFevrier1[[#This Row],[1]:[30]],code30)</f>
        <v>0</v>
      </c>
      <c r="BF110" s="474">
        <f>COUNTIF(PArticipationFevrier1[[#This Row],[1]:[30]],Code31)</f>
        <v>0</v>
      </c>
      <c r="BG110" s="474">
        <f>COUNTIF(PArticipationFevrier1[[#This Row],[1]:[30]],code21)</f>
        <v>0</v>
      </c>
      <c r="BH110" s="474">
        <f>COUNTIF(PArticipationFevrier1[[#This Row],[1]:[30]],Code24)</f>
        <v>0</v>
      </c>
      <c r="BI110" s="474">
        <f>COUNTIF(PArticipationFevrier1[[#This Row],[1]:[30]],code18)</f>
        <v>0</v>
      </c>
      <c r="BJ110" s="474">
        <f>COUNTIF(PArticipationFevrier1[[#This Row],[1]:[30]],code19)</f>
        <v>0</v>
      </c>
      <c r="BK110" s="474">
        <f>COUNTIF(PArticipationFevrier1[[#This Row],[1]:[30]],code20)</f>
        <v>0</v>
      </c>
      <c r="BL110" s="476">
        <f>COUNTIF(PArticipationFevrier1[[#This Row],[1]:[30]],code29)</f>
        <v>0</v>
      </c>
      <c r="BM110" s="472"/>
      <c r="BN110" s="472"/>
      <c r="BO110" s="472"/>
      <c r="BP110" s="472"/>
      <c r="BQ110" s="472"/>
      <c r="BR110" s="472"/>
      <c r="BS110" s="472"/>
      <c r="BT110" s="472"/>
      <c r="BU110" s="472"/>
      <c r="BV110" s="472"/>
      <c r="BW110" s="472"/>
      <c r="BX110" s="472"/>
      <c r="BY110" s="472"/>
      <c r="BZ110" s="472"/>
      <c r="CA110" s="472"/>
      <c r="CB110" s="472"/>
      <c r="CC110" s="472"/>
      <c r="CD110" s="472"/>
      <c r="CE110" s="472"/>
      <c r="CF110" s="472"/>
      <c r="CG110" s="472"/>
      <c r="CH110" s="472"/>
      <c r="CI110" s="472"/>
      <c r="CJ110" s="472"/>
      <c r="CK110" s="472"/>
      <c r="CL110" s="472"/>
      <c r="CM110" s="472"/>
      <c r="CN110" s="472"/>
      <c r="CO110" s="472"/>
      <c r="CP110" s="472"/>
      <c r="CQ110" s="472"/>
      <c r="CR110" s="472"/>
      <c r="CS110" s="472"/>
      <c r="CT110" s="472"/>
      <c r="CU110" s="300"/>
      <c r="CV110" s="507">
        <f t="shared" si="9"/>
        <v>0</v>
      </c>
      <c r="CW110" s="531">
        <f t="shared" si="10"/>
        <v>0</v>
      </c>
      <c r="CX110" s="532">
        <f t="shared" si="11"/>
        <v>0</v>
      </c>
      <c r="CY110" s="157">
        <f t="shared" si="8"/>
        <v>0</v>
      </c>
    </row>
    <row r="111" spans="1:103">
      <c r="A111" s="510" t="s">
        <v>452</v>
      </c>
      <c r="B111" s="152" t="str">
        <f>IFERROR(VLOOKUP(PArticipationFevrier1[[#This Row],[Référence]],ListeÉtudiants1[],18,FALSE),"")</f>
        <v>PAPAIL SIMON</v>
      </c>
      <c r="AF111" s="19"/>
      <c r="AG111" s="478"/>
      <c r="AH111" s="439">
        <f>COUNTIF(PArticipationFevrier1[[#This Row],[1]:[30]],Code1)</f>
        <v>0</v>
      </c>
      <c r="AI111" s="474">
        <f>COUNTIF(PArticipationFevrier1[[#This Row],[1]:[30]],code22)</f>
        <v>0</v>
      </c>
      <c r="AJ111" s="439">
        <f>COUNTIF(PArticipationFevrier1[[#This Row],[1]:[30]],Code2)</f>
        <v>0</v>
      </c>
      <c r="AK111" s="439">
        <f>COUNTIF(PArticipationFevrier1[[#This Row],[1]:[30]],Code3)</f>
        <v>0</v>
      </c>
      <c r="AL111" s="439">
        <f>COUNTIF(PArticipationFevrier1[[#This Row],[1]:[30]],Code4)</f>
        <v>0</v>
      </c>
      <c r="AM111" s="474">
        <f>COUNTIF(PArticipationFevrier1[[#This Row],[1]:[30]],Code5)</f>
        <v>0</v>
      </c>
      <c r="AN111" s="474"/>
      <c r="AO111" s="474">
        <f>COUNTIF(PArticipationFevrier1[[#This Row],[1]:[30]],Code6)</f>
        <v>0</v>
      </c>
      <c r="AP111" s="474">
        <f>COUNTIF(PArticipationFevrier1[[#This Row],[1]:[30]],Code7)</f>
        <v>0</v>
      </c>
      <c r="AQ111" s="474">
        <f>COUNTIF(PArticipationFevrier1[[#This Row],[1]:[30]],Code8)</f>
        <v>0</v>
      </c>
      <c r="AR111" s="474">
        <f>COUNTIF(PArticipationFevrier1[[#This Row],[1]:[30]],Code9)</f>
        <v>0</v>
      </c>
      <c r="AS111" s="474">
        <f>COUNTIF(PArticipationFevrier1[[#This Row],[1]:[30]],Code10)</f>
        <v>0</v>
      </c>
      <c r="AT111" s="474">
        <f>COUNTIF(PArticipationFevrier1[[#This Row],[1]:[30]],Code11)</f>
        <v>0</v>
      </c>
      <c r="AU111" s="474">
        <f>COUNTIF(PArticipationFevrier1[[#This Row],[1]:[30]],Code12)</f>
        <v>0</v>
      </c>
      <c r="AV111" s="474">
        <f>COUNTIF(PArticipationFevrier1[[#This Row],[1]:[30]],Code13)</f>
        <v>0</v>
      </c>
      <c r="AW111" s="474">
        <f>COUNTIF(PArticipationFevrier1[[#This Row],[1]:[30]],Code14)</f>
        <v>0</v>
      </c>
      <c r="AX111" s="474">
        <f>COUNTIF(PArticipationFevrier1[[#This Row],[1]:[30]],Code15)</f>
        <v>0</v>
      </c>
      <c r="AY111" s="474">
        <f>COUNTIF(PArticipationFevrier1[[#This Row],[1]:[30]],Code16)</f>
        <v>0</v>
      </c>
      <c r="AZ111" s="474">
        <f>COUNTIF(PArticipationFevrier1[[#This Row],[1]:[30]],Code17)</f>
        <v>0</v>
      </c>
      <c r="BA111" s="474">
        <f>COUNTIF(PArticipationFevrier1[[#This Row],[1]:[30]],Code26)</f>
        <v>0</v>
      </c>
      <c r="BB111" s="474">
        <f>COUNTIF(PArticipationFevrier1[[#This Row],[1]:[30]],Code25)</f>
        <v>0</v>
      </c>
      <c r="BC111" s="474">
        <f>COUNTIF(PArticipationFevrier1[[#This Row],[1]:[30]],Code27)</f>
        <v>0</v>
      </c>
      <c r="BD111" s="474">
        <f>COUNTIF(PArticipationFevrier1[[#This Row],[1]:[30]],Code28)</f>
        <v>0</v>
      </c>
      <c r="BE111" s="474">
        <f>COUNTIF(PArticipationFevrier1[[#This Row],[1]:[30]],code30)</f>
        <v>0</v>
      </c>
      <c r="BF111" s="474">
        <f>COUNTIF(PArticipationFevrier1[[#This Row],[1]:[30]],Code31)</f>
        <v>0</v>
      </c>
      <c r="BG111" s="474">
        <f>COUNTIF(PArticipationFevrier1[[#This Row],[1]:[30]],code21)</f>
        <v>0</v>
      </c>
      <c r="BH111" s="474">
        <f>COUNTIF(PArticipationFevrier1[[#This Row],[1]:[30]],Code24)</f>
        <v>0</v>
      </c>
      <c r="BI111" s="474">
        <f>COUNTIF(PArticipationFevrier1[[#This Row],[1]:[30]],code18)</f>
        <v>0</v>
      </c>
      <c r="BJ111" s="474">
        <f>COUNTIF(PArticipationFevrier1[[#This Row],[1]:[30]],code19)</f>
        <v>0</v>
      </c>
      <c r="BK111" s="474">
        <f>COUNTIF(PArticipationFevrier1[[#This Row],[1]:[30]],code20)</f>
        <v>0</v>
      </c>
      <c r="BL111" s="476">
        <f>COUNTIF(PArticipationFevrier1[[#This Row],[1]:[30]],code29)</f>
        <v>0</v>
      </c>
      <c r="BM111" s="472"/>
      <c r="BN111" s="472"/>
      <c r="BO111" s="472"/>
      <c r="BP111" s="472"/>
      <c r="BQ111" s="472"/>
      <c r="BR111" s="472"/>
      <c r="BS111" s="472"/>
      <c r="BT111" s="472"/>
      <c r="BU111" s="472"/>
      <c r="BV111" s="472"/>
      <c r="BW111" s="472"/>
      <c r="BX111" s="472"/>
      <c r="BY111" s="472"/>
      <c r="BZ111" s="472"/>
      <c r="CA111" s="472"/>
      <c r="CB111" s="472"/>
      <c r="CC111" s="472"/>
      <c r="CD111" s="472"/>
      <c r="CE111" s="472"/>
      <c r="CF111" s="472"/>
      <c r="CG111" s="472"/>
      <c r="CH111" s="472"/>
      <c r="CI111" s="472"/>
      <c r="CJ111" s="472"/>
      <c r="CK111" s="472"/>
      <c r="CL111" s="472"/>
      <c r="CM111" s="472"/>
      <c r="CN111" s="472"/>
      <c r="CO111" s="472"/>
      <c r="CP111" s="472"/>
      <c r="CQ111" s="472"/>
      <c r="CR111" s="472"/>
      <c r="CS111" s="472"/>
      <c r="CT111" s="472"/>
      <c r="CU111" s="300"/>
      <c r="CV111" s="507">
        <f t="shared" si="9"/>
        <v>0</v>
      </c>
      <c r="CW111" s="531">
        <f t="shared" si="10"/>
        <v>0</v>
      </c>
      <c r="CX111" s="532">
        <f t="shared" si="11"/>
        <v>0</v>
      </c>
      <c r="CY111" s="157">
        <f t="shared" si="8"/>
        <v>0</v>
      </c>
    </row>
    <row r="112" spans="1:103">
      <c r="A112" s="510" t="s">
        <v>453</v>
      </c>
      <c r="B112" s="152" t="str">
        <f>IFERROR(VLOOKUP(PArticipationFevrier1[[#This Row],[Référence]],ListeÉtudiants1[],18,FALSE),"")</f>
        <v>PICARDET LISSANNDRA</v>
      </c>
      <c r="AF112" s="19"/>
      <c r="AG112" s="478"/>
      <c r="AH112" s="439">
        <f>COUNTIF(PArticipationFevrier1[[#This Row],[1]:[30]],Code1)</f>
        <v>0</v>
      </c>
      <c r="AI112" s="474">
        <f>COUNTIF(PArticipationFevrier1[[#This Row],[1]:[30]],code22)</f>
        <v>0</v>
      </c>
      <c r="AJ112" s="439">
        <f>COUNTIF(PArticipationFevrier1[[#This Row],[1]:[30]],Code2)</f>
        <v>0</v>
      </c>
      <c r="AK112" s="439">
        <f>COUNTIF(PArticipationFevrier1[[#This Row],[1]:[30]],Code3)</f>
        <v>0</v>
      </c>
      <c r="AL112" s="439">
        <f>COUNTIF(PArticipationFevrier1[[#This Row],[1]:[30]],Code4)</f>
        <v>0</v>
      </c>
      <c r="AM112" s="474">
        <f>COUNTIF(PArticipationFevrier1[[#This Row],[1]:[30]],Code5)</f>
        <v>0</v>
      </c>
      <c r="AN112" s="474"/>
      <c r="AO112" s="474">
        <f>COUNTIF(PArticipationFevrier1[[#This Row],[1]:[30]],Code6)</f>
        <v>0</v>
      </c>
      <c r="AP112" s="474">
        <f>COUNTIF(PArticipationFevrier1[[#This Row],[1]:[30]],Code7)</f>
        <v>0</v>
      </c>
      <c r="AQ112" s="474">
        <f>COUNTIF(PArticipationFevrier1[[#This Row],[1]:[30]],Code8)</f>
        <v>0</v>
      </c>
      <c r="AR112" s="474">
        <f>COUNTIF(PArticipationFevrier1[[#This Row],[1]:[30]],Code9)</f>
        <v>0</v>
      </c>
      <c r="AS112" s="474">
        <f>COUNTIF(PArticipationFevrier1[[#This Row],[1]:[30]],Code10)</f>
        <v>0</v>
      </c>
      <c r="AT112" s="474">
        <f>COUNTIF(PArticipationFevrier1[[#This Row],[1]:[30]],Code11)</f>
        <v>0</v>
      </c>
      <c r="AU112" s="474">
        <f>COUNTIF(PArticipationFevrier1[[#This Row],[1]:[30]],Code12)</f>
        <v>0</v>
      </c>
      <c r="AV112" s="474">
        <f>COUNTIF(PArticipationFevrier1[[#This Row],[1]:[30]],Code13)</f>
        <v>0</v>
      </c>
      <c r="AW112" s="474">
        <f>COUNTIF(PArticipationFevrier1[[#This Row],[1]:[30]],Code14)</f>
        <v>0</v>
      </c>
      <c r="AX112" s="474">
        <f>COUNTIF(PArticipationFevrier1[[#This Row],[1]:[30]],Code15)</f>
        <v>0</v>
      </c>
      <c r="AY112" s="474">
        <f>COUNTIF(PArticipationFevrier1[[#This Row],[1]:[30]],Code16)</f>
        <v>0</v>
      </c>
      <c r="AZ112" s="474">
        <f>COUNTIF(PArticipationFevrier1[[#This Row],[1]:[30]],Code17)</f>
        <v>0</v>
      </c>
      <c r="BA112" s="474">
        <f>COUNTIF(PArticipationFevrier1[[#This Row],[1]:[30]],Code26)</f>
        <v>0</v>
      </c>
      <c r="BB112" s="474">
        <f>COUNTIF(PArticipationFevrier1[[#This Row],[1]:[30]],Code25)</f>
        <v>0</v>
      </c>
      <c r="BC112" s="474">
        <f>COUNTIF(PArticipationFevrier1[[#This Row],[1]:[30]],Code27)</f>
        <v>0</v>
      </c>
      <c r="BD112" s="474">
        <f>COUNTIF(PArticipationFevrier1[[#This Row],[1]:[30]],Code28)</f>
        <v>0</v>
      </c>
      <c r="BE112" s="474">
        <f>COUNTIF(PArticipationFevrier1[[#This Row],[1]:[30]],code30)</f>
        <v>0</v>
      </c>
      <c r="BF112" s="474">
        <f>COUNTIF(PArticipationFevrier1[[#This Row],[1]:[30]],Code31)</f>
        <v>0</v>
      </c>
      <c r="BG112" s="474">
        <f>COUNTIF(PArticipationFevrier1[[#This Row],[1]:[30]],code21)</f>
        <v>0</v>
      </c>
      <c r="BH112" s="474">
        <f>COUNTIF(PArticipationFevrier1[[#This Row],[1]:[30]],Code24)</f>
        <v>0</v>
      </c>
      <c r="BI112" s="474">
        <f>COUNTIF(PArticipationFevrier1[[#This Row],[1]:[30]],code18)</f>
        <v>0</v>
      </c>
      <c r="BJ112" s="474">
        <f>COUNTIF(PArticipationFevrier1[[#This Row],[1]:[30]],code19)</f>
        <v>0</v>
      </c>
      <c r="BK112" s="474">
        <f>COUNTIF(PArticipationFevrier1[[#This Row],[1]:[30]],code20)</f>
        <v>0</v>
      </c>
      <c r="BL112" s="476">
        <f>COUNTIF(PArticipationFevrier1[[#This Row],[1]:[30]],code29)</f>
        <v>0</v>
      </c>
      <c r="BM112" s="472"/>
      <c r="BN112" s="472"/>
      <c r="BO112" s="472"/>
      <c r="BP112" s="472"/>
      <c r="BQ112" s="472"/>
      <c r="BR112" s="472"/>
      <c r="BS112" s="472"/>
      <c r="BT112" s="472"/>
      <c r="BU112" s="472"/>
      <c r="BV112" s="472"/>
      <c r="BW112" s="472"/>
      <c r="BX112" s="472"/>
      <c r="BY112" s="472"/>
      <c r="BZ112" s="472"/>
      <c r="CA112" s="472"/>
      <c r="CB112" s="472"/>
      <c r="CC112" s="472"/>
      <c r="CD112" s="472"/>
      <c r="CE112" s="472"/>
      <c r="CF112" s="472"/>
      <c r="CG112" s="472"/>
      <c r="CH112" s="472"/>
      <c r="CI112" s="472"/>
      <c r="CJ112" s="472"/>
      <c r="CK112" s="472"/>
      <c r="CL112" s="472"/>
      <c r="CM112" s="472"/>
      <c r="CN112" s="472"/>
      <c r="CO112" s="472"/>
      <c r="CP112" s="472"/>
      <c r="CQ112" s="472"/>
      <c r="CR112" s="472"/>
      <c r="CS112" s="472"/>
      <c r="CT112" s="472"/>
      <c r="CU112" s="300"/>
      <c r="CV112" s="507">
        <f t="shared" si="9"/>
        <v>0</v>
      </c>
      <c r="CW112" s="531">
        <f t="shared" si="10"/>
        <v>0</v>
      </c>
      <c r="CX112" s="532">
        <f t="shared" si="11"/>
        <v>0</v>
      </c>
      <c r="CY112" s="157">
        <f t="shared" si="8"/>
        <v>0</v>
      </c>
    </row>
    <row r="113" spans="1:103">
      <c r="A113" s="510" t="s">
        <v>454</v>
      </c>
      <c r="B113" s="152" t="str">
        <f>IFERROR(VLOOKUP(PArticipationFevrier1[[#This Row],[Référence]],ListeÉtudiants1[],18,FALSE),"")</f>
        <v>PIRES KEVIN</v>
      </c>
      <c r="AF113" s="19"/>
      <c r="AG113" s="478"/>
      <c r="AH113" s="439">
        <f>COUNTIF(PArticipationFevrier1[[#This Row],[1]:[30]],Code1)</f>
        <v>0</v>
      </c>
      <c r="AI113" s="474">
        <f>COUNTIF(PArticipationFevrier1[[#This Row],[1]:[30]],code22)</f>
        <v>0</v>
      </c>
      <c r="AJ113" s="439">
        <f>COUNTIF(PArticipationFevrier1[[#This Row],[1]:[30]],Code2)</f>
        <v>0</v>
      </c>
      <c r="AK113" s="439">
        <f>COUNTIF(PArticipationFevrier1[[#This Row],[1]:[30]],Code3)</f>
        <v>0</v>
      </c>
      <c r="AL113" s="439">
        <f>COUNTIF(PArticipationFevrier1[[#This Row],[1]:[30]],Code4)</f>
        <v>0</v>
      </c>
      <c r="AM113" s="474">
        <f>COUNTIF(PArticipationFevrier1[[#This Row],[1]:[30]],Code5)</f>
        <v>0</v>
      </c>
      <c r="AN113" s="474"/>
      <c r="AO113" s="474">
        <f>COUNTIF(PArticipationFevrier1[[#This Row],[1]:[30]],Code6)</f>
        <v>0</v>
      </c>
      <c r="AP113" s="474">
        <f>COUNTIF(PArticipationFevrier1[[#This Row],[1]:[30]],Code7)</f>
        <v>0</v>
      </c>
      <c r="AQ113" s="474">
        <f>COUNTIF(PArticipationFevrier1[[#This Row],[1]:[30]],Code8)</f>
        <v>0</v>
      </c>
      <c r="AR113" s="474">
        <f>COUNTIF(PArticipationFevrier1[[#This Row],[1]:[30]],Code9)</f>
        <v>0</v>
      </c>
      <c r="AS113" s="474">
        <f>COUNTIF(PArticipationFevrier1[[#This Row],[1]:[30]],Code10)</f>
        <v>0</v>
      </c>
      <c r="AT113" s="474">
        <f>COUNTIF(PArticipationFevrier1[[#This Row],[1]:[30]],Code11)</f>
        <v>0</v>
      </c>
      <c r="AU113" s="474">
        <f>COUNTIF(PArticipationFevrier1[[#This Row],[1]:[30]],Code12)</f>
        <v>0</v>
      </c>
      <c r="AV113" s="474">
        <f>COUNTIF(PArticipationFevrier1[[#This Row],[1]:[30]],Code13)</f>
        <v>0</v>
      </c>
      <c r="AW113" s="474">
        <f>COUNTIF(PArticipationFevrier1[[#This Row],[1]:[30]],Code14)</f>
        <v>0</v>
      </c>
      <c r="AX113" s="474">
        <f>COUNTIF(PArticipationFevrier1[[#This Row],[1]:[30]],Code15)</f>
        <v>0</v>
      </c>
      <c r="AY113" s="474">
        <f>COUNTIF(PArticipationFevrier1[[#This Row],[1]:[30]],Code16)</f>
        <v>0</v>
      </c>
      <c r="AZ113" s="474">
        <f>COUNTIF(PArticipationFevrier1[[#This Row],[1]:[30]],Code17)</f>
        <v>0</v>
      </c>
      <c r="BA113" s="474">
        <f>COUNTIF(PArticipationFevrier1[[#This Row],[1]:[30]],Code26)</f>
        <v>0</v>
      </c>
      <c r="BB113" s="474">
        <f>COUNTIF(PArticipationFevrier1[[#This Row],[1]:[30]],Code25)</f>
        <v>0</v>
      </c>
      <c r="BC113" s="474">
        <f>COUNTIF(PArticipationFevrier1[[#This Row],[1]:[30]],Code27)</f>
        <v>0</v>
      </c>
      <c r="BD113" s="474">
        <f>COUNTIF(PArticipationFevrier1[[#This Row],[1]:[30]],Code28)</f>
        <v>0</v>
      </c>
      <c r="BE113" s="474">
        <f>COUNTIF(PArticipationFevrier1[[#This Row],[1]:[30]],code30)</f>
        <v>0</v>
      </c>
      <c r="BF113" s="474">
        <f>COUNTIF(PArticipationFevrier1[[#This Row],[1]:[30]],Code31)</f>
        <v>0</v>
      </c>
      <c r="BG113" s="474">
        <f>COUNTIF(PArticipationFevrier1[[#This Row],[1]:[30]],code21)</f>
        <v>0</v>
      </c>
      <c r="BH113" s="474">
        <f>COUNTIF(PArticipationFevrier1[[#This Row],[1]:[30]],Code24)</f>
        <v>0</v>
      </c>
      <c r="BI113" s="474">
        <f>COUNTIF(PArticipationFevrier1[[#This Row],[1]:[30]],code18)</f>
        <v>0</v>
      </c>
      <c r="BJ113" s="474">
        <f>COUNTIF(PArticipationFevrier1[[#This Row],[1]:[30]],code19)</f>
        <v>0</v>
      </c>
      <c r="BK113" s="474">
        <f>COUNTIF(PArticipationFevrier1[[#This Row],[1]:[30]],code20)</f>
        <v>0</v>
      </c>
      <c r="BL113" s="476">
        <f>COUNTIF(PArticipationFevrier1[[#This Row],[1]:[30]],code29)</f>
        <v>0</v>
      </c>
      <c r="BM113" s="472"/>
      <c r="BN113" s="472"/>
      <c r="BO113" s="472"/>
      <c r="BP113" s="472"/>
      <c r="BQ113" s="472"/>
      <c r="BR113" s="472"/>
      <c r="BS113" s="472"/>
      <c r="BT113" s="472"/>
      <c r="BU113" s="472"/>
      <c r="BV113" s="472"/>
      <c r="BW113" s="472"/>
      <c r="BX113" s="472"/>
      <c r="BY113" s="472"/>
      <c r="BZ113" s="472"/>
      <c r="CA113" s="472"/>
      <c r="CB113" s="472"/>
      <c r="CC113" s="472"/>
      <c r="CD113" s="472"/>
      <c r="CE113" s="472"/>
      <c r="CF113" s="472"/>
      <c r="CG113" s="472"/>
      <c r="CH113" s="472"/>
      <c r="CI113" s="472"/>
      <c r="CJ113" s="472"/>
      <c r="CK113" s="472"/>
      <c r="CL113" s="472"/>
      <c r="CM113" s="472"/>
      <c r="CN113" s="472"/>
      <c r="CO113" s="472"/>
      <c r="CP113" s="472"/>
      <c r="CQ113" s="472"/>
      <c r="CR113" s="472"/>
      <c r="CS113" s="472"/>
      <c r="CT113" s="472"/>
      <c r="CU113" s="300"/>
      <c r="CV113" s="507">
        <f t="shared" si="9"/>
        <v>0</v>
      </c>
      <c r="CW113" s="531">
        <f t="shared" si="10"/>
        <v>0</v>
      </c>
      <c r="CX113" s="532">
        <f t="shared" si="11"/>
        <v>0</v>
      </c>
      <c r="CY113" s="157">
        <f t="shared" si="8"/>
        <v>0</v>
      </c>
    </row>
    <row r="114" spans="1:103">
      <c r="A114" s="534" t="s">
        <v>455</v>
      </c>
      <c r="B114" s="152" t="str">
        <f>IFERROR(VLOOKUP(PArticipationFevrier1[[#This Row],[Référence]],ListeÉtudiants1[],18,FALSE),"")</f>
        <v>PITKIAYE MPOUTOU JESSICA</v>
      </c>
      <c r="AF114" s="19"/>
      <c r="AG114" s="478"/>
      <c r="AH114" s="439">
        <f>COUNTIF(PArticipationFevrier1[[#This Row],[1]:[30]],Code1)</f>
        <v>0</v>
      </c>
      <c r="AI114" s="474">
        <f>COUNTIF(PArticipationFevrier1[[#This Row],[1]:[30]],code22)</f>
        <v>0</v>
      </c>
      <c r="AJ114" s="439">
        <f>COUNTIF(PArticipationFevrier1[[#This Row],[1]:[30]],Code2)</f>
        <v>0</v>
      </c>
      <c r="AK114" s="439">
        <f>COUNTIF(PArticipationFevrier1[[#This Row],[1]:[30]],Code3)</f>
        <v>0</v>
      </c>
      <c r="AL114" s="439">
        <f>COUNTIF(PArticipationFevrier1[[#This Row],[1]:[30]],Code4)</f>
        <v>0</v>
      </c>
      <c r="AM114" s="474">
        <f>COUNTIF(PArticipationFevrier1[[#This Row],[1]:[30]],Code5)</f>
        <v>0</v>
      </c>
      <c r="AN114" s="474"/>
      <c r="AO114" s="474">
        <f>COUNTIF(PArticipationFevrier1[[#This Row],[1]:[30]],Code6)</f>
        <v>0</v>
      </c>
      <c r="AP114" s="474">
        <f>COUNTIF(PArticipationFevrier1[[#This Row],[1]:[30]],Code7)</f>
        <v>0</v>
      </c>
      <c r="AQ114" s="474">
        <f>COUNTIF(PArticipationFevrier1[[#This Row],[1]:[30]],Code8)</f>
        <v>0</v>
      </c>
      <c r="AR114" s="474">
        <f>COUNTIF(PArticipationFevrier1[[#This Row],[1]:[30]],Code9)</f>
        <v>0</v>
      </c>
      <c r="AS114" s="474">
        <f>COUNTIF(PArticipationFevrier1[[#This Row],[1]:[30]],Code10)</f>
        <v>0</v>
      </c>
      <c r="AT114" s="474">
        <f>COUNTIF(PArticipationFevrier1[[#This Row],[1]:[30]],Code11)</f>
        <v>0</v>
      </c>
      <c r="AU114" s="474">
        <f>COUNTIF(PArticipationFevrier1[[#This Row],[1]:[30]],Code12)</f>
        <v>0</v>
      </c>
      <c r="AV114" s="474">
        <f>COUNTIF(PArticipationFevrier1[[#This Row],[1]:[30]],Code13)</f>
        <v>0</v>
      </c>
      <c r="AW114" s="474">
        <f>COUNTIF(PArticipationFevrier1[[#This Row],[1]:[30]],Code14)</f>
        <v>0</v>
      </c>
      <c r="AX114" s="474">
        <f>COUNTIF(PArticipationFevrier1[[#This Row],[1]:[30]],Code15)</f>
        <v>0</v>
      </c>
      <c r="AY114" s="474">
        <f>COUNTIF(PArticipationFevrier1[[#This Row],[1]:[30]],Code16)</f>
        <v>0</v>
      </c>
      <c r="AZ114" s="474">
        <f>COUNTIF(PArticipationFevrier1[[#This Row],[1]:[30]],Code17)</f>
        <v>0</v>
      </c>
      <c r="BA114" s="474">
        <f>COUNTIF(PArticipationFevrier1[[#This Row],[1]:[30]],Code26)</f>
        <v>0</v>
      </c>
      <c r="BB114" s="474">
        <f>COUNTIF(PArticipationFevrier1[[#This Row],[1]:[30]],Code25)</f>
        <v>0</v>
      </c>
      <c r="BC114" s="474">
        <f>COUNTIF(PArticipationFevrier1[[#This Row],[1]:[30]],Code27)</f>
        <v>0</v>
      </c>
      <c r="BD114" s="474">
        <f>COUNTIF(PArticipationFevrier1[[#This Row],[1]:[30]],Code28)</f>
        <v>0</v>
      </c>
      <c r="BE114" s="474">
        <f>COUNTIF(PArticipationFevrier1[[#This Row],[1]:[30]],code30)</f>
        <v>0</v>
      </c>
      <c r="BF114" s="474">
        <f>COUNTIF(PArticipationFevrier1[[#This Row],[1]:[30]],Code31)</f>
        <v>0</v>
      </c>
      <c r="BG114" s="474">
        <f>COUNTIF(PArticipationFevrier1[[#This Row],[1]:[30]],code21)</f>
        <v>0</v>
      </c>
      <c r="BH114" s="474">
        <f>COUNTIF(PArticipationFevrier1[[#This Row],[1]:[30]],Code24)</f>
        <v>0</v>
      </c>
      <c r="BI114" s="474">
        <f>COUNTIF(PArticipationFevrier1[[#This Row],[1]:[30]],code18)</f>
        <v>0</v>
      </c>
      <c r="BJ114" s="474">
        <f>COUNTIF(PArticipationFevrier1[[#This Row],[1]:[30]],code19)</f>
        <v>0</v>
      </c>
      <c r="BK114" s="474">
        <f>COUNTIF(PArticipationFevrier1[[#This Row],[1]:[30]],code20)</f>
        <v>0</v>
      </c>
      <c r="BL114" s="476">
        <f>COUNTIF(PArticipationFevrier1[[#This Row],[1]:[30]],code29)</f>
        <v>0</v>
      </c>
      <c r="BM114" s="472"/>
      <c r="BN114" s="472"/>
      <c r="BO114" s="472"/>
      <c r="BP114" s="472"/>
      <c r="BQ114" s="472"/>
      <c r="BR114" s="472"/>
      <c r="BS114" s="472"/>
      <c r="BT114" s="472"/>
      <c r="BU114" s="472"/>
      <c r="BV114" s="472"/>
      <c r="BW114" s="472"/>
      <c r="BX114" s="472"/>
      <c r="BY114" s="472"/>
      <c r="BZ114" s="472"/>
      <c r="CA114" s="472"/>
      <c r="CB114" s="472"/>
      <c r="CC114" s="472"/>
      <c r="CD114" s="472"/>
      <c r="CE114" s="472"/>
      <c r="CF114" s="472"/>
      <c r="CG114" s="472"/>
      <c r="CH114" s="472"/>
      <c r="CI114" s="472"/>
      <c r="CJ114" s="472"/>
      <c r="CK114" s="472"/>
      <c r="CL114" s="472"/>
      <c r="CM114" s="472"/>
      <c r="CN114" s="472"/>
      <c r="CO114" s="472"/>
      <c r="CP114" s="472"/>
      <c r="CQ114" s="472"/>
      <c r="CR114" s="472"/>
      <c r="CS114" s="472"/>
      <c r="CT114" s="472"/>
      <c r="CU114" s="300"/>
      <c r="CV114" s="507">
        <f t="shared" si="9"/>
        <v>0</v>
      </c>
      <c r="CW114" s="531">
        <f t="shared" si="10"/>
        <v>0</v>
      </c>
      <c r="CX114" s="532">
        <f t="shared" si="11"/>
        <v>0</v>
      </c>
      <c r="CY114" s="157">
        <f t="shared" si="8"/>
        <v>0</v>
      </c>
    </row>
    <row r="115" spans="1:103">
      <c r="A115" s="510" t="s">
        <v>456</v>
      </c>
      <c r="B115" s="152" t="str">
        <f>IFERROR(VLOOKUP(PArticipationFevrier1[[#This Row],[Référence]],ListeÉtudiants1[],18,FALSE),"")</f>
        <v>QUINTAIS ALEXANDRE</v>
      </c>
      <c r="AF115" s="19"/>
      <c r="AG115" s="478"/>
      <c r="AH115" s="439">
        <f>COUNTIF(PArticipationFevrier1[[#This Row],[1]:[30]],Code1)</f>
        <v>0</v>
      </c>
      <c r="AI115" s="474">
        <f>COUNTIF(PArticipationFevrier1[[#This Row],[1]:[30]],code22)</f>
        <v>0</v>
      </c>
      <c r="AJ115" s="439">
        <f>COUNTIF(PArticipationFevrier1[[#This Row],[1]:[30]],Code2)</f>
        <v>0</v>
      </c>
      <c r="AK115" s="439">
        <f>COUNTIF(PArticipationFevrier1[[#This Row],[1]:[30]],Code3)</f>
        <v>0</v>
      </c>
      <c r="AL115" s="439">
        <f>COUNTIF(PArticipationFevrier1[[#This Row],[1]:[30]],Code4)</f>
        <v>0</v>
      </c>
      <c r="AM115" s="474">
        <f>COUNTIF(PArticipationFevrier1[[#This Row],[1]:[30]],Code5)</f>
        <v>0</v>
      </c>
      <c r="AN115" s="474"/>
      <c r="AO115" s="474">
        <f>COUNTIF(PArticipationFevrier1[[#This Row],[1]:[30]],Code6)</f>
        <v>0</v>
      </c>
      <c r="AP115" s="474">
        <f>COUNTIF(PArticipationFevrier1[[#This Row],[1]:[30]],Code7)</f>
        <v>0</v>
      </c>
      <c r="AQ115" s="474">
        <f>COUNTIF(PArticipationFevrier1[[#This Row],[1]:[30]],Code8)</f>
        <v>0</v>
      </c>
      <c r="AR115" s="474">
        <f>COUNTIF(PArticipationFevrier1[[#This Row],[1]:[30]],Code9)</f>
        <v>0</v>
      </c>
      <c r="AS115" s="474">
        <f>COUNTIF(PArticipationFevrier1[[#This Row],[1]:[30]],Code10)</f>
        <v>0</v>
      </c>
      <c r="AT115" s="474">
        <f>COUNTIF(PArticipationFevrier1[[#This Row],[1]:[30]],Code11)</f>
        <v>0</v>
      </c>
      <c r="AU115" s="474">
        <f>COUNTIF(PArticipationFevrier1[[#This Row],[1]:[30]],Code12)</f>
        <v>0</v>
      </c>
      <c r="AV115" s="474">
        <f>COUNTIF(PArticipationFevrier1[[#This Row],[1]:[30]],Code13)</f>
        <v>0</v>
      </c>
      <c r="AW115" s="474">
        <f>COUNTIF(PArticipationFevrier1[[#This Row],[1]:[30]],Code14)</f>
        <v>0</v>
      </c>
      <c r="AX115" s="474">
        <f>COUNTIF(PArticipationFevrier1[[#This Row],[1]:[30]],Code15)</f>
        <v>0</v>
      </c>
      <c r="AY115" s="474">
        <f>COUNTIF(PArticipationFevrier1[[#This Row],[1]:[30]],Code16)</f>
        <v>0</v>
      </c>
      <c r="AZ115" s="474">
        <f>COUNTIF(PArticipationFevrier1[[#This Row],[1]:[30]],Code17)</f>
        <v>0</v>
      </c>
      <c r="BA115" s="474">
        <f>COUNTIF(PArticipationFevrier1[[#This Row],[1]:[30]],Code26)</f>
        <v>0</v>
      </c>
      <c r="BB115" s="474">
        <f>COUNTIF(PArticipationFevrier1[[#This Row],[1]:[30]],Code25)</f>
        <v>0</v>
      </c>
      <c r="BC115" s="474">
        <f>COUNTIF(PArticipationFevrier1[[#This Row],[1]:[30]],Code27)</f>
        <v>0</v>
      </c>
      <c r="BD115" s="474">
        <f>COUNTIF(PArticipationFevrier1[[#This Row],[1]:[30]],Code28)</f>
        <v>0</v>
      </c>
      <c r="BE115" s="474">
        <f>COUNTIF(PArticipationFevrier1[[#This Row],[1]:[30]],code30)</f>
        <v>0</v>
      </c>
      <c r="BF115" s="474">
        <f>COUNTIF(PArticipationFevrier1[[#This Row],[1]:[30]],Code31)</f>
        <v>0</v>
      </c>
      <c r="BG115" s="474">
        <f>COUNTIF(PArticipationFevrier1[[#This Row],[1]:[30]],code21)</f>
        <v>0</v>
      </c>
      <c r="BH115" s="474">
        <f>COUNTIF(PArticipationFevrier1[[#This Row],[1]:[30]],Code24)</f>
        <v>0</v>
      </c>
      <c r="BI115" s="474">
        <f>COUNTIF(PArticipationFevrier1[[#This Row],[1]:[30]],code18)</f>
        <v>0</v>
      </c>
      <c r="BJ115" s="474">
        <f>COUNTIF(PArticipationFevrier1[[#This Row],[1]:[30]],code19)</f>
        <v>0</v>
      </c>
      <c r="BK115" s="474">
        <f>COUNTIF(PArticipationFevrier1[[#This Row],[1]:[30]],code20)</f>
        <v>0</v>
      </c>
      <c r="BL115" s="476">
        <f>COUNTIF(PArticipationFevrier1[[#This Row],[1]:[30]],code29)</f>
        <v>0</v>
      </c>
      <c r="BM115" s="472"/>
      <c r="BN115" s="472"/>
      <c r="BO115" s="472"/>
      <c r="BP115" s="472"/>
      <c r="BQ115" s="472"/>
      <c r="BR115" s="472"/>
      <c r="BS115" s="472"/>
      <c r="BT115" s="472"/>
      <c r="BU115" s="472"/>
      <c r="BV115" s="472"/>
      <c r="BW115" s="472"/>
      <c r="BX115" s="472"/>
      <c r="BY115" s="472"/>
      <c r="BZ115" s="472"/>
      <c r="CA115" s="472"/>
      <c r="CB115" s="472"/>
      <c r="CC115" s="472"/>
      <c r="CD115" s="472"/>
      <c r="CE115" s="472"/>
      <c r="CF115" s="472"/>
      <c r="CG115" s="472"/>
      <c r="CH115" s="472"/>
      <c r="CI115" s="472"/>
      <c r="CJ115" s="472"/>
      <c r="CK115" s="472"/>
      <c r="CL115" s="472"/>
      <c r="CM115" s="472"/>
      <c r="CN115" s="472"/>
      <c r="CO115" s="472"/>
      <c r="CP115" s="472"/>
      <c r="CQ115" s="472"/>
      <c r="CR115" s="472"/>
      <c r="CS115" s="472"/>
      <c r="CT115" s="472"/>
      <c r="CU115" s="300"/>
      <c r="CV115" s="507">
        <f t="shared" si="9"/>
        <v>0</v>
      </c>
      <c r="CW115" s="531">
        <f t="shared" si="10"/>
        <v>0</v>
      </c>
      <c r="CX115" s="532">
        <f t="shared" si="11"/>
        <v>0</v>
      </c>
      <c r="CY115" s="157">
        <f t="shared" si="8"/>
        <v>0</v>
      </c>
    </row>
    <row r="116" spans="1:103">
      <c r="A116" s="510" t="s">
        <v>457</v>
      </c>
      <c r="B116" s="152" t="str">
        <f>IFERROR(VLOOKUP(PArticipationFevrier1[[#This Row],[Référence]],ListeÉtudiants1[],18,FALSE),"")</f>
        <v>RAMOS MARION</v>
      </c>
      <c r="AF116" s="19"/>
      <c r="AG116" s="478"/>
      <c r="AH116" s="439">
        <f>COUNTIF(PArticipationFevrier1[[#This Row],[1]:[30]],Code1)</f>
        <v>0</v>
      </c>
      <c r="AI116" s="474">
        <f>COUNTIF(PArticipationFevrier1[[#This Row],[1]:[30]],code22)</f>
        <v>0</v>
      </c>
      <c r="AJ116" s="439">
        <f>COUNTIF(PArticipationFevrier1[[#This Row],[1]:[30]],Code2)</f>
        <v>0</v>
      </c>
      <c r="AK116" s="439">
        <f>COUNTIF(PArticipationFevrier1[[#This Row],[1]:[30]],Code3)</f>
        <v>0</v>
      </c>
      <c r="AL116" s="439">
        <f>COUNTIF(PArticipationFevrier1[[#This Row],[1]:[30]],Code4)</f>
        <v>0</v>
      </c>
      <c r="AM116" s="474">
        <f>COUNTIF(PArticipationFevrier1[[#This Row],[1]:[30]],Code5)</f>
        <v>0</v>
      </c>
      <c r="AN116" s="474"/>
      <c r="AO116" s="474">
        <f>COUNTIF(PArticipationFevrier1[[#This Row],[1]:[30]],Code6)</f>
        <v>0</v>
      </c>
      <c r="AP116" s="474">
        <f>COUNTIF(PArticipationFevrier1[[#This Row],[1]:[30]],Code7)</f>
        <v>0</v>
      </c>
      <c r="AQ116" s="474">
        <f>COUNTIF(PArticipationFevrier1[[#This Row],[1]:[30]],Code8)</f>
        <v>0</v>
      </c>
      <c r="AR116" s="474">
        <f>COUNTIF(PArticipationFevrier1[[#This Row],[1]:[30]],Code9)</f>
        <v>0</v>
      </c>
      <c r="AS116" s="474">
        <f>COUNTIF(PArticipationFevrier1[[#This Row],[1]:[30]],Code10)</f>
        <v>0</v>
      </c>
      <c r="AT116" s="474">
        <f>COUNTIF(PArticipationFevrier1[[#This Row],[1]:[30]],Code11)</f>
        <v>0</v>
      </c>
      <c r="AU116" s="474">
        <f>COUNTIF(PArticipationFevrier1[[#This Row],[1]:[30]],Code12)</f>
        <v>0</v>
      </c>
      <c r="AV116" s="474">
        <f>COUNTIF(PArticipationFevrier1[[#This Row],[1]:[30]],Code13)</f>
        <v>0</v>
      </c>
      <c r="AW116" s="474">
        <f>COUNTIF(PArticipationFevrier1[[#This Row],[1]:[30]],Code14)</f>
        <v>0</v>
      </c>
      <c r="AX116" s="474">
        <f>COUNTIF(PArticipationFevrier1[[#This Row],[1]:[30]],Code15)</f>
        <v>0</v>
      </c>
      <c r="AY116" s="474">
        <f>COUNTIF(PArticipationFevrier1[[#This Row],[1]:[30]],Code16)</f>
        <v>0</v>
      </c>
      <c r="AZ116" s="474">
        <f>COUNTIF(PArticipationFevrier1[[#This Row],[1]:[30]],Code17)</f>
        <v>0</v>
      </c>
      <c r="BA116" s="474">
        <f>COUNTIF(PArticipationFevrier1[[#This Row],[1]:[30]],Code26)</f>
        <v>0</v>
      </c>
      <c r="BB116" s="474">
        <f>COUNTIF(PArticipationFevrier1[[#This Row],[1]:[30]],Code25)</f>
        <v>0</v>
      </c>
      <c r="BC116" s="474">
        <f>COUNTIF(PArticipationFevrier1[[#This Row],[1]:[30]],Code27)</f>
        <v>0</v>
      </c>
      <c r="BD116" s="474">
        <f>COUNTIF(PArticipationFevrier1[[#This Row],[1]:[30]],Code28)</f>
        <v>0</v>
      </c>
      <c r="BE116" s="474">
        <f>COUNTIF(PArticipationFevrier1[[#This Row],[1]:[30]],code30)</f>
        <v>0</v>
      </c>
      <c r="BF116" s="474">
        <f>COUNTIF(PArticipationFevrier1[[#This Row],[1]:[30]],Code31)</f>
        <v>0</v>
      </c>
      <c r="BG116" s="474">
        <f>COUNTIF(PArticipationFevrier1[[#This Row],[1]:[30]],code21)</f>
        <v>0</v>
      </c>
      <c r="BH116" s="474">
        <f>COUNTIF(PArticipationFevrier1[[#This Row],[1]:[30]],Code24)</f>
        <v>0</v>
      </c>
      <c r="BI116" s="474">
        <f>COUNTIF(PArticipationFevrier1[[#This Row],[1]:[30]],code18)</f>
        <v>0</v>
      </c>
      <c r="BJ116" s="474">
        <f>COUNTIF(PArticipationFevrier1[[#This Row],[1]:[30]],code19)</f>
        <v>0</v>
      </c>
      <c r="BK116" s="474">
        <f>COUNTIF(PArticipationFevrier1[[#This Row],[1]:[30]],code20)</f>
        <v>0</v>
      </c>
      <c r="BL116" s="476">
        <f>COUNTIF(PArticipationFevrier1[[#This Row],[1]:[30]],code29)</f>
        <v>0</v>
      </c>
      <c r="BM116" s="472"/>
      <c r="BN116" s="472"/>
      <c r="BO116" s="472"/>
      <c r="BP116" s="472"/>
      <c r="BQ116" s="472"/>
      <c r="BR116" s="472"/>
      <c r="BS116" s="472"/>
      <c r="BT116" s="472"/>
      <c r="BU116" s="472"/>
      <c r="BV116" s="472"/>
      <c r="BW116" s="472"/>
      <c r="BX116" s="472"/>
      <c r="BY116" s="472"/>
      <c r="BZ116" s="472"/>
      <c r="CA116" s="472"/>
      <c r="CB116" s="472"/>
      <c r="CC116" s="472"/>
      <c r="CD116" s="472"/>
      <c r="CE116" s="472"/>
      <c r="CF116" s="472"/>
      <c r="CG116" s="472"/>
      <c r="CH116" s="472"/>
      <c r="CI116" s="472"/>
      <c r="CJ116" s="472"/>
      <c r="CK116" s="472"/>
      <c r="CL116" s="472"/>
      <c r="CM116" s="472"/>
      <c r="CN116" s="472"/>
      <c r="CO116" s="472"/>
      <c r="CP116" s="472"/>
      <c r="CQ116" s="472"/>
      <c r="CR116" s="472"/>
      <c r="CS116" s="472"/>
      <c r="CT116" s="472"/>
      <c r="CU116" s="300"/>
      <c r="CV116" s="507">
        <f t="shared" si="9"/>
        <v>0</v>
      </c>
      <c r="CW116" s="531">
        <f t="shared" si="10"/>
        <v>0</v>
      </c>
      <c r="CX116" s="532">
        <f t="shared" si="11"/>
        <v>0</v>
      </c>
      <c r="CY116" s="157">
        <f t="shared" si="8"/>
        <v>0</v>
      </c>
    </row>
    <row r="117" spans="1:103">
      <c r="A117" s="510" t="s">
        <v>458</v>
      </c>
      <c r="B117" s="152" t="str">
        <f>IFERROR(VLOOKUP(PArticipationFevrier1[[#This Row],[Référence]],ListeÉtudiants1[],18,FALSE),"")</f>
        <v>REMIR REBECCA</v>
      </c>
      <c r="AF117" s="19"/>
      <c r="AG117" s="478"/>
      <c r="AH117" s="439">
        <f>COUNTIF(PArticipationFevrier1[[#This Row],[1]:[30]],Code1)</f>
        <v>0</v>
      </c>
      <c r="AI117" s="474">
        <f>COUNTIF(PArticipationFevrier1[[#This Row],[1]:[30]],code22)</f>
        <v>0</v>
      </c>
      <c r="AJ117" s="439">
        <f>COUNTIF(PArticipationFevrier1[[#This Row],[1]:[30]],Code2)</f>
        <v>0</v>
      </c>
      <c r="AK117" s="439">
        <f>COUNTIF(PArticipationFevrier1[[#This Row],[1]:[30]],Code3)</f>
        <v>0</v>
      </c>
      <c r="AL117" s="439">
        <f>COUNTIF(PArticipationFevrier1[[#This Row],[1]:[30]],Code4)</f>
        <v>0</v>
      </c>
      <c r="AM117" s="474">
        <f>COUNTIF(PArticipationFevrier1[[#This Row],[1]:[30]],Code5)</f>
        <v>0</v>
      </c>
      <c r="AN117" s="474"/>
      <c r="AO117" s="474">
        <f>COUNTIF(PArticipationFevrier1[[#This Row],[1]:[30]],Code6)</f>
        <v>0</v>
      </c>
      <c r="AP117" s="474">
        <f>COUNTIF(PArticipationFevrier1[[#This Row],[1]:[30]],Code7)</f>
        <v>0</v>
      </c>
      <c r="AQ117" s="474">
        <f>COUNTIF(PArticipationFevrier1[[#This Row],[1]:[30]],Code8)</f>
        <v>0</v>
      </c>
      <c r="AR117" s="474">
        <f>COUNTIF(PArticipationFevrier1[[#This Row],[1]:[30]],Code9)</f>
        <v>0</v>
      </c>
      <c r="AS117" s="474">
        <f>COUNTIF(PArticipationFevrier1[[#This Row],[1]:[30]],Code10)</f>
        <v>0</v>
      </c>
      <c r="AT117" s="474">
        <f>COUNTIF(PArticipationFevrier1[[#This Row],[1]:[30]],Code11)</f>
        <v>0</v>
      </c>
      <c r="AU117" s="474">
        <f>COUNTIF(PArticipationFevrier1[[#This Row],[1]:[30]],Code12)</f>
        <v>0</v>
      </c>
      <c r="AV117" s="474">
        <f>COUNTIF(PArticipationFevrier1[[#This Row],[1]:[30]],Code13)</f>
        <v>0</v>
      </c>
      <c r="AW117" s="474">
        <f>COUNTIF(PArticipationFevrier1[[#This Row],[1]:[30]],Code14)</f>
        <v>0</v>
      </c>
      <c r="AX117" s="474">
        <f>COUNTIF(PArticipationFevrier1[[#This Row],[1]:[30]],Code15)</f>
        <v>0</v>
      </c>
      <c r="AY117" s="474">
        <f>COUNTIF(PArticipationFevrier1[[#This Row],[1]:[30]],Code16)</f>
        <v>0</v>
      </c>
      <c r="AZ117" s="474">
        <f>COUNTIF(PArticipationFevrier1[[#This Row],[1]:[30]],Code17)</f>
        <v>0</v>
      </c>
      <c r="BA117" s="474">
        <f>COUNTIF(PArticipationFevrier1[[#This Row],[1]:[30]],Code26)</f>
        <v>0</v>
      </c>
      <c r="BB117" s="474">
        <f>COUNTIF(PArticipationFevrier1[[#This Row],[1]:[30]],Code25)</f>
        <v>0</v>
      </c>
      <c r="BC117" s="474">
        <f>COUNTIF(PArticipationFevrier1[[#This Row],[1]:[30]],Code27)</f>
        <v>0</v>
      </c>
      <c r="BD117" s="474">
        <f>COUNTIF(PArticipationFevrier1[[#This Row],[1]:[30]],Code28)</f>
        <v>0</v>
      </c>
      <c r="BE117" s="474">
        <f>COUNTIF(PArticipationFevrier1[[#This Row],[1]:[30]],code30)</f>
        <v>0</v>
      </c>
      <c r="BF117" s="474">
        <f>COUNTIF(PArticipationFevrier1[[#This Row],[1]:[30]],Code31)</f>
        <v>0</v>
      </c>
      <c r="BG117" s="474">
        <f>COUNTIF(PArticipationFevrier1[[#This Row],[1]:[30]],code21)</f>
        <v>0</v>
      </c>
      <c r="BH117" s="474">
        <f>COUNTIF(PArticipationFevrier1[[#This Row],[1]:[30]],Code24)</f>
        <v>0</v>
      </c>
      <c r="BI117" s="474">
        <f>COUNTIF(PArticipationFevrier1[[#This Row],[1]:[30]],code18)</f>
        <v>0</v>
      </c>
      <c r="BJ117" s="474">
        <f>COUNTIF(PArticipationFevrier1[[#This Row],[1]:[30]],code19)</f>
        <v>0</v>
      </c>
      <c r="BK117" s="474">
        <f>COUNTIF(PArticipationFevrier1[[#This Row],[1]:[30]],code20)</f>
        <v>0</v>
      </c>
      <c r="BL117" s="476">
        <f>COUNTIF(PArticipationFevrier1[[#This Row],[1]:[30]],code29)</f>
        <v>0</v>
      </c>
      <c r="BM117" s="472"/>
      <c r="BN117" s="472"/>
      <c r="BO117" s="472"/>
      <c r="BP117" s="472"/>
      <c r="BQ117" s="472"/>
      <c r="BR117" s="472"/>
      <c r="BS117" s="472"/>
      <c r="BT117" s="472"/>
      <c r="BU117" s="472"/>
      <c r="BV117" s="472"/>
      <c r="BW117" s="472"/>
      <c r="BX117" s="472"/>
      <c r="BY117" s="472"/>
      <c r="BZ117" s="472"/>
      <c r="CA117" s="472"/>
      <c r="CB117" s="472"/>
      <c r="CC117" s="472"/>
      <c r="CD117" s="472"/>
      <c r="CE117" s="472"/>
      <c r="CF117" s="472"/>
      <c r="CG117" s="472"/>
      <c r="CH117" s="472"/>
      <c r="CI117" s="472"/>
      <c r="CJ117" s="472"/>
      <c r="CK117" s="472"/>
      <c r="CL117" s="472"/>
      <c r="CM117" s="472"/>
      <c r="CN117" s="472"/>
      <c r="CO117" s="472"/>
      <c r="CP117" s="472"/>
      <c r="CQ117" s="472"/>
      <c r="CR117" s="472"/>
      <c r="CS117" s="472"/>
      <c r="CT117" s="472"/>
      <c r="CU117" s="300"/>
      <c r="CV117" s="507">
        <f t="shared" si="9"/>
        <v>0</v>
      </c>
      <c r="CW117" s="531">
        <f t="shared" si="10"/>
        <v>0</v>
      </c>
      <c r="CX117" s="532">
        <f t="shared" si="11"/>
        <v>0</v>
      </c>
      <c r="CY117" s="157">
        <f t="shared" si="8"/>
        <v>0</v>
      </c>
    </row>
    <row r="118" spans="1:103">
      <c r="A118" s="510" t="s">
        <v>459</v>
      </c>
      <c r="B118" s="152" t="str">
        <f>IFERROR(VLOOKUP(PArticipationFevrier1[[#This Row],[Référence]],ListeÉtudiants1[],18,FALSE),"")</f>
        <v>RODRIGUES AFONSO CHARLOTTE</v>
      </c>
      <c r="AF118" s="19"/>
      <c r="AG118" s="478"/>
      <c r="AH118" s="439">
        <f>COUNTIF(PArticipationFevrier1[[#This Row],[1]:[30]],Code1)</f>
        <v>0</v>
      </c>
      <c r="AI118" s="474">
        <f>COUNTIF(PArticipationFevrier1[[#This Row],[1]:[30]],code22)</f>
        <v>0</v>
      </c>
      <c r="AJ118" s="439">
        <f>COUNTIF(PArticipationFevrier1[[#This Row],[1]:[30]],Code2)</f>
        <v>0</v>
      </c>
      <c r="AK118" s="439">
        <f>COUNTIF(PArticipationFevrier1[[#This Row],[1]:[30]],Code3)</f>
        <v>0</v>
      </c>
      <c r="AL118" s="439">
        <f>COUNTIF(PArticipationFevrier1[[#This Row],[1]:[30]],Code4)</f>
        <v>0</v>
      </c>
      <c r="AM118" s="474">
        <f>COUNTIF(PArticipationFevrier1[[#This Row],[1]:[30]],Code5)</f>
        <v>0</v>
      </c>
      <c r="AN118" s="474"/>
      <c r="AO118" s="474">
        <f>COUNTIF(PArticipationFevrier1[[#This Row],[1]:[30]],Code6)</f>
        <v>0</v>
      </c>
      <c r="AP118" s="474">
        <f>COUNTIF(PArticipationFevrier1[[#This Row],[1]:[30]],Code7)</f>
        <v>0</v>
      </c>
      <c r="AQ118" s="474">
        <f>COUNTIF(PArticipationFevrier1[[#This Row],[1]:[30]],Code8)</f>
        <v>0</v>
      </c>
      <c r="AR118" s="474">
        <f>COUNTIF(PArticipationFevrier1[[#This Row],[1]:[30]],Code9)</f>
        <v>0</v>
      </c>
      <c r="AS118" s="474">
        <f>COUNTIF(PArticipationFevrier1[[#This Row],[1]:[30]],Code10)</f>
        <v>0</v>
      </c>
      <c r="AT118" s="474">
        <f>COUNTIF(PArticipationFevrier1[[#This Row],[1]:[30]],Code11)</f>
        <v>0</v>
      </c>
      <c r="AU118" s="474">
        <f>COUNTIF(PArticipationFevrier1[[#This Row],[1]:[30]],Code12)</f>
        <v>0</v>
      </c>
      <c r="AV118" s="474">
        <f>COUNTIF(PArticipationFevrier1[[#This Row],[1]:[30]],Code13)</f>
        <v>0</v>
      </c>
      <c r="AW118" s="474">
        <f>COUNTIF(PArticipationFevrier1[[#This Row],[1]:[30]],Code14)</f>
        <v>0</v>
      </c>
      <c r="AX118" s="474">
        <f>COUNTIF(PArticipationFevrier1[[#This Row],[1]:[30]],Code15)</f>
        <v>0</v>
      </c>
      <c r="AY118" s="474">
        <f>COUNTIF(PArticipationFevrier1[[#This Row],[1]:[30]],Code16)</f>
        <v>0</v>
      </c>
      <c r="AZ118" s="474">
        <f>COUNTIF(PArticipationFevrier1[[#This Row],[1]:[30]],Code17)</f>
        <v>0</v>
      </c>
      <c r="BA118" s="474">
        <f>COUNTIF(PArticipationFevrier1[[#This Row],[1]:[30]],Code26)</f>
        <v>0</v>
      </c>
      <c r="BB118" s="474">
        <f>COUNTIF(PArticipationFevrier1[[#This Row],[1]:[30]],Code25)</f>
        <v>0</v>
      </c>
      <c r="BC118" s="474">
        <f>COUNTIF(PArticipationFevrier1[[#This Row],[1]:[30]],Code27)</f>
        <v>0</v>
      </c>
      <c r="BD118" s="474">
        <f>COUNTIF(PArticipationFevrier1[[#This Row],[1]:[30]],Code28)</f>
        <v>0</v>
      </c>
      <c r="BE118" s="474">
        <f>COUNTIF(PArticipationFevrier1[[#This Row],[1]:[30]],code30)</f>
        <v>0</v>
      </c>
      <c r="BF118" s="474">
        <f>COUNTIF(PArticipationFevrier1[[#This Row],[1]:[30]],Code31)</f>
        <v>0</v>
      </c>
      <c r="BG118" s="474">
        <f>COUNTIF(PArticipationFevrier1[[#This Row],[1]:[30]],code21)</f>
        <v>0</v>
      </c>
      <c r="BH118" s="474">
        <f>COUNTIF(PArticipationFevrier1[[#This Row],[1]:[30]],Code24)</f>
        <v>0</v>
      </c>
      <c r="BI118" s="474">
        <f>COUNTIF(PArticipationFevrier1[[#This Row],[1]:[30]],code18)</f>
        <v>0</v>
      </c>
      <c r="BJ118" s="474">
        <f>COUNTIF(PArticipationFevrier1[[#This Row],[1]:[30]],code19)</f>
        <v>0</v>
      </c>
      <c r="BK118" s="474">
        <f>COUNTIF(PArticipationFevrier1[[#This Row],[1]:[30]],code20)</f>
        <v>0</v>
      </c>
      <c r="BL118" s="476">
        <f>COUNTIF(PArticipationFevrier1[[#This Row],[1]:[30]],code29)</f>
        <v>0</v>
      </c>
      <c r="BM118" s="472"/>
      <c r="BN118" s="472"/>
      <c r="BO118" s="472"/>
      <c r="BP118" s="472"/>
      <c r="BQ118" s="472"/>
      <c r="BR118" s="472"/>
      <c r="BS118" s="472"/>
      <c r="BT118" s="472"/>
      <c r="BU118" s="472"/>
      <c r="BV118" s="472"/>
      <c r="BW118" s="472"/>
      <c r="BX118" s="472"/>
      <c r="BY118" s="472"/>
      <c r="BZ118" s="472"/>
      <c r="CA118" s="472"/>
      <c r="CB118" s="472"/>
      <c r="CC118" s="472"/>
      <c r="CD118" s="472"/>
      <c r="CE118" s="472"/>
      <c r="CF118" s="472"/>
      <c r="CG118" s="472"/>
      <c r="CH118" s="472"/>
      <c r="CI118" s="472"/>
      <c r="CJ118" s="472"/>
      <c r="CK118" s="472"/>
      <c r="CL118" s="472"/>
      <c r="CM118" s="472"/>
      <c r="CN118" s="472"/>
      <c r="CO118" s="472"/>
      <c r="CP118" s="472"/>
      <c r="CQ118" s="472"/>
      <c r="CR118" s="472"/>
      <c r="CS118" s="472"/>
      <c r="CT118" s="472"/>
      <c r="CU118" s="300"/>
      <c r="CV118" s="507">
        <f t="shared" si="9"/>
        <v>0</v>
      </c>
      <c r="CW118" s="531">
        <f t="shared" si="10"/>
        <v>0</v>
      </c>
      <c r="CX118" s="532">
        <f t="shared" si="11"/>
        <v>0</v>
      </c>
      <c r="CY118" s="157">
        <f t="shared" si="8"/>
        <v>0</v>
      </c>
    </row>
    <row r="119" spans="1:103">
      <c r="A119" s="534" t="s">
        <v>460</v>
      </c>
      <c r="B119" s="152" t="str">
        <f>IFERROR(VLOOKUP(PArticipationFevrier1[[#This Row],[Référence]],ListeÉtudiants1[],18,FALSE),"")</f>
        <v>SARAOUI KATIA</v>
      </c>
      <c r="I119" t="s">
        <v>644</v>
      </c>
      <c r="AF119" s="19"/>
      <c r="AG119" s="478"/>
      <c r="AH119" s="439">
        <f>COUNTIF(PArticipationFevrier1[[#This Row],[1]:[30]],Code1)</f>
        <v>0</v>
      </c>
      <c r="AI119" s="474">
        <f>COUNTIF(PArticipationFevrier1[[#This Row],[1]:[30]],code22)</f>
        <v>0</v>
      </c>
      <c r="AJ119" s="439">
        <f>COUNTIF(PArticipationFevrier1[[#This Row],[1]:[30]],Code2)</f>
        <v>0</v>
      </c>
      <c r="AK119" s="439">
        <f>COUNTIF(PArticipationFevrier1[[#This Row],[1]:[30]],Code3)</f>
        <v>0</v>
      </c>
      <c r="AL119" s="439">
        <f>COUNTIF(PArticipationFevrier1[[#This Row],[1]:[30]],Code4)</f>
        <v>0</v>
      </c>
      <c r="AM119" s="474">
        <f>COUNTIF(PArticipationFevrier1[[#This Row],[1]:[30]],Code5)</f>
        <v>0</v>
      </c>
      <c r="AN119" s="474"/>
      <c r="AO119" s="474">
        <f>COUNTIF(PArticipationFevrier1[[#This Row],[1]:[30]],Code6)</f>
        <v>0</v>
      </c>
      <c r="AP119" s="474">
        <f>COUNTIF(PArticipationFevrier1[[#This Row],[1]:[30]],Code7)</f>
        <v>0</v>
      </c>
      <c r="AQ119" s="474">
        <f>COUNTIF(PArticipationFevrier1[[#This Row],[1]:[30]],Code8)</f>
        <v>0</v>
      </c>
      <c r="AR119" s="474">
        <f>COUNTIF(PArticipationFevrier1[[#This Row],[1]:[30]],Code9)</f>
        <v>0</v>
      </c>
      <c r="AS119" s="474">
        <f>COUNTIF(PArticipationFevrier1[[#This Row],[1]:[30]],Code10)</f>
        <v>0</v>
      </c>
      <c r="AT119" s="474">
        <f>COUNTIF(PArticipationFevrier1[[#This Row],[1]:[30]],Code11)</f>
        <v>0</v>
      </c>
      <c r="AU119" s="474">
        <f>COUNTIF(PArticipationFevrier1[[#This Row],[1]:[30]],Code12)</f>
        <v>0</v>
      </c>
      <c r="AV119" s="474">
        <f>COUNTIF(PArticipationFevrier1[[#This Row],[1]:[30]],Code13)</f>
        <v>0</v>
      </c>
      <c r="AW119" s="474">
        <f>COUNTIF(PArticipationFevrier1[[#This Row],[1]:[30]],Code14)</f>
        <v>0</v>
      </c>
      <c r="AX119" s="474">
        <f>COUNTIF(PArticipationFevrier1[[#This Row],[1]:[30]],Code15)</f>
        <v>0</v>
      </c>
      <c r="AY119" s="474">
        <f>COUNTIF(PArticipationFevrier1[[#This Row],[1]:[30]],Code16)</f>
        <v>0</v>
      </c>
      <c r="AZ119" s="474">
        <f>COUNTIF(PArticipationFevrier1[[#This Row],[1]:[30]],Code17)</f>
        <v>0</v>
      </c>
      <c r="BA119" s="474">
        <f>COUNTIF(PArticipationFevrier1[[#This Row],[1]:[30]],Code26)</f>
        <v>0</v>
      </c>
      <c r="BB119" s="474">
        <f>COUNTIF(PArticipationFevrier1[[#This Row],[1]:[30]],Code25)</f>
        <v>0</v>
      </c>
      <c r="BC119" s="474">
        <f>COUNTIF(PArticipationFevrier1[[#This Row],[1]:[30]],Code27)</f>
        <v>0</v>
      </c>
      <c r="BD119" s="474">
        <f>COUNTIF(PArticipationFevrier1[[#This Row],[1]:[30]],Code28)</f>
        <v>0</v>
      </c>
      <c r="BE119" s="474">
        <f>COUNTIF(PArticipationFevrier1[[#This Row],[1]:[30]],code30)</f>
        <v>0</v>
      </c>
      <c r="BF119" s="474">
        <f>COUNTIF(PArticipationFevrier1[[#This Row],[1]:[30]],Code31)</f>
        <v>0</v>
      </c>
      <c r="BG119" s="474">
        <f>COUNTIF(PArticipationFevrier1[[#This Row],[1]:[30]],code21)</f>
        <v>0</v>
      </c>
      <c r="BH119" s="474">
        <f>COUNTIF(PArticipationFevrier1[[#This Row],[1]:[30]],Code24)</f>
        <v>0</v>
      </c>
      <c r="BI119" s="474">
        <f>COUNTIF(PArticipationFevrier1[[#This Row],[1]:[30]],code18)</f>
        <v>1</v>
      </c>
      <c r="BJ119" s="474">
        <f>COUNTIF(PArticipationFevrier1[[#This Row],[1]:[30]],code19)</f>
        <v>0</v>
      </c>
      <c r="BK119" s="474">
        <f>COUNTIF(PArticipationFevrier1[[#This Row],[1]:[30]],code20)</f>
        <v>0</v>
      </c>
      <c r="BL119" s="476">
        <f>COUNTIF(PArticipationFevrier1[[#This Row],[1]:[30]],code29)</f>
        <v>0</v>
      </c>
      <c r="BM119" s="472"/>
      <c r="BN119" s="472"/>
      <c r="BO119" s="472"/>
      <c r="BP119" s="472"/>
      <c r="BQ119" s="472"/>
      <c r="BR119" s="472"/>
      <c r="BS119" s="472"/>
      <c r="BT119" s="472"/>
      <c r="BU119" s="472"/>
      <c r="BV119" s="472"/>
      <c r="BW119" s="472"/>
      <c r="BX119" s="472"/>
      <c r="BY119" s="472"/>
      <c r="BZ119" s="472"/>
      <c r="CA119" s="472"/>
      <c r="CB119" s="472"/>
      <c r="CC119" s="472"/>
      <c r="CD119" s="472"/>
      <c r="CE119" s="472"/>
      <c r="CF119" s="472"/>
      <c r="CG119" s="472"/>
      <c r="CH119" s="472"/>
      <c r="CI119" s="472"/>
      <c r="CJ119" s="472"/>
      <c r="CK119" s="472"/>
      <c r="CL119" s="472"/>
      <c r="CM119" s="472"/>
      <c r="CN119" s="472"/>
      <c r="CO119" s="472"/>
      <c r="CP119" s="472"/>
      <c r="CQ119" s="472"/>
      <c r="CR119" s="472"/>
      <c r="CS119" s="472"/>
      <c r="CT119" s="472"/>
      <c r="CU119" s="300"/>
      <c r="CV119" s="507">
        <f t="shared" si="9"/>
        <v>0</v>
      </c>
      <c r="CW119" s="531">
        <f t="shared" si="10"/>
        <v>0</v>
      </c>
      <c r="CX119" s="532">
        <f t="shared" si="11"/>
        <v>0</v>
      </c>
      <c r="CY119" s="157">
        <f t="shared" si="8"/>
        <v>7</v>
      </c>
    </row>
    <row r="120" spans="1:103">
      <c r="A120" s="534" t="s">
        <v>461</v>
      </c>
      <c r="B120" s="152" t="str">
        <f>IFERROR(VLOOKUP(PArticipationFevrier1[[#This Row],[Référence]],ListeÉtudiants1[],18,FALSE),"")</f>
        <v>SAUBER SEBASTIEN</v>
      </c>
      <c r="AF120" s="19"/>
      <c r="AG120" s="478"/>
      <c r="AH120" s="439">
        <f>COUNTIF(PArticipationFevrier1[[#This Row],[1]:[30]],Code1)</f>
        <v>0</v>
      </c>
      <c r="AI120" s="474">
        <f>COUNTIF(PArticipationFevrier1[[#This Row],[1]:[30]],code22)</f>
        <v>0</v>
      </c>
      <c r="AJ120" s="439">
        <f>COUNTIF(PArticipationFevrier1[[#This Row],[1]:[30]],Code2)</f>
        <v>0</v>
      </c>
      <c r="AK120" s="439">
        <f>COUNTIF(PArticipationFevrier1[[#This Row],[1]:[30]],Code3)</f>
        <v>0</v>
      </c>
      <c r="AL120" s="439">
        <f>COUNTIF(PArticipationFevrier1[[#This Row],[1]:[30]],Code4)</f>
        <v>0</v>
      </c>
      <c r="AM120" s="474">
        <f>COUNTIF(PArticipationFevrier1[[#This Row],[1]:[30]],Code5)</f>
        <v>0</v>
      </c>
      <c r="AN120" s="474"/>
      <c r="AO120" s="474">
        <f>COUNTIF(PArticipationFevrier1[[#This Row],[1]:[30]],Code6)</f>
        <v>0</v>
      </c>
      <c r="AP120" s="474">
        <f>COUNTIF(PArticipationFevrier1[[#This Row],[1]:[30]],Code7)</f>
        <v>0</v>
      </c>
      <c r="AQ120" s="474">
        <f>COUNTIF(PArticipationFevrier1[[#This Row],[1]:[30]],Code8)</f>
        <v>0</v>
      </c>
      <c r="AR120" s="474">
        <f>COUNTIF(PArticipationFevrier1[[#This Row],[1]:[30]],Code9)</f>
        <v>0</v>
      </c>
      <c r="AS120" s="474">
        <f>COUNTIF(PArticipationFevrier1[[#This Row],[1]:[30]],Code10)</f>
        <v>0</v>
      </c>
      <c r="AT120" s="474">
        <f>COUNTIF(PArticipationFevrier1[[#This Row],[1]:[30]],Code11)</f>
        <v>0</v>
      </c>
      <c r="AU120" s="474">
        <f>COUNTIF(PArticipationFevrier1[[#This Row],[1]:[30]],Code12)</f>
        <v>0</v>
      </c>
      <c r="AV120" s="474">
        <f>COUNTIF(PArticipationFevrier1[[#This Row],[1]:[30]],Code13)</f>
        <v>0</v>
      </c>
      <c r="AW120" s="474">
        <f>COUNTIF(PArticipationFevrier1[[#This Row],[1]:[30]],Code14)</f>
        <v>0</v>
      </c>
      <c r="AX120" s="474">
        <f>COUNTIF(PArticipationFevrier1[[#This Row],[1]:[30]],Code15)</f>
        <v>0</v>
      </c>
      <c r="AY120" s="474">
        <f>COUNTIF(PArticipationFevrier1[[#This Row],[1]:[30]],Code16)</f>
        <v>0</v>
      </c>
      <c r="AZ120" s="474">
        <f>COUNTIF(PArticipationFevrier1[[#This Row],[1]:[30]],Code17)</f>
        <v>0</v>
      </c>
      <c r="BA120" s="474">
        <f>COUNTIF(PArticipationFevrier1[[#This Row],[1]:[30]],Code26)</f>
        <v>0</v>
      </c>
      <c r="BB120" s="474">
        <f>COUNTIF(PArticipationFevrier1[[#This Row],[1]:[30]],Code25)</f>
        <v>0</v>
      </c>
      <c r="BC120" s="474">
        <f>COUNTIF(PArticipationFevrier1[[#This Row],[1]:[30]],Code27)</f>
        <v>0</v>
      </c>
      <c r="BD120" s="474">
        <f>COUNTIF(PArticipationFevrier1[[#This Row],[1]:[30]],Code28)</f>
        <v>0</v>
      </c>
      <c r="BE120" s="474">
        <f>COUNTIF(PArticipationFevrier1[[#This Row],[1]:[30]],code30)</f>
        <v>0</v>
      </c>
      <c r="BF120" s="474">
        <f>COUNTIF(PArticipationFevrier1[[#This Row],[1]:[30]],Code31)</f>
        <v>0</v>
      </c>
      <c r="BG120" s="474">
        <f>COUNTIF(PArticipationFevrier1[[#This Row],[1]:[30]],code21)</f>
        <v>0</v>
      </c>
      <c r="BH120" s="474">
        <f>COUNTIF(PArticipationFevrier1[[#This Row],[1]:[30]],Code24)</f>
        <v>0</v>
      </c>
      <c r="BI120" s="474">
        <f>COUNTIF(PArticipationFevrier1[[#This Row],[1]:[30]],code18)</f>
        <v>0</v>
      </c>
      <c r="BJ120" s="474">
        <f>COUNTIF(PArticipationFevrier1[[#This Row],[1]:[30]],code19)</f>
        <v>0</v>
      </c>
      <c r="BK120" s="474">
        <f>COUNTIF(PArticipationFevrier1[[#This Row],[1]:[30]],code20)</f>
        <v>0</v>
      </c>
      <c r="BL120" s="476">
        <f>COUNTIF(PArticipationFevrier1[[#This Row],[1]:[30]],code29)</f>
        <v>0</v>
      </c>
      <c r="BM120" s="472"/>
      <c r="BN120" s="472"/>
      <c r="BO120" s="472"/>
      <c r="BP120" s="472"/>
      <c r="BQ120" s="472"/>
      <c r="BR120" s="472"/>
      <c r="BS120" s="472"/>
      <c r="BT120" s="472"/>
      <c r="BU120" s="472"/>
      <c r="BV120" s="472"/>
      <c r="BW120" s="472"/>
      <c r="BX120" s="472"/>
      <c r="BY120" s="472"/>
      <c r="BZ120" s="472"/>
      <c r="CA120" s="472"/>
      <c r="CB120" s="472"/>
      <c r="CC120" s="472"/>
      <c r="CD120" s="472"/>
      <c r="CE120" s="472"/>
      <c r="CF120" s="472"/>
      <c r="CG120" s="472"/>
      <c r="CH120" s="472"/>
      <c r="CI120" s="472"/>
      <c r="CJ120" s="472"/>
      <c r="CK120" s="472"/>
      <c r="CL120" s="472"/>
      <c r="CM120" s="472"/>
      <c r="CN120" s="472"/>
      <c r="CO120" s="472"/>
      <c r="CP120" s="472"/>
      <c r="CQ120" s="472"/>
      <c r="CR120" s="472"/>
      <c r="CS120" s="472"/>
      <c r="CT120" s="472"/>
      <c r="CU120" s="300"/>
      <c r="CV120" s="507">
        <f t="shared" si="9"/>
        <v>0</v>
      </c>
      <c r="CW120" s="531">
        <f t="shared" si="10"/>
        <v>0</v>
      </c>
      <c r="CX120" s="532">
        <f t="shared" si="11"/>
        <v>0</v>
      </c>
      <c r="CY120" s="157">
        <f t="shared" si="8"/>
        <v>0</v>
      </c>
    </row>
    <row r="121" spans="1:103">
      <c r="A121" s="536" t="s">
        <v>462</v>
      </c>
      <c r="B121" s="152" t="str">
        <f>IFERROR(VLOOKUP(PArticipationFevrier1[[#This Row],[Référence]],ListeÉtudiants1[],18,FALSE),"")</f>
        <v>SCHUTZ LAURA</v>
      </c>
      <c r="AF121" s="19"/>
      <c r="AG121" s="478"/>
      <c r="AH121" s="439">
        <f>COUNTIF(PArticipationFevrier1[[#This Row],[1]:[30]],Code1)</f>
        <v>0</v>
      </c>
      <c r="AI121" s="474">
        <f>COUNTIF(PArticipationFevrier1[[#This Row],[1]:[30]],code22)</f>
        <v>0</v>
      </c>
      <c r="AJ121" s="439">
        <f>COUNTIF(PArticipationFevrier1[[#This Row],[1]:[30]],Code2)</f>
        <v>0</v>
      </c>
      <c r="AK121" s="439">
        <f>COUNTIF(PArticipationFevrier1[[#This Row],[1]:[30]],Code3)</f>
        <v>0</v>
      </c>
      <c r="AL121" s="439">
        <f>COUNTIF(PArticipationFevrier1[[#This Row],[1]:[30]],Code4)</f>
        <v>0</v>
      </c>
      <c r="AM121" s="474">
        <f>COUNTIF(PArticipationFevrier1[[#This Row],[1]:[30]],Code5)</f>
        <v>0</v>
      </c>
      <c r="AN121" s="474"/>
      <c r="AO121" s="474">
        <f>COUNTIF(PArticipationFevrier1[[#This Row],[1]:[30]],Code6)</f>
        <v>0</v>
      </c>
      <c r="AP121" s="474">
        <f>COUNTIF(PArticipationFevrier1[[#This Row],[1]:[30]],Code7)</f>
        <v>0</v>
      </c>
      <c r="AQ121" s="474">
        <f>COUNTIF(PArticipationFevrier1[[#This Row],[1]:[30]],Code8)</f>
        <v>0</v>
      </c>
      <c r="AR121" s="474">
        <f>COUNTIF(PArticipationFevrier1[[#This Row],[1]:[30]],Code9)</f>
        <v>0</v>
      </c>
      <c r="AS121" s="474">
        <f>COUNTIF(PArticipationFevrier1[[#This Row],[1]:[30]],Code10)</f>
        <v>0</v>
      </c>
      <c r="AT121" s="474">
        <f>COUNTIF(PArticipationFevrier1[[#This Row],[1]:[30]],Code11)</f>
        <v>0</v>
      </c>
      <c r="AU121" s="474">
        <f>COUNTIF(PArticipationFevrier1[[#This Row],[1]:[30]],Code12)</f>
        <v>0</v>
      </c>
      <c r="AV121" s="474">
        <f>COUNTIF(PArticipationFevrier1[[#This Row],[1]:[30]],Code13)</f>
        <v>0</v>
      </c>
      <c r="AW121" s="474">
        <f>COUNTIF(PArticipationFevrier1[[#This Row],[1]:[30]],Code14)</f>
        <v>0</v>
      </c>
      <c r="AX121" s="474">
        <f>COUNTIF(PArticipationFevrier1[[#This Row],[1]:[30]],Code15)</f>
        <v>0</v>
      </c>
      <c r="AY121" s="474">
        <f>COUNTIF(PArticipationFevrier1[[#This Row],[1]:[30]],Code16)</f>
        <v>0</v>
      </c>
      <c r="AZ121" s="474">
        <f>COUNTIF(PArticipationFevrier1[[#This Row],[1]:[30]],Code17)</f>
        <v>0</v>
      </c>
      <c r="BA121" s="474">
        <f>COUNTIF(PArticipationFevrier1[[#This Row],[1]:[30]],Code26)</f>
        <v>0</v>
      </c>
      <c r="BB121" s="474">
        <f>COUNTIF(PArticipationFevrier1[[#This Row],[1]:[30]],Code25)</f>
        <v>0</v>
      </c>
      <c r="BC121" s="474">
        <f>COUNTIF(PArticipationFevrier1[[#This Row],[1]:[30]],Code27)</f>
        <v>0</v>
      </c>
      <c r="BD121" s="474">
        <f>COUNTIF(PArticipationFevrier1[[#This Row],[1]:[30]],Code28)</f>
        <v>0</v>
      </c>
      <c r="BE121" s="474">
        <f>COUNTIF(PArticipationFevrier1[[#This Row],[1]:[30]],code30)</f>
        <v>0</v>
      </c>
      <c r="BF121" s="474">
        <f>COUNTIF(PArticipationFevrier1[[#This Row],[1]:[30]],Code31)</f>
        <v>0</v>
      </c>
      <c r="BG121" s="474">
        <f>COUNTIF(PArticipationFevrier1[[#This Row],[1]:[30]],code21)</f>
        <v>0</v>
      </c>
      <c r="BH121" s="474">
        <f>COUNTIF(PArticipationFevrier1[[#This Row],[1]:[30]],Code24)</f>
        <v>0</v>
      </c>
      <c r="BI121" s="474">
        <f>COUNTIF(PArticipationFevrier1[[#This Row],[1]:[30]],code18)</f>
        <v>0</v>
      </c>
      <c r="BJ121" s="474">
        <f>COUNTIF(PArticipationFevrier1[[#This Row],[1]:[30]],code19)</f>
        <v>0</v>
      </c>
      <c r="BK121" s="474">
        <f>COUNTIF(PArticipationFevrier1[[#This Row],[1]:[30]],code20)</f>
        <v>0</v>
      </c>
      <c r="BL121" s="476">
        <f>COUNTIF(PArticipationFevrier1[[#This Row],[1]:[30]],code29)</f>
        <v>0</v>
      </c>
      <c r="BM121" s="472"/>
      <c r="BN121" s="472"/>
      <c r="BO121" s="472"/>
      <c r="BP121" s="472"/>
      <c r="BQ121" s="472"/>
      <c r="BR121" s="472"/>
      <c r="BS121" s="472"/>
      <c r="BT121" s="472"/>
      <c r="BU121" s="472"/>
      <c r="BV121" s="472"/>
      <c r="BW121" s="472"/>
      <c r="BX121" s="472"/>
      <c r="BY121" s="472"/>
      <c r="BZ121" s="472"/>
      <c r="CA121" s="472"/>
      <c r="CB121" s="472"/>
      <c r="CC121" s="472"/>
      <c r="CD121" s="472"/>
      <c r="CE121" s="472"/>
      <c r="CF121" s="472"/>
      <c r="CG121" s="472"/>
      <c r="CH121" s="472"/>
      <c r="CI121" s="472"/>
      <c r="CJ121" s="472"/>
      <c r="CK121" s="472"/>
      <c r="CL121" s="472"/>
      <c r="CM121" s="472"/>
      <c r="CN121" s="472"/>
      <c r="CO121" s="472"/>
      <c r="CP121" s="472"/>
      <c r="CQ121" s="472"/>
      <c r="CR121" s="472"/>
      <c r="CS121" s="472"/>
      <c r="CT121" s="472"/>
      <c r="CU121" s="300"/>
      <c r="CV121" s="507">
        <f t="shared" si="9"/>
        <v>0</v>
      </c>
      <c r="CW121" s="531">
        <f t="shared" si="10"/>
        <v>0</v>
      </c>
      <c r="CX121" s="532">
        <f t="shared" si="11"/>
        <v>0</v>
      </c>
      <c r="CY121" s="157">
        <f t="shared" si="8"/>
        <v>0</v>
      </c>
    </row>
    <row r="122" spans="1:103">
      <c r="A122" s="510" t="s">
        <v>463</v>
      </c>
      <c r="B122" s="152" t="str">
        <f>IFERROR(VLOOKUP(PArticipationFevrier1[[#This Row],[Référence]],ListeÉtudiants1[],18,FALSE),"")</f>
        <v>SEHIMI  INES</v>
      </c>
      <c r="I122" t="s">
        <v>644</v>
      </c>
      <c r="AF122" s="19"/>
      <c r="AG122" s="478"/>
      <c r="AH122" s="439">
        <f>COUNTIF(PArticipationFevrier1[[#This Row],[1]:[30]],Code1)</f>
        <v>0</v>
      </c>
      <c r="AI122" s="474">
        <f>COUNTIF(PArticipationFevrier1[[#This Row],[1]:[30]],code22)</f>
        <v>0</v>
      </c>
      <c r="AJ122" s="439">
        <f>COUNTIF(PArticipationFevrier1[[#This Row],[1]:[30]],Code2)</f>
        <v>0</v>
      </c>
      <c r="AK122" s="439">
        <f>COUNTIF(PArticipationFevrier1[[#This Row],[1]:[30]],Code3)</f>
        <v>0</v>
      </c>
      <c r="AL122" s="439">
        <f>COUNTIF(PArticipationFevrier1[[#This Row],[1]:[30]],Code4)</f>
        <v>0</v>
      </c>
      <c r="AM122" s="474">
        <f>COUNTIF(PArticipationFevrier1[[#This Row],[1]:[30]],Code5)</f>
        <v>0</v>
      </c>
      <c r="AN122" s="474"/>
      <c r="AO122" s="474">
        <f>COUNTIF(PArticipationFevrier1[[#This Row],[1]:[30]],Code6)</f>
        <v>0</v>
      </c>
      <c r="AP122" s="474">
        <f>COUNTIF(PArticipationFevrier1[[#This Row],[1]:[30]],Code7)</f>
        <v>0</v>
      </c>
      <c r="AQ122" s="474">
        <f>COUNTIF(PArticipationFevrier1[[#This Row],[1]:[30]],Code8)</f>
        <v>0</v>
      </c>
      <c r="AR122" s="474">
        <f>COUNTIF(PArticipationFevrier1[[#This Row],[1]:[30]],Code9)</f>
        <v>0</v>
      </c>
      <c r="AS122" s="474">
        <f>COUNTIF(PArticipationFevrier1[[#This Row],[1]:[30]],Code10)</f>
        <v>0</v>
      </c>
      <c r="AT122" s="474">
        <f>COUNTIF(PArticipationFevrier1[[#This Row],[1]:[30]],Code11)</f>
        <v>0</v>
      </c>
      <c r="AU122" s="474">
        <f>COUNTIF(PArticipationFevrier1[[#This Row],[1]:[30]],Code12)</f>
        <v>0</v>
      </c>
      <c r="AV122" s="474">
        <f>COUNTIF(PArticipationFevrier1[[#This Row],[1]:[30]],Code13)</f>
        <v>0</v>
      </c>
      <c r="AW122" s="474">
        <f>COUNTIF(PArticipationFevrier1[[#This Row],[1]:[30]],Code14)</f>
        <v>0</v>
      </c>
      <c r="AX122" s="474">
        <f>COUNTIF(PArticipationFevrier1[[#This Row],[1]:[30]],Code15)</f>
        <v>0</v>
      </c>
      <c r="AY122" s="474">
        <f>COUNTIF(PArticipationFevrier1[[#This Row],[1]:[30]],Code16)</f>
        <v>0</v>
      </c>
      <c r="AZ122" s="474">
        <f>COUNTIF(PArticipationFevrier1[[#This Row],[1]:[30]],Code17)</f>
        <v>0</v>
      </c>
      <c r="BA122" s="474">
        <f>COUNTIF(PArticipationFevrier1[[#This Row],[1]:[30]],Code26)</f>
        <v>0</v>
      </c>
      <c r="BB122" s="474">
        <f>COUNTIF(PArticipationFevrier1[[#This Row],[1]:[30]],Code25)</f>
        <v>0</v>
      </c>
      <c r="BC122" s="474">
        <f>COUNTIF(PArticipationFevrier1[[#This Row],[1]:[30]],Code27)</f>
        <v>0</v>
      </c>
      <c r="BD122" s="474">
        <f>COUNTIF(PArticipationFevrier1[[#This Row],[1]:[30]],Code28)</f>
        <v>0</v>
      </c>
      <c r="BE122" s="474">
        <f>COUNTIF(PArticipationFevrier1[[#This Row],[1]:[30]],code30)</f>
        <v>0</v>
      </c>
      <c r="BF122" s="474">
        <f>COUNTIF(PArticipationFevrier1[[#This Row],[1]:[30]],Code31)</f>
        <v>0</v>
      </c>
      <c r="BG122" s="474">
        <f>COUNTIF(PArticipationFevrier1[[#This Row],[1]:[30]],code21)</f>
        <v>0</v>
      </c>
      <c r="BH122" s="474">
        <f>COUNTIF(PArticipationFevrier1[[#This Row],[1]:[30]],Code24)</f>
        <v>0</v>
      </c>
      <c r="BI122" s="474">
        <f>COUNTIF(PArticipationFevrier1[[#This Row],[1]:[30]],code18)</f>
        <v>1</v>
      </c>
      <c r="BJ122" s="474">
        <f>COUNTIF(PArticipationFevrier1[[#This Row],[1]:[30]],code19)</f>
        <v>0</v>
      </c>
      <c r="BK122" s="474">
        <f>COUNTIF(PArticipationFevrier1[[#This Row],[1]:[30]],code20)</f>
        <v>0</v>
      </c>
      <c r="BL122" s="476">
        <f>COUNTIF(PArticipationFevrier1[[#This Row],[1]:[30]],code29)</f>
        <v>0</v>
      </c>
      <c r="BM122" s="472"/>
      <c r="BN122" s="472"/>
      <c r="BO122" s="472"/>
      <c r="BP122" s="472"/>
      <c r="BQ122" s="472"/>
      <c r="BR122" s="472"/>
      <c r="BS122" s="472"/>
      <c r="BT122" s="472"/>
      <c r="BU122" s="472"/>
      <c r="BV122" s="472"/>
      <c r="BW122" s="472"/>
      <c r="BX122" s="472"/>
      <c r="BY122" s="472"/>
      <c r="BZ122" s="472"/>
      <c r="CA122" s="472"/>
      <c r="CB122" s="472"/>
      <c r="CC122" s="472"/>
      <c r="CD122" s="472"/>
      <c r="CE122" s="472"/>
      <c r="CF122" s="472"/>
      <c r="CG122" s="472"/>
      <c r="CH122" s="472"/>
      <c r="CI122" s="472"/>
      <c r="CJ122" s="472"/>
      <c r="CK122" s="472"/>
      <c r="CL122" s="472"/>
      <c r="CM122" s="472"/>
      <c r="CN122" s="472"/>
      <c r="CO122" s="472"/>
      <c r="CP122" s="472"/>
      <c r="CQ122" s="472"/>
      <c r="CR122" s="472"/>
      <c r="CS122" s="472"/>
      <c r="CT122" s="472"/>
      <c r="CU122" s="300"/>
      <c r="CV122" s="507">
        <f t="shared" si="9"/>
        <v>0</v>
      </c>
      <c r="CW122" s="531">
        <f t="shared" si="10"/>
        <v>0</v>
      </c>
      <c r="CX122" s="532">
        <f t="shared" si="11"/>
        <v>0</v>
      </c>
      <c r="CY122" s="157">
        <f t="shared" si="8"/>
        <v>7</v>
      </c>
    </row>
    <row r="123" spans="1:103">
      <c r="A123" s="536" t="s">
        <v>464</v>
      </c>
      <c r="B123" s="152" t="str">
        <f>IFERROR(VLOOKUP(PArticipationFevrier1[[#This Row],[Référence]],ListeÉtudiants1[],18,FALSE),"")</f>
        <v>SEINGUERLET CONSTANCE</v>
      </c>
      <c r="AF123" s="19"/>
      <c r="AG123" s="478"/>
      <c r="AH123" s="439">
        <f>COUNTIF(PArticipationFevrier1[[#This Row],[1]:[30]],Code1)</f>
        <v>0</v>
      </c>
      <c r="AI123" s="474">
        <f>COUNTIF(PArticipationFevrier1[[#This Row],[1]:[30]],code22)</f>
        <v>0</v>
      </c>
      <c r="AJ123" s="439">
        <f>COUNTIF(PArticipationFevrier1[[#This Row],[1]:[30]],Code2)</f>
        <v>0</v>
      </c>
      <c r="AK123" s="439">
        <f>COUNTIF(PArticipationFevrier1[[#This Row],[1]:[30]],Code3)</f>
        <v>0</v>
      </c>
      <c r="AL123" s="439">
        <f>COUNTIF(PArticipationFevrier1[[#This Row],[1]:[30]],Code4)</f>
        <v>0</v>
      </c>
      <c r="AM123" s="474">
        <f>COUNTIF(PArticipationFevrier1[[#This Row],[1]:[30]],Code5)</f>
        <v>0</v>
      </c>
      <c r="AN123" s="474"/>
      <c r="AO123" s="474">
        <f>COUNTIF(PArticipationFevrier1[[#This Row],[1]:[30]],Code6)</f>
        <v>0</v>
      </c>
      <c r="AP123" s="474">
        <f>COUNTIF(PArticipationFevrier1[[#This Row],[1]:[30]],Code7)</f>
        <v>0</v>
      </c>
      <c r="AQ123" s="474">
        <f>COUNTIF(PArticipationFevrier1[[#This Row],[1]:[30]],Code8)</f>
        <v>0</v>
      </c>
      <c r="AR123" s="474">
        <f>COUNTIF(PArticipationFevrier1[[#This Row],[1]:[30]],Code9)</f>
        <v>0</v>
      </c>
      <c r="AS123" s="474">
        <f>COUNTIF(PArticipationFevrier1[[#This Row],[1]:[30]],Code10)</f>
        <v>0</v>
      </c>
      <c r="AT123" s="474">
        <f>COUNTIF(PArticipationFevrier1[[#This Row],[1]:[30]],Code11)</f>
        <v>0</v>
      </c>
      <c r="AU123" s="474">
        <f>COUNTIF(PArticipationFevrier1[[#This Row],[1]:[30]],Code12)</f>
        <v>0</v>
      </c>
      <c r="AV123" s="474">
        <f>COUNTIF(PArticipationFevrier1[[#This Row],[1]:[30]],Code13)</f>
        <v>0</v>
      </c>
      <c r="AW123" s="474">
        <f>COUNTIF(PArticipationFevrier1[[#This Row],[1]:[30]],Code14)</f>
        <v>0</v>
      </c>
      <c r="AX123" s="474">
        <f>COUNTIF(PArticipationFevrier1[[#This Row],[1]:[30]],Code15)</f>
        <v>0</v>
      </c>
      <c r="AY123" s="474">
        <f>COUNTIF(PArticipationFevrier1[[#This Row],[1]:[30]],Code16)</f>
        <v>0</v>
      </c>
      <c r="AZ123" s="474">
        <f>COUNTIF(PArticipationFevrier1[[#This Row],[1]:[30]],Code17)</f>
        <v>0</v>
      </c>
      <c r="BA123" s="474">
        <f>COUNTIF(PArticipationFevrier1[[#This Row],[1]:[30]],Code26)</f>
        <v>0</v>
      </c>
      <c r="BB123" s="474">
        <f>COUNTIF(PArticipationFevrier1[[#This Row],[1]:[30]],Code25)</f>
        <v>0</v>
      </c>
      <c r="BC123" s="474">
        <f>COUNTIF(PArticipationFevrier1[[#This Row],[1]:[30]],Code27)</f>
        <v>0</v>
      </c>
      <c r="BD123" s="474">
        <f>COUNTIF(PArticipationFevrier1[[#This Row],[1]:[30]],Code28)</f>
        <v>0</v>
      </c>
      <c r="BE123" s="474">
        <f>COUNTIF(PArticipationFevrier1[[#This Row],[1]:[30]],code30)</f>
        <v>0</v>
      </c>
      <c r="BF123" s="474">
        <f>COUNTIF(PArticipationFevrier1[[#This Row],[1]:[30]],Code31)</f>
        <v>0</v>
      </c>
      <c r="BG123" s="474">
        <f>COUNTIF(PArticipationFevrier1[[#This Row],[1]:[30]],code21)</f>
        <v>0</v>
      </c>
      <c r="BH123" s="474">
        <f>COUNTIF(PArticipationFevrier1[[#This Row],[1]:[30]],Code24)</f>
        <v>0</v>
      </c>
      <c r="BI123" s="474">
        <f>COUNTIF(PArticipationFevrier1[[#This Row],[1]:[30]],code18)</f>
        <v>0</v>
      </c>
      <c r="BJ123" s="474">
        <f>COUNTIF(PArticipationFevrier1[[#This Row],[1]:[30]],code19)</f>
        <v>0</v>
      </c>
      <c r="BK123" s="474">
        <f>COUNTIF(PArticipationFevrier1[[#This Row],[1]:[30]],code20)</f>
        <v>0</v>
      </c>
      <c r="BL123" s="476">
        <f>COUNTIF(PArticipationFevrier1[[#This Row],[1]:[30]],code29)</f>
        <v>0</v>
      </c>
      <c r="BM123" s="472"/>
      <c r="BN123" s="472"/>
      <c r="BO123" s="472"/>
      <c r="BP123" s="472"/>
      <c r="BQ123" s="472"/>
      <c r="BR123" s="472"/>
      <c r="BS123" s="472"/>
      <c r="BT123" s="472"/>
      <c r="BU123" s="472"/>
      <c r="BV123" s="472"/>
      <c r="BW123" s="472"/>
      <c r="BX123" s="472"/>
      <c r="BY123" s="472"/>
      <c r="BZ123" s="472"/>
      <c r="CA123" s="472"/>
      <c r="CB123" s="472"/>
      <c r="CC123" s="472"/>
      <c r="CD123" s="472"/>
      <c r="CE123" s="472"/>
      <c r="CF123" s="472"/>
      <c r="CG123" s="472"/>
      <c r="CH123" s="472"/>
      <c r="CI123" s="472"/>
      <c r="CJ123" s="472"/>
      <c r="CK123" s="472"/>
      <c r="CL123" s="472"/>
      <c r="CM123" s="472"/>
      <c r="CN123" s="472"/>
      <c r="CO123" s="472"/>
      <c r="CP123" s="472"/>
      <c r="CQ123" s="472"/>
      <c r="CR123" s="472"/>
      <c r="CS123" s="472"/>
      <c r="CT123" s="472"/>
      <c r="CU123" s="300"/>
      <c r="CV123" s="507">
        <f t="shared" si="9"/>
        <v>0</v>
      </c>
      <c r="CW123" s="531">
        <f t="shared" si="10"/>
        <v>0</v>
      </c>
      <c r="CX123" s="532">
        <f t="shared" si="11"/>
        <v>0</v>
      </c>
      <c r="CY123" s="157">
        <f t="shared" si="8"/>
        <v>0</v>
      </c>
    </row>
    <row r="124" spans="1:103">
      <c r="A124" s="536" t="s">
        <v>465</v>
      </c>
      <c r="B124" s="152" t="str">
        <f>IFERROR(VLOOKUP(PArticipationFevrier1[[#This Row],[Référence]],ListeÉtudiants1[],18,FALSE),"")</f>
        <v>SERVENT MARION</v>
      </c>
      <c r="AF124" s="19"/>
      <c r="AG124" s="478"/>
      <c r="AH124" s="439">
        <f>COUNTIF(PArticipationFevrier1[[#This Row],[1]:[30]],Code1)</f>
        <v>0</v>
      </c>
      <c r="AI124" s="474">
        <f>COUNTIF(PArticipationFevrier1[[#This Row],[1]:[30]],code22)</f>
        <v>0</v>
      </c>
      <c r="AJ124" s="439">
        <f>COUNTIF(PArticipationFevrier1[[#This Row],[1]:[30]],Code2)</f>
        <v>0</v>
      </c>
      <c r="AK124" s="439">
        <f>COUNTIF(PArticipationFevrier1[[#This Row],[1]:[30]],Code3)</f>
        <v>0</v>
      </c>
      <c r="AL124" s="439">
        <f>COUNTIF(PArticipationFevrier1[[#This Row],[1]:[30]],Code4)</f>
        <v>0</v>
      </c>
      <c r="AM124" s="474">
        <f>COUNTIF(PArticipationFevrier1[[#This Row],[1]:[30]],Code5)</f>
        <v>0</v>
      </c>
      <c r="AN124" s="474"/>
      <c r="AO124" s="474">
        <f>COUNTIF(PArticipationFevrier1[[#This Row],[1]:[30]],Code6)</f>
        <v>0</v>
      </c>
      <c r="AP124" s="474">
        <f>COUNTIF(PArticipationFevrier1[[#This Row],[1]:[30]],Code7)</f>
        <v>0</v>
      </c>
      <c r="AQ124" s="474">
        <f>COUNTIF(PArticipationFevrier1[[#This Row],[1]:[30]],Code8)</f>
        <v>0</v>
      </c>
      <c r="AR124" s="474">
        <f>COUNTIF(PArticipationFevrier1[[#This Row],[1]:[30]],Code9)</f>
        <v>0</v>
      </c>
      <c r="AS124" s="474">
        <f>COUNTIF(PArticipationFevrier1[[#This Row],[1]:[30]],Code10)</f>
        <v>0</v>
      </c>
      <c r="AT124" s="474">
        <f>COUNTIF(PArticipationFevrier1[[#This Row],[1]:[30]],Code11)</f>
        <v>0</v>
      </c>
      <c r="AU124" s="474">
        <f>COUNTIF(PArticipationFevrier1[[#This Row],[1]:[30]],Code12)</f>
        <v>0</v>
      </c>
      <c r="AV124" s="474">
        <f>COUNTIF(PArticipationFevrier1[[#This Row],[1]:[30]],Code13)</f>
        <v>0</v>
      </c>
      <c r="AW124" s="474">
        <f>COUNTIF(PArticipationFevrier1[[#This Row],[1]:[30]],Code14)</f>
        <v>0</v>
      </c>
      <c r="AX124" s="474">
        <f>COUNTIF(PArticipationFevrier1[[#This Row],[1]:[30]],Code15)</f>
        <v>0</v>
      </c>
      <c r="AY124" s="474">
        <f>COUNTIF(PArticipationFevrier1[[#This Row],[1]:[30]],Code16)</f>
        <v>0</v>
      </c>
      <c r="AZ124" s="474">
        <f>COUNTIF(PArticipationFevrier1[[#This Row],[1]:[30]],Code17)</f>
        <v>0</v>
      </c>
      <c r="BA124" s="474">
        <f>COUNTIF(PArticipationFevrier1[[#This Row],[1]:[30]],Code26)</f>
        <v>0</v>
      </c>
      <c r="BB124" s="474">
        <f>COUNTIF(PArticipationFevrier1[[#This Row],[1]:[30]],Code25)</f>
        <v>0</v>
      </c>
      <c r="BC124" s="474">
        <f>COUNTIF(PArticipationFevrier1[[#This Row],[1]:[30]],Code27)</f>
        <v>0</v>
      </c>
      <c r="BD124" s="474">
        <f>COUNTIF(PArticipationFevrier1[[#This Row],[1]:[30]],Code28)</f>
        <v>0</v>
      </c>
      <c r="BE124" s="474">
        <f>COUNTIF(PArticipationFevrier1[[#This Row],[1]:[30]],code30)</f>
        <v>0</v>
      </c>
      <c r="BF124" s="474">
        <f>COUNTIF(PArticipationFevrier1[[#This Row],[1]:[30]],Code31)</f>
        <v>0</v>
      </c>
      <c r="BG124" s="474">
        <f>COUNTIF(PArticipationFevrier1[[#This Row],[1]:[30]],code21)</f>
        <v>0</v>
      </c>
      <c r="BH124" s="474">
        <f>COUNTIF(PArticipationFevrier1[[#This Row],[1]:[30]],Code24)</f>
        <v>0</v>
      </c>
      <c r="BI124" s="474">
        <f>COUNTIF(PArticipationFevrier1[[#This Row],[1]:[30]],code18)</f>
        <v>0</v>
      </c>
      <c r="BJ124" s="474">
        <f>COUNTIF(PArticipationFevrier1[[#This Row],[1]:[30]],code19)</f>
        <v>0</v>
      </c>
      <c r="BK124" s="474">
        <f>COUNTIF(PArticipationFevrier1[[#This Row],[1]:[30]],code20)</f>
        <v>0</v>
      </c>
      <c r="BL124" s="476">
        <f>COUNTIF(PArticipationFevrier1[[#This Row],[1]:[30]],code29)</f>
        <v>0</v>
      </c>
      <c r="BM124" s="472"/>
      <c r="BN124" s="472"/>
      <c r="BO124" s="472"/>
      <c r="BP124" s="472"/>
      <c r="BQ124" s="472"/>
      <c r="BR124" s="472"/>
      <c r="BS124" s="472"/>
      <c r="BT124" s="472"/>
      <c r="BU124" s="472"/>
      <c r="BV124" s="472"/>
      <c r="BW124" s="472"/>
      <c r="BX124" s="472"/>
      <c r="BY124" s="472"/>
      <c r="BZ124" s="472"/>
      <c r="CA124" s="472"/>
      <c r="CB124" s="472"/>
      <c r="CC124" s="472"/>
      <c r="CD124" s="472"/>
      <c r="CE124" s="472"/>
      <c r="CF124" s="472"/>
      <c r="CG124" s="472"/>
      <c r="CH124" s="472"/>
      <c r="CI124" s="472"/>
      <c r="CJ124" s="472"/>
      <c r="CK124" s="472"/>
      <c r="CL124" s="472"/>
      <c r="CM124" s="472"/>
      <c r="CN124" s="472"/>
      <c r="CO124" s="472"/>
      <c r="CP124" s="472"/>
      <c r="CQ124" s="472"/>
      <c r="CR124" s="472"/>
      <c r="CS124" s="472"/>
      <c r="CT124" s="472"/>
      <c r="CU124" s="300"/>
      <c r="CV124" s="507">
        <f t="shared" si="9"/>
        <v>0</v>
      </c>
      <c r="CW124" s="531">
        <f t="shared" si="10"/>
        <v>0</v>
      </c>
      <c r="CX124" s="532">
        <f t="shared" si="11"/>
        <v>0</v>
      </c>
      <c r="CY124" s="157">
        <f t="shared" si="8"/>
        <v>0</v>
      </c>
    </row>
    <row r="125" spans="1:103">
      <c r="A125" s="534" t="s">
        <v>466</v>
      </c>
      <c r="B125" s="152" t="str">
        <f>IFERROR(VLOOKUP(PArticipationFevrier1[[#This Row],[Référence]],ListeÉtudiants1[],18,FALSE),"")</f>
        <v>SHEIKBOUDOU MACILIA</v>
      </c>
      <c r="AF125" s="19"/>
      <c r="AG125" s="478"/>
      <c r="AH125" s="439">
        <f>COUNTIF(PArticipationFevrier1[[#This Row],[1]:[30]],Code1)</f>
        <v>0</v>
      </c>
      <c r="AI125" s="474">
        <f>COUNTIF(PArticipationFevrier1[[#This Row],[1]:[30]],code22)</f>
        <v>0</v>
      </c>
      <c r="AJ125" s="439">
        <f>COUNTIF(PArticipationFevrier1[[#This Row],[1]:[30]],Code2)</f>
        <v>0</v>
      </c>
      <c r="AK125" s="439">
        <f>COUNTIF(PArticipationFevrier1[[#This Row],[1]:[30]],Code3)</f>
        <v>0</v>
      </c>
      <c r="AL125" s="439">
        <f>COUNTIF(PArticipationFevrier1[[#This Row],[1]:[30]],Code4)</f>
        <v>0</v>
      </c>
      <c r="AM125" s="474">
        <f>COUNTIF(PArticipationFevrier1[[#This Row],[1]:[30]],Code5)</f>
        <v>0</v>
      </c>
      <c r="AN125" s="474"/>
      <c r="AO125" s="474">
        <f>COUNTIF(PArticipationFevrier1[[#This Row],[1]:[30]],Code6)</f>
        <v>0</v>
      </c>
      <c r="AP125" s="474">
        <f>COUNTIF(PArticipationFevrier1[[#This Row],[1]:[30]],Code7)</f>
        <v>0</v>
      </c>
      <c r="AQ125" s="474">
        <f>COUNTIF(PArticipationFevrier1[[#This Row],[1]:[30]],Code8)</f>
        <v>0</v>
      </c>
      <c r="AR125" s="474">
        <f>COUNTIF(PArticipationFevrier1[[#This Row],[1]:[30]],Code9)</f>
        <v>0</v>
      </c>
      <c r="AS125" s="474">
        <f>COUNTIF(PArticipationFevrier1[[#This Row],[1]:[30]],Code10)</f>
        <v>0</v>
      </c>
      <c r="AT125" s="474">
        <f>COUNTIF(PArticipationFevrier1[[#This Row],[1]:[30]],Code11)</f>
        <v>0</v>
      </c>
      <c r="AU125" s="474">
        <f>COUNTIF(PArticipationFevrier1[[#This Row],[1]:[30]],Code12)</f>
        <v>0</v>
      </c>
      <c r="AV125" s="474">
        <f>COUNTIF(PArticipationFevrier1[[#This Row],[1]:[30]],Code13)</f>
        <v>0</v>
      </c>
      <c r="AW125" s="474">
        <f>COUNTIF(PArticipationFevrier1[[#This Row],[1]:[30]],Code14)</f>
        <v>0</v>
      </c>
      <c r="AX125" s="474">
        <f>COUNTIF(PArticipationFevrier1[[#This Row],[1]:[30]],Code15)</f>
        <v>0</v>
      </c>
      <c r="AY125" s="474">
        <f>COUNTIF(PArticipationFevrier1[[#This Row],[1]:[30]],Code16)</f>
        <v>0</v>
      </c>
      <c r="AZ125" s="474">
        <f>COUNTIF(PArticipationFevrier1[[#This Row],[1]:[30]],Code17)</f>
        <v>0</v>
      </c>
      <c r="BA125" s="474">
        <f>COUNTIF(PArticipationFevrier1[[#This Row],[1]:[30]],Code26)</f>
        <v>0</v>
      </c>
      <c r="BB125" s="474">
        <f>COUNTIF(PArticipationFevrier1[[#This Row],[1]:[30]],Code25)</f>
        <v>0</v>
      </c>
      <c r="BC125" s="474">
        <f>COUNTIF(PArticipationFevrier1[[#This Row],[1]:[30]],Code27)</f>
        <v>0</v>
      </c>
      <c r="BD125" s="474">
        <f>COUNTIF(PArticipationFevrier1[[#This Row],[1]:[30]],Code28)</f>
        <v>0</v>
      </c>
      <c r="BE125" s="474">
        <f>COUNTIF(PArticipationFevrier1[[#This Row],[1]:[30]],code30)</f>
        <v>0</v>
      </c>
      <c r="BF125" s="474">
        <f>COUNTIF(PArticipationFevrier1[[#This Row],[1]:[30]],Code31)</f>
        <v>0</v>
      </c>
      <c r="BG125" s="474">
        <f>COUNTIF(PArticipationFevrier1[[#This Row],[1]:[30]],code21)</f>
        <v>0</v>
      </c>
      <c r="BH125" s="474">
        <f>COUNTIF(PArticipationFevrier1[[#This Row],[1]:[30]],Code24)</f>
        <v>0</v>
      </c>
      <c r="BI125" s="474">
        <f>COUNTIF(PArticipationFevrier1[[#This Row],[1]:[30]],code18)</f>
        <v>0</v>
      </c>
      <c r="BJ125" s="474">
        <f>COUNTIF(PArticipationFevrier1[[#This Row],[1]:[30]],code19)</f>
        <v>0</v>
      </c>
      <c r="BK125" s="474">
        <f>COUNTIF(PArticipationFevrier1[[#This Row],[1]:[30]],code20)</f>
        <v>0</v>
      </c>
      <c r="BL125" s="476">
        <f>COUNTIF(PArticipationFevrier1[[#This Row],[1]:[30]],code29)</f>
        <v>0</v>
      </c>
      <c r="BM125" s="472"/>
      <c r="BN125" s="472"/>
      <c r="BO125" s="472"/>
      <c r="BP125" s="472"/>
      <c r="BQ125" s="472"/>
      <c r="BR125" s="472"/>
      <c r="BS125" s="472"/>
      <c r="BT125" s="472"/>
      <c r="BU125" s="472"/>
      <c r="BV125" s="472"/>
      <c r="BW125" s="472"/>
      <c r="BX125" s="472"/>
      <c r="BY125" s="472"/>
      <c r="BZ125" s="472"/>
      <c r="CA125" s="472"/>
      <c r="CB125" s="472"/>
      <c r="CC125" s="472"/>
      <c r="CD125" s="472"/>
      <c r="CE125" s="472"/>
      <c r="CF125" s="472"/>
      <c r="CG125" s="472"/>
      <c r="CH125" s="472"/>
      <c r="CI125" s="472"/>
      <c r="CJ125" s="472"/>
      <c r="CK125" s="472"/>
      <c r="CL125" s="472"/>
      <c r="CM125" s="472"/>
      <c r="CN125" s="472"/>
      <c r="CO125" s="472"/>
      <c r="CP125" s="472"/>
      <c r="CQ125" s="472"/>
      <c r="CR125" s="472"/>
      <c r="CS125" s="472"/>
      <c r="CT125" s="472"/>
      <c r="CU125" s="300"/>
      <c r="CV125" s="507">
        <f t="shared" si="9"/>
        <v>0</v>
      </c>
      <c r="CW125" s="531">
        <f t="shared" si="10"/>
        <v>0</v>
      </c>
      <c r="CX125" s="532">
        <f t="shared" si="11"/>
        <v>0</v>
      </c>
      <c r="CY125" s="157">
        <f t="shared" si="8"/>
        <v>0</v>
      </c>
    </row>
    <row r="126" spans="1:103">
      <c r="A126" s="534" t="s">
        <v>467</v>
      </c>
      <c r="B126" s="152" t="str">
        <f>IFERROR(VLOOKUP(PArticipationFevrier1[[#This Row],[Référence]],ListeÉtudiants1[],18,FALSE),"")</f>
        <v>SILVERE SHERLEY</v>
      </c>
      <c r="AF126" s="19"/>
      <c r="AG126" s="478"/>
      <c r="AH126" s="439">
        <f>COUNTIF(PArticipationFevrier1[[#This Row],[1]:[30]],Code1)</f>
        <v>0</v>
      </c>
      <c r="AI126" s="474">
        <f>COUNTIF(PArticipationFevrier1[[#This Row],[1]:[30]],code22)</f>
        <v>0</v>
      </c>
      <c r="AJ126" s="439">
        <f>COUNTIF(PArticipationFevrier1[[#This Row],[1]:[30]],Code2)</f>
        <v>0</v>
      </c>
      <c r="AK126" s="439">
        <f>COUNTIF(PArticipationFevrier1[[#This Row],[1]:[30]],Code3)</f>
        <v>0</v>
      </c>
      <c r="AL126" s="439">
        <f>COUNTIF(PArticipationFevrier1[[#This Row],[1]:[30]],Code4)</f>
        <v>0</v>
      </c>
      <c r="AM126" s="474">
        <f>COUNTIF(PArticipationFevrier1[[#This Row],[1]:[30]],Code5)</f>
        <v>0</v>
      </c>
      <c r="AN126" s="474"/>
      <c r="AO126" s="474">
        <f>COUNTIF(PArticipationFevrier1[[#This Row],[1]:[30]],Code6)</f>
        <v>0</v>
      </c>
      <c r="AP126" s="474">
        <f>COUNTIF(PArticipationFevrier1[[#This Row],[1]:[30]],Code7)</f>
        <v>0</v>
      </c>
      <c r="AQ126" s="474">
        <f>COUNTIF(PArticipationFevrier1[[#This Row],[1]:[30]],Code8)</f>
        <v>0</v>
      </c>
      <c r="AR126" s="474">
        <f>COUNTIF(PArticipationFevrier1[[#This Row],[1]:[30]],Code9)</f>
        <v>0</v>
      </c>
      <c r="AS126" s="474">
        <f>COUNTIF(PArticipationFevrier1[[#This Row],[1]:[30]],Code10)</f>
        <v>0</v>
      </c>
      <c r="AT126" s="474">
        <f>COUNTIF(PArticipationFevrier1[[#This Row],[1]:[30]],Code11)</f>
        <v>0</v>
      </c>
      <c r="AU126" s="474">
        <f>COUNTIF(PArticipationFevrier1[[#This Row],[1]:[30]],Code12)</f>
        <v>0</v>
      </c>
      <c r="AV126" s="474">
        <f>COUNTIF(PArticipationFevrier1[[#This Row],[1]:[30]],Code13)</f>
        <v>0</v>
      </c>
      <c r="AW126" s="474">
        <f>COUNTIF(PArticipationFevrier1[[#This Row],[1]:[30]],Code14)</f>
        <v>0</v>
      </c>
      <c r="AX126" s="474">
        <f>COUNTIF(PArticipationFevrier1[[#This Row],[1]:[30]],Code15)</f>
        <v>0</v>
      </c>
      <c r="AY126" s="474">
        <f>COUNTIF(PArticipationFevrier1[[#This Row],[1]:[30]],Code16)</f>
        <v>0</v>
      </c>
      <c r="AZ126" s="474">
        <f>COUNTIF(PArticipationFevrier1[[#This Row],[1]:[30]],Code17)</f>
        <v>0</v>
      </c>
      <c r="BA126" s="474">
        <f>COUNTIF(PArticipationFevrier1[[#This Row],[1]:[30]],Code26)</f>
        <v>0</v>
      </c>
      <c r="BB126" s="474">
        <f>COUNTIF(PArticipationFevrier1[[#This Row],[1]:[30]],Code25)</f>
        <v>0</v>
      </c>
      <c r="BC126" s="474">
        <f>COUNTIF(PArticipationFevrier1[[#This Row],[1]:[30]],Code27)</f>
        <v>0</v>
      </c>
      <c r="BD126" s="474">
        <f>COUNTIF(PArticipationFevrier1[[#This Row],[1]:[30]],Code28)</f>
        <v>0</v>
      </c>
      <c r="BE126" s="474">
        <f>COUNTIF(PArticipationFevrier1[[#This Row],[1]:[30]],code30)</f>
        <v>0</v>
      </c>
      <c r="BF126" s="474">
        <f>COUNTIF(PArticipationFevrier1[[#This Row],[1]:[30]],Code31)</f>
        <v>0</v>
      </c>
      <c r="BG126" s="474">
        <f>COUNTIF(PArticipationFevrier1[[#This Row],[1]:[30]],code21)</f>
        <v>0</v>
      </c>
      <c r="BH126" s="474">
        <f>COUNTIF(PArticipationFevrier1[[#This Row],[1]:[30]],Code24)</f>
        <v>0</v>
      </c>
      <c r="BI126" s="474">
        <f>COUNTIF(PArticipationFevrier1[[#This Row],[1]:[30]],code18)</f>
        <v>0</v>
      </c>
      <c r="BJ126" s="474">
        <f>COUNTIF(PArticipationFevrier1[[#This Row],[1]:[30]],code19)</f>
        <v>0</v>
      </c>
      <c r="BK126" s="474">
        <f>COUNTIF(PArticipationFevrier1[[#This Row],[1]:[30]],code20)</f>
        <v>0</v>
      </c>
      <c r="BL126" s="476">
        <f>COUNTIF(PArticipationFevrier1[[#This Row],[1]:[30]],code29)</f>
        <v>0</v>
      </c>
      <c r="BM126" s="472"/>
      <c r="BN126" s="472"/>
      <c r="BO126" s="472"/>
      <c r="BP126" s="472"/>
      <c r="BQ126" s="472"/>
      <c r="BR126" s="472"/>
      <c r="BS126" s="472"/>
      <c r="BT126" s="472"/>
      <c r="BU126" s="472"/>
      <c r="BV126" s="472"/>
      <c r="BW126" s="472"/>
      <c r="BX126" s="472"/>
      <c r="BY126" s="472"/>
      <c r="BZ126" s="472"/>
      <c r="CA126" s="472"/>
      <c r="CB126" s="472"/>
      <c r="CC126" s="472"/>
      <c r="CD126" s="472"/>
      <c r="CE126" s="472"/>
      <c r="CF126" s="472"/>
      <c r="CG126" s="472"/>
      <c r="CH126" s="472"/>
      <c r="CI126" s="472"/>
      <c r="CJ126" s="472"/>
      <c r="CK126" s="472"/>
      <c r="CL126" s="472"/>
      <c r="CM126" s="472"/>
      <c r="CN126" s="472"/>
      <c r="CO126" s="472"/>
      <c r="CP126" s="472"/>
      <c r="CQ126" s="472"/>
      <c r="CR126" s="472"/>
      <c r="CS126" s="472"/>
      <c r="CT126" s="472"/>
      <c r="CU126" s="300"/>
      <c r="CV126" s="507">
        <f t="shared" si="9"/>
        <v>0</v>
      </c>
      <c r="CW126" s="531">
        <f t="shared" si="10"/>
        <v>0</v>
      </c>
      <c r="CX126" s="532">
        <f t="shared" si="11"/>
        <v>0</v>
      </c>
      <c r="CY126" s="157">
        <f t="shared" si="8"/>
        <v>0</v>
      </c>
    </row>
    <row r="127" spans="1:103">
      <c r="A127" s="510" t="s">
        <v>468</v>
      </c>
      <c r="B127" s="152" t="str">
        <f>IFERROR(VLOOKUP(PArticipationFevrier1[[#This Row],[Référence]],ListeÉtudiants1[],18,FALSE),"")</f>
        <v>SOUQUERE LAURANA</v>
      </c>
      <c r="AF127" s="19"/>
      <c r="AG127" s="478"/>
      <c r="AH127" s="439">
        <f>COUNTIF(PArticipationFevrier1[[#This Row],[1]:[30]],Code1)</f>
        <v>0</v>
      </c>
      <c r="AI127" s="474">
        <f>COUNTIF(PArticipationFevrier1[[#This Row],[1]:[30]],code22)</f>
        <v>0</v>
      </c>
      <c r="AJ127" s="439">
        <f>COUNTIF(PArticipationFevrier1[[#This Row],[1]:[30]],Code2)</f>
        <v>0</v>
      </c>
      <c r="AK127" s="439">
        <f>COUNTIF(PArticipationFevrier1[[#This Row],[1]:[30]],Code3)</f>
        <v>0</v>
      </c>
      <c r="AL127" s="439">
        <f>COUNTIF(PArticipationFevrier1[[#This Row],[1]:[30]],Code4)</f>
        <v>0</v>
      </c>
      <c r="AM127" s="474">
        <f>COUNTIF(PArticipationFevrier1[[#This Row],[1]:[30]],Code5)</f>
        <v>0</v>
      </c>
      <c r="AN127" s="474"/>
      <c r="AO127" s="474">
        <f>COUNTIF(PArticipationFevrier1[[#This Row],[1]:[30]],Code6)</f>
        <v>0</v>
      </c>
      <c r="AP127" s="474">
        <f>COUNTIF(PArticipationFevrier1[[#This Row],[1]:[30]],Code7)</f>
        <v>0</v>
      </c>
      <c r="AQ127" s="474">
        <f>COUNTIF(PArticipationFevrier1[[#This Row],[1]:[30]],Code8)</f>
        <v>0</v>
      </c>
      <c r="AR127" s="474">
        <f>COUNTIF(PArticipationFevrier1[[#This Row],[1]:[30]],Code9)</f>
        <v>0</v>
      </c>
      <c r="AS127" s="474">
        <f>COUNTIF(PArticipationFevrier1[[#This Row],[1]:[30]],Code10)</f>
        <v>0</v>
      </c>
      <c r="AT127" s="474">
        <f>COUNTIF(PArticipationFevrier1[[#This Row],[1]:[30]],Code11)</f>
        <v>0</v>
      </c>
      <c r="AU127" s="474">
        <f>COUNTIF(PArticipationFevrier1[[#This Row],[1]:[30]],Code12)</f>
        <v>0</v>
      </c>
      <c r="AV127" s="474">
        <f>COUNTIF(PArticipationFevrier1[[#This Row],[1]:[30]],Code13)</f>
        <v>0</v>
      </c>
      <c r="AW127" s="474">
        <f>COUNTIF(PArticipationFevrier1[[#This Row],[1]:[30]],Code14)</f>
        <v>0</v>
      </c>
      <c r="AX127" s="474">
        <f>COUNTIF(PArticipationFevrier1[[#This Row],[1]:[30]],Code15)</f>
        <v>0</v>
      </c>
      <c r="AY127" s="474">
        <f>COUNTIF(PArticipationFevrier1[[#This Row],[1]:[30]],Code16)</f>
        <v>0</v>
      </c>
      <c r="AZ127" s="474">
        <f>COUNTIF(PArticipationFevrier1[[#This Row],[1]:[30]],Code17)</f>
        <v>0</v>
      </c>
      <c r="BA127" s="474">
        <f>COUNTIF(PArticipationFevrier1[[#This Row],[1]:[30]],Code26)</f>
        <v>0</v>
      </c>
      <c r="BB127" s="474">
        <f>COUNTIF(PArticipationFevrier1[[#This Row],[1]:[30]],Code25)</f>
        <v>0</v>
      </c>
      <c r="BC127" s="474">
        <f>COUNTIF(PArticipationFevrier1[[#This Row],[1]:[30]],Code27)</f>
        <v>0</v>
      </c>
      <c r="BD127" s="474">
        <f>COUNTIF(PArticipationFevrier1[[#This Row],[1]:[30]],Code28)</f>
        <v>0</v>
      </c>
      <c r="BE127" s="474">
        <f>COUNTIF(PArticipationFevrier1[[#This Row],[1]:[30]],code30)</f>
        <v>0</v>
      </c>
      <c r="BF127" s="474">
        <f>COUNTIF(PArticipationFevrier1[[#This Row],[1]:[30]],Code31)</f>
        <v>0</v>
      </c>
      <c r="BG127" s="474">
        <f>COUNTIF(PArticipationFevrier1[[#This Row],[1]:[30]],code21)</f>
        <v>0</v>
      </c>
      <c r="BH127" s="474">
        <f>COUNTIF(PArticipationFevrier1[[#This Row],[1]:[30]],Code24)</f>
        <v>0</v>
      </c>
      <c r="BI127" s="474">
        <f>COUNTIF(PArticipationFevrier1[[#This Row],[1]:[30]],code18)</f>
        <v>0</v>
      </c>
      <c r="BJ127" s="474">
        <f>COUNTIF(PArticipationFevrier1[[#This Row],[1]:[30]],code19)</f>
        <v>0</v>
      </c>
      <c r="BK127" s="474">
        <f>COUNTIF(PArticipationFevrier1[[#This Row],[1]:[30]],code20)</f>
        <v>0</v>
      </c>
      <c r="BL127" s="476">
        <f>COUNTIF(PArticipationFevrier1[[#This Row],[1]:[30]],code29)</f>
        <v>0</v>
      </c>
      <c r="BM127" s="472"/>
      <c r="BN127" s="472"/>
      <c r="BO127" s="472"/>
      <c r="BP127" s="472"/>
      <c r="BQ127" s="472"/>
      <c r="BR127" s="472"/>
      <c r="BS127" s="472"/>
      <c r="BT127" s="472"/>
      <c r="BU127" s="472"/>
      <c r="BV127" s="472"/>
      <c r="BW127" s="472"/>
      <c r="BX127" s="472"/>
      <c r="BY127" s="472"/>
      <c r="BZ127" s="472"/>
      <c r="CA127" s="472"/>
      <c r="CB127" s="472"/>
      <c r="CC127" s="472"/>
      <c r="CD127" s="472"/>
      <c r="CE127" s="472"/>
      <c r="CF127" s="472"/>
      <c r="CG127" s="472"/>
      <c r="CH127" s="472"/>
      <c r="CI127" s="472"/>
      <c r="CJ127" s="472"/>
      <c r="CK127" s="472"/>
      <c r="CL127" s="472"/>
      <c r="CM127" s="472"/>
      <c r="CN127" s="472"/>
      <c r="CO127" s="472"/>
      <c r="CP127" s="472"/>
      <c r="CQ127" s="472"/>
      <c r="CR127" s="472"/>
      <c r="CS127" s="472"/>
      <c r="CT127" s="472"/>
      <c r="CU127" s="300"/>
      <c r="CV127" s="507">
        <f t="shared" si="9"/>
        <v>0</v>
      </c>
      <c r="CW127" s="531">
        <f t="shared" si="10"/>
        <v>0</v>
      </c>
      <c r="CX127" s="532">
        <f t="shared" si="11"/>
        <v>0</v>
      </c>
      <c r="CY127" s="157">
        <f t="shared" si="8"/>
        <v>0</v>
      </c>
    </row>
    <row r="128" spans="1:103">
      <c r="A128" s="534" t="s">
        <v>469</v>
      </c>
      <c r="B128" s="152" t="str">
        <f>IFERROR(VLOOKUP(PArticipationFevrier1[[#This Row],[Référence]],ListeÉtudiants1[],18,FALSE),"")</f>
        <v>TABUDI DARLENE</v>
      </c>
      <c r="I128" t="s">
        <v>644</v>
      </c>
      <c r="AF128" s="19"/>
      <c r="AG128" s="478"/>
      <c r="AH128" s="439">
        <f>COUNTIF(PArticipationFevrier1[[#This Row],[1]:[30]],Code1)</f>
        <v>0</v>
      </c>
      <c r="AI128" s="474">
        <f>COUNTIF(PArticipationFevrier1[[#This Row],[1]:[30]],code22)</f>
        <v>0</v>
      </c>
      <c r="AJ128" s="439">
        <f>COUNTIF(PArticipationFevrier1[[#This Row],[1]:[30]],Code2)</f>
        <v>0</v>
      </c>
      <c r="AK128" s="439">
        <f>COUNTIF(PArticipationFevrier1[[#This Row],[1]:[30]],Code3)</f>
        <v>0</v>
      </c>
      <c r="AL128" s="439">
        <f>COUNTIF(PArticipationFevrier1[[#This Row],[1]:[30]],Code4)</f>
        <v>0</v>
      </c>
      <c r="AM128" s="474">
        <f>COUNTIF(PArticipationFevrier1[[#This Row],[1]:[30]],Code5)</f>
        <v>0</v>
      </c>
      <c r="AN128" s="474"/>
      <c r="AO128" s="474">
        <f>COUNTIF(PArticipationFevrier1[[#This Row],[1]:[30]],Code6)</f>
        <v>0</v>
      </c>
      <c r="AP128" s="474">
        <f>COUNTIF(PArticipationFevrier1[[#This Row],[1]:[30]],Code7)</f>
        <v>0</v>
      </c>
      <c r="AQ128" s="474">
        <f>COUNTIF(PArticipationFevrier1[[#This Row],[1]:[30]],Code8)</f>
        <v>0</v>
      </c>
      <c r="AR128" s="474">
        <f>COUNTIF(PArticipationFevrier1[[#This Row],[1]:[30]],Code9)</f>
        <v>0</v>
      </c>
      <c r="AS128" s="474">
        <f>COUNTIF(PArticipationFevrier1[[#This Row],[1]:[30]],Code10)</f>
        <v>0</v>
      </c>
      <c r="AT128" s="474">
        <f>COUNTIF(PArticipationFevrier1[[#This Row],[1]:[30]],Code11)</f>
        <v>0</v>
      </c>
      <c r="AU128" s="474">
        <f>COUNTIF(PArticipationFevrier1[[#This Row],[1]:[30]],Code12)</f>
        <v>0</v>
      </c>
      <c r="AV128" s="474">
        <f>COUNTIF(PArticipationFevrier1[[#This Row],[1]:[30]],Code13)</f>
        <v>0</v>
      </c>
      <c r="AW128" s="474">
        <f>COUNTIF(PArticipationFevrier1[[#This Row],[1]:[30]],Code14)</f>
        <v>0</v>
      </c>
      <c r="AX128" s="474">
        <f>COUNTIF(PArticipationFevrier1[[#This Row],[1]:[30]],Code15)</f>
        <v>0</v>
      </c>
      <c r="AY128" s="474">
        <f>COUNTIF(PArticipationFevrier1[[#This Row],[1]:[30]],Code16)</f>
        <v>0</v>
      </c>
      <c r="AZ128" s="474">
        <f>COUNTIF(PArticipationFevrier1[[#This Row],[1]:[30]],Code17)</f>
        <v>0</v>
      </c>
      <c r="BA128" s="474">
        <f>COUNTIF(PArticipationFevrier1[[#This Row],[1]:[30]],Code26)</f>
        <v>0</v>
      </c>
      <c r="BB128" s="474">
        <f>COUNTIF(PArticipationFevrier1[[#This Row],[1]:[30]],Code25)</f>
        <v>0</v>
      </c>
      <c r="BC128" s="474">
        <f>COUNTIF(PArticipationFevrier1[[#This Row],[1]:[30]],Code27)</f>
        <v>0</v>
      </c>
      <c r="BD128" s="474">
        <f>COUNTIF(PArticipationFevrier1[[#This Row],[1]:[30]],Code28)</f>
        <v>0</v>
      </c>
      <c r="BE128" s="474">
        <f>COUNTIF(PArticipationFevrier1[[#This Row],[1]:[30]],code30)</f>
        <v>0</v>
      </c>
      <c r="BF128" s="474">
        <f>COUNTIF(PArticipationFevrier1[[#This Row],[1]:[30]],Code31)</f>
        <v>0</v>
      </c>
      <c r="BG128" s="474">
        <f>COUNTIF(PArticipationFevrier1[[#This Row],[1]:[30]],code21)</f>
        <v>0</v>
      </c>
      <c r="BH128" s="474">
        <f>COUNTIF(PArticipationFevrier1[[#This Row],[1]:[30]],Code24)</f>
        <v>0</v>
      </c>
      <c r="BI128" s="474">
        <f>COUNTIF(PArticipationFevrier1[[#This Row],[1]:[30]],code18)</f>
        <v>1</v>
      </c>
      <c r="BJ128" s="474">
        <f>COUNTIF(PArticipationFevrier1[[#This Row],[1]:[30]],code19)</f>
        <v>0</v>
      </c>
      <c r="BK128" s="474">
        <f>COUNTIF(PArticipationFevrier1[[#This Row],[1]:[30]],code20)</f>
        <v>0</v>
      </c>
      <c r="BL128" s="476">
        <f>COUNTIF(PArticipationFevrier1[[#This Row],[1]:[30]],code29)</f>
        <v>0</v>
      </c>
      <c r="BM128" s="472"/>
      <c r="BN128" s="472"/>
      <c r="BO128" s="472"/>
      <c r="BP128" s="472"/>
      <c r="BQ128" s="472"/>
      <c r="BR128" s="472"/>
      <c r="BS128" s="472"/>
      <c r="BT128" s="472"/>
      <c r="BU128" s="472"/>
      <c r="BV128" s="472"/>
      <c r="BW128" s="472"/>
      <c r="BX128" s="472"/>
      <c r="BY128" s="472"/>
      <c r="BZ128" s="472"/>
      <c r="CA128" s="472"/>
      <c r="CB128" s="472"/>
      <c r="CC128" s="472"/>
      <c r="CD128" s="472"/>
      <c r="CE128" s="472"/>
      <c r="CF128" s="472"/>
      <c r="CG128" s="472"/>
      <c r="CH128" s="472"/>
      <c r="CI128" s="472"/>
      <c r="CJ128" s="472"/>
      <c r="CK128" s="472"/>
      <c r="CL128" s="472"/>
      <c r="CM128" s="472"/>
      <c r="CN128" s="472"/>
      <c r="CO128" s="472"/>
      <c r="CP128" s="472"/>
      <c r="CQ128" s="472"/>
      <c r="CR128" s="472"/>
      <c r="CS128" s="472"/>
      <c r="CT128" s="472"/>
      <c r="CU128" s="300"/>
      <c r="CV128" s="507">
        <f t="shared" si="9"/>
        <v>0</v>
      </c>
      <c r="CW128" s="531">
        <f t="shared" si="10"/>
        <v>0</v>
      </c>
      <c r="CX128" s="532">
        <f t="shared" si="11"/>
        <v>0</v>
      </c>
      <c r="CY128" s="157">
        <f t="shared" si="8"/>
        <v>7</v>
      </c>
    </row>
    <row r="129" spans="1:103">
      <c r="A129" s="534" t="s">
        <v>470</v>
      </c>
      <c r="B129" s="152" t="str">
        <f>IFERROR(VLOOKUP(PArticipationFevrier1[[#This Row],[Référence]],ListeÉtudiants1[],18,FALSE),"")</f>
        <v>TAKERKART SIRINE</v>
      </c>
      <c r="AF129" s="19"/>
      <c r="AG129" s="478"/>
      <c r="AH129" s="439">
        <f>COUNTIF(PArticipationFevrier1[[#This Row],[1]:[30]],Code1)</f>
        <v>0</v>
      </c>
      <c r="AI129" s="474">
        <f>COUNTIF(PArticipationFevrier1[[#This Row],[1]:[30]],code22)</f>
        <v>0</v>
      </c>
      <c r="AJ129" s="439">
        <f>COUNTIF(PArticipationFevrier1[[#This Row],[1]:[30]],Code2)</f>
        <v>0</v>
      </c>
      <c r="AK129" s="439">
        <f>COUNTIF(PArticipationFevrier1[[#This Row],[1]:[30]],Code3)</f>
        <v>0</v>
      </c>
      <c r="AL129" s="439">
        <f>COUNTIF(PArticipationFevrier1[[#This Row],[1]:[30]],Code4)</f>
        <v>0</v>
      </c>
      <c r="AM129" s="474">
        <f>COUNTIF(PArticipationFevrier1[[#This Row],[1]:[30]],Code5)</f>
        <v>0</v>
      </c>
      <c r="AN129" s="474"/>
      <c r="AO129" s="474">
        <f>COUNTIF(PArticipationFevrier1[[#This Row],[1]:[30]],Code6)</f>
        <v>0</v>
      </c>
      <c r="AP129" s="474">
        <f>COUNTIF(PArticipationFevrier1[[#This Row],[1]:[30]],Code7)</f>
        <v>0</v>
      </c>
      <c r="AQ129" s="474">
        <f>COUNTIF(PArticipationFevrier1[[#This Row],[1]:[30]],Code8)</f>
        <v>0</v>
      </c>
      <c r="AR129" s="474">
        <f>COUNTIF(PArticipationFevrier1[[#This Row],[1]:[30]],Code9)</f>
        <v>0</v>
      </c>
      <c r="AS129" s="474">
        <f>COUNTIF(PArticipationFevrier1[[#This Row],[1]:[30]],Code10)</f>
        <v>0</v>
      </c>
      <c r="AT129" s="474">
        <f>COUNTIF(PArticipationFevrier1[[#This Row],[1]:[30]],Code11)</f>
        <v>0</v>
      </c>
      <c r="AU129" s="474">
        <f>COUNTIF(PArticipationFevrier1[[#This Row],[1]:[30]],Code12)</f>
        <v>0</v>
      </c>
      <c r="AV129" s="474">
        <f>COUNTIF(PArticipationFevrier1[[#This Row],[1]:[30]],Code13)</f>
        <v>0</v>
      </c>
      <c r="AW129" s="474">
        <f>COUNTIF(PArticipationFevrier1[[#This Row],[1]:[30]],Code14)</f>
        <v>0</v>
      </c>
      <c r="AX129" s="474">
        <f>COUNTIF(PArticipationFevrier1[[#This Row],[1]:[30]],Code15)</f>
        <v>0</v>
      </c>
      <c r="AY129" s="474">
        <f>COUNTIF(PArticipationFevrier1[[#This Row],[1]:[30]],Code16)</f>
        <v>0</v>
      </c>
      <c r="AZ129" s="474">
        <f>COUNTIF(PArticipationFevrier1[[#This Row],[1]:[30]],Code17)</f>
        <v>0</v>
      </c>
      <c r="BA129" s="474">
        <f>COUNTIF(PArticipationFevrier1[[#This Row],[1]:[30]],Code26)</f>
        <v>0</v>
      </c>
      <c r="BB129" s="474">
        <f>COUNTIF(PArticipationFevrier1[[#This Row],[1]:[30]],Code25)</f>
        <v>0</v>
      </c>
      <c r="BC129" s="474">
        <f>COUNTIF(PArticipationFevrier1[[#This Row],[1]:[30]],Code27)</f>
        <v>0</v>
      </c>
      <c r="BD129" s="474">
        <f>COUNTIF(PArticipationFevrier1[[#This Row],[1]:[30]],Code28)</f>
        <v>0</v>
      </c>
      <c r="BE129" s="474">
        <f>COUNTIF(PArticipationFevrier1[[#This Row],[1]:[30]],code30)</f>
        <v>0</v>
      </c>
      <c r="BF129" s="474">
        <f>COUNTIF(PArticipationFevrier1[[#This Row],[1]:[30]],Code31)</f>
        <v>0</v>
      </c>
      <c r="BG129" s="474">
        <f>COUNTIF(PArticipationFevrier1[[#This Row],[1]:[30]],code21)</f>
        <v>0</v>
      </c>
      <c r="BH129" s="474">
        <f>COUNTIF(PArticipationFevrier1[[#This Row],[1]:[30]],Code24)</f>
        <v>0</v>
      </c>
      <c r="BI129" s="474">
        <f>COUNTIF(PArticipationFevrier1[[#This Row],[1]:[30]],code18)</f>
        <v>0</v>
      </c>
      <c r="BJ129" s="474">
        <f>COUNTIF(PArticipationFevrier1[[#This Row],[1]:[30]],code19)</f>
        <v>0</v>
      </c>
      <c r="BK129" s="474">
        <f>COUNTIF(PArticipationFevrier1[[#This Row],[1]:[30]],code20)</f>
        <v>0</v>
      </c>
      <c r="BL129" s="476">
        <f>COUNTIF(PArticipationFevrier1[[#This Row],[1]:[30]],code29)</f>
        <v>0</v>
      </c>
      <c r="BM129" s="472"/>
      <c r="BN129" s="472"/>
      <c r="BO129" s="472"/>
      <c r="BP129" s="472"/>
      <c r="BQ129" s="472"/>
      <c r="BR129" s="472"/>
      <c r="BS129" s="472"/>
      <c r="BT129" s="472"/>
      <c r="BU129" s="472"/>
      <c r="BV129" s="472"/>
      <c r="BW129" s="472"/>
      <c r="BX129" s="472"/>
      <c r="BY129" s="472"/>
      <c r="BZ129" s="472"/>
      <c r="CA129" s="472"/>
      <c r="CB129" s="472"/>
      <c r="CC129" s="472"/>
      <c r="CD129" s="472"/>
      <c r="CE129" s="472"/>
      <c r="CF129" s="472"/>
      <c r="CG129" s="472"/>
      <c r="CH129" s="472"/>
      <c r="CI129" s="472"/>
      <c r="CJ129" s="472"/>
      <c r="CK129" s="472"/>
      <c r="CL129" s="472"/>
      <c r="CM129" s="472"/>
      <c r="CN129" s="472"/>
      <c r="CO129" s="472"/>
      <c r="CP129" s="472"/>
      <c r="CQ129" s="472"/>
      <c r="CR129" s="472"/>
      <c r="CS129" s="472"/>
      <c r="CT129" s="472"/>
      <c r="CU129" s="300"/>
      <c r="CV129" s="507">
        <f t="shared" si="9"/>
        <v>0</v>
      </c>
      <c r="CW129" s="531">
        <f t="shared" si="10"/>
        <v>0</v>
      </c>
      <c r="CX129" s="532">
        <f t="shared" si="11"/>
        <v>0</v>
      </c>
      <c r="CY129" s="157">
        <f t="shared" si="8"/>
        <v>0</v>
      </c>
    </row>
    <row r="130" spans="1:103">
      <c r="A130" s="510" t="s">
        <v>471</v>
      </c>
      <c r="B130" s="152" t="str">
        <f>IFERROR(VLOOKUP(PArticipationFevrier1[[#This Row],[Référence]],ListeÉtudiants1[],18,FALSE),"")</f>
        <v>THENARD FLORENCE</v>
      </c>
      <c r="AF130" s="19"/>
      <c r="AG130" s="478"/>
      <c r="AH130" s="439">
        <f>COUNTIF(PArticipationFevrier1[[#This Row],[1]:[30]],Code1)</f>
        <v>0</v>
      </c>
      <c r="AI130" s="474">
        <f>COUNTIF(PArticipationFevrier1[[#This Row],[1]:[30]],code22)</f>
        <v>0</v>
      </c>
      <c r="AJ130" s="439">
        <f>COUNTIF(PArticipationFevrier1[[#This Row],[1]:[30]],Code2)</f>
        <v>0</v>
      </c>
      <c r="AK130" s="439">
        <f>COUNTIF(PArticipationFevrier1[[#This Row],[1]:[30]],Code3)</f>
        <v>0</v>
      </c>
      <c r="AL130" s="439">
        <f>COUNTIF(PArticipationFevrier1[[#This Row],[1]:[30]],Code4)</f>
        <v>0</v>
      </c>
      <c r="AM130" s="474">
        <f>COUNTIF(PArticipationFevrier1[[#This Row],[1]:[30]],Code5)</f>
        <v>0</v>
      </c>
      <c r="AN130" s="474"/>
      <c r="AO130" s="474">
        <f>COUNTIF(PArticipationFevrier1[[#This Row],[1]:[30]],Code6)</f>
        <v>0</v>
      </c>
      <c r="AP130" s="474">
        <f>COUNTIF(PArticipationFevrier1[[#This Row],[1]:[30]],Code7)</f>
        <v>0</v>
      </c>
      <c r="AQ130" s="474">
        <f>COUNTIF(PArticipationFevrier1[[#This Row],[1]:[30]],Code8)</f>
        <v>0</v>
      </c>
      <c r="AR130" s="474">
        <f>COUNTIF(PArticipationFevrier1[[#This Row],[1]:[30]],Code9)</f>
        <v>0</v>
      </c>
      <c r="AS130" s="474">
        <f>COUNTIF(PArticipationFevrier1[[#This Row],[1]:[30]],Code10)</f>
        <v>0</v>
      </c>
      <c r="AT130" s="474">
        <f>COUNTIF(PArticipationFevrier1[[#This Row],[1]:[30]],Code11)</f>
        <v>0</v>
      </c>
      <c r="AU130" s="474">
        <f>COUNTIF(PArticipationFevrier1[[#This Row],[1]:[30]],Code12)</f>
        <v>0</v>
      </c>
      <c r="AV130" s="474">
        <f>COUNTIF(PArticipationFevrier1[[#This Row],[1]:[30]],Code13)</f>
        <v>0</v>
      </c>
      <c r="AW130" s="474">
        <f>COUNTIF(PArticipationFevrier1[[#This Row],[1]:[30]],Code14)</f>
        <v>0</v>
      </c>
      <c r="AX130" s="474">
        <f>COUNTIF(PArticipationFevrier1[[#This Row],[1]:[30]],Code15)</f>
        <v>0</v>
      </c>
      <c r="AY130" s="474">
        <f>COUNTIF(PArticipationFevrier1[[#This Row],[1]:[30]],Code16)</f>
        <v>0</v>
      </c>
      <c r="AZ130" s="474">
        <f>COUNTIF(PArticipationFevrier1[[#This Row],[1]:[30]],Code17)</f>
        <v>0</v>
      </c>
      <c r="BA130" s="474">
        <f>COUNTIF(PArticipationFevrier1[[#This Row],[1]:[30]],Code26)</f>
        <v>0</v>
      </c>
      <c r="BB130" s="474">
        <f>COUNTIF(PArticipationFevrier1[[#This Row],[1]:[30]],Code25)</f>
        <v>0</v>
      </c>
      <c r="BC130" s="474">
        <f>COUNTIF(PArticipationFevrier1[[#This Row],[1]:[30]],Code27)</f>
        <v>0</v>
      </c>
      <c r="BD130" s="474">
        <f>COUNTIF(PArticipationFevrier1[[#This Row],[1]:[30]],Code28)</f>
        <v>0</v>
      </c>
      <c r="BE130" s="474">
        <f>COUNTIF(PArticipationFevrier1[[#This Row],[1]:[30]],code30)</f>
        <v>0</v>
      </c>
      <c r="BF130" s="474">
        <f>COUNTIF(PArticipationFevrier1[[#This Row],[1]:[30]],Code31)</f>
        <v>0</v>
      </c>
      <c r="BG130" s="474">
        <f>COUNTIF(PArticipationFevrier1[[#This Row],[1]:[30]],code21)</f>
        <v>0</v>
      </c>
      <c r="BH130" s="474">
        <f>COUNTIF(PArticipationFevrier1[[#This Row],[1]:[30]],Code24)</f>
        <v>0</v>
      </c>
      <c r="BI130" s="474">
        <f>COUNTIF(PArticipationFevrier1[[#This Row],[1]:[30]],code18)</f>
        <v>0</v>
      </c>
      <c r="BJ130" s="474">
        <f>COUNTIF(PArticipationFevrier1[[#This Row],[1]:[30]],code19)</f>
        <v>0</v>
      </c>
      <c r="BK130" s="474">
        <f>COUNTIF(PArticipationFevrier1[[#This Row],[1]:[30]],code20)</f>
        <v>0</v>
      </c>
      <c r="BL130" s="476">
        <f>COUNTIF(PArticipationFevrier1[[#This Row],[1]:[30]],code29)</f>
        <v>0</v>
      </c>
      <c r="BM130" s="472"/>
      <c r="BN130" s="472"/>
      <c r="BO130" s="472"/>
      <c r="BP130" s="472"/>
      <c r="BQ130" s="472"/>
      <c r="BR130" s="472"/>
      <c r="BS130" s="472"/>
      <c r="BT130" s="472"/>
      <c r="BU130" s="472"/>
      <c r="BV130" s="472"/>
      <c r="BW130" s="472"/>
      <c r="BX130" s="472"/>
      <c r="BY130" s="472"/>
      <c r="BZ130" s="472"/>
      <c r="CA130" s="472"/>
      <c r="CB130" s="472"/>
      <c r="CC130" s="472"/>
      <c r="CD130" s="472"/>
      <c r="CE130" s="472"/>
      <c r="CF130" s="472"/>
      <c r="CG130" s="472"/>
      <c r="CH130" s="472"/>
      <c r="CI130" s="472"/>
      <c r="CJ130" s="472"/>
      <c r="CK130" s="472"/>
      <c r="CL130" s="472"/>
      <c r="CM130" s="472"/>
      <c r="CN130" s="472"/>
      <c r="CO130" s="472"/>
      <c r="CP130" s="472"/>
      <c r="CQ130" s="472"/>
      <c r="CR130" s="472"/>
      <c r="CS130" s="472"/>
      <c r="CT130" s="472"/>
      <c r="CU130" s="300"/>
      <c r="CV130" s="507">
        <f t="shared" si="9"/>
        <v>0</v>
      </c>
      <c r="CW130" s="531">
        <f t="shared" si="10"/>
        <v>0</v>
      </c>
      <c r="CX130" s="532">
        <f t="shared" si="11"/>
        <v>0</v>
      </c>
      <c r="CY130" s="157">
        <f t="shared" si="8"/>
        <v>0</v>
      </c>
    </row>
    <row r="131" spans="1:103">
      <c r="A131" s="510" t="s">
        <v>472</v>
      </c>
      <c r="B131" s="152" t="str">
        <f>IFERROR(VLOOKUP(PArticipationFevrier1[[#This Row],[Référence]],ListeÉtudiants1[],18,FALSE),"")</f>
        <v>TOTO SANDY</v>
      </c>
      <c r="AF131" s="19"/>
      <c r="AG131" s="478"/>
      <c r="AH131" s="439">
        <f>COUNTIF(PArticipationFevrier1[[#This Row],[1]:[30]],Code1)</f>
        <v>0</v>
      </c>
      <c r="AI131" s="474">
        <f>COUNTIF(PArticipationFevrier1[[#This Row],[1]:[30]],code22)</f>
        <v>0</v>
      </c>
      <c r="AJ131" s="439">
        <f>COUNTIF(PArticipationFevrier1[[#This Row],[1]:[30]],Code2)</f>
        <v>0</v>
      </c>
      <c r="AK131" s="439">
        <f>COUNTIF(PArticipationFevrier1[[#This Row],[1]:[30]],Code3)</f>
        <v>0</v>
      </c>
      <c r="AL131" s="439">
        <f>COUNTIF(PArticipationFevrier1[[#This Row],[1]:[30]],Code4)</f>
        <v>0</v>
      </c>
      <c r="AM131" s="474">
        <f>COUNTIF(PArticipationFevrier1[[#This Row],[1]:[30]],Code5)</f>
        <v>0</v>
      </c>
      <c r="AN131" s="474"/>
      <c r="AO131" s="474">
        <f>COUNTIF(PArticipationFevrier1[[#This Row],[1]:[30]],Code6)</f>
        <v>0</v>
      </c>
      <c r="AP131" s="474">
        <f>COUNTIF(PArticipationFevrier1[[#This Row],[1]:[30]],Code7)</f>
        <v>0</v>
      </c>
      <c r="AQ131" s="474">
        <f>COUNTIF(PArticipationFevrier1[[#This Row],[1]:[30]],Code8)</f>
        <v>0</v>
      </c>
      <c r="AR131" s="474">
        <f>COUNTIF(PArticipationFevrier1[[#This Row],[1]:[30]],Code9)</f>
        <v>0</v>
      </c>
      <c r="AS131" s="474">
        <f>COUNTIF(PArticipationFevrier1[[#This Row],[1]:[30]],Code10)</f>
        <v>0</v>
      </c>
      <c r="AT131" s="474">
        <f>COUNTIF(PArticipationFevrier1[[#This Row],[1]:[30]],Code11)</f>
        <v>0</v>
      </c>
      <c r="AU131" s="474">
        <f>COUNTIF(PArticipationFevrier1[[#This Row],[1]:[30]],Code12)</f>
        <v>0</v>
      </c>
      <c r="AV131" s="474">
        <f>COUNTIF(PArticipationFevrier1[[#This Row],[1]:[30]],Code13)</f>
        <v>0</v>
      </c>
      <c r="AW131" s="474">
        <f>COUNTIF(PArticipationFevrier1[[#This Row],[1]:[30]],Code14)</f>
        <v>0</v>
      </c>
      <c r="AX131" s="474">
        <f>COUNTIF(PArticipationFevrier1[[#This Row],[1]:[30]],Code15)</f>
        <v>0</v>
      </c>
      <c r="AY131" s="474">
        <f>COUNTIF(PArticipationFevrier1[[#This Row],[1]:[30]],Code16)</f>
        <v>0</v>
      </c>
      <c r="AZ131" s="474">
        <f>COUNTIF(PArticipationFevrier1[[#This Row],[1]:[30]],Code17)</f>
        <v>0</v>
      </c>
      <c r="BA131" s="474">
        <f>COUNTIF(PArticipationFevrier1[[#This Row],[1]:[30]],Code26)</f>
        <v>0</v>
      </c>
      <c r="BB131" s="474">
        <f>COUNTIF(PArticipationFevrier1[[#This Row],[1]:[30]],Code25)</f>
        <v>0</v>
      </c>
      <c r="BC131" s="474">
        <f>COUNTIF(PArticipationFevrier1[[#This Row],[1]:[30]],Code27)</f>
        <v>0</v>
      </c>
      <c r="BD131" s="474">
        <f>COUNTIF(PArticipationFevrier1[[#This Row],[1]:[30]],Code28)</f>
        <v>0</v>
      </c>
      <c r="BE131" s="474">
        <f>COUNTIF(PArticipationFevrier1[[#This Row],[1]:[30]],code30)</f>
        <v>0</v>
      </c>
      <c r="BF131" s="474">
        <f>COUNTIF(PArticipationFevrier1[[#This Row],[1]:[30]],Code31)</f>
        <v>0</v>
      </c>
      <c r="BG131" s="474">
        <f>COUNTIF(PArticipationFevrier1[[#This Row],[1]:[30]],code21)</f>
        <v>0</v>
      </c>
      <c r="BH131" s="474">
        <f>COUNTIF(PArticipationFevrier1[[#This Row],[1]:[30]],Code24)</f>
        <v>0</v>
      </c>
      <c r="BI131" s="474">
        <f>COUNTIF(PArticipationFevrier1[[#This Row],[1]:[30]],code18)</f>
        <v>0</v>
      </c>
      <c r="BJ131" s="474">
        <f>COUNTIF(PArticipationFevrier1[[#This Row],[1]:[30]],code19)</f>
        <v>0</v>
      </c>
      <c r="BK131" s="474">
        <f>COUNTIF(PArticipationFevrier1[[#This Row],[1]:[30]],code20)</f>
        <v>0</v>
      </c>
      <c r="BL131" s="476">
        <f>COUNTIF(PArticipationFevrier1[[#This Row],[1]:[30]],code29)</f>
        <v>0</v>
      </c>
      <c r="BM131" s="472"/>
      <c r="BN131" s="472"/>
      <c r="BO131" s="472"/>
      <c r="BP131" s="472"/>
      <c r="BQ131" s="472"/>
      <c r="BR131" s="472"/>
      <c r="BS131" s="472"/>
      <c r="BT131" s="472"/>
      <c r="BU131" s="472"/>
      <c r="BV131" s="472"/>
      <c r="BW131" s="472"/>
      <c r="BX131" s="472"/>
      <c r="BY131" s="472"/>
      <c r="BZ131" s="472"/>
      <c r="CA131" s="472"/>
      <c r="CB131" s="472"/>
      <c r="CC131" s="472"/>
      <c r="CD131" s="472"/>
      <c r="CE131" s="472"/>
      <c r="CF131" s="472"/>
      <c r="CG131" s="472"/>
      <c r="CH131" s="472"/>
      <c r="CI131" s="472"/>
      <c r="CJ131" s="472"/>
      <c r="CK131" s="472"/>
      <c r="CL131" s="472"/>
      <c r="CM131" s="472"/>
      <c r="CN131" s="472"/>
      <c r="CO131" s="472"/>
      <c r="CP131" s="472"/>
      <c r="CQ131" s="472"/>
      <c r="CR131" s="472"/>
      <c r="CS131" s="472"/>
      <c r="CT131" s="472"/>
      <c r="CU131" s="300"/>
      <c r="CV131" s="507">
        <f t="shared" si="9"/>
        <v>0</v>
      </c>
      <c r="CW131" s="531">
        <f t="shared" si="10"/>
        <v>0</v>
      </c>
      <c r="CX131" s="532">
        <f t="shared" si="11"/>
        <v>0</v>
      </c>
      <c r="CY131" s="157">
        <f t="shared" si="8"/>
        <v>0</v>
      </c>
    </row>
    <row r="132" spans="1:103">
      <c r="A132" s="534" t="s">
        <v>473</v>
      </c>
      <c r="B132" s="152" t="str">
        <f>IFERROR(VLOOKUP(PArticipationFevrier1[[#This Row],[Référence]],ListeÉtudiants1[],18,FALSE),"")</f>
        <v>TOUAZI EMMA</v>
      </c>
      <c r="I132" t="s">
        <v>644</v>
      </c>
      <c r="J132" t="s">
        <v>644</v>
      </c>
      <c r="AF132" s="19"/>
      <c r="AG132" s="478"/>
      <c r="AH132" s="439">
        <f>COUNTIF(PArticipationFevrier1[[#This Row],[1]:[30]],Code1)</f>
        <v>0</v>
      </c>
      <c r="AI132" s="474">
        <f>COUNTIF(PArticipationFevrier1[[#This Row],[1]:[30]],code22)</f>
        <v>0</v>
      </c>
      <c r="AJ132" s="439">
        <f>COUNTIF(PArticipationFevrier1[[#This Row],[1]:[30]],Code2)</f>
        <v>0</v>
      </c>
      <c r="AK132" s="439">
        <f>COUNTIF(PArticipationFevrier1[[#This Row],[1]:[30]],Code3)</f>
        <v>0</v>
      </c>
      <c r="AL132" s="439">
        <f>COUNTIF(PArticipationFevrier1[[#This Row],[1]:[30]],Code4)</f>
        <v>0</v>
      </c>
      <c r="AM132" s="474">
        <f>COUNTIF(PArticipationFevrier1[[#This Row],[1]:[30]],Code5)</f>
        <v>0</v>
      </c>
      <c r="AN132" s="474"/>
      <c r="AO132" s="474">
        <f>COUNTIF(PArticipationFevrier1[[#This Row],[1]:[30]],Code6)</f>
        <v>0</v>
      </c>
      <c r="AP132" s="474">
        <f>COUNTIF(PArticipationFevrier1[[#This Row],[1]:[30]],Code7)</f>
        <v>0</v>
      </c>
      <c r="AQ132" s="474">
        <f>COUNTIF(PArticipationFevrier1[[#This Row],[1]:[30]],Code8)</f>
        <v>0</v>
      </c>
      <c r="AR132" s="474">
        <f>COUNTIF(PArticipationFevrier1[[#This Row],[1]:[30]],Code9)</f>
        <v>0</v>
      </c>
      <c r="AS132" s="474">
        <f>COUNTIF(PArticipationFevrier1[[#This Row],[1]:[30]],Code10)</f>
        <v>0</v>
      </c>
      <c r="AT132" s="474">
        <f>COUNTIF(PArticipationFevrier1[[#This Row],[1]:[30]],Code11)</f>
        <v>0</v>
      </c>
      <c r="AU132" s="474">
        <f>COUNTIF(PArticipationFevrier1[[#This Row],[1]:[30]],Code12)</f>
        <v>0</v>
      </c>
      <c r="AV132" s="474">
        <f>COUNTIF(PArticipationFevrier1[[#This Row],[1]:[30]],Code13)</f>
        <v>0</v>
      </c>
      <c r="AW132" s="474">
        <f>COUNTIF(PArticipationFevrier1[[#This Row],[1]:[30]],Code14)</f>
        <v>0</v>
      </c>
      <c r="AX132" s="474">
        <f>COUNTIF(PArticipationFevrier1[[#This Row],[1]:[30]],Code15)</f>
        <v>0</v>
      </c>
      <c r="AY132" s="474">
        <f>COUNTIF(PArticipationFevrier1[[#This Row],[1]:[30]],Code16)</f>
        <v>0</v>
      </c>
      <c r="AZ132" s="474">
        <f>COUNTIF(PArticipationFevrier1[[#This Row],[1]:[30]],Code17)</f>
        <v>0</v>
      </c>
      <c r="BA132" s="474">
        <f>COUNTIF(PArticipationFevrier1[[#This Row],[1]:[30]],Code26)</f>
        <v>0</v>
      </c>
      <c r="BB132" s="474">
        <f>COUNTIF(PArticipationFevrier1[[#This Row],[1]:[30]],Code25)</f>
        <v>0</v>
      </c>
      <c r="BC132" s="474">
        <f>COUNTIF(PArticipationFevrier1[[#This Row],[1]:[30]],Code27)</f>
        <v>0</v>
      </c>
      <c r="BD132" s="474">
        <f>COUNTIF(PArticipationFevrier1[[#This Row],[1]:[30]],Code28)</f>
        <v>0</v>
      </c>
      <c r="BE132" s="474">
        <f>COUNTIF(PArticipationFevrier1[[#This Row],[1]:[30]],code30)</f>
        <v>0</v>
      </c>
      <c r="BF132" s="474">
        <f>COUNTIF(PArticipationFevrier1[[#This Row],[1]:[30]],Code31)</f>
        <v>0</v>
      </c>
      <c r="BG132" s="474">
        <f>COUNTIF(PArticipationFevrier1[[#This Row],[1]:[30]],code21)</f>
        <v>0</v>
      </c>
      <c r="BH132" s="474">
        <f>COUNTIF(PArticipationFevrier1[[#This Row],[1]:[30]],Code24)</f>
        <v>0</v>
      </c>
      <c r="BI132" s="474">
        <f>COUNTIF(PArticipationFevrier1[[#This Row],[1]:[30]],code18)</f>
        <v>2</v>
      </c>
      <c r="BJ132" s="474">
        <f>COUNTIF(PArticipationFevrier1[[#This Row],[1]:[30]],code19)</f>
        <v>0</v>
      </c>
      <c r="BK132" s="474">
        <f>COUNTIF(PArticipationFevrier1[[#This Row],[1]:[30]],code20)</f>
        <v>0</v>
      </c>
      <c r="BL132" s="476">
        <f>COUNTIF(PArticipationFevrier1[[#This Row],[1]:[30]],code29)</f>
        <v>0</v>
      </c>
      <c r="BM132" s="472"/>
      <c r="BN132" s="472"/>
      <c r="BO132" s="472"/>
      <c r="BP132" s="472"/>
      <c r="BQ132" s="472"/>
      <c r="BR132" s="472"/>
      <c r="BS132" s="472"/>
      <c r="BT132" s="472"/>
      <c r="BU132" s="472"/>
      <c r="BV132" s="472"/>
      <c r="BW132" s="472"/>
      <c r="BX132" s="472"/>
      <c r="BY132" s="472"/>
      <c r="BZ132" s="472"/>
      <c r="CA132" s="472"/>
      <c r="CB132" s="472"/>
      <c r="CC132" s="472"/>
      <c r="CD132" s="472"/>
      <c r="CE132" s="472"/>
      <c r="CF132" s="472"/>
      <c r="CG132" s="472"/>
      <c r="CH132" s="472"/>
      <c r="CI132" s="472"/>
      <c r="CJ132" s="472"/>
      <c r="CK132" s="472"/>
      <c r="CL132" s="472"/>
      <c r="CM132" s="472"/>
      <c r="CN132" s="472"/>
      <c r="CO132" s="472"/>
      <c r="CP132" s="472"/>
      <c r="CQ132" s="472"/>
      <c r="CR132" s="472"/>
      <c r="CS132" s="472"/>
      <c r="CT132" s="472"/>
      <c r="CU132" s="300"/>
      <c r="CV132" s="507">
        <f t="shared" si="9"/>
        <v>0</v>
      </c>
      <c r="CW132" s="531">
        <f t="shared" si="10"/>
        <v>0</v>
      </c>
      <c r="CX132" s="532">
        <f t="shared" si="11"/>
        <v>0</v>
      </c>
      <c r="CY132" s="157">
        <f t="shared" si="8"/>
        <v>14</v>
      </c>
    </row>
    <row r="133" spans="1:103">
      <c r="A133" s="510" t="s">
        <v>474</v>
      </c>
      <c r="B133" s="152" t="str">
        <f>IFERROR(VLOOKUP(PArticipationFevrier1[[#This Row],[Référence]],ListeÉtudiants1[],18,FALSE),"")</f>
        <v>TOUIDJINE VICTORIA</v>
      </c>
      <c r="AF133" s="19"/>
      <c r="AG133" s="478"/>
      <c r="AH133" s="439">
        <f>COUNTIF(PArticipationFevrier1[[#This Row],[1]:[30]],Code1)</f>
        <v>0</v>
      </c>
      <c r="AI133" s="474">
        <f>COUNTIF(PArticipationFevrier1[[#This Row],[1]:[30]],code22)</f>
        <v>0</v>
      </c>
      <c r="AJ133" s="439">
        <f>COUNTIF(PArticipationFevrier1[[#This Row],[1]:[30]],Code2)</f>
        <v>0</v>
      </c>
      <c r="AK133" s="439">
        <f>COUNTIF(PArticipationFevrier1[[#This Row],[1]:[30]],Code3)</f>
        <v>0</v>
      </c>
      <c r="AL133" s="439">
        <f>COUNTIF(PArticipationFevrier1[[#This Row],[1]:[30]],Code4)</f>
        <v>0</v>
      </c>
      <c r="AM133" s="474">
        <f>COUNTIF(PArticipationFevrier1[[#This Row],[1]:[30]],Code5)</f>
        <v>0</v>
      </c>
      <c r="AN133" s="474"/>
      <c r="AO133" s="474">
        <f>COUNTIF(PArticipationFevrier1[[#This Row],[1]:[30]],Code6)</f>
        <v>0</v>
      </c>
      <c r="AP133" s="474">
        <f>COUNTIF(PArticipationFevrier1[[#This Row],[1]:[30]],Code7)</f>
        <v>0</v>
      </c>
      <c r="AQ133" s="474">
        <f>COUNTIF(PArticipationFevrier1[[#This Row],[1]:[30]],Code8)</f>
        <v>0</v>
      </c>
      <c r="AR133" s="474">
        <f>COUNTIF(PArticipationFevrier1[[#This Row],[1]:[30]],Code9)</f>
        <v>0</v>
      </c>
      <c r="AS133" s="474">
        <f>COUNTIF(PArticipationFevrier1[[#This Row],[1]:[30]],Code10)</f>
        <v>0</v>
      </c>
      <c r="AT133" s="474">
        <f>COUNTIF(PArticipationFevrier1[[#This Row],[1]:[30]],Code11)</f>
        <v>0</v>
      </c>
      <c r="AU133" s="474">
        <f>COUNTIF(PArticipationFevrier1[[#This Row],[1]:[30]],Code12)</f>
        <v>0</v>
      </c>
      <c r="AV133" s="474">
        <f>COUNTIF(PArticipationFevrier1[[#This Row],[1]:[30]],Code13)</f>
        <v>0</v>
      </c>
      <c r="AW133" s="474">
        <f>COUNTIF(PArticipationFevrier1[[#This Row],[1]:[30]],Code14)</f>
        <v>0</v>
      </c>
      <c r="AX133" s="474">
        <f>COUNTIF(PArticipationFevrier1[[#This Row],[1]:[30]],Code15)</f>
        <v>0</v>
      </c>
      <c r="AY133" s="474">
        <f>COUNTIF(PArticipationFevrier1[[#This Row],[1]:[30]],Code16)</f>
        <v>0</v>
      </c>
      <c r="AZ133" s="474">
        <f>COUNTIF(PArticipationFevrier1[[#This Row],[1]:[30]],Code17)</f>
        <v>0</v>
      </c>
      <c r="BA133" s="474">
        <f>COUNTIF(PArticipationFevrier1[[#This Row],[1]:[30]],Code26)</f>
        <v>0</v>
      </c>
      <c r="BB133" s="474">
        <f>COUNTIF(PArticipationFevrier1[[#This Row],[1]:[30]],Code25)</f>
        <v>0</v>
      </c>
      <c r="BC133" s="474">
        <f>COUNTIF(PArticipationFevrier1[[#This Row],[1]:[30]],Code27)</f>
        <v>0</v>
      </c>
      <c r="BD133" s="474">
        <f>COUNTIF(PArticipationFevrier1[[#This Row],[1]:[30]],Code28)</f>
        <v>0</v>
      </c>
      <c r="BE133" s="474">
        <f>COUNTIF(PArticipationFevrier1[[#This Row],[1]:[30]],code30)</f>
        <v>0</v>
      </c>
      <c r="BF133" s="474">
        <f>COUNTIF(PArticipationFevrier1[[#This Row],[1]:[30]],Code31)</f>
        <v>0</v>
      </c>
      <c r="BG133" s="474">
        <f>COUNTIF(PArticipationFevrier1[[#This Row],[1]:[30]],code21)</f>
        <v>0</v>
      </c>
      <c r="BH133" s="474">
        <f>COUNTIF(PArticipationFevrier1[[#This Row],[1]:[30]],Code24)</f>
        <v>0</v>
      </c>
      <c r="BI133" s="474">
        <f>COUNTIF(PArticipationFevrier1[[#This Row],[1]:[30]],code18)</f>
        <v>0</v>
      </c>
      <c r="BJ133" s="474">
        <f>COUNTIF(PArticipationFevrier1[[#This Row],[1]:[30]],code19)</f>
        <v>0</v>
      </c>
      <c r="BK133" s="474">
        <f>COUNTIF(PArticipationFevrier1[[#This Row],[1]:[30]],code20)</f>
        <v>0</v>
      </c>
      <c r="BL133" s="476">
        <f>COUNTIF(PArticipationFevrier1[[#This Row],[1]:[30]],code29)</f>
        <v>0</v>
      </c>
      <c r="BM133" s="472"/>
      <c r="BN133" s="472"/>
      <c r="BO133" s="472"/>
      <c r="BP133" s="472"/>
      <c r="BQ133" s="472"/>
      <c r="BR133" s="472"/>
      <c r="BS133" s="472"/>
      <c r="BT133" s="472"/>
      <c r="BU133" s="472"/>
      <c r="BV133" s="472"/>
      <c r="BW133" s="472"/>
      <c r="BX133" s="472"/>
      <c r="BY133" s="472"/>
      <c r="BZ133" s="472"/>
      <c r="CA133" s="472"/>
      <c r="CB133" s="472"/>
      <c r="CC133" s="472"/>
      <c r="CD133" s="472"/>
      <c r="CE133" s="472"/>
      <c r="CF133" s="472"/>
      <c r="CG133" s="472"/>
      <c r="CH133" s="472"/>
      <c r="CI133" s="472"/>
      <c r="CJ133" s="472"/>
      <c r="CK133" s="472"/>
      <c r="CL133" s="472"/>
      <c r="CM133" s="472"/>
      <c r="CN133" s="472"/>
      <c r="CO133" s="472"/>
      <c r="CP133" s="472"/>
      <c r="CQ133" s="472"/>
      <c r="CR133" s="472"/>
      <c r="CS133" s="472"/>
      <c r="CT133" s="472"/>
      <c r="CU133" s="300"/>
      <c r="CV133" s="507">
        <f t="shared" si="9"/>
        <v>0</v>
      </c>
      <c r="CW133" s="531">
        <f t="shared" si="10"/>
        <v>0</v>
      </c>
      <c r="CX133" s="532">
        <f t="shared" si="11"/>
        <v>0</v>
      </c>
      <c r="CY133" s="157">
        <f t="shared" si="8"/>
        <v>0</v>
      </c>
    </row>
    <row r="134" spans="1:103">
      <c r="A134" s="510" t="s">
        <v>475</v>
      </c>
      <c r="B134" s="152" t="str">
        <f>IFERROR(VLOOKUP(PArticipationFevrier1[[#This Row],[Référence]],ListeÉtudiants1[],18,FALSE),"")</f>
        <v>TOURE SIPA</v>
      </c>
      <c r="AF134" s="19"/>
      <c r="AG134" s="478"/>
      <c r="AH134" s="439">
        <f>COUNTIF(PArticipationFevrier1[[#This Row],[1]:[30]],Code1)</f>
        <v>0</v>
      </c>
      <c r="AI134" s="474">
        <f>COUNTIF(PArticipationFevrier1[[#This Row],[1]:[30]],code22)</f>
        <v>0</v>
      </c>
      <c r="AJ134" s="439">
        <f>COUNTIF(PArticipationFevrier1[[#This Row],[1]:[30]],Code2)</f>
        <v>0</v>
      </c>
      <c r="AK134" s="439">
        <f>COUNTIF(PArticipationFevrier1[[#This Row],[1]:[30]],Code3)</f>
        <v>0</v>
      </c>
      <c r="AL134" s="439">
        <f>COUNTIF(PArticipationFevrier1[[#This Row],[1]:[30]],Code4)</f>
        <v>0</v>
      </c>
      <c r="AM134" s="474">
        <f>COUNTIF(PArticipationFevrier1[[#This Row],[1]:[30]],Code5)</f>
        <v>0</v>
      </c>
      <c r="AN134" s="474"/>
      <c r="AO134" s="474">
        <f>COUNTIF(PArticipationFevrier1[[#This Row],[1]:[30]],Code6)</f>
        <v>0</v>
      </c>
      <c r="AP134" s="474">
        <f>COUNTIF(PArticipationFevrier1[[#This Row],[1]:[30]],Code7)</f>
        <v>0</v>
      </c>
      <c r="AQ134" s="474">
        <f>COUNTIF(PArticipationFevrier1[[#This Row],[1]:[30]],Code8)</f>
        <v>0</v>
      </c>
      <c r="AR134" s="474">
        <f>COUNTIF(PArticipationFevrier1[[#This Row],[1]:[30]],Code9)</f>
        <v>0</v>
      </c>
      <c r="AS134" s="474">
        <f>COUNTIF(PArticipationFevrier1[[#This Row],[1]:[30]],Code10)</f>
        <v>0</v>
      </c>
      <c r="AT134" s="474">
        <f>COUNTIF(PArticipationFevrier1[[#This Row],[1]:[30]],Code11)</f>
        <v>0</v>
      </c>
      <c r="AU134" s="474">
        <f>COUNTIF(PArticipationFevrier1[[#This Row],[1]:[30]],Code12)</f>
        <v>0</v>
      </c>
      <c r="AV134" s="474">
        <f>COUNTIF(PArticipationFevrier1[[#This Row],[1]:[30]],Code13)</f>
        <v>0</v>
      </c>
      <c r="AW134" s="474">
        <f>COUNTIF(PArticipationFevrier1[[#This Row],[1]:[30]],Code14)</f>
        <v>0</v>
      </c>
      <c r="AX134" s="474">
        <f>COUNTIF(PArticipationFevrier1[[#This Row],[1]:[30]],Code15)</f>
        <v>0</v>
      </c>
      <c r="AY134" s="474">
        <f>COUNTIF(PArticipationFevrier1[[#This Row],[1]:[30]],Code16)</f>
        <v>0</v>
      </c>
      <c r="AZ134" s="474">
        <f>COUNTIF(PArticipationFevrier1[[#This Row],[1]:[30]],Code17)</f>
        <v>0</v>
      </c>
      <c r="BA134" s="474">
        <f>COUNTIF(PArticipationFevrier1[[#This Row],[1]:[30]],Code26)</f>
        <v>0</v>
      </c>
      <c r="BB134" s="474">
        <f>COUNTIF(PArticipationFevrier1[[#This Row],[1]:[30]],Code25)</f>
        <v>0</v>
      </c>
      <c r="BC134" s="474">
        <f>COUNTIF(PArticipationFevrier1[[#This Row],[1]:[30]],Code27)</f>
        <v>0</v>
      </c>
      <c r="BD134" s="474">
        <f>COUNTIF(PArticipationFevrier1[[#This Row],[1]:[30]],Code28)</f>
        <v>0</v>
      </c>
      <c r="BE134" s="474">
        <f>COUNTIF(PArticipationFevrier1[[#This Row],[1]:[30]],code30)</f>
        <v>0</v>
      </c>
      <c r="BF134" s="474">
        <f>COUNTIF(PArticipationFevrier1[[#This Row],[1]:[30]],Code31)</f>
        <v>0</v>
      </c>
      <c r="BG134" s="474">
        <f>COUNTIF(PArticipationFevrier1[[#This Row],[1]:[30]],code21)</f>
        <v>0</v>
      </c>
      <c r="BH134" s="474">
        <f>COUNTIF(PArticipationFevrier1[[#This Row],[1]:[30]],Code24)</f>
        <v>0</v>
      </c>
      <c r="BI134" s="474">
        <f>COUNTIF(PArticipationFevrier1[[#This Row],[1]:[30]],code18)</f>
        <v>0</v>
      </c>
      <c r="BJ134" s="474">
        <f>COUNTIF(PArticipationFevrier1[[#This Row],[1]:[30]],code19)</f>
        <v>0</v>
      </c>
      <c r="BK134" s="474">
        <f>COUNTIF(PArticipationFevrier1[[#This Row],[1]:[30]],code20)</f>
        <v>0</v>
      </c>
      <c r="BL134" s="476">
        <f>COUNTIF(PArticipationFevrier1[[#This Row],[1]:[30]],code29)</f>
        <v>0</v>
      </c>
      <c r="BM134" s="472"/>
      <c r="BN134" s="472"/>
      <c r="BO134" s="472"/>
      <c r="BP134" s="472"/>
      <c r="BQ134" s="472"/>
      <c r="BR134" s="472"/>
      <c r="BS134" s="472"/>
      <c r="BT134" s="472"/>
      <c r="BU134" s="472"/>
      <c r="BV134" s="472"/>
      <c r="BW134" s="472"/>
      <c r="BX134" s="472"/>
      <c r="BY134" s="472"/>
      <c r="BZ134" s="472"/>
      <c r="CA134" s="472"/>
      <c r="CB134" s="472"/>
      <c r="CC134" s="472"/>
      <c r="CD134" s="472"/>
      <c r="CE134" s="472"/>
      <c r="CF134" s="472"/>
      <c r="CG134" s="472"/>
      <c r="CH134" s="472"/>
      <c r="CI134" s="472"/>
      <c r="CJ134" s="472"/>
      <c r="CK134" s="472"/>
      <c r="CL134" s="472"/>
      <c r="CM134" s="472"/>
      <c r="CN134" s="472"/>
      <c r="CO134" s="472"/>
      <c r="CP134" s="472"/>
      <c r="CQ134" s="472"/>
      <c r="CR134" s="472"/>
      <c r="CS134" s="472"/>
      <c r="CT134" s="472"/>
      <c r="CU134" s="300"/>
      <c r="CV134" s="507">
        <f t="shared" si="9"/>
        <v>0</v>
      </c>
      <c r="CW134" s="531">
        <f t="shared" si="10"/>
        <v>0</v>
      </c>
      <c r="CX134" s="532">
        <f t="shared" si="11"/>
        <v>0</v>
      </c>
      <c r="CY134" s="157">
        <f t="shared" si="8"/>
        <v>0</v>
      </c>
    </row>
    <row r="135" spans="1:103">
      <c r="A135" s="536" t="s">
        <v>476</v>
      </c>
      <c r="B135" s="152" t="str">
        <f>IFERROR(VLOOKUP(PArticipationFevrier1[[#This Row],[Référence]],ListeÉtudiants1[],18,FALSE),"")</f>
        <v>TRIPET AMANDINE</v>
      </c>
      <c r="AF135" s="19"/>
      <c r="AG135" s="478"/>
      <c r="AH135" s="439">
        <f>COUNTIF(PArticipationFevrier1[[#This Row],[1]:[30]],Code1)</f>
        <v>0</v>
      </c>
      <c r="AI135" s="474">
        <f>COUNTIF(PArticipationFevrier1[[#This Row],[1]:[30]],code22)</f>
        <v>0</v>
      </c>
      <c r="AJ135" s="439">
        <f>COUNTIF(PArticipationFevrier1[[#This Row],[1]:[30]],Code2)</f>
        <v>0</v>
      </c>
      <c r="AK135" s="439">
        <f>COUNTIF(PArticipationFevrier1[[#This Row],[1]:[30]],Code3)</f>
        <v>0</v>
      </c>
      <c r="AL135" s="439">
        <f>COUNTIF(PArticipationFevrier1[[#This Row],[1]:[30]],Code4)</f>
        <v>0</v>
      </c>
      <c r="AM135" s="474">
        <f>COUNTIF(PArticipationFevrier1[[#This Row],[1]:[30]],Code5)</f>
        <v>0</v>
      </c>
      <c r="AN135" s="474"/>
      <c r="AO135" s="474">
        <f>COUNTIF(PArticipationFevrier1[[#This Row],[1]:[30]],Code6)</f>
        <v>0</v>
      </c>
      <c r="AP135" s="474">
        <f>COUNTIF(PArticipationFevrier1[[#This Row],[1]:[30]],Code7)</f>
        <v>0</v>
      </c>
      <c r="AQ135" s="474">
        <f>COUNTIF(PArticipationFevrier1[[#This Row],[1]:[30]],Code8)</f>
        <v>0</v>
      </c>
      <c r="AR135" s="474">
        <f>COUNTIF(PArticipationFevrier1[[#This Row],[1]:[30]],Code9)</f>
        <v>0</v>
      </c>
      <c r="AS135" s="474">
        <f>COUNTIF(PArticipationFevrier1[[#This Row],[1]:[30]],Code10)</f>
        <v>0</v>
      </c>
      <c r="AT135" s="474">
        <f>COUNTIF(PArticipationFevrier1[[#This Row],[1]:[30]],Code11)</f>
        <v>0</v>
      </c>
      <c r="AU135" s="474">
        <f>COUNTIF(PArticipationFevrier1[[#This Row],[1]:[30]],Code12)</f>
        <v>0</v>
      </c>
      <c r="AV135" s="474">
        <f>COUNTIF(PArticipationFevrier1[[#This Row],[1]:[30]],Code13)</f>
        <v>0</v>
      </c>
      <c r="AW135" s="474">
        <f>COUNTIF(PArticipationFevrier1[[#This Row],[1]:[30]],Code14)</f>
        <v>0</v>
      </c>
      <c r="AX135" s="474">
        <f>COUNTIF(PArticipationFevrier1[[#This Row],[1]:[30]],Code15)</f>
        <v>0</v>
      </c>
      <c r="AY135" s="474">
        <f>COUNTIF(PArticipationFevrier1[[#This Row],[1]:[30]],Code16)</f>
        <v>0</v>
      </c>
      <c r="AZ135" s="474">
        <f>COUNTIF(PArticipationFevrier1[[#This Row],[1]:[30]],Code17)</f>
        <v>0</v>
      </c>
      <c r="BA135" s="474">
        <f>COUNTIF(PArticipationFevrier1[[#This Row],[1]:[30]],Code26)</f>
        <v>0</v>
      </c>
      <c r="BB135" s="474">
        <f>COUNTIF(PArticipationFevrier1[[#This Row],[1]:[30]],Code25)</f>
        <v>0</v>
      </c>
      <c r="BC135" s="474">
        <f>COUNTIF(PArticipationFevrier1[[#This Row],[1]:[30]],Code27)</f>
        <v>0</v>
      </c>
      <c r="BD135" s="474">
        <f>COUNTIF(PArticipationFevrier1[[#This Row],[1]:[30]],Code28)</f>
        <v>0</v>
      </c>
      <c r="BE135" s="474">
        <f>COUNTIF(PArticipationFevrier1[[#This Row],[1]:[30]],code30)</f>
        <v>0</v>
      </c>
      <c r="BF135" s="474">
        <f>COUNTIF(PArticipationFevrier1[[#This Row],[1]:[30]],Code31)</f>
        <v>0</v>
      </c>
      <c r="BG135" s="474">
        <f>COUNTIF(PArticipationFevrier1[[#This Row],[1]:[30]],code21)</f>
        <v>0</v>
      </c>
      <c r="BH135" s="474">
        <f>COUNTIF(PArticipationFevrier1[[#This Row],[1]:[30]],Code24)</f>
        <v>0</v>
      </c>
      <c r="BI135" s="474">
        <f>COUNTIF(PArticipationFevrier1[[#This Row],[1]:[30]],code18)</f>
        <v>0</v>
      </c>
      <c r="BJ135" s="474">
        <f>COUNTIF(PArticipationFevrier1[[#This Row],[1]:[30]],code19)</f>
        <v>0</v>
      </c>
      <c r="BK135" s="474">
        <f>COUNTIF(PArticipationFevrier1[[#This Row],[1]:[30]],code20)</f>
        <v>0</v>
      </c>
      <c r="BL135" s="476">
        <f>COUNTIF(PArticipationFevrier1[[#This Row],[1]:[30]],code29)</f>
        <v>0</v>
      </c>
      <c r="BM135" s="472"/>
      <c r="BN135" s="472"/>
      <c r="BO135" s="472"/>
      <c r="BP135" s="472"/>
      <c r="BQ135" s="472"/>
      <c r="BR135" s="472"/>
      <c r="BS135" s="472"/>
      <c r="BT135" s="472"/>
      <c r="BU135" s="472"/>
      <c r="BV135" s="472"/>
      <c r="BW135" s="472"/>
      <c r="BX135" s="472"/>
      <c r="BY135" s="472"/>
      <c r="BZ135" s="472"/>
      <c r="CA135" s="472"/>
      <c r="CB135" s="472"/>
      <c r="CC135" s="472"/>
      <c r="CD135" s="472"/>
      <c r="CE135" s="472"/>
      <c r="CF135" s="472"/>
      <c r="CG135" s="472"/>
      <c r="CH135" s="472"/>
      <c r="CI135" s="472"/>
      <c r="CJ135" s="472"/>
      <c r="CK135" s="472"/>
      <c r="CL135" s="472"/>
      <c r="CM135" s="472"/>
      <c r="CN135" s="472"/>
      <c r="CO135" s="472"/>
      <c r="CP135" s="472"/>
      <c r="CQ135" s="472"/>
      <c r="CR135" s="472"/>
      <c r="CS135" s="472"/>
      <c r="CT135" s="472"/>
      <c r="CU135" s="300"/>
      <c r="CV135" s="507">
        <f t="shared" si="9"/>
        <v>0</v>
      </c>
      <c r="CW135" s="531">
        <f t="shared" si="10"/>
        <v>0</v>
      </c>
      <c r="CX135" s="532">
        <f t="shared" si="11"/>
        <v>0</v>
      </c>
      <c r="CY135" s="157">
        <f t="shared" si="8"/>
        <v>0</v>
      </c>
    </row>
    <row r="136" spans="1:103">
      <c r="A136" s="510" t="s">
        <v>477</v>
      </c>
      <c r="B136" s="152" t="str">
        <f>IFERROR(VLOOKUP(PArticipationFevrier1[[#This Row],[Référence]],ListeÉtudiants1[],18,FALSE),"")</f>
        <v>UGOLIN MARIE-ROSE</v>
      </c>
      <c r="G136" t="s">
        <v>644</v>
      </c>
      <c r="AF136" s="19"/>
      <c r="AG136" s="478"/>
      <c r="AH136" s="439">
        <f>COUNTIF(PArticipationFevrier1[[#This Row],[1]:[30]],Code1)</f>
        <v>0</v>
      </c>
      <c r="AI136" s="474">
        <f>COUNTIF(PArticipationFevrier1[[#This Row],[1]:[30]],code22)</f>
        <v>0</v>
      </c>
      <c r="AJ136" s="439">
        <f>COUNTIF(PArticipationFevrier1[[#This Row],[1]:[30]],Code2)</f>
        <v>0</v>
      </c>
      <c r="AK136" s="439">
        <f>COUNTIF(PArticipationFevrier1[[#This Row],[1]:[30]],Code3)</f>
        <v>0</v>
      </c>
      <c r="AL136" s="439">
        <f>COUNTIF(PArticipationFevrier1[[#This Row],[1]:[30]],Code4)</f>
        <v>0</v>
      </c>
      <c r="AM136" s="474">
        <f>COUNTIF(PArticipationFevrier1[[#This Row],[1]:[30]],Code5)</f>
        <v>0</v>
      </c>
      <c r="AN136" s="474"/>
      <c r="AO136" s="474">
        <f>COUNTIF(PArticipationFevrier1[[#This Row],[1]:[30]],Code6)</f>
        <v>0</v>
      </c>
      <c r="AP136" s="474">
        <f>COUNTIF(PArticipationFevrier1[[#This Row],[1]:[30]],Code7)</f>
        <v>0</v>
      </c>
      <c r="AQ136" s="474">
        <f>COUNTIF(PArticipationFevrier1[[#This Row],[1]:[30]],Code8)</f>
        <v>0</v>
      </c>
      <c r="AR136" s="474">
        <f>COUNTIF(PArticipationFevrier1[[#This Row],[1]:[30]],Code9)</f>
        <v>0</v>
      </c>
      <c r="AS136" s="474">
        <f>COUNTIF(PArticipationFevrier1[[#This Row],[1]:[30]],Code10)</f>
        <v>0</v>
      </c>
      <c r="AT136" s="474">
        <f>COUNTIF(PArticipationFevrier1[[#This Row],[1]:[30]],Code11)</f>
        <v>0</v>
      </c>
      <c r="AU136" s="474">
        <f>COUNTIF(PArticipationFevrier1[[#This Row],[1]:[30]],Code12)</f>
        <v>0</v>
      </c>
      <c r="AV136" s="474">
        <f>COUNTIF(PArticipationFevrier1[[#This Row],[1]:[30]],Code13)</f>
        <v>0</v>
      </c>
      <c r="AW136" s="474">
        <f>COUNTIF(PArticipationFevrier1[[#This Row],[1]:[30]],Code14)</f>
        <v>0</v>
      </c>
      <c r="AX136" s="474">
        <f>COUNTIF(PArticipationFevrier1[[#This Row],[1]:[30]],Code15)</f>
        <v>0</v>
      </c>
      <c r="AY136" s="474">
        <f>COUNTIF(PArticipationFevrier1[[#This Row],[1]:[30]],Code16)</f>
        <v>0</v>
      </c>
      <c r="AZ136" s="474">
        <f>COUNTIF(PArticipationFevrier1[[#This Row],[1]:[30]],Code17)</f>
        <v>0</v>
      </c>
      <c r="BA136" s="474">
        <f>COUNTIF(PArticipationFevrier1[[#This Row],[1]:[30]],Code26)</f>
        <v>0</v>
      </c>
      <c r="BB136" s="474">
        <f>COUNTIF(PArticipationFevrier1[[#This Row],[1]:[30]],Code25)</f>
        <v>0</v>
      </c>
      <c r="BC136" s="474">
        <f>COUNTIF(PArticipationFevrier1[[#This Row],[1]:[30]],Code27)</f>
        <v>0</v>
      </c>
      <c r="BD136" s="474">
        <f>COUNTIF(PArticipationFevrier1[[#This Row],[1]:[30]],Code28)</f>
        <v>0</v>
      </c>
      <c r="BE136" s="474">
        <f>COUNTIF(PArticipationFevrier1[[#This Row],[1]:[30]],code30)</f>
        <v>0</v>
      </c>
      <c r="BF136" s="474">
        <f>COUNTIF(PArticipationFevrier1[[#This Row],[1]:[30]],Code31)</f>
        <v>0</v>
      </c>
      <c r="BG136" s="474">
        <f>COUNTIF(PArticipationFevrier1[[#This Row],[1]:[30]],code21)</f>
        <v>0</v>
      </c>
      <c r="BH136" s="474">
        <f>COUNTIF(PArticipationFevrier1[[#This Row],[1]:[30]],Code24)</f>
        <v>0</v>
      </c>
      <c r="BI136" s="474">
        <f>COUNTIF(PArticipationFevrier1[[#This Row],[1]:[30]],code18)</f>
        <v>1</v>
      </c>
      <c r="BJ136" s="474">
        <f>COUNTIF(PArticipationFevrier1[[#This Row],[1]:[30]],code19)</f>
        <v>0</v>
      </c>
      <c r="BK136" s="474">
        <f>COUNTIF(PArticipationFevrier1[[#This Row],[1]:[30]],code20)</f>
        <v>0</v>
      </c>
      <c r="BL136" s="476">
        <f>COUNTIF(PArticipationFevrier1[[#This Row],[1]:[30]],code29)</f>
        <v>0</v>
      </c>
      <c r="BM136" s="472"/>
      <c r="BN136" s="472"/>
      <c r="BO136" s="472"/>
      <c r="BP136" s="472"/>
      <c r="BQ136" s="472"/>
      <c r="BR136" s="472"/>
      <c r="BS136" s="472"/>
      <c r="BT136" s="472"/>
      <c r="BU136" s="472"/>
      <c r="BV136" s="472"/>
      <c r="BW136" s="472"/>
      <c r="BX136" s="472"/>
      <c r="BY136" s="472"/>
      <c r="BZ136" s="472"/>
      <c r="CA136" s="472"/>
      <c r="CB136" s="472"/>
      <c r="CC136" s="472"/>
      <c r="CD136" s="472"/>
      <c r="CE136" s="472"/>
      <c r="CF136" s="472"/>
      <c r="CG136" s="472"/>
      <c r="CH136" s="472"/>
      <c r="CI136" s="472"/>
      <c r="CJ136" s="472"/>
      <c r="CK136" s="472"/>
      <c r="CL136" s="472"/>
      <c r="CM136" s="472"/>
      <c r="CN136" s="472"/>
      <c r="CO136" s="472"/>
      <c r="CP136" s="472"/>
      <c r="CQ136" s="472"/>
      <c r="CR136" s="472"/>
      <c r="CS136" s="472"/>
      <c r="CT136" s="472"/>
      <c r="CU136" s="300"/>
      <c r="CV136" s="507">
        <f t="shared" si="9"/>
        <v>0</v>
      </c>
      <c r="CW136" s="531">
        <f t="shared" si="10"/>
        <v>0</v>
      </c>
      <c r="CX136" s="532">
        <f t="shared" si="11"/>
        <v>0</v>
      </c>
      <c r="CY136" s="157">
        <f t="shared" si="8"/>
        <v>7</v>
      </c>
    </row>
    <row r="137" spans="1:103">
      <c r="A137" s="510" t="s">
        <v>478</v>
      </c>
      <c r="B137" s="152" t="str">
        <f>IFERROR(VLOOKUP(PArticipationFevrier1[[#This Row],[Référence]],ListeÉtudiants1[],18,FALSE),"")</f>
        <v>VERKEST LEA</v>
      </c>
      <c r="AF137" s="19"/>
      <c r="AG137" s="478"/>
      <c r="AH137" s="439">
        <f>COUNTIF(PArticipationFevrier1[[#This Row],[1]:[30]],Code1)</f>
        <v>0</v>
      </c>
      <c r="AI137" s="474">
        <f>COUNTIF(PArticipationFevrier1[[#This Row],[1]:[30]],code22)</f>
        <v>0</v>
      </c>
      <c r="AJ137" s="439">
        <f>COUNTIF(PArticipationFevrier1[[#This Row],[1]:[30]],Code2)</f>
        <v>0</v>
      </c>
      <c r="AK137" s="439">
        <f>COUNTIF(PArticipationFevrier1[[#This Row],[1]:[30]],Code3)</f>
        <v>0</v>
      </c>
      <c r="AL137" s="439">
        <f>COUNTIF(PArticipationFevrier1[[#This Row],[1]:[30]],Code4)</f>
        <v>0</v>
      </c>
      <c r="AM137" s="474">
        <f>COUNTIF(PArticipationFevrier1[[#This Row],[1]:[30]],Code5)</f>
        <v>0</v>
      </c>
      <c r="AN137" s="474"/>
      <c r="AO137" s="474">
        <f>COUNTIF(PArticipationFevrier1[[#This Row],[1]:[30]],Code6)</f>
        <v>0</v>
      </c>
      <c r="AP137" s="474">
        <f>COUNTIF(PArticipationFevrier1[[#This Row],[1]:[30]],Code7)</f>
        <v>0</v>
      </c>
      <c r="AQ137" s="474">
        <f>COUNTIF(PArticipationFevrier1[[#This Row],[1]:[30]],Code8)</f>
        <v>0</v>
      </c>
      <c r="AR137" s="474">
        <f>COUNTIF(PArticipationFevrier1[[#This Row],[1]:[30]],Code9)</f>
        <v>0</v>
      </c>
      <c r="AS137" s="474">
        <f>COUNTIF(PArticipationFevrier1[[#This Row],[1]:[30]],Code10)</f>
        <v>0</v>
      </c>
      <c r="AT137" s="474">
        <f>COUNTIF(PArticipationFevrier1[[#This Row],[1]:[30]],Code11)</f>
        <v>0</v>
      </c>
      <c r="AU137" s="474">
        <f>COUNTIF(PArticipationFevrier1[[#This Row],[1]:[30]],Code12)</f>
        <v>0</v>
      </c>
      <c r="AV137" s="474">
        <f>COUNTIF(PArticipationFevrier1[[#This Row],[1]:[30]],Code13)</f>
        <v>0</v>
      </c>
      <c r="AW137" s="474">
        <f>COUNTIF(PArticipationFevrier1[[#This Row],[1]:[30]],Code14)</f>
        <v>0</v>
      </c>
      <c r="AX137" s="474">
        <f>COUNTIF(PArticipationFevrier1[[#This Row],[1]:[30]],Code15)</f>
        <v>0</v>
      </c>
      <c r="AY137" s="474">
        <f>COUNTIF(PArticipationFevrier1[[#This Row],[1]:[30]],Code16)</f>
        <v>0</v>
      </c>
      <c r="AZ137" s="474">
        <f>COUNTIF(PArticipationFevrier1[[#This Row],[1]:[30]],Code17)</f>
        <v>0</v>
      </c>
      <c r="BA137" s="474">
        <f>COUNTIF(PArticipationFevrier1[[#This Row],[1]:[30]],Code26)</f>
        <v>0</v>
      </c>
      <c r="BB137" s="474">
        <f>COUNTIF(PArticipationFevrier1[[#This Row],[1]:[30]],Code25)</f>
        <v>0</v>
      </c>
      <c r="BC137" s="474">
        <f>COUNTIF(PArticipationFevrier1[[#This Row],[1]:[30]],Code27)</f>
        <v>0</v>
      </c>
      <c r="BD137" s="474">
        <f>COUNTIF(PArticipationFevrier1[[#This Row],[1]:[30]],Code28)</f>
        <v>0</v>
      </c>
      <c r="BE137" s="474">
        <f>COUNTIF(PArticipationFevrier1[[#This Row],[1]:[30]],code30)</f>
        <v>0</v>
      </c>
      <c r="BF137" s="474">
        <f>COUNTIF(PArticipationFevrier1[[#This Row],[1]:[30]],Code31)</f>
        <v>0</v>
      </c>
      <c r="BG137" s="474">
        <f>COUNTIF(PArticipationFevrier1[[#This Row],[1]:[30]],code21)</f>
        <v>0</v>
      </c>
      <c r="BH137" s="474">
        <f>COUNTIF(PArticipationFevrier1[[#This Row],[1]:[30]],Code24)</f>
        <v>0</v>
      </c>
      <c r="BI137" s="474">
        <f>COUNTIF(PArticipationFevrier1[[#This Row],[1]:[30]],code18)</f>
        <v>0</v>
      </c>
      <c r="BJ137" s="474">
        <f>COUNTIF(PArticipationFevrier1[[#This Row],[1]:[30]],code19)</f>
        <v>0</v>
      </c>
      <c r="BK137" s="474">
        <f>COUNTIF(PArticipationFevrier1[[#This Row],[1]:[30]],code20)</f>
        <v>0</v>
      </c>
      <c r="BL137" s="476">
        <f>COUNTIF(PArticipationFevrier1[[#This Row],[1]:[30]],code29)</f>
        <v>0</v>
      </c>
      <c r="BM137" s="472"/>
      <c r="BN137" s="472"/>
      <c r="BO137" s="472"/>
      <c r="BP137" s="472"/>
      <c r="BQ137" s="472"/>
      <c r="BR137" s="472"/>
      <c r="BS137" s="472"/>
      <c r="BT137" s="472"/>
      <c r="BU137" s="472"/>
      <c r="BV137" s="472"/>
      <c r="BW137" s="472"/>
      <c r="BX137" s="472"/>
      <c r="BY137" s="472"/>
      <c r="BZ137" s="472"/>
      <c r="CA137" s="472"/>
      <c r="CB137" s="472"/>
      <c r="CC137" s="472"/>
      <c r="CD137" s="472"/>
      <c r="CE137" s="472"/>
      <c r="CF137" s="472"/>
      <c r="CG137" s="472"/>
      <c r="CH137" s="472"/>
      <c r="CI137" s="472"/>
      <c r="CJ137" s="472"/>
      <c r="CK137" s="472"/>
      <c r="CL137" s="472"/>
      <c r="CM137" s="472"/>
      <c r="CN137" s="472"/>
      <c r="CO137" s="472"/>
      <c r="CP137" s="472"/>
      <c r="CQ137" s="472"/>
      <c r="CR137" s="472"/>
      <c r="CS137" s="472"/>
      <c r="CT137" s="472"/>
      <c r="CU137" s="300"/>
      <c r="CV137" s="507">
        <f t="shared" si="9"/>
        <v>0</v>
      </c>
      <c r="CW137" s="531">
        <f t="shared" si="10"/>
        <v>0</v>
      </c>
      <c r="CX137" s="532">
        <f t="shared" si="11"/>
        <v>0</v>
      </c>
      <c r="CY137" s="157">
        <f t="shared" si="8"/>
        <v>0</v>
      </c>
    </row>
    <row r="138" spans="1:103">
      <c r="A138" s="534" t="s">
        <v>479</v>
      </c>
      <c r="B138" s="152" t="str">
        <f>IFERROR(VLOOKUP(PArticipationFevrier1[[#This Row],[Référence]],ListeÉtudiants1[],18,FALSE),"")</f>
        <v>VIRIN AMANDINE</v>
      </c>
      <c r="AF138" s="19"/>
      <c r="AG138" s="478"/>
      <c r="AH138" s="439">
        <f>COUNTIF(PArticipationFevrier1[[#This Row],[1]:[30]],Code1)</f>
        <v>0</v>
      </c>
      <c r="AI138" s="474">
        <f>COUNTIF(PArticipationFevrier1[[#This Row],[1]:[30]],code22)</f>
        <v>0</v>
      </c>
      <c r="AJ138" s="439">
        <f>COUNTIF(PArticipationFevrier1[[#This Row],[1]:[30]],Code2)</f>
        <v>0</v>
      </c>
      <c r="AK138" s="439">
        <f>COUNTIF(PArticipationFevrier1[[#This Row],[1]:[30]],Code3)</f>
        <v>0</v>
      </c>
      <c r="AL138" s="439">
        <f>COUNTIF(PArticipationFevrier1[[#This Row],[1]:[30]],Code4)</f>
        <v>0</v>
      </c>
      <c r="AM138" s="474">
        <f>COUNTIF(PArticipationFevrier1[[#This Row],[1]:[30]],Code5)</f>
        <v>0</v>
      </c>
      <c r="AN138" s="474"/>
      <c r="AO138" s="474">
        <f>COUNTIF(PArticipationFevrier1[[#This Row],[1]:[30]],Code6)</f>
        <v>0</v>
      </c>
      <c r="AP138" s="474">
        <f>COUNTIF(PArticipationFevrier1[[#This Row],[1]:[30]],Code7)</f>
        <v>0</v>
      </c>
      <c r="AQ138" s="474">
        <f>COUNTIF(PArticipationFevrier1[[#This Row],[1]:[30]],Code8)</f>
        <v>0</v>
      </c>
      <c r="AR138" s="474">
        <f>COUNTIF(PArticipationFevrier1[[#This Row],[1]:[30]],Code9)</f>
        <v>0</v>
      </c>
      <c r="AS138" s="474">
        <f>COUNTIF(PArticipationFevrier1[[#This Row],[1]:[30]],Code10)</f>
        <v>0</v>
      </c>
      <c r="AT138" s="474">
        <f>COUNTIF(PArticipationFevrier1[[#This Row],[1]:[30]],Code11)</f>
        <v>0</v>
      </c>
      <c r="AU138" s="474">
        <f>COUNTIF(PArticipationFevrier1[[#This Row],[1]:[30]],Code12)</f>
        <v>0</v>
      </c>
      <c r="AV138" s="474">
        <f>COUNTIF(PArticipationFevrier1[[#This Row],[1]:[30]],Code13)</f>
        <v>0</v>
      </c>
      <c r="AW138" s="474">
        <f>COUNTIF(PArticipationFevrier1[[#This Row],[1]:[30]],Code14)</f>
        <v>0</v>
      </c>
      <c r="AX138" s="474">
        <f>COUNTIF(PArticipationFevrier1[[#This Row],[1]:[30]],Code15)</f>
        <v>0</v>
      </c>
      <c r="AY138" s="474">
        <f>COUNTIF(PArticipationFevrier1[[#This Row],[1]:[30]],Code16)</f>
        <v>0</v>
      </c>
      <c r="AZ138" s="474">
        <f>COUNTIF(PArticipationFevrier1[[#This Row],[1]:[30]],Code17)</f>
        <v>0</v>
      </c>
      <c r="BA138" s="474">
        <f>COUNTIF(PArticipationFevrier1[[#This Row],[1]:[30]],Code26)</f>
        <v>0</v>
      </c>
      <c r="BB138" s="474">
        <f>COUNTIF(PArticipationFevrier1[[#This Row],[1]:[30]],Code25)</f>
        <v>0</v>
      </c>
      <c r="BC138" s="474">
        <f>COUNTIF(PArticipationFevrier1[[#This Row],[1]:[30]],Code27)</f>
        <v>0</v>
      </c>
      <c r="BD138" s="474">
        <f>COUNTIF(PArticipationFevrier1[[#This Row],[1]:[30]],Code28)</f>
        <v>0</v>
      </c>
      <c r="BE138" s="474">
        <f>COUNTIF(PArticipationFevrier1[[#This Row],[1]:[30]],code30)</f>
        <v>0</v>
      </c>
      <c r="BF138" s="474">
        <f>COUNTIF(PArticipationFevrier1[[#This Row],[1]:[30]],Code31)</f>
        <v>0</v>
      </c>
      <c r="BG138" s="474">
        <f>COUNTIF(PArticipationFevrier1[[#This Row],[1]:[30]],code21)</f>
        <v>0</v>
      </c>
      <c r="BH138" s="474">
        <f>COUNTIF(PArticipationFevrier1[[#This Row],[1]:[30]],Code24)</f>
        <v>0</v>
      </c>
      <c r="BI138" s="474">
        <f>COUNTIF(PArticipationFevrier1[[#This Row],[1]:[30]],code18)</f>
        <v>0</v>
      </c>
      <c r="BJ138" s="474">
        <f>COUNTIF(PArticipationFevrier1[[#This Row],[1]:[30]],code19)</f>
        <v>0</v>
      </c>
      <c r="BK138" s="474">
        <f>COUNTIF(PArticipationFevrier1[[#This Row],[1]:[30]],code20)</f>
        <v>0</v>
      </c>
      <c r="BL138" s="476">
        <f>COUNTIF(PArticipationFevrier1[[#This Row],[1]:[30]],code29)</f>
        <v>0</v>
      </c>
      <c r="BM138" s="472"/>
      <c r="BN138" s="472"/>
      <c r="BO138" s="472"/>
      <c r="BP138" s="472"/>
      <c r="BQ138" s="472"/>
      <c r="BR138" s="472"/>
      <c r="BS138" s="472"/>
      <c r="BT138" s="472"/>
      <c r="BU138" s="472"/>
      <c r="BV138" s="472"/>
      <c r="BW138" s="472"/>
      <c r="BX138" s="472"/>
      <c r="BY138" s="472"/>
      <c r="BZ138" s="472"/>
      <c r="CA138" s="472"/>
      <c r="CB138" s="472"/>
      <c r="CC138" s="472"/>
      <c r="CD138" s="472"/>
      <c r="CE138" s="472"/>
      <c r="CF138" s="472"/>
      <c r="CG138" s="472"/>
      <c r="CH138" s="472"/>
      <c r="CI138" s="472"/>
      <c r="CJ138" s="472"/>
      <c r="CK138" s="472"/>
      <c r="CL138" s="472"/>
      <c r="CM138" s="472"/>
      <c r="CN138" s="472"/>
      <c r="CO138" s="472"/>
      <c r="CP138" s="472"/>
      <c r="CQ138" s="472"/>
      <c r="CR138" s="472"/>
      <c r="CS138" s="472"/>
      <c r="CT138" s="472"/>
      <c r="CU138" s="300"/>
      <c r="CV138" s="507">
        <f t="shared" si="9"/>
        <v>0</v>
      </c>
      <c r="CW138" s="531">
        <f t="shared" si="10"/>
        <v>0</v>
      </c>
      <c r="CX138" s="532">
        <f t="shared" si="11"/>
        <v>0</v>
      </c>
      <c r="CY138" s="157">
        <f t="shared" si="8"/>
        <v>0</v>
      </c>
    </row>
    <row r="139" spans="1:103">
      <c r="A139" s="567" t="s">
        <v>578</v>
      </c>
      <c r="B139" s="152" t="str">
        <f>IFERROR(VLOOKUP(PArticipationFevrier1[[#This Row],[Référence]],ListeÉtudiants1[],18,FALSE),"")</f>
        <v>ASSOUMANI ASMINA</v>
      </c>
      <c r="AF139" s="19"/>
      <c r="AG139" s="478"/>
      <c r="AH139" s="439">
        <f>COUNTIF(PArticipationFevrier1[[#This Row],[1]:[30]],Code1)</f>
        <v>0</v>
      </c>
      <c r="AI139" s="474">
        <f>COUNTIF(PArticipationFevrier1[[#This Row],[1]:[30]],code22)</f>
        <v>0</v>
      </c>
      <c r="AJ139" s="439">
        <f>COUNTIF(PArticipationFevrier1[[#This Row],[1]:[30]],Code2)</f>
        <v>0</v>
      </c>
      <c r="AK139" s="439">
        <f>COUNTIF(PArticipationFevrier1[[#This Row],[1]:[30]],Code3)</f>
        <v>0</v>
      </c>
      <c r="AL139" s="439">
        <f>COUNTIF(PArticipationFevrier1[[#This Row],[1]:[30]],Code4)</f>
        <v>0</v>
      </c>
      <c r="AM139" s="474">
        <f>COUNTIF(PArticipationFevrier1[[#This Row],[1]:[30]],Code5)</f>
        <v>0</v>
      </c>
      <c r="AN139" s="474"/>
      <c r="AO139" s="474">
        <f>COUNTIF(PArticipationFevrier1[[#This Row],[1]:[30]],Code6)</f>
        <v>0</v>
      </c>
      <c r="AP139" s="474">
        <f>COUNTIF(PArticipationFevrier1[[#This Row],[1]:[30]],Code7)</f>
        <v>0</v>
      </c>
      <c r="AQ139" s="474">
        <f>COUNTIF(PArticipationFevrier1[[#This Row],[1]:[30]],Code8)</f>
        <v>0</v>
      </c>
      <c r="AR139" s="474">
        <f>COUNTIF(PArticipationFevrier1[[#This Row],[1]:[30]],Code9)</f>
        <v>0</v>
      </c>
      <c r="AS139" s="474">
        <f>COUNTIF(PArticipationFevrier1[[#This Row],[1]:[30]],Code10)</f>
        <v>0</v>
      </c>
      <c r="AT139" s="474">
        <f>COUNTIF(PArticipationFevrier1[[#This Row],[1]:[30]],Code11)</f>
        <v>0</v>
      </c>
      <c r="AU139" s="474">
        <f>COUNTIF(PArticipationFevrier1[[#This Row],[1]:[30]],Code12)</f>
        <v>0</v>
      </c>
      <c r="AV139" s="474">
        <f>COUNTIF(PArticipationFevrier1[[#This Row],[1]:[30]],Code13)</f>
        <v>0</v>
      </c>
      <c r="AW139" s="474">
        <f>COUNTIF(PArticipationFevrier1[[#This Row],[1]:[30]],Code14)</f>
        <v>0</v>
      </c>
      <c r="AX139" s="474">
        <f>COUNTIF(PArticipationFevrier1[[#This Row],[1]:[30]],Code15)</f>
        <v>0</v>
      </c>
      <c r="AY139" s="474">
        <f>COUNTIF(PArticipationFevrier1[[#This Row],[1]:[30]],Code16)</f>
        <v>0</v>
      </c>
      <c r="AZ139" s="474">
        <f>COUNTIF(PArticipationFevrier1[[#This Row],[1]:[30]],Code17)</f>
        <v>0</v>
      </c>
      <c r="BA139" s="474">
        <f>COUNTIF(PArticipationFevrier1[[#This Row],[1]:[30]],Code26)</f>
        <v>0</v>
      </c>
      <c r="BB139" s="474">
        <f>COUNTIF(PArticipationFevrier1[[#This Row],[1]:[30]],Code25)</f>
        <v>0</v>
      </c>
      <c r="BC139" s="474">
        <f>COUNTIF(PArticipationFevrier1[[#This Row],[1]:[30]],Code27)</f>
        <v>0</v>
      </c>
      <c r="BD139" s="474">
        <f>COUNTIF(PArticipationFevrier1[[#This Row],[1]:[30]],Code28)</f>
        <v>0</v>
      </c>
      <c r="BE139" s="474">
        <f>COUNTIF(PArticipationFevrier1[[#This Row],[1]:[30]],code30)</f>
        <v>0</v>
      </c>
      <c r="BF139" s="474">
        <f>COUNTIF(PArticipationFevrier1[[#This Row],[1]:[30]],Code31)</f>
        <v>0</v>
      </c>
      <c r="BG139" s="474">
        <f>COUNTIF(PArticipationFevrier1[[#This Row],[1]:[30]],code21)</f>
        <v>0</v>
      </c>
      <c r="BH139" s="474">
        <f>COUNTIF(PArticipationFevrier1[[#This Row],[1]:[30]],Code24)</f>
        <v>0</v>
      </c>
      <c r="BI139" s="474">
        <f>COUNTIF(PArticipationFevrier1[[#This Row],[1]:[30]],code18)</f>
        <v>0</v>
      </c>
      <c r="BJ139" s="474">
        <f>COUNTIF(PArticipationFevrier1[[#This Row],[1]:[30]],code19)</f>
        <v>0</v>
      </c>
      <c r="BK139" s="474">
        <f>COUNTIF(PArticipationFevrier1[[#This Row],[1]:[30]],code20)</f>
        <v>0</v>
      </c>
      <c r="BL139" s="476">
        <f>COUNTIF(PArticipationFevrier1[[#This Row],[1]:[30]],code29)</f>
        <v>0</v>
      </c>
      <c r="BM139" s="472"/>
      <c r="BN139" s="472"/>
      <c r="BO139" s="472"/>
      <c r="BP139" s="472"/>
      <c r="BQ139" s="472"/>
      <c r="BR139" s="472"/>
      <c r="BS139" s="472"/>
      <c r="BT139" s="472"/>
      <c r="BU139" s="472"/>
      <c r="BV139" s="472"/>
      <c r="BW139" s="472"/>
      <c r="BX139" s="472"/>
      <c r="BY139" s="472"/>
      <c r="BZ139" s="472"/>
      <c r="CA139" s="472"/>
      <c r="CB139" s="472"/>
      <c r="CC139" s="472"/>
      <c r="CD139" s="472"/>
      <c r="CE139" s="472"/>
      <c r="CF139" s="472"/>
      <c r="CG139" s="472"/>
      <c r="CH139" s="472"/>
      <c r="CI139" s="472"/>
      <c r="CJ139" s="472"/>
      <c r="CK139" s="472"/>
      <c r="CL139" s="472"/>
      <c r="CM139" s="472"/>
      <c r="CN139" s="472"/>
      <c r="CO139" s="472"/>
      <c r="CP139" s="472"/>
      <c r="CQ139" s="472"/>
      <c r="CR139" s="472"/>
      <c r="CS139" s="472"/>
      <c r="CT139" s="472"/>
      <c r="CU139" s="300"/>
      <c r="CV139" s="507">
        <f t="shared" si="9"/>
        <v>0</v>
      </c>
      <c r="CW139" s="531">
        <f t="shared" si="10"/>
        <v>0</v>
      </c>
      <c r="CX139" s="532">
        <f t="shared" si="11"/>
        <v>0</v>
      </c>
      <c r="CY139" s="157">
        <f t="shared" si="8"/>
        <v>0</v>
      </c>
    </row>
    <row r="140" spans="1:103">
      <c r="A140" s="567" t="s">
        <v>579</v>
      </c>
      <c r="B140" s="152" t="str">
        <f>IFERROR(VLOOKUP(PArticipationFevrier1[[#This Row],[Référence]],ListeÉtudiants1[],18,FALSE),"")</f>
        <v>ATSE KIMBERLEY</v>
      </c>
      <c r="AF140" s="19"/>
      <c r="AG140" s="478"/>
      <c r="AH140" s="439">
        <f>COUNTIF(PArticipationFevrier1[[#This Row],[1]:[30]],Code1)</f>
        <v>0</v>
      </c>
      <c r="AI140" s="474">
        <f>COUNTIF(PArticipationFevrier1[[#This Row],[1]:[30]],code22)</f>
        <v>0</v>
      </c>
      <c r="AJ140" s="439">
        <f>COUNTIF(PArticipationFevrier1[[#This Row],[1]:[30]],Code2)</f>
        <v>0</v>
      </c>
      <c r="AK140" s="439">
        <f>COUNTIF(PArticipationFevrier1[[#This Row],[1]:[30]],Code3)</f>
        <v>0</v>
      </c>
      <c r="AL140" s="439">
        <f>COUNTIF(PArticipationFevrier1[[#This Row],[1]:[30]],Code4)</f>
        <v>0</v>
      </c>
      <c r="AM140" s="474">
        <f>COUNTIF(PArticipationFevrier1[[#This Row],[1]:[30]],Code5)</f>
        <v>0</v>
      </c>
      <c r="AN140" s="474"/>
      <c r="AO140" s="474">
        <f>COUNTIF(PArticipationFevrier1[[#This Row],[1]:[30]],Code6)</f>
        <v>0</v>
      </c>
      <c r="AP140" s="474">
        <f>COUNTIF(PArticipationFevrier1[[#This Row],[1]:[30]],Code7)</f>
        <v>0</v>
      </c>
      <c r="AQ140" s="474">
        <f>COUNTIF(PArticipationFevrier1[[#This Row],[1]:[30]],Code8)</f>
        <v>0</v>
      </c>
      <c r="AR140" s="474">
        <f>COUNTIF(PArticipationFevrier1[[#This Row],[1]:[30]],Code9)</f>
        <v>0</v>
      </c>
      <c r="AS140" s="474">
        <f>COUNTIF(PArticipationFevrier1[[#This Row],[1]:[30]],Code10)</f>
        <v>0</v>
      </c>
      <c r="AT140" s="474">
        <f>COUNTIF(PArticipationFevrier1[[#This Row],[1]:[30]],Code11)</f>
        <v>0</v>
      </c>
      <c r="AU140" s="474">
        <f>COUNTIF(PArticipationFevrier1[[#This Row],[1]:[30]],Code12)</f>
        <v>0</v>
      </c>
      <c r="AV140" s="474">
        <f>COUNTIF(PArticipationFevrier1[[#This Row],[1]:[30]],Code13)</f>
        <v>0</v>
      </c>
      <c r="AW140" s="474">
        <f>COUNTIF(PArticipationFevrier1[[#This Row],[1]:[30]],Code14)</f>
        <v>0</v>
      </c>
      <c r="AX140" s="474">
        <f>COUNTIF(PArticipationFevrier1[[#This Row],[1]:[30]],Code15)</f>
        <v>0</v>
      </c>
      <c r="AY140" s="474">
        <f>COUNTIF(PArticipationFevrier1[[#This Row],[1]:[30]],Code16)</f>
        <v>0</v>
      </c>
      <c r="AZ140" s="474">
        <f>COUNTIF(PArticipationFevrier1[[#This Row],[1]:[30]],Code17)</f>
        <v>0</v>
      </c>
      <c r="BA140" s="474">
        <f>COUNTIF(PArticipationFevrier1[[#This Row],[1]:[30]],Code26)</f>
        <v>0</v>
      </c>
      <c r="BB140" s="474">
        <f>COUNTIF(PArticipationFevrier1[[#This Row],[1]:[30]],Code25)</f>
        <v>0</v>
      </c>
      <c r="BC140" s="474">
        <f>COUNTIF(PArticipationFevrier1[[#This Row],[1]:[30]],Code27)</f>
        <v>0</v>
      </c>
      <c r="BD140" s="474">
        <f>COUNTIF(PArticipationFevrier1[[#This Row],[1]:[30]],Code28)</f>
        <v>0</v>
      </c>
      <c r="BE140" s="474">
        <f>COUNTIF(PArticipationFevrier1[[#This Row],[1]:[30]],code30)</f>
        <v>0</v>
      </c>
      <c r="BF140" s="474">
        <f>COUNTIF(PArticipationFevrier1[[#This Row],[1]:[30]],Code31)</f>
        <v>0</v>
      </c>
      <c r="BG140" s="474">
        <f>COUNTIF(PArticipationFevrier1[[#This Row],[1]:[30]],code21)</f>
        <v>0</v>
      </c>
      <c r="BH140" s="474">
        <f>COUNTIF(PArticipationFevrier1[[#This Row],[1]:[30]],Code24)</f>
        <v>0</v>
      </c>
      <c r="BI140" s="474">
        <f>COUNTIF(PArticipationFevrier1[[#This Row],[1]:[30]],code18)</f>
        <v>0</v>
      </c>
      <c r="BJ140" s="474">
        <f>COUNTIF(PArticipationFevrier1[[#This Row],[1]:[30]],code19)</f>
        <v>0</v>
      </c>
      <c r="BK140" s="474">
        <f>COUNTIF(PArticipationFevrier1[[#This Row],[1]:[30]],code20)</f>
        <v>0</v>
      </c>
      <c r="BL140" s="476">
        <f>COUNTIF(PArticipationFevrier1[[#This Row],[1]:[30]],code29)</f>
        <v>0</v>
      </c>
      <c r="BM140" s="472"/>
      <c r="BN140" s="472"/>
      <c r="BO140" s="472"/>
      <c r="BP140" s="472"/>
      <c r="BQ140" s="472"/>
      <c r="BR140" s="472"/>
      <c r="BS140" s="472"/>
      <c r="BT140" s="472"/>
      <c r="BU140" s="472"/>
      <c r="BV140" s="472"/>
      <c r="BW140" s="472"/>
      <c r="BX140" s="472"/>
      <c r="BY140" s="472"/>
      <c r="BZ140" s="472"/>
      <c r="CA140" s="472"/>
      <c r="CB140" s="472"/>
      <c r="CC140" s="472"/>
      <c r="CD140" s="472"/>
      <c r="CE140" s="472"/>
      <c r="CF140" s="472"/>
      <c r="CG140" s="472"/>
      <c r="CH140" s="472"/>
      <c r="CI140" s="472"/>
      <c r="CJ140" s="472"/>
      <c r="CK140" s="472"/>
      <c r="CL140" s="472"/>
      <c r="CM140" s="472"/>
      <c r="CN140" s="472"/>
      <c r="CO140" s="472"/>
      <c r="CP140" s="472"/>
      <c r="CQ140" s="472"/>
      <c r="CR140" s="472"/>
      <c r="CS140" s="472"/>
      <c r="CT140" s="472"/>
      <c r="CU140" s="300"/>
      <c r="CV140" s="507">
        <f t="shared" si="9"/>
        <v>0</v>
      </c>
      <c r="CW140" s="531">
        <f t="shared" si="10"/>
        <v>0</v>
      </c>
      <c r="CX140" s="532">
        <f t="shared" si="11"/>
        <v>0</v>
      </c>
      <c r="CY140" s="157">
        <f t="shared" si="8"/>
        <v>0</v>
      </c>
    </row>
    <row r="141" spans="1:103">
      <c r="A141" s="567" t="s">
        <v>582</v>
      </c>
      <c r="B141" s="152" t="str">
        <f>IFERROR(VLOOKUP(PArticipationFevrier1[[#This Row],[Référence]],ListeÉtudiants1[],18,FALSE),"")</f>
        <v>BOLINGO  Malise</v>
      </c>
      <c r="AF141" s="19"/>
      <c r="AG141" s="478"/>
      <c r="AH141" s="439">
        <f>COUNTIF(PArticipationFevrier1[[#This Row],[1]:[30]],Code1)</f>
        <v>0</v>
      </c>
      <c r="AI141" s="474">
        <f>COUNTIF(PArticipationFevrier1[[#This Row],[1]:[30]],code22)</f>
        <v>0</v>
      </c>
      <c r="AJ141" s="439">
        <f>COUNTIF(PArticipationFevrier1[[#This Row],[1]:[30]],Code2)</f>
        <v>0</v>
      </c>
      <c r="AK141" s="439">
        <f>COUNTIF(PArticipationFevrier1[[#This Row],[1]:[30]],Code3)</f>
        <v>0</v>
      </c>
      <c r="AL141" s="439">
        <f>COUNTIF(PArticipationFevrier1[[#This Row],[1]:[30]],Code4)</f>
        <v>0</v>
      </c>
      <c r="AM141" s="474">
        <f>COUNTIF(PArticipationFevrier1[[#This Row],[1]:[30]],Code5)</f>
        <v>0</v>
      </c>
      <c r="AN141" s="474"/>
      <c r="AO141" s="474">
        <f>COUNTIF(PArticipationFevrier1[[#This Row],[1]:[30]],Code6)</f>
        <v>0</v>
      </c>
      <c r="AP141" s="474">
        <f>COUNTIF(PArticipationFevrier1[[#This Row],[1]:[30]],Code7)</f>
        <v>0</v>
      </c>
      <c r="AQ141" s="474">
        <f>COUNTIF(PArticipationFevrier1[[#This Row],[1]:[30]],Code8)</f>
        <v>0</v>
      </c>
      <c r="AR141" s="474">
        <f>COUNTIF(PArticipationFevrier1[[#This Row],[1]:[30]],Code9)</f>
        <v>0</v>
      </c>
      <c r="AS141" s="474">
        <f>COUNTIF(PArticipationFevrier1[[#This Row],[1]:[30]],Code10)</f>
        <v>0</v>
      </c>
      <c r="AT141" s="474">
        <f>COUNTIF(PArticipationFevrier1[[#This Row],[1]:[30]],Code11)</f>
        <v>0</v>
      </c>
      <c r="AU141" s="474">
        <f>COUNTIF(PArticipationFevrier1[[#This Row],[1]:[30]],Code12)</f>
        <v>0</v>
      </c>
      <c r="AV141" s="474">
        <f>COUNTIF(PArticipationFevrier1[[#This Row],[1]:[30]],Code13)</f>
        <v>0</v>
      </c>
      <c r="AW141" s="474">
        <f>COUNTIF(PArticipationFevrier1[[#This Row],[1]:[30]],Code14)</f>
        <v>0</v>
      </c>
      <c r="AX141" s="474">
        <f>COUNTIF(PArticipationFevrier1[[#This Row],[1]:[30]],Code15)</f>
        <v>0</v>
      </c>
      <c r="AY141" s="474">
        <f>COUNTIF(PArticipationFevrier1[[#This Row],[1]:[30]],Code16)</f>
        <v>0</v>
      </c>
      <c r="AZ141" s="474">
        <f>COUNTIF(PArticipationFevrier1[[#This Row],[1]:[30]],Code17)</f>
        <v>0</v>
      </c>
      <c r="BA141" s="474">
        <f>COUNTIF(PArticipationFevrier1[[#This Row],[1]:[30]],Code26)</f>
        <v>0</v>
      </c>
      <c r="BB141" s="474">
        <f>COUNTIF(PArticipationFevrier1[[#This Row],[1]:[30]],Code25)</f>
        <v>0</v>
      </c>
      <c r="BC141" s="474">
        <f>COUNTIF(PArticipationFevrier1[[#This Row],[1]:[30]],Code27)</f>
        <v>0</v>
      </c>
      <c r="BD141" s="474">
        <f>COUNTIF(PArticipationFevrier1[[#This Row],[1]:[30]],Code28)</f>
        <v>0</v>
      </c>
      <c r="BE141" s="474">
        <f>COUNTIF(PArticipationFevrier1[[#This Row],[1]:[30]],code30)</f>
        <v>0</v>
      </c>
      <c r="BF141" s="474">
        <f>COUNTIF(PArticipationFevrier1[[#This Row],[1]:[30]],Code31)</f>
        <v>0</v>
      </c>
      <c r="BG141" s="474">
        <f>COUNTIF(PArticipationFevrier1[[#This Row],[1]:[30]],code21)</f>
        <v>0</v>
      </c>
      <c r="BH141" s="474">
        <f>COUNTIF(PArticipationFevrier1[[#This Row],[1]:[30]],Code24)</f>
        <v>0</v>
      </c>
      <c r="BI141" s="474">
        <f>COUNTIF(PArticipationFevrier1[[#This Row],[1]:[30]],code18)</f>
        <v>0</v>
      </c>
      <c r="BJ141" s="474">
        <f>COUNTIF(PArticipationFevrier1[[#This Row],[1]:[30]],code19)</f>
        <v>0</v>
      </c>
      <c r="BK141" s="474">
        <f>COUNTIF(PArticipationFevrier1[[#This Row],[1]:[30]],code20)</f>
        <v>0</v>
      </c>
      <c r="BL141" s="476">
        <f>COUNTIF(PArticipationFevrier1[[#This Row],[1]:[30]],code29)</f>
        <v>0</v>
      </c>
      <c r="BM141" s="472"/>
      <c r="BN141" s="472"/>
      <c r="BO141" s="472"/>
      <c r="BP141" s="472"/>
      <c r="BQ141" s="472"/>
      <c r="BR141" s="472"/>
      <c r="BS141" s="472"/>
      <c r="BT141" s="472"/>
      <c r="BU141" s="472"/>
      <c r="BV141" s="472"/>
      <c r="BW141" s="472"/>
      <c r="BX141" s="472"/>
      <c r="BY141" s="472"/>
      <c r="BZ141" s="472"/>
      <c r="CA141" s="472"/>
      <c r="CB141" s="472"/>
      <c r="CC141" s="472"/>
      <c r="CD141" s="472"/>
      <c r="CE141" s="472"/>
      <c r="CF141" s="472"/>
      <c r="CG141" s="472"/>
      <c r="CH141" s="472"/>
      <c r="CI141" s="472"/>
      <c r="CJ141" s="472"/>
      <c r="CK141" s="472"/>
      <c r="CL141" s="472"/>
      <c r="CM141" s="472"/>
      <c r="CN141" s="472"/>
      <c r="CO141" s="472"/>
      <c r="CP141" s="472"/>
      <c r="CQ141" s="472"/>
      <c r="CR141" s="472"/>
      <c r="CS141" s="472"/>
      <c r="CT141" s="472"/>
      <c r="CU141" s="300"/>
      <c r="CV141" s="507">
        <f t="shared" si="9"/>
        <v>0</v>
      </c>
      <c r="CW141" s="531">
        <f t="shared" si="10"/>
        <v>0</v>
      </c>
      <c r="CX141" s="532">
        <f t="shared" si="11"/>
        <v>0</v>
      </c>
      <c r="CY141" s="157">
        <f t="shared" si="8"/>
        <v>0</v>
      </c>
    </row>
    <row r="142" spans="1:103">
      <c r="A142" s="567" t="s">
        <v>584</v>
      </c>
      <c r="B142" s="152" t="str">
        <f>IFERROR(VLOOKUP(PArticipationFevrier1[[#This Row],[Référence]],ListeÉtudiants1[],18,FALSE),"")</f>
        <v>CAPAROS Maia</v>
      </c>
      <c r="AF142" s="19"/>
      <c r="AG142" s="478"/>
      <c r="AH142" s="439">
        <f>COUNTIF(PArticipationFevrier1[[#This Row],[1]:[30]],Code1)</f>
        <v>0</v>
      </c>
      <c r="AI142" s="474">
        <f>COUNTIF(PArticipationFevrier1[[#This Row],[1]:[30]],code22)</f>
        <v>0</v>
      </c>
      <c r="AJ142" s="439">
        <f>COUNTIF(PArticipationFevrier1[[#This Row],[1]:[30]],Code2)</f>
        <v>0</v>
      </c>
      <c r="AK142" s="439">
        <f>COUNTIF(PArticipationFevrier1[[#This Row],[1]:[30]],Code3)</f>
        <v>0</v>
      </c>
      <c r="AL142" s="439">
        <f>COUNTIF(PArticipationFevrier1[[#This Row],[1]:[30]],Code4)</f>
        <v>0</v>
      </c>
      <c r="AM142" s="474">
        <f>COUNTIF(PArticipationFevrier1[[#This Row],[1]:[30]],Code5)</f>
        <v>0</v>
      </c>
      <c r="AN142" s="474"/>
      <c r="AO142" s="474">
        <f>COUNTIF(PArticipationFevrier1[[#This Row],[1]:[30]],Code6)</f>
        <v>0</v>
      </c>
      <c r="AP142" s="474">
        <f>COUNTIF(PArticipationFevrier1[[#This Row],[1]:[30]],Code7)</f>
        <v>0</v>
      </c>
      <c r="AQ142" s="474">
        <f>COUNTIF(PArticipationFevrier1[[#This Row],[1]:[30]],Code8)</f>
        <v>0</v>
      </c>
      <c r="AR142" s="474">
        <f>COUNTIF(PArticipationFevrier1[[#This Row],[1]:[30]],Code9)</f>
        <v>0</v>
      </c>
      <c r="AS142" s="474">
        <f>COUNTIF(PArticipationFevrier1[[#This Row],[1]:[30]],Code10)</f>
        <v>0</v>
      </c>
      <c r="AT142" s="474">
        <f>COUNTIF(PArticipationFevrier1[[#This Row],[1]:[30]],Code11)</f>
        <v>0</v>
      </c>
      <c r="AU142" s="474">
        <f>COUNTIF(PArticipationFevrier1[[#This Row],[1]:[30]],Code12)</f>
        <v>0</v>
      </c>
      <c r="AV142" s="474">
        <f>COUNTIF(PArticipationFevrier1[[#This Row],[1]:[30]],Code13)</f>
        <v>0</v>
      </c>
      <c r="AW142" s="474">
        <f>COUNTIF(PArticipationFevrier1[[#This Row],[1]:[30]],Code14)</f>
        <v>0</v>
      </c>
      <c r="AX142" s="474">
        <f>COUNTIF(PArticipationFevrier1[[#This Row],[1]:[30]],Code15)</f>
        <v>0</v>
      </c>
      <c r="AY142" s="474">
        <f>COUNTIF(PArticipationFevrier1[[#This Row],[1]:[30]],Code16)</f>
        <v>0</v>
      </c>
      <c r="AZ142" s="474">
        <f>COUNTIF(PArticipationFevrier1[[#This Row],[1]:[30]],Code17)</f>
        <v>0</v>
      </c>
      <c r="BA142" s="474">
        <f>COUNTIF(PArticipationFevrier1[[#This Row],[1]:[30]],Code26)</f>
        <v>0</v>
      </c>
      <c r="BB142" s="474">
        <f>COUNTIF(PArticipationFevrier1[[#This Row],[1]:[30]],Code25)</f>
        <v>0</v>
      </c>
      <c r="BC142" s="474">
        <f>COUNTIF(PArticipationFevrier1[[#This Row],[1]:[30]],Code27)</f>
        <v>0</v>
      </c>
      <c r="BD142" s="474">
        <f>COUNTIF(PArticipationFevrier1[[#This Row],[1]:[30]],Code28)</f>
        <v>0</v>
      </c>
      <c r="BE142" s="474">
        <f>COUNTIF(PArticipationFevrier1[[#This Row],[1]:[30]],code30)</f>
        <v>0</v>
      </c>
      <c r="BF142" s="474">
        <f>COUNTIF(PArticipationFevrier1[[#This Row],[1]:[30]],Code31)</f>
        <v>0</v>
      </c>
      <c r="BG142" s="474">
        <f>COUNTIF(PArticipationFevrier1[[#This Row],[1]:[30]],code21)</f>
        <v>0</v>
      </c>
      <c r="BH142" s="474">
        <f>COUNTIF(PArticipationFevrier1[[#This Row],[1]:[30]],Code24)</f>
        <v>0</v>
      </c>
      <c r="BI142" s="474">
        <f>COUNTIF(PArticipationFevrier1[[#This Row],[1]:[30]],code18)</f>
        <v>0</v>
      </c>
      <c r="BJ142" s="474">
        <f>COUNTIF(PArticipationFevrier1[[#This Row],[1]:[30]],code19)</f>
        <v>0</v>
      </c>
      <c r="BK142" s="474">
        <f>COUNTIF(PArticipationFevrier1[[#This Row],[1]:[30]],code20)</f>
        <v>0</v>
      </c>
      <c r="BL142" s="476">
        <f>COUNTIF(PArticipationFevrier1[[#This Row],[1]:[30]],code29)</f>
        <v>0</v>
      </c>
      <c r="BM142" s="472"/>
      <c r="BN142" s="472"/>
      <c r="BO142" s="472"/>
      <c r="BP142" s="472"/>
      <c r="BQ142" s="472"/>
      <c r="BR142" s="472"/>
      <c r="BS142" s="472"/>
      <c r="BT142" s="472"/>
      <c r="BU142" s="472"/>
      <c r="BV142" s="472"/>
      <c r="BW142" s="472"/>
      <c r="BX142" s="472"/>
      <c r="BY142" s="472"/>
      <c r="BZ142" s="472"/>
      <c r="CA142" s="472"/>
      <c r="CB142" s="472"/>
      <c r="CC142" s="472"/>
      <c r="CD142" s="472"/>
      <c r="CE142" s="472"/>
      <c r="CF142" s="472"/>
      <c r="CG142" s="472"/>
      <c r="CH142" s="472"/>
      <c r="CI142" s="472"/>
      <c r="CJ142" s="472"/>
      <c r="CK142" s="472"/>
      <c r="CL142" s="472"/>
      <c r="CM142" s="472"/>
      <c r="CN142" s="472"/>
      <c r="CO142" s="472"/>
      <c r="CP142" s="472"/>
      <c r="CQ142" s="472"/>
      <c r="CR142" s="472"/>
      <c r="CS142" s="472"/>
      <c r="CT142" s="472"/>
      <c r="CU142" s="300"/>
      <c r="CV142" s="507">
        <f t="shared" si="9"/>
        <v>0</v>
      </c>
      <c r="CW142" s="531">
        <f t="shared" si="10"/>
        <v>0</v>
      </c>
      <c r="CX142" s="532">
        <f t="shared" si="11"/>
        <v>0</v>
      </c>
      <c r="CY142" s="157">
        <f t="shared" si="8"/>
        <v>0</v>
      </c>
    </row>
    <row r="143" spans="1:103">
      <c r="A143" s="534" t="s">
        <v>585</v>
      </c>
      <c r="B143" s="152" t="str">
        <f>IFERROR(VLOOKUP(PArticipationFevrier1[[#This Row],[Référence]],ListeÉtudiants1[],18,FALSE),"")</f>
        <v>COLLADO ALICIA</v>
      </c>
      <c r="AF143" s="19"/>
      <c r="AG143" s="478"/>
      <c r="AH143" s="439">
        <f>COUNTIF(PArticipationFevrier1[[#This Row],[1]:[30]],Code1)</f>
        <v>0</v>
      </c>
      <c r="AI143" s="474">
        <f>COUNTIF(PArticipationFevrier1[[#This Row],[1]:[30]],code22)</f>
        <v>0</v>
      </c>
      <c r="AJ143" s="439">
        <f>COUNTIF(PArticipationFevrier1[[#This Row],[1]:[30]],Code2)</f>
        <v>0</v>
      </c>
      <c r="AK143" s="439">
        <f>COUNTIF(PArticipationFevrier1[[#This Row],[1]:[30]],Code3)</f>
        <v>0</v>
      </c>
      <c r="AL143" s="439">
        <f>COUNTIF(PArticipationFevrier1[[#This Row],[1]:[30]],Code4)</f>
        <v>0</v>
      </c>
      <c r="AM143" s="474">
        <f>COUNTIF(PArticipationFevrier1[[#This Row],[1]:[30]],Code5)</f>
        <v>0</v>
      </c>
      <c r="AN143" s="474"/>
      <c r="AO143" s="474">
        <f>COUNTIF(PArticipationFevrier1[[#This Row],[1]:[30]],Code6)</f>
        <v>0</v>
      </c>
      <c r="AP143" s="474">
        <f>COUNTIF(PArticipationFevrier1[[#This Row],[1]:[30]],Code7)</f>
        <v>0</v>
      </c>
      <c r="AQ143" s="474">
        <f>COUNTIF(PArticipationFevrier1[[#This Row],[1]:[30]],Code8)</f>
        <v>0</v>
      </c>
      <c r="AR143" s="474">
        <f>COUNTIF(PArticipationFevrier1[[#This Row],[1]:[30]],Code9)</f>
        <v>0</v>
      </c>
      <c r="AS143" s="474">
        <f>COUNTIF(PArticipationFevrier1[[#This Row],[1]:[30]],Code10)</f>
        <v>0</v>
      </c>
      <c r="AT143" s="474">
        <f>COUNTIF(PArticipationFevrier1[[#This Row],[1]:[30]],Code11)</f>
        <v>0</v>
      </c>
      <c r="AU143" s="474">
        <f>COUNTIF(PArticipationFevrier1[[#This Row],[1]:[30]],Code12)</f>
        <v>0</v>
      </c>
      <c r="AV143" s="474">
        <f>COUNTIF(PArticipationFevrier1[[#This Row],[1]:[30]],Code13)</f>
        <v>0</v>
      </c>
      <c r="AW143" s="474">
        <f>COUNTIF(PArticipationFevrier1[[#This Row],[1]:[30]],Code14)</f>
        <v>0</v>
      </c>
      <c r="AX143" s="474">
        <f>COUNTIF(PArticipationFevrier1[[#This Row],[1]:[30]],Code15)</f>
        <v>0</v>
      </c>
      <c r="AY143" s="474">
        <f>COUNTIF(PArticipationFevrier1[[#This Row],[1]:[30]],Code16)</f>
        <v>0</v>
      </c>
      <c r="AZ143" s="474">
        <f>COUNTIF(PArticipationFevrier1[[#This Row],[1]:[30]],Code17)</f>
        <v>0</v>
      </c>
      <c r="BA143" s="474">
        <f>COUNTIF(PArticipationFevrier1[[#This Row],[1]:[30]],Code26)</f>
        <v>0</v>
      </c>
      <c r="BB143" s="474">
        <f>COUNTIF(PArticipationFevrier1[[#This Row],[1]:[30]],Code25)</f>
        <v>0</v>
      </c>
      <c r="BC143" s="474">
        <f>COUNTIF(PArticipationFevrier1[[#This Row],[1]:[30]],Code27)</f>
        <v>0</v>
      </c>
      <c r="BD143" s="474">
        <f>COUNTIF(PArticipationFevrier1[[#This Row],[1]:[30]],Code28)</f>
        <v>0</v>
      </c>
      <c r="BE143" s="474">
        <f>COUNTIF(PArticipationFevrier1[[#This Row],[1]:[30]],code30)</f>
        <v>0</v>
      </c>
      <c r="BF143" s="474">
        <f>COUNTIF(PArticipationFevrier1[[#This Row],[1]:[30]],Code31)</f>
        <v>0</v>
      </c>
      <c r="BG143" s="474">
        <f>COUNTIF(PArticipationFevrier1[[#This Row],[1]:[30]],code21)</f>
        <v>0</v>
      </c>
      <c r="BH143" s="474">
        <f>COUNTIF(PArticipationFevrier1[[#This Row],[1]:[30]],Code24)</f>
        <v>0</v>
      </c>
      <c r="BI143" s="474">
        <f>COUNTIF(PArticipationFevrier1[[#This Row],[1]:[30]],code18)</f>
        <v>0</v>
      </c>
      <c r="BJ143" s="474">
        <f>COUNTIF(PArticipationFevrier1[[#This Row],[1]:[30]],code19)</f>
        <v>0</v>
      </c>
      <c r="BK143" s="474">
        <f>COUNTIF(PArticipationFevrier1[[#This Row],[1]:[30]],code20)</f>
        <v>0</v>
      </c>
      <c r="BL143" s="476">
        <f>COUNTIF(PArticipationFevrier1[[#This Row],[1]:[30]],code29)</f>
        <v>0</v>
      </c>
      <c r="BM143" s="472"/>
      <c r="BN143" s="472"/>
      <c r="BO143" s="472"/>
      <c r="BP143" s="472"/>
      <c r="BQ143" s="472"/>
      <c r="BR143" s="472"/>
      <c r="BS143" s="472"/>
      <c r="BT143" s="472"/>
      <c r="BU143" s="472"/>
      <c r="BV143" s="472"/>
      <c r="BW143" s="472"/>
      <c r="BX143" s="472"/>
      <c r="BY143" s="472"/>
      <c r="BZ143" s="472"/>
      <c r="CA143" s="472"/>
      <c r="CB143" s="472"/>
      <c r="CC143" s="472"/>
      <c r="CD143" s="472"/>
      <c r="CE143" s="472"/>
      <c r="CF143" s="472"/>
      <c r="CG143" s="472"/>
      <c r="CH143" s="472"/>
      <c r="CI143" s="472"/>
      <c r="CJ143" s="472"/>
      <c r="CK143" s="472"/>
      <c r="CL143" s="472"/>
      <c r="CM143" s="472"/>
      <c r="CN143" s="472"/>
      <c r="CO143" s="472"/>
      <c r="CP143" s="472"/>
      <c r="CQ143" s="472"/>
      <c r="CR143" s="472"/>
      <c r="CS143" s="472"/>
      <c r="CT143" s="472"/>
      <c r="CU143" s="300"/>
      <c r="CV143" s="507">
        <f t="shared" si="9"/>
        <v>0</v>
      </c>
      <c r="CW143" s="531">
        <f t="shared" si="10"/>
        <v>0</v>
      </c>
      <c r="CX143" s="532">
        <f t="shared" si="11"/>
        <v>0</v>
      </c>
      <c r="CY143" s="157">
        <f t="shared" si="8"/>
        <v>0</v>
      </c>
    </row>
    <row r="144" spans="1:103">
      <c r="A144" s="567" t="s">
        <v>588</v>
      </c>
      <c r="B144" s="152" t="str">
        <f>IFERROR(VLOOKUP(PArticipationFevrier1[[#This Row],[Référence]],ListeÉtudiants1[],18,FALSE),"")</f>
        <v>FERGUENE Chaineze</v>
      </c>
      <c r="AF144" s="19"/>
      <c r="AG144" s="478"/>
      <c r="AH144" s="439">
        <f>COUNTIF(PArticipationFevrier1[[#This Row],[1]:[30]],Code1)</f>
        <v>0</v>
      </c>
      <c r="AI144" s="474">
        <f>COUNTIF(PArticipationFevrier1[[#This Row],[1]:[30]],code22)</f>
        <v>0</v>
      </c>
      <c r="AJ144" s="439">
        <f>COUNTIF(PArticipationFevrier1[[#This Row],[1]:[30]],Code2)</f>
        <v>0</v>
      </c>
      <c r="AK144" s="439">
        <f>COUNTIF(PArticipationFevrier1[[#This Row],[1]:[30]],Code3)</f>
        <v>0</v>
      </c>
      <c r="AL144" s="439">
        <f>COUNTIF(PArticipationFevrier1[[#This Row],[1]:[30]],Code4)</f>
        <v>0</v>
      </c>
      <c r="AM144" s="474">
        <f>COUNTIF(PArticipationFevrier1[[#This Row],[1]:[30]],Code5)</f>
        <v>0</v>
      </c>
      <c r="AN144" s="474"/>
      <c r="AO144" s="474">
        <f>COUNTIF(PArticipationFevrier1[[#This Row],[1]:[30]],Code6)</f>
        <v>0</v>
      </c>
      <c r="AP144" s="474">
        <f>COUNTIF(PArticipationFevrier1[[#This Row],[1]:[30]],Code7)</f>
        <v>0</v>
      </c>
      <c r="AQ144" s="474">
        <f>COUNTIF(PArticipationFevrier1[[#This Row],[1]:[30]],Code8)</f>
        <v>0</v>
      </c>
      <c r="AR144" s="474">
        <f>COUNTIF(PArticipationFevrier1[[#This Row],[1]:[30]],Code9)</f>
        <v>0</v>
      </c>
      <c r="AS144" s="474">
        <f>COUNTIF(PArticipationFevrier1[[#This Row],[1]:[30]],Code10)</f>
        <v>0</v>
      </c>
      <c r="AT144" s="474">
        <f>COUNTIF(PArticipationFevrier1[[#This Row],[1]:[30]],Code11)</f>
        <v>0</v>
      </c>
      <c r="AU144" s="474">
        <f>COUNTIF(PArticipationFevrier1[[#This Row],[1]:[30]],Code12)</f>
        <v>0</v>
      </c>
      <c r="AV144" s="474">
        <f>COUNTIF(PArticipationFevrier1[[#This Row],[1]:[30]],Code13)</f>
        <v>0</v>
      </c>
      <c r="AW144" s="474">
        <f>COUNTIF(PArticipationFevrier1[[#This Row],[1]:[30]],Code14)</f>
        <v>0</v>
      </c>
      <c r="AX144" s="474">
        <f>COUNTIF(PArticipationFevrier1[[#This Row],[1]:[30]],Code15)</f>
        <v>0</v>
      </c>
      <c r="AY144" s="474">
        <f>COUNTIF(PArticipationFevrier1[[#This Row],[1]:[30]],Code16)</f>
        <v>0</v>
      </c>
      <c r="AZ144" s="474">
        <f>COUNTIF(PArticipationFevrier1[[#This Row],[1]:[30]],Code17)</f>
        <v>0</v>
      </c>
      <c r="BA144" s="474">
        <f>COUNTIF(PArticipationFevrier1[[#This Row],[1]:[30]],Code26)</f>
        <v>0</v>
      </c>
      <c r="BB144" s="474">
        <f>COUNTIF(PArticipationFevrier1[[#This Row],[1]:[30]],Code25)</f>
        <v>0</v>
      </c>
      <c r="BC144" s="474">
        <f>COUNTIF(PArticipationFevrier1[[#This Row],[1]:[30]],Code27)</f>
        <v>0</v>
      </c>
      <c r="BD144" s="474">
        <f>COUNTIF(PArticipationFevrier1[[#This Row],[1]:[30]],Code28)</f>
        <v>0</v>
      </c>
      <c r="BE144" s="474">
        <f>COUNTIF(PArticipationFevrier1[[#This Row],[1]:[30]],code30)</f>
        <v>0</v>
      </c>
      <c r="BF144" s="474">
        <f>COUNTIF(PArticipationFevrier1[[#This Row],[1]:[30]],Code31)</f>
        <v>0</v>
      </c>
      <c r="BG144" s="474">
        <f>COUNTIF(PArticipationFevrier1[[#This Row],[1]:[30]],code21)</f>
        <v>0</v>
      </c>
      <c r="BH144" s="474">
        <f>COUNTIF(PArticipationFevrier1[[#This Row],[1]:[30]],Code24)</f>
        <v>0</v>
      </c>
      <c r="BI144" s="474">
        <f>COUNTIF(PArticipationFevrier1[[#This Row],[1]:[30]],code18)</f>
        <v>0</v>
      </c>
      <c r="BJ144" s="474">
        <f>COUNTIF(PArticipationFevrier1[[#This Row],[1]:[30]],code19)</f>
        <v>0</v>
      </c>
      <c r="BK144" s="474">
        <f>COUNTIF(PArticipationFevrier1[[#This Row],[1]:[30]],code20)</f>
        <v>0</v>
      </c>
      <c r="BL144" s="476">
        <f>COUNTIF(PArticipationFevrier1[[#This Row],[1]:[30]],code29)</f>
        <v>0</v>
      </c>
      <c r="BM144" s="472"/>
      <c r="BN144" s="472"/>
      <c r="BO144" s="472"/>
      <c r="BP144" s="472"/>
      <c r="BQ144" s="472"/>
      <c r="BR144" s="472"/>
      <c r="BS144" s="472"/>
      <c r="BT144" s="472"/>
      <c r="BU144" s="472"/>
      <c r="BV144" s="472"/>
      <c r="BW144" s="472"/>
      <c r="BX144" s="472"/>
      <c r="BY144" s="472"/>
      <c r="BZ144" s="472"/>
      <c r="CA144" s="472"/>
      <c r="CB144" s="472"/>
      <c r="CC144" s="472"/>
      <c r="CD144" s="472"/>
      <c r="CE144" s="472"/>
      <c r="CF144" s="472"/>
      <c r="CG144" s="472"/>
      <c r="CH144" s="472"/>
      <c r="CI144" s="472"/>
      <c r="CJ144" s="472"/>
      <c r="CK144" s="472"/>
      <c r="CL144" s="472"/>
      <c r="CM144" s="472"/>
      <c r="CN144" s="472"/>
      <c r="CO144" s="472"/>
      <c r="CP144" s="472"/>
      <c r="CQ144" s="472"/>
      <c r="CR144" s="472"/>
      <c r="CS144" s="472"/>
      <c r="CT144" s="472"/>
      <c r="CU144" s="300"/>
      <c r="CV144" s="507">
        <f t="shared" si="9"/>
        <v>0</v>
      </c>
      <c r="CW144" s="531">
        <f t="shared" si="10"/>
        <v>0</v>
      </c>
      <c r="CX144" s="532">
        <f t="shared" si="11"/>
        <v>0</v>
      </c>
      <c r="CY144" s="157">
        <f t="shared" si="8"/>
        <v>0</v>
      </c>
    </row>
    <row r="145" spans="1:103">
      <c r="A145" s="567" t="s">
        <v>590</v>
      </c>
      <c r="B145" s="152" t="str">
        <f>IFERROR(VLOOKUP(PArticipationFevrier1[[#This Row],[Référence]],ListeÉtudiants1[],18,FALSE),"")</f>
        <v>HAMEAU KEVIN</v>
      </c>
      <c r="AF145" s="19"/>
      <c r="AG145" s="478"/>
      <c r="AH145" s="439">
        <f>COUNTIF(PArticipationFevrier1[[#This Row],[1]:[30]],Code1)</f>
        <v>0</v>
      </c>
      <c r="AI145" s="474">
        <f>COUNTIF(PArticipationFevrier1[[#This Row],[1]:[30]],code22)</f>
        <v>0</v>
      </c>
      <c r="AJ145" s="439">
        <f>COUNTIF(PArticipationFevrier1[[#This Row],[1]:[30]],Code2)</f>
        <v>0</v>
      </c>
      <c r="AK145" s="439">
        <f>COUNTIF(PArticipationFevrier1[[#This Row],[1]:[30]],Code3)</f>
        <v>0</v>
      </c>
      <c r="AL145" s="439">
        <f>COUNTIF(PArticipationFevrier1[[#This Row],[1]:[30]],Code4)</f>
        <v>0</v>
      </c>
      <c r="AM145" s="474">
        <f>COUNTIF(PArticipationFevrier1[[#This Row],[1]:[30]],Code5)</f>
        <v>0</v>
      </c>
      <c r="AN145" s="474"/>
      <c r="AO145" s="474">
        <f>COUNTIF(PArticipationFevrier1[[#This Row],[1]:[30]],Code6)</f>
        <v>0</v>
      </c>
      <c r="AP145" s="474">
        <f>COUNTIF(PArticipationFevrier1[[#This Row],[1]:[30]],Code7)</f>
        <v>0</v>
      </c>
      <c r="AQ145" s="474">
        <f>COUNTIF(PArticipationFevrier1[[#This Row],[1]:[30]],Code8)</f>
        <v>0</v>
      </c>
      <c r="AR145" s="474">
        <f>COUNTIF(PArticipationFevrier1[[#This Row],[1]:[30]],Code9)</f>
        <v>0</v>
      </c>
      <c r="AS145" s="474">
        <f>COUNTIF(PArticipationFevrier1[[#This Row],[1]:[30]],Code10)</f>
        <v>0</v>
      </c>
      <c r="AT145" s="474">
        <f>COUNTIF(PArticipationFevrier1[[#This Row],[1]:[30]],Code11)</f>
        <v>0</v>
      </c>
      <c r="AU145" s="474">
        <f>COUNTIF(PArticipationFevrier1[[#This Row],[1]:[30]],Code12)</f>
        <v>0</v>
      </c>
      <c r="AV145" s="474">
        <f>COUNTIF(PArticipationFevrier1[[#This Row],[1]:[30]],Code13)</f>
        <v>0</v>
      </c>
      <c r="AW145" s="474">
        <f>COUNTIF(PArticipationFevrier1[[#This Row],[1]:[30]],Code14)</f>
        <v>0</v>
      </c>
      <c r="AX145" s="474">
        <f>COUNTIF(PArticipationFevrier1[[#This Row],[1]:[30]],Code15)</f>
        <v>0</v>
      </c>
      <c r="AY145" s="474">
        <f>COUNTIF(PArticipationFevrier1[[#This Row],[1]:[30]],Code16)</f>
        <v>0</v>
      </c>
      <c r="AZ145" s="474">
        <f>COUNTIF(PArticipationFevrier1[[#This Row],[1]:[30]],Code17)</f>
        <v>0</v>
      </c>
      <c r="BA145" s="474">
        <f>COUNTIF(PArticipationFevrier1[[#This Row],[1]:[30]],Code26)</f>
        <v>0</v>
      </c>
      <c r="BB145" s="474">
        <f>COUNTIF(PArticipationFevrier1[[#This Row],[1]:[30]],Code25)</f>
        <v>0</v>
      </c>
      <c r="BC145" s="474">
        <f>COUNTIF(PArticipationFevrier1[[#This Row],[1]:[30]],Code27)</f>
        <v>0</v>
      </c>
      <c r="BD145" s="474">
        <f>COUNTIF(PArticipationFevrier1[[#This Row],[1]:[30]],Code28)</f>
        <v>0</v>
      </c>
      <c r="BE145" s="474">
        <f>COUNTIF(PArticipationFevrier1[[#This Row],[1]:[30]],code30)</f>
        <v>0</v>
      </c>
      <c r="BF145" s="474">
        <f>COUNTIF(PArticipationFevrier1[[#This Row],[1]:[30]],Code31)</f>
        <v>0</v>
      </c>
      <c r="BG145" s="474">
        <f>COUNTIF(PArticipationFevrier1[[#This Row],[1]:[30]],code21)</f>
        <v>0</v>
      </c>
      <c r="BH145" s="474">
        <f>COUNTIF(PArticipationFevrier1[[#This Row],[1]:[30]],Code24)</f>
        <v>0</v>
      </c>
      <c r="BI145" s="474">
        <f>COUNTIF(PArticipationFevrier1[[#This Row],[1]:[30]],code18)</f>
        <v>0</v>
      </c>
      <c r="BJ145" s="474">
        <f>COUNTIF(PArticipationFevrier1[[#This Row],[1]:[30]],code19)</f>
        <v>0</v>
      </c>
      <c r="BK145" s="474">
        <f>COUNTIF(PArticipationFevrier1[[#This Row],[1]:[30]],code20)</f>
        <v>0</v>
      </c>
      <c r="BL145" s="476">
        <f>COUNTIF(PArticipationFevrier1[[#This Row],[1]:[30]],code29)</f>
        <v>0</v>
      </c>
      <c r="BM145" s="472"/>
      <c r="BN145" s="472"/>
      <c r="BO145" s="472"/>
      <c r="BP145" s="472"/>
      <c r="BQ145" s="472"/>
      <c r="BR145" s="472"/>
      <c r="BS145" s="472"/>
      <c r="BT145" s="472"/>
      <c r="BU145" s="472"/>
      <c r="BV145" s="472"/>
      <c r="BW145" s="472"/>
      <c r="BX145" s="472"/>
      <c r="BY145" s="472"/>
      <c r="BZ145" s="472"/>
      <c r="CA145" s="472"/>
      <c r="CB145" s="472"/>
      <c r="CC145" s="472"/>
      <c r="CD145" s="472"/>
      <c r="CE145" s="472"/>
      <c r="CF145" s="472"/>
      <c r="CG145" s="472"/>
      <c r="CH145" s="472"/>
      <c r="CI145" s="472"/>
      <c r="CJ145" s="472"/>
      <c r="CK145" s="472"/>
      <c r="CL145" s="472"/>
      <c r="CM145" s="472"/>
      <c r="CN145" s="472"/>
      <c r="CO145" s="472"/>
      <c r="CP145" s="472"/>
      <c r="CQ145" s="472"/>
      <c r="CR145" s="472"/>
      <c r="CS145" s="472"/>
      <c r="CT145" s="472"/>
      <c r="CU145" s="300"/>
      <c r="CV145" s="507">
        <f t="shared" si="9"/>
        <v>0</v>
      </c>
      <c r="CW145" s="531">
        <f t="shared" si="10"/>
        <v>0</v>
      </c>
      <c r="CX145" s="532">
        <f t="shared" si="11"/>
        <v>0</v>
      </c>
      <c r="CY145" s="157">
        <f t="shared" si="8"/>
        <v>0</v>
      </c>
    </row>
    <row r="146" spans="1:103">
      <c r="A146" s="567" t="s">
        <v>593</v>
      </c>
      <c r="B146" s="152" t="str">
        <f>IFERROR(VLOOKUP(PArticipationFevrier1[[#This Row],[Référence]],ListeÉtudiants1[],18,FALSE),"")</f>
        <v>KIOLO Carine Laure</v>
      </c>
      <c r="AF146" s="19"/>
      <c r="AG146" s="478"/>
      <c r="AH146" s="439">
        <f>COUNTIF(PArticipationFevrier1[[#This Row],[1]:[30]],Code1)</f>
        <v>0</v>
      </c>
      <c r="AI146" s="474">
        <f>COUNTIF(PArticipationFevrier1[[#This Row],[1]:[30]],code22)</f>
        <v>0</v>
      </c>
      <c r="AJ146" s="439">
        <f>COUNTIF(PArticipationFevrier1[[#This Row],[1]:[30]],Code2)</f>
        <v>0</v>
      </c>
      <c r="AK146" s="439">
        <f>COUNTIF(PArticipationFevrier1[[#This Row],[1]:[30]],Code3)</f>
        <v>0</v>
      </c>
      <c r="AL146" s="439">
        <f>COUNTIF(PArticipationFevrier1[[#This Row],[1]:[30]],Code4)</f>
        <v>0</v>
      </c>
      <c r="AM146" s="474">
        <f>COUNTIF(PArticipationFevrier1[[#This Row],[1]:[30]],Code5)</f>
        <v>0</v>
      </c>
      <c r="AN146" s="474"/>
      <c r="AO146" s="474">
        <f>COUNTIF(PArticipationFevrier1[[#This Row],[1]:[30]],Code6)</f>
        <v>0</v>
      </c>
      <c r="AP146" s="474">
        <f>COUNTIF(PArticipationFevrier1[[#This Row],[1]:[30]],Code7)</f>
        <v>0</v>
      </c>
      <c r="AQ146" s="474">
        <f>COUNTIF(PArticipationFevrier1[[#This Row],[1]:[30]],Code8)</f>
        <v>0</v>
      </c>
      <c r="AR146" s="474">
        <f>COUNTIF(PArticipationFevrier1[[#This Row],[1]:[30]],Code9)</f>
        <v>0</v>
      </c>
      <c r="AS146" s="474">
        <f>COUNTIF(PArticipationFevrier1[[#This Row],[1]:[30]],Code10)</f>
        <v>0</v>
      </c>
      <c r="AT146" s="474">
        <f>COUNTIF(PArticipationFevrier1[[#This Row],[1]:[30]],Code11)</f>
        <v>0</v>
      </c>
      <c r="AU146" s="474">
        <f>COUNTIF(PArticipationFevrier1[[#This Row],[1]:[30]],Code12)</f>
        <v>0</v>
      </c>
      <c r="AV146" s="474">
        <f>COUNTIF(PArticipationFevrier1[[#This Row],[1]:[30]],Code13)</f>
        <v>0</v>
      </c>
      <c r="AW146" s="474">
        <f>COUNTIF(PArticipationFevrier1[[#This Row],[1]:[30]],Code14)</f>
        <v>0</v>
      </c>
      <c r="AX146" s="474">
        <f>COUNTIF(PArticipationFevrier1[[#This Row],[1]:[30]],Code15)</f>
        <v>0</v>
      </c>
      <c r="AY146" s="474">
        <f>COUNTIF(PArticipationFevrier1[[#This Row],[1]:[30]],Code16)</f>
        <v>0</v>
      </c>
      <c r="AZ146" s="474">
        <f>COUNTIF(PArticipationFevrier1[[#This Row],[1]:[30]],Code17)</f>
        <v>0</v>
      </c>
      <c r="BA146" s="474">
        <f>COUNTIF(PArticipationFevrier1[[#This Row],[1]:[30]],Code26)</f>
        <v>0</v>
      </c>
      <c r="BB146" s="474">
        <f>COUNTIF(PArticipationFevrier1[[#This Row],[1]:[30]],Code25)</f>
        <v>0</v>
      </c>
      <c r="BC146" s="474">
        <f>COUNTIF(PArticipationFevrier1[[#This Row],[1]:[30]],Code27)</f>
        <v>0</v>
      </c>
      <c r="BD146" s="474">
        <f>COUNTIF(PArticipationFevrier1[[#This Row],[1]:[30]],Code28)</f>
        <v>0</v>
      </c>
      <c r="BE146" s="474">
        <f>COUNTIF(PArticipationFevrier1[[#This Row],[1]:[30]],code30)</f>
        <v>0</v>
      </c>
      <c r="BF146" s="474">
        <f>COUNTIF(PArticipationFevrier1[[#This Row],[1]:[30]],Code31)</f>
        <v>0</v>
      </c>
      <c r="BG146" s="474">
        <f>COUNTIF(PArticipationFevrier1[[#This Row],[1]:[30]],code21)</f>
        <v>0</v>
      </c>
      <c r="BH146" s="474">
        <f>COUNTIF(PArticipationFevrier1[[#This Row],[1]:[30]],Code24)</f>
        <v>0</v>
      </c>
      <c r="BI146" s="474">
        <f>COUNTIF(PArticipationFevrier1[[#This Row],[1]:[30]],code18)</f>
        <v>0</v>
      </c>
      <c r="BJ146" s="474">
        <f>COUNTIF(PArticipationFevrier1[[#This Row],[1]:[30]],code19)</f>
        <v>0</v>
      </c>
      <c r="BK146" s="474">
        <f>COUNTIF(PArticipationFevrier1[[#This Row],[1]:[30]],code20)</f>
        <v>0</v>
      </c>
      <c r="BL146" s="476">
        <f>COUNTIF(PArticipationFevrier1[[#This Row],[1]:[30]],code29)</f>
        <v>0</v>
      </c>
      <c r="BM146" s="472"/>
      <c r="BN146" s="472"/>
      <c r="BO146" s="472"/>
      <c r="BP146" s="472"/>
      <c r="BQ146" s="472"/>
      <c r="BR146" s="472"/>
      <c r="BS146" s="472"/>
      <c r="BT146" s="472"/>
      <c r="BU146" s="472"/>
      <c r="BV146" s="472"/>
      <c r="BW146" s="472"/>
      <c r="BX146" s="472"/>
      <c r="BY146" s="472"/>
      <c r="BZ146" s="472"/>
      <c r="CA146" s="472"/>
      <c r="CB146" s="472"/>
      <c r="CC146" s="472"/>
      <c r="CD146" s="472"/>
      <c r="CE146" s="472"/>
      <c r="CF146" s="472"/>
      <c r="CG146" s="472"/>
      <c r="CH146" s="472"/>
      <c r="CI146" s="472"/>
      <c r="CJ146" s="472"/>
      <c r="CK146" s="472"/>
      <c r="CL146" s="472"/>
      <c r="CM146" s="472"/>
      <c r="CN146" s="472"/>
      <c r="CO146" s="472"/>
      <c r="CP146" s="472"/>
      <c r="CQ146" s="472"/>
      <c r="CR146" s="472"/>
      <c r="CS146" s="472"/>
      <c r="CT146" s="472"/>
      <c r="CU146" s="300"/>
      <c r="CV146" s="507">
        <f t="shared" si="9"/>
        <v>0</v>
      </c>
      <c r="CW146" s="531">
        <f t="shared" si="10"/>
        <v>0</v>
      </c>
      <c r="CX146" s="532">
        <f t="shared" si="11"/>
        <v>0</v>
      </c>
      <c r="CY146" s="157">
        <f t="shared" si="8"/>
        <v>0</v>
      </c>
    </row>
    <row r="147" spans="1:103">
      <c r="A147" s="567" t="s">
        <v>596</v>
      </c>
      <c r="B147" s="152" t="str">
        <f>IFERROR(VLOOKUP(PArticipationFevrier1[[#This Row],[Référence]],ListeÉtudiants1[],18,FALSE),"")</f>
        <v>LESUEUR GERALDINE</v>
      </c>
      <c r="AF147" s="19"/>
      <c r="AG147" s="478"/>
      <c r="AH147" s="439">
        <f>COUNTIF(PArticipationFevrier1[[#This Row],[1]:[30]],Code1)</f>
        <v>0</v>
      </c>
      <c r="AI147" s="474">
        <f>COUNTIF(PArticipationFevrier1[[#This Row],[1]:[30]],code22)</f>
        <v>0</v>
      </c>
      <c r="AJ147" s="439">
        <f>COUNTIF(PArticipationFevrier1[[#This Row],[1]:[30]],Code2)</f>
        <v>0</v>
      </c>
      <c r="AK147" s="439">
        <f>COUNTIF(PArticipationFevrier1[[#This Row],[1]:[30]],Code3)</f>
        <v>0</v>
      </c>
      <c r="AL147" s="439">
        <f>COUNTIF(PArticipationFevrier1[[#This Row],[1]:[30]],Code4)</f>
        <v>0</v>
      </c>
      <c r="AM147" s="474">
        <f>COUNTIF(PArticipationFevrier1[[#This Row],[1]:[30]],Code5)</f>
        <v>0</v>
      </c>
      <c r="AN147" s="474"/>
      <c r="AO147" s="474">
        <f>COUNTIF(PArticipationFevrier1[[#This Row],[1]:[30]],Code6)</f>
        <v>0</v>
      </c>
      <c r="AP147" s="474">
        <f>COUNTIF(PArticipationFevrier1[[#This Row],[1]:[30]],Code7)</f>
        <v>0</v>
      </c>
      <c r="AQ147" s="474">
        <f>COUNTIF(PArticipationFevrier1[[#This Row],[1]:[30]],Code8)</f>
        <v>0</v>
      </c>
      <c r="AR147" s="474">
        <f>COUNTIF(PArticipationFevrier1[[#This Row],[1]:[30]],Code9)</f>
        <v>0</v>
      </c>
      <c r="AS147" s="474">
        <f>COUNTIF(PArticipationFevrier1[[#This Row],[1]:[30]],Code10)</f>
        <v>0</v>
      </c>
      <c r="AT147" s="474">
        <f>COUNTIF(PArticipationFevrier1[[#This Row],[1]:[30]],Code11)</f>
        <v>0</v>
      </c>
      <c r="AU147" s="474">
        <f>COUNTIF(PArticipationFevrier1[[#This Row],[1]:[30]],Code12)</f>
        <v>0</v>
      </c>
      <c r="AV147" s="474">
        <f>COUNTIF(PArticipationFevrier1[[#This Row],[1]:[30]],Code13)</f>
        <v>0</v>
      </c>
      <c r="AW147" s="474">
        <f>COUNTIF(PArticipationFevrier1[[#This Row],[1]:[30]],Code14)</f>
        <v>0</v>
      </c>
      <c r="AX147" s="474">
        <f>COUNTIF(PArticipationFevrier1[[#This Row],[1]:[30]],Code15)</f>
        <v>0</v>
      </c>
      <c r="AY147" s="474">
        <f>COUNTIF(PArticipationFevrier1[[#This Row],[1]:[30]],Code16)</f>
        <v>0</v>
      </c>
      <c r="AZ147" s="474">
        <f>COUNTIF(PArticipationFevrier1[[#This Row],[1]:[30]],Code17)</f>
        <v>0</v>
      </c>
      <c r="BA147" s="474">
        <f>COUNTIF(PArticipationFevrier1[[#This Row],[1]:[30]],Code26)</f>
        <v>0</v>
      </c>
      <c r="BB147" s="474">
        <f>COUNTIF(PArticipationFevrier1[[#This Row],[1]:[30]],Code25)</f>
        <v>0</v>
      </c>
      <c r="BC147" s="474">
        <f>COUNTIF(PArticipationFevrier1[[#This Row],[1]:[30]],Code27)</f>
        <v>0</v>
      </c>
      <c r="BD147" s="474">
        <f>COUNTIF(PArticipationFevrier1[[#This Row],[1]:[30]],Code28)</f>
        <v>0</v>
      </c>
      <c r="BE147" s="474">
        <f>COUNTIF(PArticipationFevrier1[[#This Row],[1]:[30]],code30)</f>
        <v>0</v>
      </c>
      <c r="BF147" s="474">
        <f>COUNTIF(PArticipationFevrier1[[#This Row],[1]:[30]],Code31)</f>
        <v>0</v>
      </c>
      <c r="BG147" s="474">
        <f>COUNTIF(PArticipationFevrier1[[#This Row],[1]:[30]],code21)</f>
        <v>0</v>
      </c>
      <c r="BH147" s="474">
        <f>COUNTIF(PArticipationFevrier1[[#This Row],[1]:[30]],Code24)</f>
        <v>0</v>
      </c>
      <c r="BI147" s="474">
        <f>COUNTIF(PArticipationFevrier1[[#This Row],[1]:[30]],code18)</f>
        <v>0</v>
      </c>
      <c r="BJ147" s="474">
        <f>COUNTIF(PArticipationFevrier1[[#This Row],[1]:[30]],code19)</f>
        <v>0</v>
      </c>
      <c r="BK147" s="474">
        <f>COUNTIF(PArticipationFevrier1[[#This Row],[1]:[30]],code20)</f>
        <v>0</v>
      </c>
      <c r="BL147" s="476">
        <f>COUNTIF(PArticipationFevrier1[[#This Row],[1]:[30]],code29)</f>
        <v>0</v>
      </c>
      <c r="BM147" s="472"/>
      <c r="BN147" s="472"/>
      <c r="BO147" s="472"/>
      <c r="BP147" s="472"/>
      <c r="BQ147" s="472"/>
      <c r="BR147" s="472"/>
      <c r="BS147" s="472"/>
      <c r="BT147" s="472"/>
      <c r="BU147" s="472"/>
      <c r="BV147" s="472"/>
      <c r="BW147" s="472"/>
      <c r="BX147" s="472"/>
      <c r="BY147" s="472"/>
      <c r="BZ147" s="472"/>
      <c r="CA147" s="472"/>
      <c r="CB147" s="472"/>
      <c r="CC147" s="472"/>
      <c r="CD147" s="472"/>
      <c r="CE147" s="472"/>
      <c r="CF147" s="472"/>
      <c r="CG147" s="472"/>
      <c r="CH147" s="472"/>
      <c r="CI147" s="472"/>
      <c r="CJ147" s="472"/>
      <c r="CK147" s="472"/>
      <c r="CL147" s="472"/>
      <c r="CM147" s="472"/>
      <c r="CN147" s="472"/>
      <c r="CO147" s="472"/>
      <c r="CP147" s="472"/>
      <c r="CQ147" s="472"/>
      <c r="CR147" s="472"/>
      <c r="CS147" s="472"/>
      <c r="CT147" s="472"/>
      <c r="CU147" s="300"/>
      <c r="CV147" s="507">
        <f t="shared" si="9"/>
        <v>0</v>
      </c>
      <c r="CW147" s="531">
        <f t="shared" si="10"/>
        <v>0</v>
      </c>
      <c r="CX147" s="532">
        <f t="shared" si="11"/>
        <v>0</v>
      </c>
      <c r="CY147" s="157">
        <f t="shared" si="8"/>
        <v>0</v>
      </c>
    </row>
    <row r="148" spans="1:103">
      <c r="A148" s="567" t="s">
        <v>599</v>
      </c>
      <c r="B148" s="152" t="str">
        <f>IFERROR(VLOOKUP(PArticipationFevrier1[[#This Row],[Référence]],ListeÉtudiants1[],18,FALSE),"")</f>
        <v>LOVE SAMUEL</v>
      </c>
      <c r="AF148" s="19"/>
      <c r="AG148" s="478"/>
      <c r="AH148" s="439">
        <f>COUNTIF(PArticipationFevrier1[[#This Row],[1]:[30]],Code1)</f>
        <v>0</v>
      </c>
      <c r="AI148" s="474">
        <f>COUNTIF(PArticipationFevrier1[[#This Row],[1]:[30]],code22)</f>
        <v>0</v>
      </c>
      <c r="AJ148" s="439">
        <f>COUNTIF(PArticipationFevrier1[[#This Row],[1]:[30]],Code2)</f>
        <v>0</v>
      </c>
      <c r="AK148" s="439">
        <f>COUNTIF(PArticipationFevrier1[[#This Row],[1]:[30]],Code3)</f>
        <v>0</v>
      </c>
      <c r="AL148" s="439">
        <f>COUNTIF(PArticipationFevrier1[[#This Row],[1]:[30]],Code4)</f>
        <v>0</v>
      </c>
      <c r="AM148" s="474">
        <f>COUNTIF(PArticipationFevrier1[[#This Row],[1]:[30]],Code5)</f>
        <v>0</v>
      </c>
      <c r="AN148" s="474"/>
      <c r="AO148" s="474">
        <f>COUNTIF(PArticipationFevrier1[[#This Row],[1]:[30]],Code6)</f>
        <v>0</v>
      </c>
      <c r="AP148" s="474">
        <f>COUNTIF(PArticipationFevrier1[[#This Row],[1]:[30]],Code7)</f>
        <v>0</v>
      </c>
      <c r="AQ148" s="474">
        <f>COUNTIF(PArticipationFevrier1[[#This Row],[1]:[30]],Code8)</f>
        <v>0</v>
      </c>
      <c r="AR148" s="474">
        <f>COUNTIF(PArticipationFevrier1[[#This Row],[1]:[30]],Code9)</f>
        <v>0</v>
      </c>
      <c r="AS148" s="474">
        <f>COUNTIF(PArticipationFevrier1[[#This Row],[1]:[30]],Code10)</f>
        <v>0</v>
      </c>
      <c r="AT148" s="474">
        <f>COUNTIF(PArticipationFevrier1[[#This Row],[1]:[30]],Code11)</f>
        <v>0</v>
      </c>
      <c r="AU148" s="474">
        <f>COUNTIF(PArticipationFevrier1[[#This Row],[1]:[30]],Code12)</f>
        <v>0</v>
      </c>
      <c r="AV148" s="474">
        <f>COUNTIF(PArticipationFevrier1[[#This Row],[1]:[30]],Code13)</f>
        <v>0</v>
      </c>
      <c r="AW148" s="474">
        <f>COUNTIF(PArticipationFevrier1[[#This Row],[1]:[30]],Code14)</f>
        <v>0</v>
      </c>
      <c r="AX148" s="474">
        <f>COUNTIF(PArticipationFevrier1[[#This Row],[1]:[30]],Code15)</f>
        <v>0</v>
      </c>
      <c r="AY148" s="474">
        <f>COUNTIF(PArticipationFevrier1[[#This Row],[1]:[30]],Code16)</f>
        <v>0</v>
      </c>
      <c r="AZ148" s="474">
        <f>COUNTIF(PArticipationFevrier1[[#This Row],[1]:[30]],Code17)</f>
        <v>0</v>
      </c>
      <c r="BA148" s="474">
        <f>COUNTIF(PArticipationFevrier1[[#This Row],[1]:[30]],Code26)</f>
        <v>0</v>
      </c>
      <c r="BB148" s="474">
        <f>COUNTIF(PArticipationFevrier1[[#This Row],[1]:[30]],Code25)</f>
        <v>0</v>
      </c>
      <c r="BC148" s="474">
        <f>COUNTIF(PArticipationFevrier1[[#This Row],[1]:[30]],Code27)</f>
        <v>0</v>
      </c>
      <c r="BD148" s="474">
        <f>COUNTIF(PArticipationFevrier1[[#This Row],[1]:[30]],Code28)</f>
        <v>0</v>
      </c>
      <c r="BE148" s="474">
        <f>COUNTIF(PArticipationFevrier1[[#This Row],[1]:[30]],code30)</f>
        <v>0</v>
      </c>
      <c r="BF148" s="474">
        <f>COUNTIF(PArticipationFevrier1[[#This Row],[1]:[30]],Code31)</f>
        <v>0</v>
      </c>
      <c r="BG148" s="474">
        <f>COUNTIF(PArticipationFevrier1[[#This Row],[1]:[30]],code21)</f>
        <v>0</v>
      </c>
      <c r="BH148" s="474">
        <f>COUNTIF(PArticipationFevrier1[[#This Row],[1]:[30]],Code24)</f>
        <v>0</v>
      </c>
      <c r="BI148" s="474">
        <f>COUNTIF(PArticipationFevrier1[[#This Row],[1]:[30]],code18)</f>
        <v>0</v>
      </c>
      <c r="BJ148" s="474">
        <f>COUNTIF(PArticipationFevrier1[[#This Row],[1]:[30]],code19)</f>
        <v>0</v>
      </c>
      <c r="BK148" s="474">
        <f>COUNTIF(PArticipationFevrier1[[#This Row],[1]:[30]],code20)</f>
        <v>0</v>
      </c>
      <c r="BL148" s="476">
        <f>COUNTIF(PArticipationFevrier1[[#This Row],[1]:[30]],code29)</f>
        <v>0</v>
      </c>
      <c r="BM148" s="472"/>
      <c r="BN148" s="472"/>
      <c r="BO148" s="472"/>
      <c r="BP148" s="472"/>
      <c r="BQ148" s="472"/>
      <c r="BR148" s="472"/>
      <c r="BS148" s="472"/>
      <c r="BT148" s="472"/>
      <c r="BU148" s="472"/>
      <c r="BV148" s="472"/>
      <c r="BW148" s="472"/>
      <c r="BX148" s="472"/>
      <c r="BY148" s="472"/>
      <c r="BZ148" s="472"/>
      <c r="CA148" s="472"/>
      <c r="CB148" s="472"/>
      <c r="CC148" s="472"/>
      <c r="CD148" s="472"/>
      <c r="CE148" s="472"/>
      <c r="CF148" s="472"/>
      <c r="CG148" s="472"/>
      <c r="CH148" s="472"/>
      <c r="CI148" s="472"/>
      <c r="CJ148" s="472"/>
      <c r="CK148" s="472"/>
      <c r="CL148" s="472"/>
      <c r="CM148" s="472"/>
      <c r="CN148" s="472"/>
      <c r="CO148" s="472"/>
      <c r="CP148" s="472"/>
      <c r="CQ148" s="472"/>
      <c r="CR148" s="472"/>
      <c r="CS148" s="472"/>
      <c r="CT148" s="472"/>
      <c r="CU148" s="300"/>
      <c r="CV148" s="507">
        <f t="shared" si="9"/>
        <v>0</v>
      </c>
      <c r="CW148" s="531">
        <f t="shared" si="10"/>
        <v>0</v>
      </c>
      <c r="CX148" s="532">
        <f t="shared" si="11"/>
        <v>0</v>
      </c>
      <c r="CY148" s="157">
        <f t="shared" si="8"/>
        <v>0</v>
      </c>
    </row>
    <row r="149" spans="1:103">
      <c r="A149" s="567" t="s">
        <v>602</v>
      </c>
      <c r="B149" s="152" t="str">
        <f>IFERROR(VLOOKUP(PArticipationFevrier1[[#This Row],[Référence]],ListeÉtudiants1[],18,FALSE),"")</f>
        <v>LOVELY JOSELITA</v>
      </c>
      <c r="AF149" s="19"/>
      <c r="AG149" s="478"/>
      <c r="AH149" s="439">
        <f>COUNTIF(PArticipationFevrier1[[#This Row],[1]:[30]],Code1)</f>
        <v>0</v>
      </c>
      <c r="AI149" s="474">
        <f>COUNTIF(PArticipationFevrier1[[#This Row],[1]:[30]],code22)</f>
        <v>0</v>
      </c>
      <c r="AJ149" s="439">
        <f>COUNTIF(PArticipationFevrier1[[#This Row],[1]:[30]],Code2)</f>
        <v>0</v>
      </c>
      <c r="AK149" s="439">
        <f>COUNTIF(PArticipationFevrier1[[#This Row],[1]:[30]],Code3)</f>
        <v>0</v>
      </c>
      <c r="AL149" s="439">
        <f>COUNTIF(PArticipationFevrier1[[#This Row],[1]:[30]],Code4)</f>
        <v>0</v>
      </c>
      <c r="AM149" s="474">
        <f>COUNTIF(PArticipationFevrier1[[#This Row],[1]:[30]],Code5)</f>
        <v>0</v>
      </c>
      <c r="AN149" s="474"/>
      <c r="AO149" s="474">
        <f>COUNTIF(PArticipationFevrier1[[#This Row],[1]:[30]],Code6)</f>
        <v>0</v>
      </c>
      <c r="AP149" s="474">
        <f>COUNTIF(PArticipationFevrier1[[#This Row],[1]:[30]],Code7)</f>
        <v>0</v>
      </c>
      <c r="AQ149" s="474">
        <f>COUNTIF(PArticipationFevrier1[[#This Row],[1]:[30]],Code8)</f>
        <v>0</v>
      </c>
      <c r="AR149" s="474">
        <f>COUNTIF(PArticipationFevrier1[[#This Row],[1]:[30]],Code9)</f>
        <v>0</v>
      </c>
      <c r="AS149" s="474">
        <f>COUNTIF(PArticipationFevrier1[[#This Row],[1]:[30]],Code10)</f>
        <v>0</v>
      </c>
      <c r="AT149" s="474">
        <f>COUNTIF(PArticipationFevrier1[[#This Row],[1]:[30]],Code11)</f>
        <v>0</v>
      </c>
      <c r="AU149" s="474">
        <f>COUNTIF(PArticipationFevrier1[[#This Row],[1]:[30]],Code12)</f>
        <v>0</v>
      </c>
      <c r="AV149" s="474">
        <f>COUNTIF(PArticipationFevrier1[[#This Row],[1]:[30]],Code13)</f>
        <v>0</v>
      </c>
      <c r="AW149" s="474">
        <f>COUNTIF(PArticipationFevrier1[[#This Row],[1]:[30]],Code14)</f>
        <v>0</v>
      </c>
      <c r="AX149" s="474">
        <f>COUNTIF(PArticipationFevrier1[[#This Row],[1]:[30]],Code15)</f>
        <v>0</v>
      </c>
      <c r="AY149" s="474">
        <f>COUNTIF(PArticipationFevrier1[[#This Row],[1]:[30]],Code16)</f>
        <v>0</v>
      </c>
      <c r="AZ149" s="474">
        <f>COUNTIF(PArticipationFevrier1[[#This Row],[1]:[30]],Code17)</f>
        <v>0</v>
      </c>
      <c r="BA149" s="474">
        <f>COUNTIF(PArticipationFevrier1[[#This Row],[1]:[30]],Code26)</f>
        <v>0</v>
      </c>
      <c r="BB149" s="474">
        <f>COUNTIF(PArticipationFevrier1[[#This Row],[1]:[30]],Code25)</f>
        <v>0</v>
      </c>
      <c r="BC149" s="474">
        <f>COUNTIF(PArticipationFevrier1[[#This Row],[1]:[30]],Code27)</f>
        <v>0</v>
      </c>
      <c r="BD149" s="474">
        <f>COUNTIF(PArticipationFevrier1[[#This Row],[1]:[30]],Code28)</f>
        <v>0</v>
      </c>
      <c r="BE149" s="474">
        <f>COUNTIF(PArticipationFevrier1[[#This Row],[1]:[30]],code30)</f>
        <v>0</v>
      </c>
      <c r="BF149" s="474">
        <f>COUNTIF(PArticipationFevrier1[[#This Row],[1]:[30]],Code31)</f>
        <v>0</v>
      </c>
      <c r="BG149" s="474">
        <f>COUNTIF(PArticipationFevrier1[[#This Row],[1]:[30]],code21)</f>
        <v>0</v>
      </c>
      <c r="BH149" s="474">
        <f>COUNTIF(PArticipationFevrier1[[#This Row],[1]:[30]],Code24)</f>
        <v>0</v>
      </c>
      <c r="BI149" s="474">
        <f>COUNTIF(PArticipationFevrier1[[#This Row],[1]:[30]],code18)</f>
        <v>0</v>
      </c>
      <c r="BJ149" s="474">
        <f>COUNTIF(PArticipationFevrier1[[#This Row],[1]:[30]],code19)</f>
        <v>0</v>
      </c>
      <c r="BK149" s="474">
        <f>COUNTIF(PArticipationFevrier1[[#This Row],[1]:[30]],code20)</f>
        <v>0</v>
      </c>
      <c r="BL149" s="476">
        <f>COUNTIF(PArticipationFevrier1[[#This Row],[1]:[30]],code29)</f>
        <v>0</v>
      </c>
      <c r="BM149" s="472"/>
      <c r="BN149" s="472"/>
      <c r="BO149" s="472"/>
      <c r="BP149" s="472"/>
      <c r="BQ149" s="472"/>
      <c r="BR149" s="472"/>
      <c r="BS149" s="472"/>
      <c r="BT149" s="472"/>
      <c r="BU149" s="472"/>
      <c r="BV149" s="472"/>
      <c r="BW149" s="472"/>
      <c r="BX149" s="472"/>
      <c r="BY149" s="472"/>
      <c r="BZ149" s="472"/>
      <c r="CA149" s="472"/>
      <c r="CB149" s="472"/>
      <c r="CC149" s="472"/>
      <c r="CD149" s="472"/>
      <c r="CE149" s="472"/>
      <c r="CF149" s="472"/>
      <c r="CG149" s="472"/>
      <c r="CH149" s="472"/>
      <c r="CI149" s="472"/>
      <c r="CJ149" s="472"/>
      <c r="CK149" s="472"/>
      <c r="CL149" s="472"/>
      <c r="CM149" s="472"/>
      <c r="CN149" s="472"/>
      <c r="CO149" s="472"/>
      <c r="CP149" s="472"/>
      <c r="CQ149" s="472"/>
      <c r="CR149" s="472"/>
      <c r="CS149" s="472"/>
      <c r="CT149" s="472"/>
      <c r="CU149" s="300"/>
      <c r="CV149" s="507">
        <f t="shared" si="9"/>
        <v>0</v>
      </c>
      <c r="CW149" s="531">
        <f t="shared" si="10"/>
        <v>0</v>
      </c>
      <c r="CX149" s="532">
        <f t="shared" si="11"/>
        <v>0</v>
      </c>
      <c r="CY149" s="157">
        <f t="shared" si="8"/>
        <v>0</v>
      </c>
    </row>
    <row r="150" spans="1:103">
      <c r="A150" s="567" t="s">
        <v>606</v>
      </c>
      <c r="B150" s="152" t="str">
        <f>IFERROR(VLOOKUP(PArticipationFevrier1[[#This Row],[Référence]],ListeÉtudiants1[],18,FALSE),"")</f>
        <v>MALULU INGRID</v>
      </c>
      <c r="AF150" s="19"/>
      <c r="AG150" s="478"/>
      <c r="AH150" s="439">
        <f>COUNTIF(PArticipationFevrier1[[#This Row],[1]:[30]],Code1)</f>
        <v>0</v>
      </c>
      <c r="AI150" s="474">
        <f>COUNTIF(PArticipationFevrier1[[#This Row],[1]:[30]],code22)</f>
        <v>0</v>
      </c>
      <c r="AJ150" s="439">
        <f>COUNTIF(PArticipationFevrier1[[#This Row],[1]:[30]],Code2)</f>
        <v>0</v>
      </c>
      <c r="AK150" s="439">
        <f>COUNTIF(PArticipationFevrier1[[#This Row],[1]:[30]],Code3)</f>
        <v>0</v>
      </c>
      <c r="AL150" s="439">
        <f>COUNTIF(PArticipationFevrier1[[#This Row],[1]:[30]],Code4)</f>
        <v>0</v>
      </c>
      <c r="AM150" s="474">
        <f>COUNTIF(PArticipationFevrier1[[#This Row],[1]:[30]],Code5)</f>
        <v>0</v>
      </c>
      <c r="AN150" s="474"/>
      <c r="AO150" s="474">
        <f>COUNTIF(PArticipationFevrier1[[#This Row],[1]:[30]],Code6)</f>
        <v>0</v>
      </c>
      <c r="AP150" s="474">
        <f>COUNTIF(PArticipationFevrier1[[#This Row],[1]:[30]],Code7)</f>
        <v>0</v>
      </c>
      <c r="AQ150" s="474">
        <f>COUNTIF(PArticipationFevrier1[[#This Row],[1]:[30]],Code8)</f>
        <v>0</v>
      </c>
      <c r="AR150" s="474">
        <f>COUNTIF(PArticipationFevrier1[[#This Row],[1]:[30]],Code9)</f>
        <v>0</v>
      </c>
      <c r="AS150" s="474">
        <f>COUNTIF(PArticipationFevrier1[[#This Row],[1]:[30]],Code10)</f>
        <v>0</v>
      </c>
      <c r="AT150" s="474">
        <f>COUNTIF(PArticipationFevrier1[[#This Row],[1]:[30]],Code11)</f>
        <v>0</v>
      </c>
      <c r="AU150" s="474">
        <f>COUNTIF(PArticipationFevrier1[[#This Row],[1]:[30]],Code12)</f>
        <v>0</v>
      </c>
      <c r="AV150" s="474">
        <f>COUNTIF(PArticipationFevrier1[[#This Row],[1]:[30]],Code13)</f>
        <v>0</v>
      </c>
      <c r="AW150" s="474">
        <f>COUNTIF(PArticipationFevrier1[[#This Row],[1]:[30]],Code14)</f>
        <v>0</v>
      </c>
      <c r="AX150" s="474">
        <f>COUNTIF(PArticipationFevrier1[[#This Row],[1]:[30]],Code15)</f>
        <v>0</v>
      </c>
      <c r="AY150" s="474">
        <f>COUNTIF(PArticipationFevrier1[[#This Row],[1]:[30]],Code16)</f>
        <v>0</v>
      </c>
      <c r="AZ150" s="474">
        <f>COUNTIF(PArticipationFevrier1[[#This Row],[1]:[30]],Code17)</f>
        <v>0</v>
      </c>
      <c r="BA150" s="474">
        <f>COUNTIF(PArticipationFevrier1[[#This Row],[1]:[30]],Code26)</f>
        <v>0</v>
      </c>
      <c r="BB150" s="474">
        <f>COUNTIF(PArticipationFevrier1[[#This Row],[1]:[30]],Code25)</f>
        <v>0</v>
      </c>
      <c r="BC150" s="474">
        <f>COUNTIF(PArticipationFevrier1[[#This Row],[1]:[30]],Code27)</f>
        <v>0</v>
      </c>
      <c r="BD150" s="474">
        <f>COUNTIF(PArticipationFevrier1[[#This Row],[1]:[30]],Code28)</f>
        <v>0</v>
      </c>
      <c r="BE150" s="474">
        <f>COUNTIF(PArticipationFevrier1[[#This Row],[1]:[30]],code30)</f>
        <v>0</v>
      </c>
      <c r="BF150" s="474">
        <f>COUNTIF(PArticipationFevrier1[[#This Row],[1]:[30]],Code31)</f>
        <v>0</v>
      </c>
      <c r="BG150" s="474">
        <f>COUNTIF(PArticipationFevrier1[[#This Row],[1]:[30]],code21)</f>
        <v>0</v>
      </c>
      <c r="BH150" s="474">
        <f>COUNTIF(PArticipationFevrier1[[#This Row],[1]:[30]],Code24)</f>
        <v>0</v>
      </c>
      <c r="BI150" s="474">
        <f>COUNTIF(PArticipationFevrier1[[#This Row],[1]:[30]],code18)</f>
        <v>0</v>
      </c>
      <c r="BJ150" s="474">
        <f>COUNTIF(PArticipationFevrier1[[#This Row],[1]:[30]],code19)</f>
        <v>0</v>
      </c>
      <c r="BK150" s="474">
        <f>COUNTIF(PArticipationFevrier1[[#This Row],[1]:[30]],code20)</f>
        <v>0</v>
      </c>
      <c r="BL150" s="476">
        <f>COUNTIF(PArticipationFevrier1[[#This Row],[1]:[30]],code29)</f>
        <v>0</v>
      </c>
      <c r="BM150" s="472"/>
      <c r="BN150" s="472"/>
      <c r="BO150" s="472"/>
      <c r="BP150" s="472"/>
      <c r="BQ150" s="472"/>
      <c r="BR150" s="472"/>
      <c r="BS150" s="472"/>
      <c r="BT150" s="472"/>
      <c r="BU150" s="472"/>
      <c r="BV150" s="472"/>
      <c r="BW150" s="472"/>
      <c r="BX150" s="472"/>
      <c r="BY150" s="472"/>
      <c r="BZ150" s="472"/>
      <c r="CA150" s="472"/>
      <c r="CB150" s="472"/>
      <c r="CC150" s="472"/>
      <c r="CD150" s="472"/>
      <c r="CE150" s="472"/>
      <c r="CF150" s="472"/>
      <c r="CG150" s="472"/>
      <c r="CH150" s="472"/>
      <c r="CI150" s="472"/>
      <c r="CJ150" s="472"/>
      <c r="CK150" s="472"/>
      <c r="CL150" s="472"/>
      <c r="CM150" s="472"/>
      <c r="CN150" s="472"/>
      <c r="CO150" s="472"/>
      <c r="CP150" s="472"/>
      <c r="CQ150" s="472"/>
      <c r="CR150" s="472"/>
      <c r="CS150" s="472"/>
      <c r="CT150" s="472"/>
      <c r="CU150" s="300"/>
      <c r="CV150" s="507">
        <f t="shared" si="9"/>
        <v>0</v>
      </c>
      <c r="CW150" s="531">
        <f t="shared" si="10"/>
        <v>0</v>
      </c>
      <c r="CX150" s="532">
        <f t="shared" si="11"/>
        <v>0</v>
      </c>
      <c r="CY150" s="157">
        <f t="shared" si="8"/>
        <v>0</v>
      </c>
    </row>
    <row r="151" spans="1:103">
      <c r="A151" s="567" t="s">
        <v>608</v>
      </c>
      <c r="B151" s="152" t="str">
        <f>IFERROR(VLOOKUP(PArticipationFevrier1[[#This Row],[Référence]],ListeÉtudiants1[],18,FALSE),"")</f>
        <v>NGOME BEKOMBO CASIMIR</v>
      </c>
      <c r="AF151" s="19"/>
      <c r="AG151" s="478"/>
      <c r="AH151" s="439">
        <f>COUNTIF(PArticipationFevrier1[[#This Row],[1]:[30]],Code1)</f>
        <v>0</v>
      </c>
      <c r="AI151" s="474">
        <f>COUNTIF(PArticipationFevrier1[[#This Row],[1]:[30]],code22)</f>
        <v>0</v>
      </c>
      <c r="AJ151" s="439">
        <f>COUNTIF(PArticipationFevrier1[[#This Row],[1]:[30]],Code2)</f>
        <v>0</v>
      </c>
      <c r="AK151" s="439">
        <f>COUNTIF(PArticipationFevrier1[[#This Row],[1]:[30]],Code3)</f>
        <v>0</v>
      </c>
      <c r="AL151" s="439">
        <f>COUNTIF(PArticipationFevrier1[[#This Row],[1]:[30]],Code4)</f>
        <v>0</v>
      </c>
      <c r="AM151" s="474">
        <f>COUNTIF(PArticipationFevrier1[[#This Row],[1]:[30]],Code5)</f>
        <v>0</v>
      </c>
      <c r="AN151" s="474"/>
      <c r="AO151" s="474">
        <f>COUNTIF(PArticipationFevrier1[[#This Row],[1]:[30]],Code6)</f>
        <v>0</v>
      </c>
      <c r="AP151" s="474">
        <f>COUNTIF(PArticipationFevrier1[[#This Row],[1]:[30]],Code7)</f>
        <v>0</v>
      </c>
      <c r="AQ151" s="474">
        <f>COUNTIF(PArticipationFevrier1[[#This Row],[1]:[30]],Code8)</f>
        <v>0</v>
      </c>
      <c r="AR151" s="474">
        <f>COUNTIF(PArticipationFevrier1[[#This Row],[1]:[30]],Code9)</f>
        <v>0</v>
      </c>
      <c r="AS151" s="474">
        <f>COUNTIF(PArticipationFevrier1[[#This Row],[1]:[30]],Code10)</f>
        <v>0</v>
      </c>
      <c r="AT151" s="474">
        <f>COUNTIF(PArticipationFevrier1[[#This Row],[1]:[30]],Code11)</f>
        <v>0</v>
      </c>
      <c r="AU151" s="474">
        <f>COUNTIF(PArticipationFevrier1[[#This Row],[1]:[30]],Code12)</f>
        <v>0</v>
      </c>
      <c r="AV151" s="474">
        <f>COUNTIF(PArticipationFevrier1[[#This Row],[1]:[30]],Code13)</f>
        <v>0</v>
      </c>
      <c r="AW151" s="474">
        <f>COUNTIF(PArticipationFevrier1[[#This Row],[1]:[30]],Code14)</f>
        <v>0</v>
      </c>
      <c r="AX151" s="474">
        <f>COUNTIF(PArticipationFevrier1[[#This Row],[1]:[30]],Code15)</f>
        <v>0</v>
      </c>
      <c r="AY151" s="474">
        <f>COUNTIF(PArticipationFevrier1[[#This Row],[1]:[30]],Code16)</f>
        <v>0</v>
      </c>
      <c r="AZ151" s="474">
        <f>COUNTIF(PArticipationFevrier1[[#This Row],[1]:[30]],Code17)</f>
        <v>0</v>
      </c>
      <c r="BA151" s="474">
        <f>COUNTIF(PArticipationFevrier1[[#This Row],[1]:[30]],Code26)</f>
        <v>0</v>
      </c>
      <c r="BB151" s="474">
        <f>COUNTIF(PArticipationFevrier1[[#This Row],[1]:[30]],Code25)</f>
        <v>0</v>
      </c>
      <c r="BC151" s="474">
        <f>COUNTIF(PArticipationFevrier1[[#This Row],[1]:[30]],Code27)</f>
        <v>0</v>
      </c>
      <c r="BD151" s="474">
        <f>COUNTIF(PArticipationFevrier1[[#This Row],[1]:[30]],Code28)</f>
        <v>0</v>
      </c>
      <c r="BE151" s="474">
        <f>COUNTIF(PArticipationFevrier1[[#This Row],[1]:[30]],code30)</f>
        <v>0</v>
      </c>
      <c r="BF151" s="474">
        <f>COUNTIF(PArticipationFevrier1[[#This Row],[1]:[30]],Code31)</f>
        <v>0</v>
      </c>
      <c r="BG151" s="474">
        <f>COUNTIF(PArticipationFevrier1[[#This Row],[1]:[30]],code21)</f>
        <v>0</v>
      </c>
      <c r="BH151" s="474">
        <f>COUNTIF(PArticipationFevrier1[[#This Row],[1]:[30]],Code24)</f>
        <v>0</v>
      </c>
      <c r="BI151" s="474">
        <f>COUNTIF(PArticipationFevrier1[[#This Row],[1]:[30]],code18)</f>
        <v>0</v>
      </c>
      <c r="BJ151" s="474">
        <f>COUNTIF(PArticipationFevrier1[[#This Row],[1]:[30]],code19)</f>
        <v>0</v>
      </c>
      <c r="BK151" s="474">
        <f>COUNTIF(PArticipationFevrier1[[#This Row],[1]:[30]],code20)</f>
        <v>0</v>
      </c>
      <c r="BL151" s="476">
        <f>COUNTIF(PArticipationFevrier1[[#This Row],[1]:[30]],code29)</f>
        <v>0</v>
      </c>
      <c r="BM151" s="472"/>
      <c r="BN151" s="472"/>
      <c r="BO151" s="472"/>
      <c r="BP151" s="472"/>
      <c r="BQ151" s="472"/>
      <c r="BR151" s="472"/>
      <c r="BS151" s="472"/>
      <c r="BT151" s="472"/>
      <c r="BU151" s="472"/>
      <c r="BV151" s="472"/>
      <c r="BW151" s="472"/>
      <c r="BX151" s="472"/>
      <c r="BY151" s="472"/>
      <c r="BZ151" s="472"/>
      <c r="CA151" s="472"/>
      <c r="CB151" s="472"/>
      <c r="CC151" s="472"/>
      <c r="CD151" s="472"/>
      <c r="CE151" s="472"/>
      <c r="CF151" s="472"/>
      <c r="CG151" s="472"/>
      <c r="CH151" s="472"/>
      <c r="CI151" s="472"/>
      <c r="CJ151" s="472"/>
      <c r="CK151" s="472"/>
      <c r="CL151" s="472"/>
      <c r="CM151" s="472"/>
      <c r="CN151" s="472"/>
      <c r="CO151" s="472"/>
      <c r="CP151" s="472"/>
      <c r="CQ151" s="472"/>
      <c r="CR151" s="472"/>
      <c r="CS151" s="472"/>
      <c r="CT151" s="472"/>
      <c r="CU151" s="300"/>
      <c r="CV151" s="507">
        <f t="shared" si="9"/>
        <v>0</v>
      </c>
      <c r="CW151" s="531">
        <f t="shared" si="10"/>
        <v>0</v>
      </c>
      <c r="CX151" s="532">
        <f t="shared" si="11"/>
        <v>0</v>
      </c>
      <c r="CY151" s="157">
        <f t="shared" si="8"/>
        <v>0</v>
      </c>
    </row>
    <row r="152" spans="1:103">
      <c r="A152" s="567" t="s">
        <v>609</v>
      </c>
      <c r="B152" s="152" t="str">
        <f>IFERROR(VLOOKUP(PArticipationFevrier1[[#This Row],[Référence]],ListeÉtudiants1[],18,FALSE),"")</f>
        <v>SAINTRAY  Dorian</v>
      </c>
      <c r="AF152" s="19"/>
      <c r="AG152" s="478"/>
      <c r="AH152" s="439">
        <f>COUNTIF(PArticipationFevrier1[[#This Row],[1]:[30]],Code1)</f>
        <v>0</v>
      </c>
      <c r="AI152" s="474">
        <f>COUNTIF(PArticipationFevrier1[[#This Row],[1]:[30]],code22)</f>
        <v>0</v>
      </c>
      <c r="AJ152" s="439">
        <f>COUNTIF(PArticipationFevrier1[[#This Row],[1]:[30]],Code2)</f>
        <v>0</v>
      </c>
      <c r="AK152" s="439">
        <f>COUNTIF(PArticipationFevrier1[[#This Row],[1]:[30]],Code3)</f>
        <v>0</v>
      </c>
      <c r="AL152" s="439">
        <f>COUNTIF(PArticipationFevrier1[[#This Row],[1]:[30]],Code4)</f>
        <v>0</v>
      </c>
      <c r="AM152" s="474">
        <f>COUNTIF(PArticipationFevrier1[[#This Row],[1]:[30]],Code5)</f>
        <v>0</v>
      </c>
      <c r="AN152" s="474"/>
      <c r="AO152" s="474">
        <f>COUNTIF(PArticipationFevrier1[[#This Row],[1]:[30]],Code6)</f>
        <v>0</v>
      </c>
      <c r="AP152" s="474">
        <f>COUNTIF(PArticipationFevrier1[[#This Row],[1]:[30]],Code7)</f>
        <v>0</v>
      </c>
      <c r="AQ152" s="474">
        <f>COUNTIF(PArticipationFevrier1[[#This Row],[1]:[30]],Code8)</f>
        <v>0</v>
      </c>
      <c r="AR152" s="474">
        <f>COUNTIF(PArticipationFevrier1[[#This Row],[1]:[30]],Code9)</f>
        <v>0</v>
      </c>
      <c r="AS152" s="474">
        <f>COUNTIF(PArticipationFevrier1[[#This Row],[1]:[30]],Code10)</f>
        <v>0</v>
      </c>
      <c r="AT152" s="474">
        <f>COUNTIF(PArticipationFevrier1[[#This Row],[1]:[30]],Code11)</f>
        <v>0</v>
      </c>
      <c r="AU152" s="474">
        <f>COUNTIF(PArticipationFevrier1[[#This Row],[1]:[30]],Code12)</f>
        <v>0</v>
      </c>
      <c r="AV152" s="474">
        <f>COUNTIF(PArticipationFevrier1[[#This Row],[1]:[30]],Code13)</f>
        <v>0</v>
      </c>
      <c r="AW152" s="474">
        <f>COUNTIF(PArticipationFevrier1[[#This Row],[1]:[30]],Code14)</f>
        <v>0</v>
      </c>
      <c r="AX152" s="474">
        <f>COUNTIF(PArticipationFevrier1[[#This Row],[1]:[30]],Code15)</f>
        <v>0</v>
      </c>
      <c r="AY152" s="474">
        <f>COUNTIF(PArticipationFevrier1[[#This Row],[1]:[30]],Code16)</f>
        <v>0</v>
      </c>
      <c r="AZ152" s="474">
        <f>COUNTIF(PArticipationFevrier1[[#This Row],[1]:[30]],Code17)</f>
        <v>0</v>
      </c>
      <c r="BA152" s="474">
        <f>COUNTIF(PArticipationFevrier1[[#This Row],[1]:[30]],Code26)</f>
        <v>0</v>
      </c>
      <c r="BB152" s="474">
        <f>COUNTIF(PArticipationFevrier1[[#This Row],[1]:[30]],Code25)</f>
        <v>0</v>
      </c>
      <c r="BC152" s="474">
        <f>COUNTIF(PArticipationFevrier1[[#This Row],[1]:[30]],Code27)</f>
        <v>0</v>
      </c>
      <c r="BD152" s="474">
        <f>COUNTIF(PArticipationFevrier1[[#This Row],[1]:[30]],Code28)</f>
        <v>0</v>
      </c>
      <c r="BE152" s="474">
        <f>COUNTIF(PArticipationFevrier1[[#This Row],[1]:[30]],code30)</f>
        <v>0</v>
      </c>
      <c r="BF152" s="474">
        <f>COUNTIF(PArticipationFevrier1[[#This Row],[1]:[30]],Code31)</f>
        <v>0</v>
      </c>
      <c r="BG152" s="474">
        <f>COUNTIF(PArticipationFevrier1[[#This Row],[1]:[30]],code21)</f>
        <v>0</v>
      </c>
      <c r="BH152" s="474">
        <f>COUNTIF(PArticipationFevrier1[[#This Row],[1]:[30]],Code24)</f>
        <v>0</v>
      </c>
      <c r="BI152" s="474">
        <f>COUNTIF(PArticipationFevrier1[[#This Row],[1]:[30]],code18)</f>
        <v>0</v>
      </c>
      <c r="BJ152" s="474">
        <f>COUNTIF(PArticipationFevrier1[[#This Row],[1]:[30]],code19)</f>
        <v>0</v>
      </c>
      <c r="BK152" s="474">
        <f>COUNTIF(PArticipationFevrier1[[#This Row],[1]:[30]],code20)</f>
        <v>0</v>
      </c>
      <c r="BL152" s="476">
        <f>COUNTIF(PArticipationFevrier1[[#This Row],[1]:[30]],code29)</f>
        <v>0</v>
      </c>
      <c r="BM152" s="472"/>
      <c r="BN152" s="472"/>
      <c r="BO152" s="472"/>
      <c r="BP152" s="472"/>
      <c r="BQ152" s="472"/>
      <c r="BR152" s="472"/>
      <c r="BS152" s="472"/>
      <c r="BT152" s="472"/>
      <c r="BU152" s="472"/>
      <c r="BV152" s="472"/>
      <c r="BW152" s="472"/>
      <c r="BX152" s="472"/>
      <c r="BY152" s="472"/>
      <c r="BZ152" s="472"/>
      <c r="CA152" s="472"/>
      <c r="CB152" s="472"/>
      <c r="CC152" s="472"/>
      <c r="CD152" s="472"/>
      <c r="CE152" s="472"/>
      <c r="CF152" s="472"/>
      <c r="CG152" s="472"/>
      <c r="CH152" s="472"/>
      <c r="CI152" s="472"/>
      <c r="CJ152" s="472"/>
      <c r="CK152" s="472"/>
      <c r="CL152" s="472"/>
      <c r="CM152" s="472"/>
      <c r="CN152" s="472"/>
      <c r="CO152" s="472"/>
      <c r="CP152" s="472"/>
      <c r="CQ152" s="472"/>
      <c r="CR152" s="472"/>
      <c r="CS152" s="472"/>
      <c r="CT152" s="472"/>
      <c r="CU152" s="300"/>
      <c r="CV152" s="507">
        <f t="shared" si="9"/>
        <v>0</v>
      </c>
      <c r="CW152" s="531">
        <f t="shared" si="10"/>
        <v>0</v>
      </c>
      <c r="CX152" s="532">
        <f t="shared" si="11"/>
        <v>0</v>
      </c>
      <c r="CY152" s="157">
        <f t="shared" si="8"/>
        <v>0</v>
      </c>
    </row>
    <row r="153" spans="1:103">
      <c r="A153" s="567" t="s">
        <v>613</v>
      </c>
      <c r="B153" s="152" t="str">
        <f>IFERROR(VLOOKUP(PArticipationFevrier1[[#This Row],[Référence]],ListeÉtudiants1[],18,FALSE),"")</f>
        <v xml:space="preserve">SISSOKO </v>
      </c>
      <c r="AF153" s="19"/>
      <c r="AG153" s="478"/>
      <c r="AH153" s="439">
        <f>COUNTIF(PArticipationFevrier1[[#This Row],[1]:[30]],Code1)</f>
        <v>0</v>
      </c>
      <c r="AI153" s="474">
        <f>COUNTIF(PArticipationFevrier1[[#This Row],[1]:[30]],code22)</f>
        <v>0</v>
      </c>
      <c r="AJ153" s="439">
        <f>COUNTIF(PArticipationFevrier1[[#This Row],[1]:[30]],Code2)</f>
        <v>0</v>
      </c>
      <c r="AK153" s="439">
        <f>COUNTIF(PArticipationFevrier1[[#This Row],[1]:[30]],Code3)</f>
        <v>0</v>
      </c>
      <c r="AL153" s="439">
        <f>COUNTIF(PArticipationFevrier1[[#This Row],[1]:[30]],Code4)</f>
        <v>0</v>
      </c>
      <c r="AM153" s="474">
        <f>COUNTIF(PArticipationFevrier1[[#This Row],[1]:[30]],Code5)</f>
        <v>0</v>
      </c>
      <c r="AN153" s="474"/>
      <c r="AO153" s="474">
        <f>COUNTIF(PArticipationFevrier1[[#This Row],[1]:[30]],Code6)</f>
        <v>0</v>
      </c>
      <c r="AP153" s="474">
        <f>COUNTIF(PArticipationFevrier1[[#This Row],[1]:[30]],Code7)</f>
        <v>0</v>
      </c>
      <c r="AQ153" s="474">
        <f>COUNTIF(PArticipationFevrier1[[#This Row],[1]:[30]],Code8)</f>
        <v>0</v>
      </c>
      <c r="AR153" s="474">
        <f>COUNTIF(PArticipationFevrier1[[#This Row],[1]:[30]],Code9)</f>
        <v>0</v>
      </c>
      <c r="AS153" s="474">
        <f>COUNTIF(PArticipationFevrier1[[#This Row],[1]:[30]],Code10)</f>
        <v>0</v>
      </c>
      <c r="AT153" s="474">
        <f>COUNTIF(PArticipationFevrier1[[#This Row],[1]:[30]],Code11)</f>
        <v>0</v>
      </c>
      <c r="AU153" s="474">
        <f>COUNTIF(PArticipationFevrier1[[#This Row],[1]:[30]],Code12)</f>
        <v>0</v>
      </c>
      <c r="AV153" s="474">
        <f>COUNTIF(PArticipationFevrier1[[#This Row],[1]:[30]],Code13)</f>
        <v>0</v>
      </c>
      <c r="AW153" s="474">
        <f>COUNTIF(PArticipationFevrier1[[#This Row],[1]:[30]],Code14)</f>
        <v>0</v>
      </c>
      <c r="AX153" s="474">
        <f>COUNTIF(PArticipationFevrier1[[#This Row],[1]:[30]],Code15)</f>
        <v>0</v>
      </c>
      <c r="AY153" s="474">
        <f>COUNTIF(PArticipationFevrier1[[#This Row],[1]:[30]],Code16)</f>
        <v>0</v>
      </c>
      <c r="AZ153" s="474">
        <f>COUNTIF(PArticipationFevrier1[[#This Row],[1]:[30]],Code17)</f>
        <v>0</v>
      </c>
      <c r="BA153" s="474">
        <f>COUNTIF(PArticipationFevrier1[[#This Row],[1]:[30]],Code26)</f>
        <v>0</v>
      </c>
      <c r="BB153" s="474">
        <f>COUNTIF(PArticipationFevrier1[[#This Row],[1]:[30]],Code25)</f>
        <v>0</v>
      </c>
      <c r="BC153" s="474">
        <f>COUNTIF(PArticipationFevrier1[[#This Row],[1]:[30]],Code27)</f>
        <v>0</v>
      </c>
      <c r="BD153" s="474">
        <f>COUNTIF(PArticipationFevrier1[[#This Row],[1]:[30]],Code28)</f>
        <v>0</v>
      </c>
      <c r="BE153" s="474">
        <f>COUNTIF(PArticipationFevrier1[[#This Row],[1]:[30]],code30)</f>
        <v>0</v>
      </c>
      <c r="BF153" s="474">
        <f>COUNTIF(PArticipationFevrier1[[#This Row],[1]:[30]],Code31)</f>
        <v>0</v>
      </c>
      <c r="BG153" s="474">
        <f>COUNTIF(PArticipationFevrier1[[#This Row],[1]:[30]],code21)</f>
        <v>0</v>
      </c>
      <c r="BH153" s="474">
        <f>COUNTIF(PArticipationFevrier1[[#This Row],[1]:[30]],Code24)</f>
        <v>0</v>
      </c>
      <c r="BI153" s="474">
        <f>COUNTIF(PArticipationFevrier1[[#This Row],[1]:[30]],code18)</f>
        <v>0</v>
      </c>
      <c r="BJ153" s="474">
        <f>COUNTIF(PArticipationFevrier1[[#This Row],[1]:[30]],code19)</f>
        <v>0</v>
      </c>
      <c r="BK153" s="474">
        <f>COUNTIF(PArticipationFevrier1[[#This Row],[1]:[30]],code20)</f>
        <v>0</v>
      </c>
      <c r="BL153" s="476">
        <f>COUNTIF(PArticipationFevrier1[[#This Row],[1]:[30]],code29)</f>
        <v>0</v>
      </c>
      <c r="BM153" s="472"/>
      <c r="BN153" s="472"/>
      <c r="BO153" s="472"/>
      <c r="BP153" s="472"/>
      <c r="BQ153" s="472"/>
      <c r="BR153" s="472"/>
      <c r="BS153" s="472"/>
      <c r="BT153" s="472"/>
      <c r="BU153" s="472"/>
      <c r="BV153" s="472"/>
      <c r="BW153" s="472"/>
      <c r="BX153" s="472"/>
      <c r="BY153" s="472"/>
      <c r="BZ153" s="472"/>
      <c r="CA153" s="472"/>
      <c r="CB153" s="472"/>
      <c r="CC153" s="472"/>
      <c r="CD153" s="472"/>
      <c r="CE153" s="472"/>
      <c r="CF153" s="472"/>
      <c r="CG153" s="472"/>
      <c r="CH153" s="472"/>
      <c r="CI153" s="472"/>
      <c r="CJ153" s="472"/>
      <c r="CK153" s="472"/>
      <c r="CL153" s="472"/>
      <c r="CM153" s="472"/>
      <c r="CN153" s="472"/>
      <c r="CO153" s="472"/>
      <c r="CP153" s="472"/>
      <c r="CQ153" s="472"/>
      <c r="CR153" s="472"/>
      <c r="CS153" s="472"/>
      <c r="CT153" s="472"/>
      <c r="CU153" s="300"/>
      <c r="CV153" s="507">
        <f t="shared" si="9"/>
        <v>0</v>
      </c>
      <c r="CW153" s="531">
        <f t="shared" si="10"/>
        <v>0</v>
      </c>
      <c r="CX153" s="532">
        <f t="shared" si="11"/>
        <v>0</v>
      </c>
      <c r="CY153" s="157">
        <f t="shared" si="8"/>
        <v>0</v>
      </c>
    </row>
    <row r="154" spans="1:103">
      <c r="A154" s="567" t="s">
        <v>614</v>
      </c>
      <c r="B154" s="152" t="str">
        <f>IFERROR(VLOOKUP(PArticipationFevrier1[[#This Row],[Référence]],ListeÉtudiants1[],18,FALSE),"")</f>
        <v>ZAKHOUR Samantha</v>
      </c>
      <c r="AF154" s="19"/>
      <c r="AG154" s="478"/>
      <c r="AH154" s="439">
        <f>COUNTIF(PArticipationFevrier1[[#This Row],[1]:[30]],Code1)</f>
        <v>0</v>
      </c>
      <c r="AI154" s="474">
        <f>COUNTIF(PArticipationFevrier1[[#This Row],[1]:[30]],code22)</f>
        <v>0</v>
      </c>
      <c r="AJ154" s="439">
        <f>COUNTIF(PArticipationFevrier1[[#This Row],[1]:[30]],Code2)</f>
        <v>0</v>
      </c>
      <c r="AK154" s="439">
        <f>COUNTIF(PArticipationFevrier1[[#This Row],[1]:[30]],Code3)</f>
        <v>0</v>
      </c>
      <c r="AL154" s="439">
        <f>COUNTIF(PArticipationFevrier1[[#This Row],[1]:[30]],Code4)</f>
        <v>0</v>
      </c>
      <c r="AM154" s="474">
        <f>COUNTIF(PArticipationFevrier1[[#This Row],[1]:[30]],Code5)</f>
        <v>0</v>
      </c>
      <c r="AN154" s="474"/>
      <c r="AO154" s="474">
        <f>COUNTIF(PArticipationFevrier1[[#This Row],[1]:[30]],Code6)</f>
        <v>0</v>
      </c>
      <c r="AP154" s="474">
        <f>COUNTIF(PArticipationFevrier1[[#This Row],[1]:[30]],Code7)</f>
        <v>0</v>
      </c>
      <c r="AQ154" s="474">
        <f>COUNTIF(PArticipationFevrier1[[#This Row],[1]:[30]],Code8)</f>
        <v>0</v>
      </c>
      <c r="AR154" s="474">
        <f>COUNTIF(PArticipationFevrier1[[#This Row],[1]:[30]],Code9)</f>
        <v>0</v>
      </c>
      <c r="AS154" s="474">
        <f>COUNTIF(PArticipationFevrier1[[#This Row],[1]:[30]],Code10)</f>
        <v>0</v>
      </c>
      <c r="AT154" s="474">
        <f>COUNTIF(PArticipationFevrier1[[#This Row],[1]:[30]],Code11)</f>
        <v>0</v>
      </c>
      <c r="AU154" s="474">
        <f>COUNTIF(PArticipationFevrier1[[#This Row],[1]:[30]],Code12)</f>
        <v>0</v>
      </c>
      <c r="AV154" s="474">
        <f>COUNTIF(PArticipationFevrier1[[#This Row],[1]:[30]],Code13)</f>
        <v>0</v>
      </c>
      <c r="AW154" s="474">
        <f>COUNTIF(PArticipationFevrier1[[#This Row],[1]:[30]],Code14)</f>
        <v>0</v>
      </c>
      <c r="AX154" s="474">
        <f>COUNTIF(PArticipationFevrier1[[#This Row],[1]:[30]],Code15)</f>
        <v>0</v>
      </c>
      <c r="AY154" s="474">
        <f>COUNTIF(PArticipationFevrier1[[#This Row],[1]:[30]],Code16)</f>
        <v>0</v>
      </c>
      <c r="AZ154" s="474">
        <f>COUNTIF(PArticipationFevrier1[[#This Row],[1]:[30]],Code17)</f>
        <v>0</v>
      </c>
      <c r="BA154" s="474">
        <f>COUNTIF(PArticipationFevrier1[[#This Row],[1]:[30]],Code26)</f>
        <v>0</v>
      </c>
      <c r="BB154" s="474">
        <f>COUNTIF(PArticipationFevrier1[[#This Row],[1]:[30]],Code25)</f>
        <v>0</v>
      </c>
      <c r="BC154" s="474">
        <f>COUNTIF(PArticipationFevrier1[[#This Row],[1]:[30]],Code27)</f>
        <v>0</v>
      </c>
      <c r="BD154" s="474">
        <f>COUNTIF(PArticipationFevrier1[[#This Row],[1]:[30]],Code28)</f>
        <v>0</v>
      </c>
      <c r="BE154" s="474">
        <f>COUNTIF(PArticipationFevrier1[[#This Row],[1]:[30]],code30)</f>
        <v>0</v>
      </c>
      <c r="BF154" s="474">
        <f>COUNTIF(PArticipationFevrier1[[#This Row],[1]:[30]],Code31)</f>
        <v>0</v>
      </c>
      <c r="BG154" s="474">
        <f>COUNTIF(PArticipationFevrier1[[#This Row],[1]:[30]],code21)</f>
        <v>0</v>
      </c>
      <c r="BH154" s="474">
        <f>COUNTIF(PArticipationFevrier1[[#This Row],[1]:[30]],Code24)</f>
        <v>0</v>
      </c>
      <c r="BI154" s="474">
        <f>COUNTIF(PArticipationFevrier1[[#This Row],[1]:[30]],code18)</f>
        <v>0</v>
      </c>
      <c r="BJ154" s="474">
        <f>COUNTIF(PArticipationFevrier1[[#This Row],[1]:[30]],code19)</f>
        <v>0</v>
      </c>
      <c r="BK154" s="474">
        <f>COUNTIF(PArticipationFevrier1[[#This Row],[1]:[30]],code20)</f>
        <v>0</v>
      </c>
      <c r="BL154" s="476">
        <f>COUNTIF(PArticipationFevrier1[[#This Row],[1]:[30]],code29)</f>
        <v>0</v>
      </c>
      <c r="BM154" s="472"/>
      <c r="BN154" s="472"/>
      <c r="BO154" s="472"/>
      <c r="BP154" s="472"/>
      <c r="BQ154" s="472"/>
      <c r="BR154" s="472"/>
      <c r="BS154" s="472"/>
      <c r="BT154" s="472"/>
      <c r="BU154" s="472"/>
      <c r="BV154" s="472"/>
      <c r="BW154" s="472"/>
      <c r="BX154" s="472"/>
      <c r="BY154" s="472"/>
      <c r="BZ154" s="472"/>
      <c r="CA154" s="472"/>
      <c r="CB154" s="472"/>
      <c r="CC154" s="472"/>
      <c r="CD154" s="472"/>
      <c r="CE154" s="472"/>
      <c r="CF154" s="472"/>
      <c r="CG154" s="472"/>
      <c r="CH154" s="472"/>
      <c r="CI154" s="472"/>
      <c r="CJ154" s="472"/>
      <c r="CK154" s="472"/>
      <c r="CL154" s="472"/>
      <c r="CM154" s="472"/>
      <c r="CN154" s="472"/>
      <c r="CO154" s="472"/>
      <c r="CP154" s="472"/>
      <c r="CQ154" s="472"/>
      <c r="CR154" s="472"/>
      <c r="CS154" s="472"/>
      <c r="CT154" s="472"/>
      <c r="CU154" s="300"/>
      <c r="CV154" s="507">
        <f t="shared" si="9"/>
        <v>0</v>
      </c>
      <c r="CW154" s="531">
        <f t="shared" si="10"/>
        <v>0</v>
      </c>
      <c r="CX154" s="532">
        <f t="shared" si="11"/>
        <v>0</v>
      </c>
      <c r="CY154" s="157">
        <f t="shared" si="8"/>
        <v>0</v>
      </c>
    </row>
    <row r="155" spans="1:103" ht="14.25" thickBot="1">
      <c r="A155" s="29" t="s">
        <v>617</v>
      </c>
      <c r="B155" s="152" t="str">
        <f>IFERROR(VLOOKUP(PArticipationFevrier1[[#This Row],[Référence]],ListeÉtudiants1[],18,FALSE),"")</f>
        <v/>
      </c>
      <c r="AF155" s="19"/>
      <c r="AG155" s="478"/>
      <c r="AH155" s="439">
        <f>COUNTIF(PArticipationFevrier1[[#This Row],[1]:[30]],Code1)</f>
        <v>0</v>
      </c>
      <c r="AI155" s="474">
        <f>COUNTIF(PArticipationFevrier1[[#This Row],[1]:[30]],code22)</f>
        <v>0</v>
      </c>
      <c r="AJ155" s="439">
        <f>COUNTIF(PArticipationFevrier1[[#This Row],[1]:[30]],Code2)</f>
        <v>0</v>
      </c>
      <c r="AK155" s="439">
        <f>COUNTIF(PArticipationFevrier1[[#This Row],[1]:[30]],Code3)</f>
        <v>0</v>
      </c>
      <c r="AL155" s="439">
        <f>COUNTIF(PArticipationFevrier1[[#This Row],[1]:[30]],Code4)</f>
        <v>0</v>
      </c>
      <c r="AM155" s="474">
        <f>COUNTIF(PArticipationFevrier1[[#This Row],[1]:[30]],Code5)</f>
        <v>0</v>
      </c>
      <c r="AN155" s="474"/>
      <c r="AO155" s="474">
        <f>COUNTIF(PArticipationFevrier1[[#This Row],[1]:[30]],Code6)</f>
        <v>0</v>
      </c>
      <c r="AP155" s="474">
        <f>COUNTIF(PArticipationFevrier1[[#This Row],[1]:[30]],Code7)</f>
        <v>0</v>
      </c>
      <c r="AQ155" s="474">
        <f>COUNTIF(PArticipationFevrier1[[#This Row],[1]:[30]],Code8)</f>
        <v>0</v>
      </c>
      <c r="AR155" s="474">
        <f>COUNTIF(PArticipationFevrier1[[#This Row],[1]:[30]],Code9)</f>
        <v>0</v>
      </c>
      <c r="AS155" s="474">
        <f>COUNTIF(PArticipationFevrier1[[#This Row],[1]:[30]],Code10)</f>
        <v>0</v>
      </c>
      <c r="AT155" s="474">
        <f>COUNTIF(PArticipationFevrier1[[#This Row],[1]:[30]],Code11)</f>
        <v>0</v>
      </c>
      <c r="AU155" s="474">
        <f>COUNTIF(PArticipationFevrier1[[#This Row],[1]:[30]],Code12)</f>
        <v>0</v>
      </c>
      <c r="AV155" s="474">
        <f>COUNTIF(PArticipationFevrier1[[#This Row],[1]:[30]],Code13)</f>
        <v>0</v>
      </c>
      <c r="AW155" s="474">
        <f>COUNTIF(PArticipationFevrier1[[#This Row],[1]:[30]],Code14)</f>
        <v>0</v>
      </c>
      <c r="AX155" s="474">
        <f>COUNTIF(PArticipationFevrier1[[#This Row],[1]:[30]],Code15)</f>
        <v>0</v>
      </c>
      <c r="AY155" s="474">
        <f>COUNTIF(PArticipationFevrier1[[#This Row],[1]:[30]],Code16)</f>
        <v>0</v>
      </c>
      <c r="AZ155" s="474">
        <f>COUNTIF(PArticipationFevrier1[[#This Row],[1]:[30]],Code17)</f>
        <v>0</v>
      </c>
      <c r="BA155" s="474">
        <f>COUNTIF(PArticipationFevrier1[[#This Row],[1]:[30]],Code26)</f>
        <v>0</v>
      </c>
      <c r="BB155" s="474">
        <f>COUNTIF(PArticipationFevrier1[[#This Row],[1]:[30]],Code25)</f>
        <v>0</v>
      </c>
      <c r="BC155" s="474">
        <f>COUNTIF(PArticipationFevrier1[[#This Row],[1]:[30]],Code27)</f>
        <v>0</v>
      </c>
      <c r="BD155" s="474">
        <f>COUNTIF(PArticipationFevrier1[[#This Row],[1]:[30]],Code28)</f>
        <v>0</v>
      </c>
      <c r="BE155" s="474">
        <f>COUNTIF(PArticipationFevrier1[[#This Row],[1]:[30]],code30)</f>
        <v>0</v>
      </c>
      <c r="BF155" s="474">
        <f>COUNTIF(PArticipationFevrier1[[#This Row],[1]:[30]],Code31)</f>
        <v>0</v>
      </c>
      <c r="BG155" s="474">
        <f>COUNTIF(PArticipationFevrier1[[#This Row],[1]:[30]],code21)</f>
        <v>0</v>
      </c>
      <c r="BH155" s="474">
        <f>COUNTIF(PArticipationFevrier1[[#This Row],[1]:[30]],Code24)</f>
        <v>0</v>
      </c>
      <c r="BI155" s="474">
        <f>COUNTIF(PArticipationFevrier1[[#This Row],[1]:[30]],code18)</f>
        <v>0</v>
      </c>
      <c r="BJ155" s="474">
        <f>COUNTIF(PArticipationFevrier1[[#This Row],[1]:[30]],code19)</f>
        <v>0</v>
      </c>
      <c r="BK155" s="474">
        <f>COUNTIF(PArticipationFevrier1[[#This Row],[1]:[30]],code20)</f>
        <v>0</v>
      </c>
      <c r="BL155" s="476">
        <f>COUNTIF(PArticipationFevrier1[[#This Row],[1]:[30]],code29)</f>
        <v>0</v>
      </c>
      <c r="BM155" s="472"/>
      <c r="BN155" s="472"/>
      <c r="BO155" s="472"/>
      <c r="BP155" s="472"/>
      <c r="BQ155" s="472"/>
      <c r="BR155" s="472"/>
      <c r="BS155" s="472"/>
      <c r="BT155" s="472"/>
      <c r="BU155" s="472"/>
      <c r="BV155" s="472"/>
      <c r="BW155" s="472"/>
      <c r="BX155" s="472"/>
      <c r="BY155" s="472"/>
      <c r="BZ155" s="472"/>
      <c r="CA155" s="472"/>
      <c r="CB155" s="472"/>
      <c r="CC155" s="472"/>
      <c r="CD155" s="472"/>
      <c r="CE155" s="472"/>
      <c r="CF155" s="472"/>
      <c r="CG155" s="472"/>
      <c r="CH155" s="472"/>
      <c r="CI155" s="472"/>
      <c r="CJ155" s="472"/>
      <c r="CK155" s="472"/>
      <c r="CL155" s="472"/>
      <c r="CM155" s="472"/>
      <c r="CN155" s="472"/>
      <c r="CO155" s="472"/>
      <c r="CP155" s="472"/>
      <c r="CQ155" s="472"/>
      <c r="CR155" s="472"/>
      <c r="CS155" s="472"/>
      <c r="CT155" s="472"/>
      <c r="CU155" s="300"/>
      <c r="CV155" s="507">
        <f t="shared" si="9"/>
        <v>0</v>
      </c>
      <c r="CW155" s="531">
        <f t="shared" si="10"/>
        <v>0</v>
      </c>
      <c r="CX155" s="532">
        <f t="shared" si="11"/>
        <v>0</v>
      </c>
      <c r="CY155" s="157">
        <f t="shared" si="8"/>
        <v>0</v>
      </c>
    </row>
    <row r="156" spans="1:103" ht="14.25" thickTop="1">
      <c r="A156" s="469"/>
      <c r="B156" s="470"/>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1"/>
      <c r="AJ156" s="471"/>
      <c r="AK156" s="471"/>
      <c r="AL156" s="471"/>
      <c r="AM156" s="471"/>
      <c r="AN156" s="471"/>
      <c r="AO156" s="471"/>
      <c r="AP156" s="471"/>
      <c r="AQ156" s="471"/>
      <c r="AR156" s="471"/>
      <c r="AS156" s="471"/>
      <c r="AT156" s="471"/>
      <c r="AU156" s="471"/>
      <c r="AV156" s="471"/>
      <c r="AW156" s="471"/>
      <c r="AX156" s="471"/>
      <c r="AY156" s="471"/>
      <c r="AZ156" s="471"/>
      <c r="BA156" s="471"/>
      <c r="BB156" s="471"/>
      <c r="BC156" s="471"/>
      <c r="BD156" s="471"/>
      <c r="BE156" s="471"/>
      <c r="BF156" s="471"/>
      <c r="BG156" s="471"/>
      <c r="BH156" s="471"/>
      <c r="BI156" s="469"/>
      <c r="BJ156" s="469"/>
      <c r="BK156" s="469"/>
      <c r="BL156" s="469"/>
      <c r="BM156" s="472"/>
      <c r="BN156" s="472"/>
      <c r="BO156" s="472"/>
      <c r="BP156" s="472"/>
      <c r="BQ156" s="472"/>
      <c r="BR156" s="472"/>
      <c r="BS156" s="472"/>
      <c r="BT156" s="472"/>
      <c r="BU156" s="472"/>
      <c r="BV156" s="472"/>
      <c r="BW156" s="472"/>
      <c r="BX156" s="472"/>
      <c r="BY156" s="472"/>
      <c r="BZ156" s="472"/>
      <c r="CA156" s="472"/>
      <c r="CB156" s="472"/>
      <c r="CC156" s="472"/>
      <c r="CD156" s="472"/>
      <c r="CE156" s="472"/>
      <c r="CF156" s="472"/>
      <c r="CG156" s="472"/>
      <c r="CH156" s="472"/>
      <c r="CI156" s="472"/>
      <c r="CJ156" s="472"/>
      <c r="CK156" s="472"/>
      <c r="CL156" s="472"/>
      <c r="CM156" s="472"/>
      <c r="CN156" s="472"/>
      <c r="CO156" s="472"/>
      <c r="CP156" s="472"/>
      <c r="CQ156" s="472"/>
      <c r="CR156" s="472"/>
      <c r="CS156" s="472"/>
      <c r="CT156" s="472"/>
      <c r="CU156" s="472"/>
      <c r="CV156" s="529"/>
      <c r="CW156" s="469"/>
      <c r="CX156" s="469"/>
      <c r="CY156" s="469"/>
    </row>
    <row r="157" spans="1:103" ht="14.25" thickBot="1">
      <c r="BN157" s="139">
        <f t="shared" ref="BN157" si="12">SUM((AI157*1)+(AJ158*1.5)+(AK157*2)+(AL157*3)+(AM157*4)+(AR157*5)+(AS157*6)+(AT157*7)+(AX157*2)+(AY157*3)+(AZ157*4)+(BG157*5)+(BH157*2))</f>
        <v>0</v>
      </c>
      <c r="BO157" s="139"/>
      <c r="BP157" s="139"/>
      <c r="BQ157" s="139"/>
      <c r="BR157" s="139"/>
      <c r="BS157" s="139"/>
      <c r="BT157" s="139"/>
      <c r="BU157" s="139"/>
      <c r="BV157" s="139"/>
      <c r="BW157" s="139"/>
      <c r="BX157" s="139"/>
      <c r="BY157" s="139"/>
      <c r="BZ157" s="139"/>
      <c r="CA157" s="139"/>
      <c r="CB157" s="139"/>
      <c r="CC157" s="139"/>
      <c r="CD157" s="139"/>
      <c r="CE157" s="139"/>
      <c r="CF157" s="139"/>
      <c r="CG157" s="139"/>
      <c r="CH157" s="139"/>
      <c r="CI157" s="139"/>
      <c r="CJ157" s="139"/>
      <c r="CK157" s="139"/>
      <c r="CL157" s="139"/>
      <c r="CM157" s="139"/>
      <c r="CN157" s="139"/>
      <c r="CO157" s="139"/>
      <c r="CP157" s="139"/>
      <c r="CQ157" s="139"/>
      <c r="CR157" s="139"/>
      <c r="CS157" s="139"/>
      <c r="CT157" s="139"/>
      <c r="CU157" s="139"/>
      <c r="CV157" s="139"/>
    </row>
    <row r="158" spans="1:103" ht="14.25" thickTop="1">
      <c r="BN158" s="293"/>
      <c r="BO158" s="294"/>
      <c r="BP158" s="294"/>
      <c r="BQ158" s="292"/>
      <c r="BR158" s="292"/>
      <c r="BS158" s="292"/>
      <c r="BT158" s="292"/>
      <c r="BU158" s="292"/>
      <c r="BV158" s="292"/>
      <c r="BW158" s="292"/>
      <c r="BX158" s="292"/>
      <c r="BY158" s="292"/>
      <c r="BZ158" s="292"/>
      <c r="CA158" s="292"/>
      <c r="CB158" s="292"/>
      <c r="CC158" s="292"/>
      <c r="CD158" s="292"/>
      <c r="CE158" s="292"/>
      <c r="CF158" s="292"/>
      <c r="CG158" s="292"/>
      <c r="CH158" s="292"/>
      <c r="CI158" s="292"/>
      <c r="CJ158" s="292"/>
      <c r="CK158" s="292"/>
      <c r="CL158" s="292"/>
      <c r="CM158" s="292"/>
      <c r="CN158" s="292"/>
      <c r="CO158" s="292"/>
      <c r="CP158" s="292"/>
      <c r="CQ158" s="292"/>
      <c r="CR158" s="292"/>
      <c r="CS158" s="292"/>
      <c r="CT158" s="292"/>
      <c r="CU158" s="292"/>
      <c r="CV158" s="292"/>
    </row>
    <row r="159" spans="1:103">
      <c r="BU159" s="88"/>
      <c r="BV159" s="88"/>
      <c r="BW159" s="88"/>
      <c r="BX159" s="88"/>
      <c r="BY159" s="88"/>
      <c r="BZ159" s="88"/>
      <c r="CA159" s="88"/>
      <c r="CB159" s="88"/>
      <c r="CC159" s="88"/>
      <c r="CD159" s="88"/>
      <c r="CE159" s="88"/>
      <c r="CF159" s="88"/>
      <c r="CG159" s="88"/>
      <c r="CH159" s="88"/>
      <c r="CI159" s="88"/>
      <c r="CJ159" s="88"/>
      <c r="CK159" s="88"/>
      <c r="CL159" s="88"/>
      <c r="CM159" s="88"/>
      <c r="CN159" s="88"/>
      <c r="CO159" s="88"/>
      <c r="CP159" s="88"/>
      <c r="CQ159" s="88"/>
      <c r="CR159" s="88"/>
      <c r="CS159" s="88"/>
      <c r="CT159" s="88"/>
      <c r="CU159" s="88"/>
      <c r="CV159" s="88"/>
    </row>
  </sheetData>
  <mergeCells count="6">
    <mergeCell ref="P7:Q7"/>
    <mergeCell ref="I7:J7"/>
    <mergeCell ref="A1:E1"/>
    <mergeCell ref="F1:J1"/>
    <mergeCell ref="K1:O1"/>
    <mergeCell ref="M7:N7"/>
  </mergeCells>
  <conditionalFormatting sqref="C11:AG155">
    <cfRule type="expression" dxfId="344" priority="5">
      <formula>C11=Code24</formula>
    </cfRule>
    <cfRule type="expression" dxfId="343" priority="6">
      <formula>C11=Code23</formula>
    </cfRule>
    <cfRule type="expression" dxfId="342" priority="7">
      <formula>C11=code22</formula>
    </cfRule>
    <cfRule type="expression" dxfId="341" priority="8">
      <formula>C11=code21</formula>
    </cfRule>
    <cfRule type="expression" dxfId="340" priority="24" stopIfTrue="1">
      <formula>C11=code20</formula>
    </cfRule>
    <cfRule type="expression" dxfId="339" priority="25" stopIfTrue="1">
      <formula>C11=code19</formula>
    </cfRule>
    <cfRule type="expression" dxfId="338" priority="26" stopIfTrue="1">
      <formula>C11=code18</formula>
    </cfRule>
    <cfRule type="expression" dxfId="337" priority="27" stopIfTrue="1">
      <formula>C11=Code17</formula>
    </cfRule>
    <cfRule type="expression" dxfId="336" priority="28" stopIfTrue="1">
      <formula>C11=Code16</formula>
    </cfRule>
    <cfRule type="expression" dxfId="335" priority="29" stopIfTrue="1">
      <formula>C11=Code15</formula>
    </cfRule>
    <cfRule type="expression" dxfId="334" priority="30" stopIfTrue="1">
      <formula>C11=Code13</formula>
    </cfRule>
    <cfRule type="expression" dxfId="333" priority="31" stopIfTrue="1">
      <formula>C11=Code14</formula>
    </cfRule>
    <cfRule type="expression" dxfId="332" priority="32" stopIfTrue="1">
      <formula>C11=Code12</formula>
    </cfRule>
    <cfRule type="expression" dxfId="331" priority="33" stopIfTrue="1">
      <formula>C11=Code11</formula>
    </cfRule>
    <cfRule type="expression" dxfId="330" priority="34" stopIfTrue="1">
      <formula>C11=Code10</formula>
    </cfRule>
    <cfRule type="expression" dxfId="329" priority="35" stopIfTrue="1">
      <formula>C11=Code9</formula>
    </cfRule>
    <cfRule type="expression" dxfId="328" priority="36" stopIfTrue="1">
      <formula>C11=Code8</formula>
    </cfRule>
    <cfRule type="expression" dxfId="327" priority="42" stopIfTrue="1">
      <formula>C11=Code2</formula>
    </cfRule>
    <cfRule type="expression" dxfId="326" priority="46" stopIfTrue="1">
      <formula>C11=Code2</formula>
    </cfRule>
  </conditionalFormatting>
  <conditionalFormatting sqref="C11:AG155">
    <cfRule type="expression" dxfId="325" priority="44" stopIfTrue="1">
      <formula>C11=Code7</formula>
    </cfRule>
    <cfRule type="expression" dxfId="324" priority="48" stopIfTrue="1">
      <formula>C11=Code6</formula>
    </cfRule>
    <cfRule type="expression" dxfId="323" priority="50" stopIfTrue="1">
      <formula>C11=Code5</formula>
    </cfRule>
    <cfRule type="expression" dxfId="322" priority="52" stopIfTrue="1">
      <formula>C11=Code4</formula>
    </cfRule>
    <cfRule type="expression" dxfId="321" priority="52" stopIfTrue="1">
      <formula>C11=Code3</formula>
    </cfRule>
    <cfRule type="expression" dxfId="320" priority="53" stopIfTrue="1">
      <formula>C11=Code1</formula>
    </cfRule>
  </conditionalFormatting>
  <conditionalFormatting sqref="CV156:CX156">
    <cfRule type="dataBar" priority="38">
      <dataBar>
        <cfvo type="min"/>
        <cfvo type="num" val="31"/>
        <color theme="4"/>
      </dataBar>
      <extLst>
        <ext xmlns:x14="http://schemas.microsoft.com/office/spreadsheetml/2009/9/main" uri="{B025F937-C7B1-47D3-B67F-A62EFF666E3E}">
          <x14:id>{10BD6CED-AA5D-45A7-82FD-A3A6FBCE59ED}</x14:id>
        </ext>
      </extLst>
    </cfRule>
  </conditionalFormatting>
  <conditionalFormatting sqref="CY156">
    <cfRule type="dataBar" priority="22">
      <dataBar>
        <cfvo type="min"/>
        <cfvo type="num" val="31"/>
        <color theme="4"/>
      </dataBar>
      <extLst>
        <ext xmlns:x14="http://schemas.microsoft.com/office/spreadsheetml/2009/9/main" uri="{B025F937-C7B1-47D3-B67F-A62EFF666E3E}">
          <x14:id>{70970009-8EC7-47DF-B0BD-6B0E08E04787}</x14:id>
        </ext>
      </extLst>
    </cfRule>
  </conditionalFormatting>
  <conditionalFormatting sqref="Z3">
    <cfRule type="cellIs" priority="12" operator="equal">
      <formula>"V"</formula>
    </cfRule>
  </conditionalFormatting>
  <conditionalFormatting sqref="T5:T6 T8">
    <cfRule type="cellIs" dxfId="319" priority="11" operator="equal">
      <formula>"St1"</formula>
    </cfRule>
  </conditionalFormatting>
  <conditionalFormatting sqref="V5:V6 V8">
    <cfRule type="cellIs" dxfId="318" priority="10" operator="equal">
      <formula>"St2"</formula>
    </cfRule>
  </conditionalFormatting>
  <conditionalFormatting sqref="X5:X6 X8">
    <cfRule type="cellIs" dxfId="317" priority="9" operator="equal">
      <formula>"St3"</formula>
    </cfRule>
  </conditionalFormatting>
  <conditionalFormatting sqref="V7">
    <cfRule type="cellIs" dxfId="316" priority="2" operator="equal">
      <formula>"St2"</formula>
    </cfRule>
  </conditionalFormatting>
  <conditionalFormatting sqref="X7">
    <cfRule type="cellIs" dxfId="315" priority="1" operator="equal">
      <formula>"St3"</formula>
    </cfRule>
  </conditionalFormatting>
  <conditionalFormatting sqref="CV11:CV155">
    <cfRule type="dataBar" priority="3655">
      <dataBar>
        <cfvo type="min"/>
        <cfvo type="num" val="31"/>
        <color theme="4"/>
      </dataBar>
      <extLst>
        <ext xmlns:x14="http://schemas.microsoft.com/office/spreadsheetml/2009/9/main" uri="{B025F937-C7B1-47D3-B67F-A62EFF666E3E}">
          <x14:id>{EB6A918D-9197-4B18-8975-DD9B5B73D314}</x14:id>
        </ext>
      </extLst>
    </cfRule>
  </conditionalFormatting>
  <conditionalFormatting sqref="CW11:CX155">
    <cfRule type="dataBar" priority="3656">
      <dataBar>
        <cfvo type="min"/>
        <cfvo type="num" val="31"/>
        <color theme="4"/>
      </dataBar>
      <extLst>
        <ext xmlns:x14="http://schemas.microsoft.com/office/spreadsheetml/2009/9/main" uri="{B025F937-C7B1-47D3-B67F-A62EFF666E3E}">
          <x14:id>{C390F4F8-4F44-4AE3-9A9F-314C4949F123}</x14:id>
        </ext>
      </extLst>
    </cfRule>
  </conditionalFormatting>
  <conditionalFormatting sqref="CY11:CY155">
    <cfRule type="dataBar" priority="3657">
      <dataBar>
        <cfvo type="min"/>
        <cfvo type="num" val="31"/>
        <color theme="4"/>
      </dataBar>
      <extLst>
        <ext xmlns:x14="http://schemas.microsoft.com/office/spreadsheetml/2009/9/main" uri="{B025F937-C7B1-47D3-B67F-A62EFF666E3E}">
          <x14:id>{14402A88-FEB0-42B2-9233-387E3EE38004}</x14:id>
        </ext>
      </extLst>
    </cfRule>
  </conditionalFormatting>
  <dataValidations count="1">
    <dataValidation type="list" errorStyle="warning" allowBlank="1" showInputMessage="1" showErrorMessage="1" errorTitle="Whoops!" error="The Student ID you entered isn't on the Student List sheet. You can click Yes to use what you entered but that Student ID won't be available on the Student Attendance Report sheet." sqref="A11:A155">
      <formula1>IDÉtudiant1</formula1>
    </dataValidation>
  </dataValidations>
  <pageMargins left="0.70866141732283472" right="0.70866141732283472" top="0.74803149606299213" bottom="0.74803149606299213" header="0.31496062992125984" footer="0.31496062992125984"/>
  <pageSetup paperSize="9" orientation="landscape" horizontalDpi="0"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0BD6CED-AA5D-45A7-82FD-A3A6FBCE59ED}">
            <x14:dataBar minLength="0" maxLength="100" border="1" negativeBarBorderColorSameAsPositive="0">
              <x14:cfvo type="autoMin"/>
              <x14:cfvo type="num">
                <xm:f>31</xm:f>
              </x14:cfvo>
              <x14:borderColor theme="4"/>
              <x14:negativeFillColor rgb="FFFF0000"/>
              <x14:negativeBorderColor rgb="FFFF0000"/>
              <x14:axisColor rgb="FF000000"/>
            </x14:dataBar>
          </x14:cfRule>
          <xm:sqref>CV156:CX156</xm:sqref>
        </x14:conditionalFormatting>
        <x14:conditionalFormatting xmlns:xm="http://schemas.microsoft.com/office/excel/2006/main">
          <x14:cfRule type="dataBar" id="{70970009-8EC7-47DF-B0BD-6B0E08E04787}">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CY156</xm:sqref>
        </x14:conditionalFormatting>
        <x14:conditionalFormatting xmlns:xm="http://schemas.microsoft.com/office/excel/2006/main">
          <x14:cfRule type="dataBar" id="{EB6A918D-9197-4B18-8975-DD9B5B73D314}">
            <x14:dataBar minLength="0" maxLength="100" border="1" negativeBarBorderColorSameAsPositive="0">
              <x14:cfvo type="autoMin"/>
              <x14:cfvo type="num">
                <xm:f>31</xm:f>
              </x14:cfvo>
              <x14:borderColor theme="4"/>
              <x14:negativeFillColor rgb="FFFF0000"/>
              <x14:negativeBorderColor rgb="FFFF0000"/>
              <x14:axisColor rgb="FF000000"/>
            </x14:dataBar>
          </x14:cfRule>
          <xm:sqref>CV11:CV155</xm:sqref>
        </x14:conditionalFormatting>
        <x14:conditionalFormatting xmlns:xm="http://schemas.microsoft.com/office/excel/2006/main">
          <x14:cfRule type="dataBar" id="{C390F4F8-4F44-4AE3-9A9F-314C4949F123}">
            <x14:dataBar minLength="0" maxLength="100" border="1" negativeBarBorderColorSameAsPositive="0">
              <x14:cfvo type="autoMin"/>
              <x14:cfvo type="num">
                <xm:f>31</xm:f>
              </x14:cfvo>
              <x14:borderColor theme="4"/>
              <x14:negativeFillColor rgb="FFFF0000"/>
              <x14:negativeBorderColor rgb="FFFF0000"/>
              <x14:axisColor rgb="FF000000"/>
            </x14:dataBar>
          </x14:cfRule>
          <xm:sqref>CW11:CX155</xm:sqref>
        </x14:conditionalFormatting>
        <x14:conditionalFormatting xmlns:xm="http://schemas.microsoft.com/office/excel/2006/main">
          <x14:cfRule type="dataBar" id="{14402A88-FEB0-42B2-9233-387E3EE38004}">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CY11:CY155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Y163"/>
  <sheetViews>
    <sheetView topLeftCell="A145" workbookViewId="0">
      <selection activeCell="B135" sqref="B135"/>
    </sheetView>
  </sheetViews>
  <sheetFormatPr baseColWidth="10" defaultRowHeight="13.5"/>
  <cols>
    <col min="1" max="1" width="10.28515625" customWidth="1"/>
    <col min="2" max="2" width="33.28515625" customWidth="1"/>
    <col min="3" max="3" width="5.42578125" customWidth="1"/>
    <col min="4" max="4" width="6.140625" customWidth="1"/>
    <col min="5" max="5" width="4.85546875" customWidth="1"/>
    <col min="6" max="6" width="7.28515625" customWidth="1"/>
    <col min="7" max="7" width="5.42578125" customWidth="1"/>
    <col min="8" max="8" width="6.28515625" customWidth="1"/>
    <col min="9" max="9" width="5.28515625" customWidth="1"/>
    <col min="10" max="10" width="6.140625" customWidth="1"/>
    <col min="11" max="11" width="4.7109375" customWidth="1"/>
    <col min="12" max="12" width="7.140625" customWidth="1"/>
    <col min="13" max="13" width="4.42578125" customWidth="1"/>
    <col min="14" max="14" width="4.7109375" customWidth="1"/>
    <col min="15" max="15" width="6.5703125" customWidth="1"/>
    <col min="16" max="16" width="4.28515625" customWidth="1"/>
    <col min="17" max="17" width="6.85546875" customWidth="1"/>
    <col min="18" max="18" width="5" customWidth="1"/>
    <col min="19" max="19" width="10.7109375" customWidth="1"/>
    <col min="20" max="20" width="5.7109375" customWidth="1"/>
    <col min="21" max="21" width="10" customWidth="1"/>
    <col min="22" max="22" width="8" customWidth="1"/>
    <col min="23" max="23" width="9.85546875" customWidth="1"/>
    <col min="24" max="24" width="8" customWidth="1"/>
    <col min="25" max="25" width="9.85546875" customWidth="1"/>
    <col min="26" max="26" width="5.85546875" customWidth="1"/>
    <col min="27" max="27" width="10.28515625" customWidth="1"/>
    <col min="28" max="28" width="7.28515625" customWidth="1"/>
    <col min="29" max="29" width="6.5703125" customWidth="1"/>
    <col min="30" max="30" width="6.7109375" customWidth="1"/>
    <col min="31" max="31" width="5.85546875" customWidth="1"/>
    <col min="32" max="32" width="6" customWidth="1"/>
    <col min="33" max="33" width="6.85546875" customWidth="1"/>
    <col min="34" max="34" width="4.5703125" customWidth="1"/>
    <col min="35" max="36" width="4" customWidth="1"/>
    <col min="37" max="37" width="3.5703125" customWidth="1"/>
    <col min="38" max="38" width="3.7109375" customWidth="1"/>
    <col min="39" max="39" width="3" customWidth="1"/>
    <col min="40" max="40" width="3.5703125" customWidth="1"/>
    <col min="41" max="41" width="3.42578125" customWidth="1"/>
    <col min="42" max="42" width="3.7109375" customWidth="1"/>
    <col min="43" max="43" width="3.42578125" customWidth="1"/>
    <col min="44" max="44" width="3" customWidth="1"/>
    <col min="45" max="45" width="3.28515625" customWidth="1"/>
    <col min="46" max="46" width="2.85546875" customWidth="1"/>
    <col min="47" max="47" width="2.7109375" customWidth="1"/>
    <col min="48" max="48" width="3.140625" customWidth="1"/>
    <col min="49" max="49" width="3.85546875" customWidth="1"/>
    <col min="50" max="50" width="3.28515625" customWidth="1"/>
    <col min="51" max="58" width="3" customWidth="1"/>
    <col min="59" max="60" width="3.7109375" customWidth="1"/>
    <col min="61" max="61" width="4.42578125" customWidth="1"/>
    <col min="62" max="62" width="4.140625" customWidth="1"/>
    <col min="63" max="64" width="4.5703125" customWidth="1"/>
    <col min="65" max="65" width="3.28515625" customWidth="1"/>
    <col min="66" max="66" width="3.5703125" customWidth="1"/>
    <col min="67" max="68" width="3" customWidth="1"/>
    <col min="69" max="69" width="3.140625" customWidth="1"/>
    <col min="70" max="70" width="3.28515625" customWidth="1"/>
    <col min="71" max="72" width="3.140625" customWidth="1"/>
    <col min="73" max="74" width="3.28515625" customWidth="1"/>
    <col min="75" max="75" width="3.42578125" customWidth="1"/>
    <col min="76" max="76" width="3.28515625" customWidth="1"/>
    <col min="77" max="77" width="4.28515625" customWidth="1"/>
    <col min="78" max="78" width="4" customWidth="1"/>
    <col min="79" max="79" width="3.42578125" customWidth="1"/>
    <col min="80" max="80" width="3.28515625" customWidth="1"/>
    <col min="81" max="81" width="3.140625" customWidth="1"/>
    <col min="82" max="82" width="3.28515625" customWidth="1"/>
    <col min="83" max="83" width="3.42578125" customWidth="1"/>
    <col min="84" max="84" width="3.140625" customWidth="1"/>
    <col min="85" max="85" width="3.5703125" customWidth="1"/>
    <col min="86" max="86" width="3.42578125" customWidth="1"/>
    <col min="87" max="88" width="3.7109375" customWidth="1"/>
    <col min="89" max="89" width="3.5703125" customWidth="1"/>
    <col min="90" max="90" width="3" customWidth="1"/>
    <col min="91" max="94" width="3.140625" customWidth="1"/>
    <col min="95" max="95" width="3.5703125" customWidth="1"/>
    <col min="96" max="96" width="3.140625" customWidth="1"/>
    <col min="97" max="98" width="3.7109375" customWidth="1"/>
    <col min="99" max="99" width="5.28515625" customWidth="1"/>
    <col min="100" max="100" width="16.42578125" customWidth="1"/>
    <col min="101" max="101" width="19.28515625" customWidth="1"/>
    <col min="102" max="102" width="12.140625" customWidth="1"/>
    <col min="103" max="103" width="20.42578125" customWidth="1"/>
  </cols>
  <sheetData>
    <row r="1" spans="1:103" ht="28.5">
      <c r="A1" s="654" t="s">
        <v>505</v>
      </c>
      <c r="B1" s="655"/>
      <c r="C1" s="655"/>
      <c r="D1" s="22"/>
      <c r="E1" s="22"/>
      <c r="F1" s="22"/>
      <c r="G1" s="22"/>
      <c r="H1" s="22"/>
      <c r="I1" s="22"/>
      <c r="J1" s="22"/>
      <c r="K1" s="22"/>
      <c r="L1" s="22"/>
      <c r="M1" s="22"/>
      <c r="N1" s="22"/>
      <c r="O1" s="22"/>
      <c r="P1" s="22"/>
      <c r="Q1" s="22"/>
      <c r="R1" s="22"/>
      <c r="S1" s="22"/>
      <c r="T1" s="22"/>
      <c r="U1" s="22"/>
      <c r="V1" s="22"/>
      <c r="W1" s="22"/>
      <c r="X1" s="22"/>
      <c r="Y1" s="22"/>
      <c r="Z1" s="22"/>
      <c r="AA1" s="22"/>
      <c r="AB1" s="21"/>
      <c r="AC1" s="21"/>
      <c r="AD1" s="21"/>
      <c r="AE1" s="21"/>
      <c r="AF1" s="23"/>
      <c r="AG1" s="21"/>
      <c r="AH1" s="21"/>
      <c r="AI1" s="24"/>
      <c r="AJ1" s="21"/>
      <c r="AK1" s="32"/>
      <c r="AL1" s="32"/>
      <c r="AM1" s="32"/>
      <c r="AN1" s="32"/>
      <c r="AO1" s="32"/>
      <c r="AP1" s="32"/>
      <c r="AQ1" s="32"/>
      <c r="AR1" s="32"/>
      <c r="AS1" s="32"/>
      <c r="AT1" s="32"/>
      <c r="AU1" s="32"/>
      <c r="AV1" s="32"/>
      <c r="AW1" s="32"/>
      <c r="AX1" s="32"/>
      <c r="AY1" s="32"/>
      <c r="AZ1" s="32"/>
      <c r="BA1" s="32"/>
      <c r="BB1" s="32"/>
      <c r="BC1" s="32"/>
      <c r="BD1" s="32"/>
      <c r="BE1" s="32"/>
      <c r="BF1" s="32"/>
      <c r="BG1" s="32"/>
      <c r="BH1" s="32"/>
      <c r="BI1" s="33"/>
      <c r="BJ1" s="33"/>
      <c r="BK1" s="33"/>
      <c r="BL1" s="33"/>
      <c r="BM1" s="32"/>
      <c r="BN1" s="32"/>
      <c r="BO1" s="32"/>
      <c r="BP1" s="32"/>
      <c r="BQ1" s="32"/>
      <c r="BR1" s="32"/>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2"/>
      <c r="CW1" s="32"/>
      <c r="CX1" s="32"/>
      <c r="CY1" s="32"/>
    </row>
    <row r="2" spans="1:103">
      <c r="BJ2" s="88"/>
      <c r="BK2" s="88"/>
      <c r="BL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row>
    <row r="3" spans="1:103" ht="14.25">
      <c r="C3" s="31" t="s">
        <v>104</v>
      </c>
      <c r="D3" s="208" t="s">
        <v>514</v>
      </c>
      <c r="E3" s="236" t="s">
        <v>527</v>
      </c>
      <c r="F3" s="207" t="s">
        <v>528</v>
      </c>
      <c r="G3" s="209" t="s">
        <v>105</v>
      </c>
      <c r="H3" s="210" t="s">
        <v>515</v>
      </c>
      <c r="I3" s="211" t="s">
        <v>106</v>
      </c>
      <c r="J3" s="210" t="s">
        <v>516</v>
      </c>
      <c r="K3" s="212" t="s">
        <v>107</v>
      </c>
      <c r="L3" s="210" t="s">
        <v>517</v>
      </c>
      <c r="M3" s="207"/>
      <c r="N3" s="213" t="s">
        <v>483</v>
      </c>
      <c r="O3" s="210" t="s">
        <v>518</v>
      </c>
      <c r="P3" s="214" t="s">
        <v>484</v>
      </c>
      <c r="Q3" s="207" t="s">
        <v>526</v>
      </c>
      <c r="R3" s="216" t="s">
        <v>485</v>
      </c>
      <c r="S3" s="207" t="s">
        <v>525</v>
      </c>
      <c r="T3" s="217" t="s">
        <v>489</v>
      </c>
      <c r="U3" s="207" t="s">
        <v>510</v>
      </c>
      <c r="V3" s="218" t="s">
        <v>490</v>
      </c>
      <c r="W3" s="207" t="s">
        <v>511</v>
      </c>
      <c r="X3" s="219" t="s">
        <v>491</v>
      </c>
      <c r="Y3" s="207" t="s">
        <v>512</v>
      </c>
      <c r="Z3" s="220" t="s">
        <v>492</v>
      </c>
      <c r="AA3" s="207" t="s">
        <v>513</v>
      </c>
      <c r="AF3" s="207"/>
      <c r="BJ3" s="88"/>
      <c r="BK3" s="88"/>
      <c r="BL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row>
    <row r="4" spans="1:103" ht="15" thickBot="1">
      <c r="B4" t="s">
        <v>535</v>
      </c>
      <c r="D4" s="43"/>
      <c r="E4" s="43"/>
      <c r="F4" s="43"/>
      <c r="G4" s="43"/>
      <c r="H4" s="43"/>
      <c r="I4" s="43"/>
      <c r="J4" s="43"/>
      <c r="K4" s="43"/>
      <c r="L4" s="43"/>
      <c r="M4" s="43"/>
      <c r="N4" s="43"/>
      <c r="O4" s="43"/>
      <c r="P4" s="43"/>
      <c r="Q4" s="43"/>
      <c r="S4" s="43"/>
      <c r="T4" s="43"/>
      <c r="U4" s="43"/>
      <c r="V4" s="43"/>
      <c r="W4" s="43"/>
      <c r="X4" s="43"/>
      <c r="Y4" s="43"/>
      <c r="Z4" s="43"/>
      <c r="AA4" s="43"/>
      <c r="AF4" s="43"/>
      <c r="BJ4" s="88"/>
      <c r="BK4" s="88"/>
      <c r="BL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row>
    <row r="5" spans="1:103" ht="14.25">
      <c r="C5" s="234" t="s">
        <v>529</v>
      </c>
      <c r="D5" s="266" t="s">
        <v>530</v>
      </c>
      <c r="E5" s="222" t="s">
        <v>35</v>
      </c>
      <c r="F5" s="210" t="s">
        <v>519</v>
      </c>
      <c r="G5" s="223" t="s">
        <v>108</v>
      </c>
      <c r="H5" s="43" t="s">
        <v>520</v>
      </c>
      <c r="I5" s="224" t="s">
        <v>109</v>
      </c>
      <c r="J5" s="207" t="s">
        <v>521</v>
      </c>
      <c r="K5" s="225" t="s">
        <v>486</v>
      </c>
      <c r="L5" s="207" t="s">
        <v>522</v>
      </c>
      <c r="M5" s="207"/>
      <c r="N5" s="226" t="s">
        <v>487</v>
      </c>
      <c r="O5" s="207" t="s">
        <v>523</v>
      </c>
      <c r="P5" s="227" t="s">
        <v>488</v>
      </c>
      <c r="Q5" s="228" t="s">
        <v>524</v>
      </c>
      <c r="R5" s="233" t="s">
        <v>507</v>
      </c>
      <c r="S5" s="207" t="s">
        <v>508</v>
      </c>
      <c r="T5" s="229" t="s">
        <v>496</v>
      </c>
      <c r="U5" s="207" t="s">
        <v>499</v>
      </c>
      <c r="V5" s="230" t="s">
        <v>497</v>
      </c>
      <c r="W5" s="207" t="s">
        <v>500</v>
      </c>
      <c r="X5" s="231" t="s">
        <v>498</v>
      </c>
      <c r="Y5" s="207" t="s">
        <v>501</v>
      </c>
      <c r="Z5" s="235" t="s">
        <v>531</v>
      </c>
      <c r="AA5" s="43" t="s">
        <v>630</v>
      </c>
      <c r="AF5" s="43"/>
      <c r="BJ5" s="88"/>
      <c r="BK5" s="88"/>
      <c r="BL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row>
    <row r="6" spans="1:103">
      <c r="C6" s="9"/>
      <c r="D6" s="9"/>
      <c r="E6" s="20"/>
      <c r="F6" s="9"/>
      <c r="G6" s="9"/>
      <c r="H6" s="9"/>
      <c r="I6" s="9"/>
      <c r="J6" s="9"/>
      <c r="K6" s="9"/>
      <c r="L6" s="9"/>
      <c r="M6" s="9"/>
      <c r="N6" s="9"/>
      <c r="O6" s="9"/>
      <c r="P6" s="9"/>
      <c r="Q6" s="9"/>
      <c r="R6" s="9"/>
      <c r="T6" s="9"/>
      <c r="U6" s="9"/>
      <c r="V6" s="9"/>
      <c r="W6" s="9"/>
      <c r="X6" s="9"/>
      <c r="Y6" s="9"/>
      <c r="AA6" s="9"/>
      <c r="AB6" s="9"/>
      <c r="AC6" s="9"/>
      <c r="AD6" s="9"/>
      <c r="AE6" s="9"/>
      <c r="AF6" s="9"/>
      <c r="BJ6" s="88"/>
      <c r="BK6" s="88"/>
      <c r="BL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row>
    <row r="7" spans="1:103" ht="14.25">
      <c r="C7" s="334" t="s">
        <v>604</v>
      </c>
      <c r="D7" s="335" t="s">
        <v>610</v>
      </c>
      <c r="E7" s="336"/>
      <c r="F7" s="336"/>
      <c r="G7" s="344" t="s">
        <v>620</v>
      </c>
      <c r="H7" s="656" t="s">
        <v>621</v>
      </c>
      <c r="I7" s="658"/>
      <c r="J7" s="9"/>
      <c r="K7" s="394" t="s">
        <v>627</v>
      </c>
      <c r="L7" s="656" t="s">
        <v>628</v>
      </c>
      <c r="M7" s="658"/>
      <c r="N7" s="9"/>
      <c r="O7" s="418" t="s">
        <v>631</v>
      </c>
      <c r="P7" s="656" t="s">
        <v>632</v>
      </c>
      <c r="Q7" s="658"/>
      <c r="R7" s="9"/>
      <c r="S7" s="445" t="s">
        <v>634</v>
      </c>
      <c r="T7" s="43" t="s">
        <v>633</v>
      </c>
      <c r="U7" s="458" t="s">
        <v>637</v>
      </c>
      <c r="V7" s="357" t="s">
        <v>638</v>
      </c>
      <c r="W7" s="465" t="s">
        <v>639</v>
      </c>
      <c r="X7" s="357" t="s">
        <v>640</v>
      </c>
      <c r="Y7" s="9"/>
      <c r="AA7" s="9"/>
      <c r="AB7" s="9"/>
      <c r="AC7" s="9"/>
      <c r="AD7" s="9"/>
      <c r="AE7" s="9"/>
      <c r="AF7" s="9"/>
      <c r="BJ7" s="88"/>
      <c r="BK7" s="88"/>
      <c r="BL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row>
    <row r="8" spans="1:103">
      <c r="C8" s="9"/>
      <c r="D8" s="9"/>
      <c r="E8" s="20"/>
      <c r="F8" s="9"/>
      <c r="G8" s="9"/>
      <c r="H8" s="9"/>
      <c r="I8" s="9"/>
      <c r="J8" s="9"/>
      <c r="K8" s="9"/>
      <c r="L8" s="9"/>
      <c r="M8" s="9"/>
      <c r="N8" s="9"/>
      <c r="O8" s="9"/>
      <c r="P8" s="9"/>
      <c r="Q8" s="9"/>
      <c r="R8" s="9"/>
      <c r="T8" s="9"/>
      <c r="U8" s="9"/>
      <c r="V8" s="9"/>
      <c r="W8" s="9"/>
      <c r="X8" s="446" t="s">
        <v>623</v>
      </c>
      <c r="Y8" s="9"/>
      <c r="AA8" s="9"/>
      <c r="AB8" s="9"/>
      <c r="AC8" s="9"/>
      <c r="AD8" s="9"/>
      <c r="AE8" s="9"/>
      <c r="AF8" s="9"/>
      <c r="BJ8" s="88"/>
      <c r="BK8" s="88"/>
      <c r="BL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row>
    <row r="9" spans="1:103" ht="15" thickBot="1">
      <c r="A9" s="72">
        <f>DATE(2018,3,1)</f>
        <v>43160</v>
      </c>
      <c r="B9" s="153"/>
      <c r="C9" s="151" t="str">
        <f>TEXT(WEEKDAY(DATE(2018,3,1),1),"[$-40c]aaa")</f>
        <v>1900</v>
      </c>
      <c r="D9" s="25" t="str">
        <f>TEXT(WEEKDAY(DATE(2018,3,2),1),"[$-40c]aaa")</f>
        <v>1900</v>
      </c>
      <c r="E9" s="25" t="str">
        <f>TEXT(WEEKDAY(DATE(2018,3,3),1),"[$-40c]aaa")</f>
        <v>1900</v>
      </c>
      <c r="F9" s="25" t="str">
        <f>TEXT(WEEKDAY(DATE(2018,3,4),1),"[$-40c]aaa")</f>
        <v>1900</v>
      </c>
      <c r="G9" s="25" t="str">
        <f>TEXT(WEEKDAY(DATE(2018,3,5),1),"[$-40c]aaa")</f>
        <v>1900</v>
      </c>
      <c r="H9" s="25" t="str">
        <f>TEXT(WEEKDAY(DATE(2018,3,6),1),"[$-40c]aaa")</f>
        <v>1900</v>
      </c>
      <c r="I9" s="25" t="str">
        <f>TEXT(WEEKDAY(DATE(2018,3,7),1),"[$-40c]aaa")</f>
        <v>1900</v>
      </c>
      <c r="J9" s="25" t="str">
        <f>TEXT(WEEKDAY(DATE(2018,3,8),1),"[$-40c]aaa")</f>
        <v>1900</v>
      </c>
      <c r="K9" s="25" t="str">
        <f>TEXT(WEEKDAY(DATE(2018,3,9),1),"[$-40c]aaa")</f>
        <v>1900</v>
      </c>
      <c r="L9" s="25" t="str">
        <f>TEXT(WEEKDAY(DATE(2018,3,10),1),"[$-40c]aaa")</f>
        <v>1900</v>
      </c>
      <c r="M9" s="25" t="str">
        <f>TEXT(WEEKDAY(DATE(2018,3,11),1),"[$-40c]aaa")</f>
        <v>1900</v>
      </c>
      <c r="N9" s="25" t="str">
        <f>TEXT(WEEKDAY(DATE(2018,3,12),1),"[$-40c]aaa")</f>
        <v>1900</v>
      </c>
      <c r="O9" s="25" t="str">
        <f>TEXT(WEEKDAY(DATE(2018,3,13),1),"[$-40c]aaa")</f>
        <v>1900</v>
      </c>
      <c r="P9" s="25" t="str">
        <f>TEXT(WEEKDAY(DATE(2018,3,14),1),"[$-40c]aaa")</f>
        <v>1900</v>
      </c>
      <c r="Q9" s="25" t="str">
        <f>TEXT(WEEKDAY(DATE(2018,3,15),1),"[$-40c]aaa")</f>
        <v>1900</v>
      </c>
      <c r="R9" s="25" t="str">
        <f>TEXT(WEEKDAY(DATE(2018,3,16),1),"[$-40c]aaa")</f>
        <v>1900</v>
      </c>
      <c r="S9" s="25" t="str">
        <f>TEXT(WEEKDAY(DATE(2018,3,17),1),"[$-40c]aaa")</f>
        <v>1900</v>
      </c>
      <c r="T9" s="25" t="str">
        <f>TEXT(WEEKDAY(DATE(2018,3,18),1),"[$-40c]aaa")</f>
        <v>1900</v>
      </c>
      <c r="U9" s="25" t="str">
        <f>TEXT(WEEKDAY(DATE(2018,3,19),1),"[$-40c]aaa")</f>
        <v>1900</v>
      </c>
      <c r="V9" s="25" t="str">
        <f>TEXT(WEEKDAY(DATE(2018,3,20),1),"[$-40c]aaa")</f>
        <v>1900</v>
      </c>
      <c r="W9" s="25" t="str">
        <f>TEXT(WEEKDAY(DATE(2018,3,21),1),"[$-40c]aaa")</f>
        <v>1900</v>
      </c>
      <c r="X9" s="25" t="str">
        <f>TEXT(WEEKDAY(DATE(2018,3,22),1),"[$-40c]aaa")</f>
        <v>1900</v>
      </c>
      <c r="Y9" s="25" t="str">
        <f>TEXT(WEEKDAY(DATE(2018,3,23),1),"[$-40c]aaa")</f>
        <v>1900</v>
      </c>
      <c r="Z9" s="25" t="str">
        <f>TEXT(WEEKDAY(DATE(2018,3,24),1),"[$-40c]aaa")</f>
        <v>1900</v>
      </c>
      <c r="AA9" s="25" t="str">
        <f>TEXT(WEEKDAY(DATE(2018,3,25),1),"[$-40c]aaa")</f>
        <v>1900</v>
      </c>
      <c r="AB9" s="25" t="str">
        <f>TEXT(WEEKDAY(DATE(2018,3,26),1),"[$-40c]aaa")</f>
        <v>1900</v>
      </c>
      <c r="AC9" s="25" t="str">
        <f>TEXT(WEEKDAY(DATE(2018,3,27),1),"[$-40c]aaa")</f>
        <v>1900</v>
      </c>
      <c r="AD9" s="25" t="str">
        <f>TEXT(WEEKDAY(DATE(2018,3,28),1),"[$-40c]aaa")</f>
        <v>1900</v>
      </c>
      <c r="AE9" s="25" t="str">
        <f>TEXT(WEEKDAY(DATE(2018,3,29),1),"[$-40c]aaa")</f>
        <v>1900</v>
      </c>
      <c r="AF9" s="25" t="str">
        <f>TEXT(WEEKDAY(DATE(2018,3,30),1),"[$-40c]aaa")</f>
        <v>1900</v>
      </c>
      <c r="AG9" s="142" t="str">
        <f>TEXT(WEEKDAY(DATE(2018,3,31),1),"[$-40c]aaa")</f>
        <v>1900</v>
      </c>
      <c r="AH9" s="652" t="s">
        <v>36</v>
      </c>
      <c r="AI9" s="652"/>
      <c r="AJ9" s="652"/>
      <c r="AK9" s="652"/>
      <c r="AL9" s="652"/>
      <c r="AM9" s="652"/>
      <c r="AN9" s="652"/>
      <c r="AO9" s="652"/>
      <c r="AP9" s="652"/>
      <c r="AQ9" s="652"/>
      <c r="AR9" s="652"/>
      <c r="AS9" s="652"/>
      <c r="AT9" s="652"/>
      <c r="AU9" s="652"/>
      <c r="AV9" s="652"/>
      <c r="AW9" s="652"/>
      <c r="AX9" s="652"/>
      <c r="AY9" s="140"/>
      <c r="AZ9" s="140"/>
      <c r="BA9" s="140"/>
      <c r="BB9" s="140"/>
      <c r="BC9" s="140"/>
      <c r="BD9" s="140"/>
      <c r="BE9" s="140"/>
      <c r="BF9" s="140"/>
      <c r="BG9" s="140"/>
      <c r="BH9" s="140"/>
      <c r="BI9" s="85"/>
      <c r="BJ9" s="247"/>
      <c r="BK9" s="247"/>
      <c r="BL9" s="247"/>
      <c r="BM9" s="247"/>
      <c r="BN9" s="247"/>
      <c r="BO9" s="247"/>
      <c r="BP9" s="298"/>
      <c r="BQ9" s="247"/>
      <c r="BR9" s="247"/>
      <c r="BS9" s="247"/>
      <c r="BT9" s="247"/>
      <c r="BU9" s="247"/>
      <c r="BV9" s="247"/>
      <c r="BW9" s="247"/>
      <c r="BX9" s="247"/>
      <c r="BY9" s="247"/>
      <c r="BZ9" s="247"/>
      <c r="CA9" s="247" t="s">
        <v>575</v>
      </c>
      <c r="CB9" s="247"/>
      <c r="CC9" s="247"/>
      <c r="CD9" s="247"/>
      <c r="CE9" s="247"/>
      <c r="CF9" s="247"/>
      <c r="CG9" s="247"/>
      <c r="CH9" s="247"/>
      <c r="CI9" s="247"/>
      <c r="CJ9" s="247"/>
      <c r="CK9" s="247"/>
      <c r="CL9" s="247"/>
      <c r="CM9" s="247"/>
      <c r="CN9" s="247"/>
      <c r="CO9" s="247"/>
      <c r="CP9" s="247"/>
      <c r="CQ9" s="247"/>
      <c r="CR9" s="247"/>
      <c r="CS9" s="247"/>
      <c r="CT9" s="247"/>
      <c r="CU9" s="247"/>
      <c r="CV9" s="251"/>
      <c r="CW9" s="85"/>
      <c r="CX9" s="85"/>
      <c r="CY9" s="85"/>
    </row>
    <row r="10" spans="1:103" ht="15.75" thickTop="1" thickBot="1">
      <c r="A10" s="28" t="s">
        <v>33</v>
      </c>
      <c r="B10" s="154" t="s">
        <v>32</v>
      </c>
      <c r="C10" s="3" t="s">
        <v>0</v>
      </c>
      <c r="D10" s="3" t="s">
        <v>1</v>
      </c>
      <c r="E10" s="3" t="s">
        <v>2</v>
      </c>
      <c r="F10" s="399" t="s">
        <v>3</v>
      </c>
      <c r="G10" s="399" t="s">
        <v>4</v>
      </c>
      <c r="H10" s="3" t="s">
        <v>5</v>
      </c>
      <c r="I10" s="3" t="s">
        <v>6</v>
      </c>
      <c r="J10" s="3" t="s">
        <v>7</v>
      </c>
      <c r="K10" s="3" t="s">
        <v>8</v>
      </c>
      <c r="L10" s="399" t="s">
        <v>9</v>
      </c>
      <c r="M10" s="399" t="s">
        <v>10</v>
      </c>
      <c r="N10" s="3" t="s">
        <v>11</v>
      </c>
      <c r="O10" s="3" t="s">
        <v>12</v>
      </c>
      <c r="P10" s="3" t="s">
        <v>13</v>
      </c>
      <c r="Q10" s="3" t="s">
        <v>14</v>
      </c>
      <c r="R10" s="3" t="s">
        <v>15</v>
      </c>
      <c r="S10" s="399" t="s">
        <v>16</v>
      </c>
      <c r="T10" s="399" t="s">
        <v>17</v>
      </c>
      <c r="U10" s="3" t="s">
        <v>18</v>
      </c>
      <c r="V10" s="3" t="s">
        <v>19</v>
      </c>
      <c r="W10" s="3" t="s">
        <v>20</v>
      </c>
      <c r="X10" s="3" t="s">
        <v>21</v>
      </c>
      <c r="Y10" s="399" t="s">
        <v>22</v>
      </c>
      <c r="Z10" s="399" t="s">
        <v>23</v>
      </c>
      <c r="AA10" s="3" t="s">
        <v>24</v>
      </c>
      <c r="AB10" s="3" t="s">
        <v>25</v>
      </c>
      <c r="AC10" s="3" t="s">
        <v>26</v>
      </c>
      <c r="AD10" s="3" t="s">
        <v>27</v>
      </c>
      <c r="AE10" s="3" t="s">
        <v>28</v>
      </c>
      <c r="AF10" s="3" t="s">
        <v>29</v>
      </c>
      <c r="AG10" s="400" t="s">
        <v>30</v>
      </c>
      <c r="AH10" s="55" t="s">
        <v>104</v>
      </c>
      <c r="AI10" s="236" t="s">
        <v>527</v>
      </c>
      <c r="AJ10" s="40" t="s">
        <v>105</v>
      </c>
      <c r="AK10" s="41" t="s">
        <v>106</v>
      </c>
      <c r="AL10" s="42" t="s">
        <v>107</v>
      </c>
      <c r="AM10" s="75" t="s">
        <v>35</v>
      </c>
      <c r="AN10" s="234" t="s">
        <v>529</v>
      </c>
      <c r="AO10" s="76" t="s">
        <v>108</v>
      </c>
      <c r="AP10" s="77" t="s">
        <v>109</v>
      </c>
      <c r="AQ10" s="97" t="s">
        <v>483</v>
      </c>
      <c r="AR10" s="90" t="s">
        <v>484</v>
      </c>
      <c r="AS10" s="95" t="s">
        <v>485</v>
      </c>
      <c r="AT10" s="96" t="s">
        <v>486</v>
      </c>
      <c r="AU10" s="91" t="s">
        <v>487</v>
      </c>
      <c r="AV10" s="129" t="s">
        <v>489</v>
      </c>
      <c r="AW10" s="92" t="s">
        <v>488</v>
      </c>
      <c r="AX10" s="93" t="s">
        <v>490</v>
      </c>
      <c r="AY10" s="94" t="s">
        <v>491</v>
      </c>
      <c r="AZ10" s="111" t="s">
        <v>492</v>
      </c>
      <c r="BA10" s="96" t="s">
        <v>604</v>
      </c>
      <c r="BB10" s="346" t="s">
        <v>620</v>
      </c>
      <c r="BC10" s="395" t="s">
        <v>627</v>
      </c>
      <c r="BD10" s="420" t="s">
        <v>631</v>
      </c>
      <c r="BE10" s="459" t="s">
        <v>637</v>
      </c>
      <c r="BF10" s="77" t="s">
        <v>639</v>
      </c>
      <c r="BG10" s="198" t="s">
        <v>509</v>
      </c>
      <c r="BH10" s="235" t="s">
        <v>531</v>
      </c>
      <c r="BI10" s="133" t="s">
        <v>496</v>
      </c>
      <c r="BJ10" s="135" t="s">
        <v>497</v>
      </c>
      <c r="BK10" s="137" t="s">
        <v>498</v>
      </c>
      <c r="BL10" s="449" t="s">
        <v>634</v>
      </c>
      <c r="BM10" s="88" t="s">
        <v>544</v>
      </c>
      <c r="BN10" t="s">
        <v>545</v>
      </c>
      <c r="BO10" t="s">
        <v>546</v>
      </c>
      <c r="BP10" t="s">
        <v>542</v>
      </c>
      <c r="BQ10" t="s">
        <v>543</v>
      </c>
      <c r="BR10" t="s">
        <v>547</v>
      </c>
      <c r="BS10" t="s">
        <v>548</v>
      </c>
      <c r="BT10" t="s">
        <v>549</v>
      </c>
      <c r="BU10" t="s">
        <v>550</v>
      </c>
      <c r="BV10" t="s">
        <v>551</v>
      </c>
      <c r="BW10" t="s">
        <v>552</v>
      </c>
      <c r="BX10" t="s">
        <v>553</v>
      </c>
      <c r="BY10" t="s">
        <v>574</v>
      </c>
      <c r="BZ10" t="s">
        <v>554</v>
      </c>
      <c r="CA10" t="s">
        <v>555</v>
      </c>
      <c r="CB10" t="s">
        <v>556</v>
      </c>
      <c r="CC10" t="s">
        <v>558</v>
      </c>
      <c r="CD10" t="s">
        <v>557</v>
      </c>
      <c r="CE10" t="s">
        <v>559</v>
      </c>
      <c r="CF10" t="s">
        <v>560</v>
      </c>
      <c r="CG10" t="s">
        <v>561</v>
      </c>
      <c r="CH10" t="s">
        <v>562</v>
      </c>
      <c r="CI10" t="s">
        <v>563</v>
      </c>
      <c r="CJ10" t="s">
        <v>564</v>
      </c>
      <c r="CK10" t="s">
        <v>565</v>
      </c>
      <c r="CL10" t="s">
        <v>566</v>
      </c>
      <c r="CM10" t="s">
        <v>567</v>
      </c>
      <c r="CN10" t="s">
        <v>568</v>
      </c>
      <c r="CO10" t="s">
        <v>569</v>
      </c>
      <c r="CP10" t="s">
        <v>570</v>
      </c>
      <c r="CQ10" t="s">
        <v>571</v>
      </c>
      <c r="CR10" t="s">
        <v>572</v>
      </c>
      <c r="CS10" s="88" t="s">
        <v>573</v>
      </c>
      <c r="CT10" s="88" t="s">
        <v>642</v>
      </c>
      <c r="CU10" s="152" t="s">
        <v>611</v>
      </c>
      <c r="CV10" s="166" t="s">
        <v>494</v>
      </c>
      <c r="CW10" s="166" t="s">
        <v>495</v>
      </c>
      <c r="CX10" s="265" t="s">
        <v>540</v>
      </c>
      <c r="CY10" s="161" t="s">
        <v>502</v>
      </c>
    </row>
    <row r="11" spans="1:103" ht="14.25" thickTop="1">
      <c r="A11" s="510" t="s">
        <v>71</v>
      </c>
      <c r="B11" s="162" t="str">
        <f>IFERROR(VLOOKUP(ParticipationMars1[[#This Row],[Référence]],ListeÉtudiants1[],18,FALSE),"")</f>
        <v>ABDESSEMED MOUNIA</v>
      </c>
      <c r="C11" s="19"/>
      <c r="D11" s="19"/>
      <c r="E11" s="19"/>
      <c r="F11" s="19"/>
      <c r="G11" s="19"/>
      <c r="H11" s="19"/>
      <c r="I11" s="19"/>
      <c r="J11" s="19"/>
      <c r="K11" s="19"/>
      <c r="L11" s="19"/>
      <c r="M11" s="19"/>
      <c r="N11" s="19"/>
      <c r="O11" s="19"/>
      <c r="P11" s="19" t="s">
        <v>35</v>
      </c>
      <c r="Q11" s="19" t="s">
        <v>109</v>
      </c>
      <c r="R11" s="19"/>
      <c r="S11" s="19"/>
      <c r="T11" s="19"/>
      <c r="U11" s="19"/>
      <c r="V11" s="19" t="s">
        <v>529</v>
      </c>
      <c r="W11" s="19" t="s">
        <v>488</v>
      </c>
      <c r="X11" s="19" t="s">
        <v>109</v>
      </c>
      <c r="Y11" s="19"/>
      <c r="Z11" s="19"/>
      <c r="AA11" s="19" t="s">
        <v>529</v>
      </c>
      <c r="AB11" s="19" t="s">
        <v>35</v>
      </c>
      <c r="AC11" s="19"/>
      <c r="AD11" s="19" t="s">
        <v>507</v>
      </c>
      <c r="AE11" s="19"/>
      <c r="AF11" s="19"/>
      <c r="AG11" s="144"/>
      <c r="AH11" s="6">
        <f>COUNTIF(ParticipationMars1[[#This Row],[1]:[31]],Code1)</f>
        <v>0</v>
      </c>
      <c r="AI11" s="331">
        <f>COUNTIF(ParticipationMars1[[#This Row],[1]:[31]],code22)</f>
        <v>0</v>
      </c>
      <c r="AJ11" s="30">
        <f>COUNTIF(ParticipationMars1[[#This Row],[1]:[31]],Code2)</f>
        <v>0</v>
      </c>
      <c r="AK11" s="30">
        <f>COUNTIF(ParticipationMars1[[#This Row],[1]:[31]],Code3)</f>
        <v>0</v>
      </c>
      <c r="AL11" s="30">
        <f>COUNTIF(ParticipationMars1[[#This Row],[1]:[31]],Code4)</f>
        <v>0</v>
      </c>
      <c r="AM11" s="307">
        <f>COUNTIF(ParticipationMars1[[#This Row],[1]:[31]],Code5)</f>
        <v>2</v>
      </c>
      <c r="AN11" s="307">
        <f>COUNTIF(ParticipationMars1[[#This Row],[1]:[31]],Code23)</f>
        <v>2</v>
      </c>
      <c r="AO11" s="307">
        <f>COUNTIF(ParticipationMars1[[#This Row],[1]:[31]],Code6)</f>
        <v>0</v>
      </c>
      <c r="AP11" s="307">
        <f>COUNTIF(ParticipationMars1[[#This Row],[1]:[31]],Code7)</f>
        <v>2</v>
      </c>
      <c r="AQ11" s="307">
        <f>COUNTIF(ParticipationMars1[[#This Row],[1]:[31]],Code8)</f>
        <v>0</v>
      </c>
      <c r="AR11" s="307">
        <f>COUNTIF(ParticipationMars1[[#This Row],[1]:[31]],Code9)</f>
        <v>0</v>
      </c>
      <c r="AS11" s="307">
        <f>COUNTIF(ParticipationMars1[[#This Row],[1]:[31]],Code10)</f>
        <v>0</v>
      </c>
      <c r="AT11" s="307">
        <f>COUNTIF(ParticipationMars1[[#This Row],[1]:[31]],Code11)</f>
        <v>0</v>
      </c>
      <c r="AU11" s="307">
        <f>COUNTIF(ParticipationMars1[[#This Row],[1]:[31]],Code12)</f>
        <v>0</v>
      </c>
      <c r="AV11" s="307">
        <f>COUNTIF(ParticipationMars1[[#This Row],[1]:[31]],Code13)</f>
        <v>0</v>
      </c>
      <c r="AW11" s="307">
        <f>COUNTIF(ParticipationMars1[[#This Row],[1]:[31]],Code14)</f>
        <v>1</v>
      </c>
      <c r="AX11" s="307">
        <f>COUNTIF(ParticipationMars1[[#This Row],[1]:[31]],Code15)</f>
        <v>0</v>
      </c>
      <c r="AY11" s="307">
        <f>COUNTIF(ParticipationMars1[[#This Row],[1]:[31]],Code16)</f>
        <v>0</v>
      </c>
      <c r="AZ11" s="307">
        <f>COUNTIF(ParticipationMars1[[#This Row],[1]:[31]],Code17)</f>
        <v>0</v>
      </c>
      <c r="BA11" s="30">
        <f>COUNTIF(ParticipationMars1[[#This Row],[1]:[31]],Code25)</f>
        <v>0</v>
      </c>
      <c r="BB11" s="307">
        <f>COUNTIF(ParticipationMars1[[#This Row],[1]:[31]],Code26)</f>
        <v>0</v>
      </c>
      <c r="BC11" s="307">
        <f>COUNTIF(ParticipationMars1[[#This Row],[1]:[31]],Code27)</f>
        <v>0</v>
      </c>
      <c r="BD11" s="30">
        <f>COUNTIF(ParticipationMars1[[#This Row],[1]:[31]],Code28)</f>
        <v>0</v>
      </c>
      <c r="BE11" s="30">
        <f>COUNTIF(ParticipationMars1[[#This Row],[1]:[31]],code30)</f>
        <v>0</v>
      </c>
      <c r="BF11" s="30">
        <f>COUNTIF(ParticipationMars1[[#This Row],[1]:[31]],Code31)</f>
        <v>0</v>
      </c>
      <c r="BG11" s="307">
        <f>COUNTIF(ParticipationMars1[[#This Row],[1]:[31]],code21)</f>
        <v>1</v>
      </c>
      <c r="BH11" s="307">
        <f>COUNTIF(ParticipationMars1[[#This Row],[1]:[31]],Code24)</f>
        <v>0</v>
      </c>
      <c r="BI11" s="307">
        <f>COUNTIF(ParticipationMars1[[#This Row],[1]:[31]],code18)</f>
        <v>0</v>
      </c>
      <c r="BJ11" s="307">
        <f>COUNTIF(ParticipationMars1[[#This Row],[1]:[31]],code19)</f>
        <v>0</v>
      </c>
      <c r="BK11" s="307">
        <f>COUNTIF(ParticipationMars1[[#This Row],[1]:[31]],code20)</f>
        <v>0</v>
      </c>
      <c r="BL11" s="307">
        <f>COUNTIF(ParticipationMars1[[#This Row],[1]:[31]],code29)</f>
        <v>0</v>
      </c>
      <c r="BM11" s="503"/>
      <c r="BN11" s="297">
        <v>1</v>
      </c>
      <c r="BO11" s="297"/>
      <c r="BP11" s="297"/>
      <c r="BQ11" s="297"/>
      <c r="BR11" s="297"/>
      <c r="BS11" s="297"/>
      <c r="BT11" s="297">
        <v>3</v>
      </c>
      <c r="BU11" s="297"/>
      <c r="BV11" s="297"/>
      <c r="BW11" s="297">
        <v>5</v>
      </c>
      <c r="BX11" s="297"/>
      <c r="BY11" s="297"/>
      <c r="BZ11" s="297"/>
      <c r="CA11" s="297"/>
      <c r="CB11" s="297"/>
      <c r="CC11" s="297"/>
      <c r="CD11" s="297"/>
      <c r="CE11" s="297"/>
      <c r="CF11" s="297"/>
      <c r="CG11" s="297">
        <v>1</v>
      </c>
      <c r="CH11" s="297"/>
      <c r="CI11" s="297"/>
      <c r="CJ11" s="297"/>
      <c r="CK11" s="297"/>
      <c r="CL11" s="297"/>
      <c r="CM11" s="297"/>
      <c r="CN11" s="297"/>
      <c r="CO11" s="297"/>
      <c r="CP11" s="297"/>
      <c r="CQ11" s="297"/>
      <c r="CR11" s="297"/>
      <c r="CS11" s="307"/>
      <c r="CT11" s="307"/>
      <c r="CU11" s="300"/>
      <c r="CV11" s="501">
        <f t="shared" ref="CV11:CV52" si="0">SUM((AH11*1)+(AI11*1.5)+(AJ11*2)+(AK11*3)+(AP11*5)+(AQ11*6)+(AR11*7)+(AU11*2)+(AX11*3)+(AY11*4)+(AZ11*5)+(BB11*3)+(BA11*2)+(BG11*2)+(BC11*2)+(BD11*2)+(BE11*3)+(BF11*3))</f>
        <v>12</v>
      </c>
      <c r="CW11" s="501">
        <f t="shared" ref="CW11:CW52" si="1">SUM((AN11*1)+(AM11*2)+(AO11*3)+(AP11*4)+(AT11*5)+(AU11*6)+(AV11*7)+(AW11*7)+(AX11*4)+(AY11*3)+(AZ11*2)+(BA11*4)+(BB11*1)+(BG11*2)+(BC11*5)+(BD11*1)+(BE11*2)+(BF11*3))</f>
        <v>23</v>
      </c>
      <c r="CX11" s="249">
        <f t="shared" ref="CX11:CX52" si="2">BH11*1+BL11*3</f>
        <v>0</v>
      </c>
      <c r="CY11" s="342"/>
    </row>
    <row r="12" spans="1:103">
      <c r="A12" s="534" t="s">
        <v>72</v>
      </c>
      <c r="B12" s="162" t="str">
        <f>IFERROR(VLOOKUP(ParticipationMars1[[#This Row],[Référence]],ListeÉtudiants1[],18,FALSE),"")</f>
        <v>ABOSI MAIWENN</v>
      </c>
      <c r="C12" s="19"/>
      <c r="D12" s="19"/>
      <c r="E12" s="19"/>
      <c r="F12" s="19"/>
      <c r="G12" s="19"/>
      <c r="H12" s="19"/>
      <c r="I12" s="19"/>
      <c r="J12" s="19"/>
      <c r="K12" s="19"/>
      <c r="L12" s="19"/>
      <c r="M12" s="19"/>
      <c r="N12" s="19"/>
      <c r="O12" s="19"/>
      <c r="P12" s="19"/>
      <c r="Q12" s="19"/>
      <c r="R12" s="19"/>
      <c r="S12" s="19"/>
      <c r="T12" s="19"/>
      <c r="U12" s="19"/>
      <c r="V12" s="19"/>
      <c r="W12" s="19"/>
      <c r="X12" s="19" t="s">
        <v>488</v>
      </c>
      <c r="Y12" s="19"/>
      <c r="Z12" s="19"/>
      <c r="AA12" s="19"/>
      <c r="AB12" s="19"/>
      <c r="AC12" s="19"/>
      <c r="AD12" s="19"/>
      <c r="AE12" s="19" t="s">
        <v>529</v>
      </c>
      <c r="AF12" s="19"/>
      <c r="AG12" s="144"/>
      <c r="AH12" s="6">
        <f>COUNTIF(ParticipationMars1[[#This Row],[1]:[31]],Code1)</f>
        <v>0</v>
      </c>
      <c r="AI12" s="331">
        <f>COUNTIF(ParticipationMars1[[#This Row],[1]:[31]],code22)</f>
        <v>0</v>
      </c>
      <c r="AJ12" s="30">
        <f>COUNTIF(ParticipationMars1[[#This Row],[1]:[31]],Code2)</f>
        <v>0</v>
      </c>
      <c r="AK12" s="30">
        <f>COUNTIF(ParticipationMars1[[#This Row],[1]:[31]],Code3)</f>
        <v>0</v>
      </c>
      <c r="AL12" s="30">
        <f>COUNTIF(ParticipationMars1[[#This Row],[1]:[31]],Code4)</f>
        <v>0</v>
      </c>
      <c r="AM12" s="307">
        <f>COUNTIF(ParticipationMars1[[#This Row],[1]:[31]],Code5)</f>
        <v>0</v>
      </c>
      <c r="AN12" s="307">
        <f>COUNTIF(ParticipationMars1[[#This Row],[1]:[31]],Code23)</f>
        <v>1</v>
      </c>
      <c r="AO12" s="307">
        <f>COUNTIF(ParticipationMars1[[#This Row],[1]:[31]],Code6)</f>
        <v>0</v>
      </c>
      <c r="AP12" s="307">
        <f>COUNTIF(ParticipationMars1[[#This Row],[1]:[31]],Code7)</f>
        <v>0</v>
      </c>
      <c r="AQ12" s="307">
        <f>COUNTIF(ParticipationMars1[[#This Row],[1]:[31]],Code8)</f>
        <v>0</v>
      </c>
      <c r="AR12" s="307">
        <f>COUNTIF(ParticipationMars1[[#This Row],[1]:[31]],Code9)</f>
        <v>0</v>
      </c>
      <c r="AS12" s="307">
        <f>COUNTIF(ParticipationMars1[[#This Row],[1]:[31]],Code10)</f>
        <v>0</v>
      </c>
      <c r="AT12" s="307">
        <f>COUNTIF(ParticipationMars1[[#This Row],[1]:[31]],Code11)</f>
        <v>0</v>
      </c>
      <c r="AU12" s="307">
        <f>COUNTIF(ParticipationMars1[[#This Row],[1]:[31]],Code12)</f>
        <v>0</v>
      </c>
      <c r="AV12" s="307">
        <f>COUNTIF(ParticipationMars1[[#This Row],[1]:[31]],Code13)</f>
        <v>0</v>
      </c>
      <c r="AW12" s="307">
        <f>COUNTIF(ParticipationMars1[[#This Row],[1]:[31]],Code14)</f>
        <v>1</v>
      </c>
      <c r="AX12" s="307">
        <f>COUNTIF(ParticipationMars1[[#This Row],[1]:[31]],Code15)</f>
        <v>0</v>
      </c>
      <c r="AY12" s="307">
        <f>COUNTIF(ParticipationMars1[[#This Row],[1]:[31]],Code16)</f>
        <v>0</v>
      </c>
      <c r="AZ12" s="307">
        <f>COUNTIF(ParticipationMars1[[#This Row],[1]:[31]],Code17)</f>
        <v>0</v>
      </c>
      <c r="BA12" s="307">
        <f>COUNTIF(ParticipationMars1[[#This Row],[1]:[31]],Code25)</f>
        <v>0</v>
      </c>
      <c r="BB12" s="307">
        <f>COUNTIF(ParticipationMars1[[#This Row],[1]:[31]],Code26)</f>
        <v>0</v>
      </c>
      <c r="BC12" s="307">
        <f>COUNTIF(ParticipationMars1[[#This Row],[1]:[31]],Code27)</f>
        <v>0</v>
      </c>
      <c r="BD12" s="307">
        <f>COUNTIF(ParticipationMars1[[#This Row],[1]:[31]],Code28)</f>
        <v>0</v>
      </c>
      <c r="BE12" s="307">
        <f>COUNTIF(ParticipationMars1[[#This Row],[1]:[31]],code30)</f>
        <v>0</v>
      </c>
      <c r="BF12" s="307">
        <f>COUNTIF(ParticipationMars1[[#This Row],[1]:[31]],Code31)</f>
        <v>0</v>
      </c>
      <c r="BG12" s="307">
        <f>COUNTIF(ParticipationMars1[[#This Row],[1]:[31]],code21)</f>
        <v>0</v>
      </c>
      <c r="BH12" s="307">
        <f>COUNTIF(ParticipationMars1[[#This Row],[1]:[31]],Code24)</f>
        <v>0</v>
      </c>
      <c r="BI12" s="307">
        <f>COUNTIF(ParticipationMars1[[#This Row],[1]:[31]],code18)</f>
        <v>0</v>
      </c>
      <c r="BJ12" s="307">
        <f>COUNTIF(ParticipationMars1[[#This Row],[1]:[31]],code19)</f>
        <v>0</v>
      </c>
      <c r="BK12" s="307">
        <f>COUNTIF(ParticipationMars1[[#This Row],[1]:[31]],code20)</f>
        <v>0</v>
      </c>
      <c r="BL12" s="300">
        <f>COUNTIF(ParticipationMars1[[#This Row],[1]:[31]],code29)</f>
        <v>0</v>
      </c>
      <c r="BM12" s="297"/>
      <c r="BN12" s="297">
        <v>1</v>
      </c>
      <c r="BO12" s="297"/>
      <c r="BP12" s="297"/>
      <c r="BQ12" s="297"/>
      <c r="BR12" s="297"/>
      <c r="BS12" s="297"/>
      <c r="BT12" s="297"/>
      <c r="BU12" s="297"/>
      <c r="BV12" s="297"/>
      <c r="BW12" s="297">
        <v>1</v>
      </c>
      <c r="BX12" s="297"/>
      <c r="BY12" s="297"/>
      <c r="BZ12" s="297"/>
      <c r="CA12" s="297"/>
      <c r="CB12" s="297"/>
      <c r="CC12" s="297"/>
      <c r="CD12" s="297"/>
      <c r="CE12" s="297"/>
      <c r="CF12" s="297"/>
      <c r="CG12" s="297">
        <v>1</v>
      </c>
      <c r="CH12" s="297"/>
      <c r="CI12" s="297"/>
      <c r="CJ12" s="297"/>
      <c r="CK12" s="297"/>
      <c r="CL12" s="297"/>
      <c r="CM12" s="297"/>
      <c r="CN12" s="297"/>
      <c r="CO12" s="297"/>
      <c r="CP12" s="297"/>
      <c r="CQ12" s="297"/>
      <c r="CR12" s="297"/>
      <c r="CS12" s="307"/>
      <c r="CT12" s="307"/>
      <c r="CU12" s="300"/>
      <c r="CV12" s="501">
        <f t="shared" si="0"/>
        <v>0</v>
      </c>
      <c r="CW12" s="501">
        <f t="shared" si="1"/>
        <v>8</v>
      </c>
      <c r="CX12" s="341">
        <f t="shared" si="2"/>
        <v>0</v>
      </c>
      <c r="CY12" s="327"/>
    </row>
    <row r="13" spans="1:103">
      <c r="A13" s="510" t="s">
        <v>73</v>
      </c>
      <c r="B13" s="162" t="str">
        <f>IFERROR(VLOOKUP(ParticipationMars1[[#This Row],[Référence]],ListeÉtudiants1[],18,FALSE),"")</f>
        <v>AFKIR SOUMIA</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340"/>
      <c r="AH13" s="6">
        <f>COUNTIF(ParticipationMars1[[#This Row],[1]:[31]],Code1)</f>
        <v>0</v>
      </c>
      <c r="AI13" s="475">
        <f>COUNTIF(ParticipationMars1[[#This Row],[1]:[31]],code22)</f>
        <v>0</v>
      </c>
      <c r="AJ13" s="30">
        <f>COUNTIF(ParticipationMars1[[#This Row],[1]:[31]],Code2)</f>
        <v>0</v>
      </c>
      <c r="AK13" s="30">
        <f>COUNTIF(ParticipationMars1[[#This Row],[1]:[31]],Code3)</f>
        <v>0</v>
      </c>
      <c r="AL13" s="30">
        <f>COUNTIF(ParticipationMars1[[#This Row],[1]:[31]],Code4)</f>
        <v>0</v>
      </c>
      <c r="AM13" s="473">
        <f>COUNTIF(ParticipationMars1[[#This Row],[1]:[31]],Code5)</f>
        <v>0</v>
      </c>
      <c r="AN13" s="473">
        <f>COUNTIF(ParticipationMars1[[#This Row],[1]:[31]],Code23)</f>
        <v>0</v>
      </c>
      <c r="AO13" s="473">
        <f>COUNTIF(ParticipationMars1[[#This Row],[1]:[31]],Code6)</f>
        <v>0</v>
      </c>
      <c r="AP13" s="473">
        <f>COUNTIF(ParticipationMars1[[#This Row],[1]:[31]],Code7)</f>
        <v>0</v>
      </c>
      <c r="AQ13" s="473">
        <f>COUNTIF(ParticipationMars1[[#This Row],[1]:[31]],Code8)</f>
        <v>0</v>
      </c>
      <c r="AR13" s="473">
        <f>COUNTIF(ParticipationMars1[[#This Row],[1]:[31]],Code9)</f>
        <v>0</v>
      </c>
      <c r="AS13" s="473">
        <f>COUNTIF(ParticipationMars1[[#This Row],[1]:[31]],Code10)</f>
        <v>0</v>
      </c>
      <c r="AT13" s="473">
        <f>COUNTIF(ParticipationMars1[[#This Row],[1]:[31]],Code11)</f>
        <v>0</v>
      </c>
      <c r="AU13" s="473">
        <f>COUNTIF(ParticipationMars1[[#This Row],[1]:[31]],Code12)</f>
        <v>0</v>
      </c>
      <c r="AV13" s="473">
        <f>COUNTIF(ParticipationMars1[[#This Row],[1]:[31]],Code13)</f>
        <v>0</v>
      </c>
      <c r="AW13" s="473">
        <f>COUNTIF(ParticipationMars1[[#This Row],[1]:[31]],Code14)</f>
        <v>0</v>
      </c>
      <c r="AX13" s="473">
        <f>COUNTIF(ParticipationMars1[[#This Row],[1]:[31]],Code15)</f>
        <v>0</v>
      </c>
      <c r="AY13" s="473">
        <f>COUNTIF(ParticipationMars1[[#This Row],[1]:[31]],Code16)</f>
        <v>0</v>
      </c>
      <c r="AZ13" s="473">
        <f>COUNTIF(ParticipationMars1[[#This Row],[1]:[31]],Code17)</f>
        <v>0</v>
      </c>
      <c r="BA13" s="473">
        <f>COUNTIF(ParticipationMars1[[#This Row],[1]:[31]],Code25)</f>
        <v>0</v>
      </c>
      <c r="BB13" s="473">
        <f>COUNTIF(ParticipationMars1[[#This Row],[1]:[31]],Code26)</f>
        <v>0</v>
      </c>
      <c r="BC13" s="473">
        <f>COUNTIF(ParticipationMars1[[#This Row],[1]:[31]],Code27)</f>
        <v>0</v>
      </c>
      <c r="BD13" s="473">
        <f>COUNTIF(ParticipationMars1[[#This Row],[1]:[31]],Code28)</f>
        <v>0</v>
      </c>
      <c r="BE13" s="473">
        <f>COUNTIF(ParticipationMars1[[#This Row],[1]:[31]],code30)</f>
        <v>0</v>
      </c>
      <c r="BF13" s="473">
        <f>COUNTIF(ParticipationMars1[[#This Row],[1]:[31]],Code31)</f>
        <v>0</v>
      </c>
      <c r="BG13" s="473">
        <f>COUNTIF(ParticipationMars1[[#This Row],[1]:[31]],code21)</f>
        <v>0</v>
      </c>
      <c r="BH13" s="473">
        <f>COUNTIF(ParticipationMars1[[#This Row],[1]:[31]],Code24)</f>
        <v>0</v>
      </c>
      <c r="BI13" s="473">
        <f>COUNTIF(ParticipationMars1[[#This Row],[1]:[31]],code18)</f>
        <v>0</v>
      </c>
      <c r="BJ13" s="473">
        <f>COUNTIF(ParticipationMars1[[#This Row],[1]:[31]],code19)</f>
        <v>0</v>
      </c>
      <c r="BK13" s="473">
        <f>COUNTIF(ParticipationMars1[[#This Row],[1]:[31]],code20)</f>
        <v>0</v>
      </c>
      <c r="BL13" s="516">
        <f>COUNTIF(ParticipationMars1[[#This Row],[1]:[31]],code29)</f>
        <v>0</v>
      </c>
      <c r="BM13" s="472"/>
      <c r="BN13" s="472"/>
      <c r="BO13" s="472"/>
      <c r="BP13" s="472"/>
      <c r="BQ13" s="472"/>
      <c r="BR13" s="472"/>
      <c r="BS13" s="472"/>
      <c r="BT13" s="472"/>
      <c r="BU13" s="472"/>
      <c r="BV13" s="472"/>
      <c r="BW13" s="472"/>
      <c r="BX13" s="472"/>
      <c r="BY13" s="472"/>
      <c r="BZ13" s="472"/>
      <c r="CA13" s="472"/>
      <c r="CB13" s="472"/>
      <c r="CC13" s="472"/>
      <c r="CD13" s="472"/>
      <c r="CE13" s="472"/>
      <c r="CF13" s="472"/>
      <c r="CG13" s="472"/>
      <c r="CH13" s="472"/>
      <c r="CI13" s="472"/>
      <c r="CJ13" s="472"/>
      <c r="CK13" s="472"/>
      <c r="CL13" s="472"/>
      <c r="CM13" s="472"/>
      <c r="CN13" s="472"/>
      <c r="CO13" s="472"/>
      <c r="CP13" s="472"/>
      <c r="CQ13" s="472"/>
      <c r="CR13" s="472"/>
      <c r="CS13" s="473"/>
      <c r="CT13" s="473"/>
      <c r="CU13" s="516"/>
      <c r="CV13" s="533">
        <f t="shared" si="0"/>
        <v>0</v>
      </c>
      <c r="CW13" s="533">
        <f t="shared" si="1"/>
        <v>0</v>
      </c>
      <c r="CX13" s="523">
        <f t="shared" si="2"/>
        <v>0</v>
      </c>
      <c r="CY13" s="512"/>
    </row>
    <row r="14" spans="1:103">
      <c r="A14" s="534" t="s">
        <v>74</v>
      </c>
      <c r="B14" s="162" t="str">
        <f>IFERROR(VLOOKUP(ParticipationMars1[[#This Row],[Référence]],ListeÉtudiants1[],18,FALSE),"")</f>
        <v>AFRICA NADINE</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340"/>
      <c r="AH14" s="6">
        <f>COUNTIF(ParticipationMars1[[#This Row],[1]:[31]],Code1)</f>
        <v>0</v>
      </c>
      <c r="AI14" s="475">
        <f>COUNTIF(ParticipationMars1[[#This Row],[1]:[31]],code22)</f>
        <v>0</v>
      </c>
      <c r="AJ14" s="30">
        <f>COUNTIF(ParticipationMars1[[#This Row],[1]:[31]],Code2)</f>
        <v>0</v>
      </c>
      <c r="AK14" s="30">
        <f>COUNTIF(ParticipationMars1[[#This Row],[1]:[31]],Code3)</f>
        <v>0</v>
      </c>
      <c r="AL14" s="30">
        <f>COUNTIF(ParticipationMars1[[#This Row],[1]:[31]],Code4)</f>
        <v>0</v>
      </c>
      <c r="AM14" s="473">
        <f>COUNTIF(ParticipationMars1[[#This Row],[1]:[31]],Code5)</f>
        <v>0</v>
      </c>
      <c r="AN14" s="473">
        <f>COUNTIF(ParticipationMars1[[#This Row],[1]:[31]],Code23)</f>
        <v>0</v>
      </c>
      <c r="AO14" s="473">
        <f>COUNTIF(ParticipationMars1[[#This Row],[1]:[31]],Code6)</f>
        <v>0</v>
      </c>
      <c r="AP14" s="473">
        <f>COUNTIF(ParticipationMars1[[#This Row],[1]:[31]],Code7)</f>
        <v>0</v>
      </c>
      <c r="AQ14" s="473">
        <f>COUNTIF(ParticipationMars1[[#This Row],[1]:[31]],Code8)</f>
        <v>0</v>
      </c>
      <c r="AR14" s="473">
        <f>COUNTIF(ParticipationMars1[[#This Row],[1]:[31]],Code9)</f>
        <v>0</v>
      </c>
      <c r="AS14" s="473">
        <f>COUNTIF(ParticipationMars1[[#This Row],[1]:[31]],Code10)</f>
        <v>0</v>
      </c>
      <c r="AT14" s="473">
        <f>COUNTIF(ParticipationMars1[[#This Row],[1]:[31]],Code11)</f>
        <v>0</v>
      </c>
      <c r="AU14" s="473">
        <f>COUNTIF(ParticipationMars1[[#This Row],[1]:[31]],Code12)</f>
        <v>0</v>
      </c>
      <c r="AV14" s="473">
        <f>COUNTIF(ParticipationMars1[[#This Row],[1]:[31]],Code13)</f>
        <v>0</v>
      </c>
      <c r="AW14" s="473">
        <f>COUNTIF(ParticipationMars1[[#This Row],[1]:[31]],Code14)</f>
        <v>0</v>
      </c>
      <c r="AX14" s="473">
        <f>COUNTIF(ParticipationMars1[[#This Row],[1]:[31]],Code15)</f>
        <v>0</v>
      </c>
      <c r="AY14" s="473">
        <f>COUNTIF(ParticipationMars1[[#This Row],[1]:[31]],Code16)</f>
        <v>0</v>
      </c>
      <c r="AZ14" s="473">
        <f>COUNTIF(ParticipationMars1[[#This Row],[1]:[31]],Code17)</f>
        <v>0</v>
      </c>
      <c r="BA14" s="473">
        <f>COUNTIF(ParticipationMars1[[#This Row],[1]:[31]],Code25)</f>
        <v>0</v>
      </c>
      <c r="BB14" s="473">
        <f>COUNTIF(ParticipationMars1[[#This Row],[1]:[31]],Code26)</f>
        <v>0</v>
      </c>
      <c r="BC14" s="473">
        <f>COUNTIF(ParticipationMars1[[#This Row],[1]:[31]],Code27)</f>
        <v>0</v>
      </c>
      <c r="BD14" s="473">
        <f>COUNTIF(ParticipationMars1[[#This Row],[1]:[31]],Code28)</f>
        <v>0</v>
      </c>
      <c r="BE14" s="473">
        <f>COUNTIF(ParticipationMars1[[#This Row],[1]:[31]],code30)</f>
        <v>0</v>
      </c>
      <c r="BF14" s="473">
        <f>COUNTIF(ParticipationMars1[[#This Row],[1]:[31]],Code31)</f>
        <v>0</v>
      </c>
      <c r="BG14" s="473">
        <f>COUNTIF(ParticipationMars1[[#This Row],[1]:[31]],code21)</f>
        <v>0</v>
      </c>
      <c r="BH14" s="473">
        <f>COUNTIF(ParticipationMars1[[#This Row],[1]:[31]],Code24)</f>
        <v>0</v>
      </c>
      <c r="BI14" s="473">
        <f>COUNTIF(ParticipationMars1[[#This Row],[1]:[31]],code18)</f>
        <v>0</v>
      </c>
      <c r="BJ14" s="473">
        <f>COUNTIF(ParticipationMars1[[#This Row],[1]:[31]],code19)</f>
        <v>0</v>
      </c>
      <c r="BK14" s="473">
        <f>COUNTIF(ParticipationMars1[[#This Row],[1]:[31]],code20)</f>
        <v>0</v>
      </c>
      <c r="BL14" s="516">
        <f>COUNTIF(ParticipationMars1[[#This Row],[1]:[31]],code29)</f>
        <v>0</v>
      </c>
      <c r="BM14" s="472"/>
      <c r="BN14" s="472"/>
      <c r="BO14" s="472"/>
      <c r="BP14" s="472"/>
      <c r="BQ14" s="472"/>
      <c r="BR14" s="472"/>
      <c r="BS14" s="472"/>
      <c r="BT14" s="472"/>
      <c r="BU14" s="472"/>
      <c r="BV14" s="472"/>
      <c r="BW14" s="472"/>
      <c r="BX14" s="472"/>
      <c r="BY14" s="472"/>
      <c r="BZ14" s="472"/>
      <c r="CA14" s="472"/>
      <c r="CB14" s="472"/>
      <c r="CC14" s="472"/>
      <c r="CD14" s="472"/>
      <c r="CE14" s="472"/>
      <c r="CF14" s="472"/>
      <c r="CG14" s="472"/>
      <c r="CH14" s="472"/>
      <c r="CI14" s="472"/>
      <c r="CJ14" s="472"/>
      <c r="CK14" s="472"/>
      <c r="CL14" s="472"/>
      <c r="CM14" s="472"/>
      <c r="CN14" s="472"/>
      <c r="CO14" s="472"/>
      <c r="CP14" s="472"/>
      <c r="CQ14" s="472"/>
      <c r="CR14" s="472"/>
      <c r="CS14" s="473"/>
      <c r="CT14" s="473"/>
      <c r="CU14" s="516"/>
      <c r="CV14" s="533">
        <f t="shared" si="0"/>
        <v>0</v>
      </c>
      <c r="CW14" s="533">
        <f t="shared" si="1"/>
        <v>0</v>
      </c>
      <c r="CX14" s="523">
        <f t="shared" si="2"/>
        <v>0</v>
      </c>
      <c r="CY14" s="512"/>
    </row>
    <row r="15" spans="1:103">
      <c r="A15" s="510" t="s">
        <v>75</v>
      </c>
      <c r="B15" s="162" t="str">
        <f>IFERROR(VLOOKUP(ParticipationMars1[[#This Row],[Référence]],ListeÉtudiants1[],18,FALSE),"")</f>
        <v>AINAUD  MATHILDE</v>
      </c>
      <c r="C15" s="19"/>
      <c r="D15" s="19"/>
      <c r="E15" s="19"/>
      <c r="F15" s="19"/>
      <c r="G15" s="19"/>
      <c r="H15" s="19"/>
      <c r="I15" s="19"/>
      <c r="J15" s="19"/>
      <c r="K15" s="19"/>
      <c r="L15" s="19"/>
      <c r="M15" s="19"/>
      <c r="N15" s="19"/>
      <c r="O15" s="19"/>
      <c r="P15" s="19"/>
      <c r="Q15" s="19" t="s">
        <v>529</v>
      </c>
      <c r="R15" s="19"/>
      <c r="S15" s="19"/>
      <c r="T15" s="19"/>
      <c r="U15" s="19"/>
      <c r="V15" s="19"/>
      <c r="W15" s="19"/>
      <c r="X15" s="19" t="s">
        <v>488</v>
      </c>
      <c r="Y15" s="19"/>
      <c r="Z15" s="19"/>
      <c r="AA15" s="19"/>
      <c r="AB15" s="19"/>
      <c r="AC15" s="19"/>
      <c r="AD15" s="19"/>
      <c r="AE15" s="19"/>
      <c r="AF15" s="19"/>
      <c r="AG15" s="340"/>
      <c r="AH15" s="6">
        <f>COUNTIF(ParticipationMars1[[#This Row],[1]:[31]],Code1)</f>
        <v>0</v>
      </c>
      <c r="AI15" s="331">
        <f>COUNTIF(ParticipationMars1[[#This Row],[1]:[31]],code22)</f>
        <v>0</v>
      </c>
      <c r="AJ15" s="30">
        <f>COUNTIF(ParticipationMars1[[#This Row],[1]:[31]],Code2)</f>
        <v>0</v>
      </c>
      <c r="AK15" s="30">
        <f>COUNTIF(ParticipationMars1[[#This Row],[1]:[31]],Code3)</f>
        <v>0</v>
      </c>
      <c r="AL15" s="30">
        <f>COUNTIF(ParticipationMars1[[#This Row],[1]:[31]],Code4)</f>
        <v>0</v>
      </c>
      <c r="AM15" s="307">
        <f>COUNTIF(ParticipationMars1[[#This Row],[1]:[31]],Code5)</f>
        <v>0</v>
      </c>
      <c r="AN15" s="307">
        <f>COUNTIF(ParticipationMars1[[#This Row],[1]:[31]],Code23)</f>
        <v>1</v>
      </c>
      <c r="AO15" s="307">
        <f>COUNTIF(ParticipationMars1[[#This Row],[1]:[31]],Code6)</f>
        <v>0</v>
      </c>
      <c r="AP15" s="307">
        <f>COUNTIF(ParticipationMars1[[#This Row],[1]:[31]],Code7)</f>
        <v>0</v>
      </c>
      <c r="AQ15" s="307">
        <f>COUNTIF(ParticipationMars1[[#This Row],[1]:[31]],Code8)</f>
        <v>0</v>
      </c>
      <c r="AR15" s="307">
        <f>COUNTIF(ParticipationMars1[[#This Row],[1]:[31]],Code9)</f>
        <v>0</v>
      </c>
      <c r="AS15" s="307">
        <f>COUNTIF(ParticipationMars1[[#This Row],[1]:[31]],Code10)</f>
        <v>0</v>
      </c>
      <c r="AT15" s="307">
        <f>COUNTIF(ParticipationMars1[[#This Row],[1]:[31]],Code11)</f>
        <v>0</v>
      </c>
      <c r="AU15" s="30">
        <f>COUNTIF(ParticipationMars1[[#This Row],[1]:[31]],Code12)</f>
        <v>0</v>
      </c>
      <c r="AV15" s="307">
        <f>COUNTIF(ParticipationMars1[[#This Row],[1]:[31]],Code13)</f>
        <v>0</v>
      </c>
      <c r="AW15" s="307">
        <f>COUNTIF(ParticipationMars1[[#This Row],[1]:[31]],Code14)</f>
        <v>1</v>
      </c>
      <c r="AX15" s="307">
        <f>COUNTIF(ParticipationMars1[[#This Row],[1]:[31]],Code15)</f>
        <v>0</v>
      </c>
      <c r="AY15" s="307">
        <f>COUNTIF(ParticipationMars1[[#This Row],[1]:[31]],Code16)</f>
        <v>0</v>
      </c>
      <c r="AZ15" s="307">
        <f>COUNTIF(ParticipationMars1[[#This Row],[1]:[31]],Code17)</f>
        <v>0</v>
      </c>
      <c r="BA15" s="307">
        <f>COUNTIF(ParticipationMars1[[#This Row],[1]:[31]],Code25)</f>
        <v>0</v>
      </c>
      <c r="BB15" s="307">
        <f>COUNTIF(ParticipationMars1[[#This Row],[1]:[31]],Code26)</f>
        <v>0</v>
      </c>
      <c r="BC15" s="307">
        <f>COUNTIF(ParticipationMars1[[#This Row],[1]:[31]],Code27)</f>
        <v>0</v>
      </c>
      <c r="BD15" s="307">
        <f>COUNTIF(ParticipationMars1[[#This Row],[1]:[31]],Code28)</f>
        <v>0</v>
      </c>
      <c r="BE15" s="307">
        <f>COUNTIF(ParticipationMars1[[#This Row],[1]:[31]],code30)</f>
        <v>0</v>
      </c>
      <c r="BF15" s="307">
        <f>COUNTIF(ParticipationMars1[[#This Row],[1]:[31]],Code31)</f>
        <v>0</v>
      </c>
      <c r="BG15" s="307">
        <f>COUNTIF(ParticipationMars1[[#This Row],[1]:[31]],code21)</f>
        <v>0</v>
      </c>
      <c r="BH15" s="307">
        <f>COUNTIF(ParticipationMars1[[#This Row],[1]:[31]],Code24)</f>
        <v>0</v>
      </c>
      <c r="BI15" s="307">
        <f>COUNTIF(ParticipationMars1[[#This Row],[1]:[31]],code18)</f>
        <v>0</v>
      </c>
      <c r="BJ15" s="307">
        <f>COUNTIF(ParticipationMars1[[#This Row],[1]:[31]],code19)</f>
        <v>0</v>
      </c>
      <c r="BK15" s="307">
        <f>COUNTIF(ParticipationMars1[[#This Row],[1]:[31]],code20)</f>
        <v>0</v>
      </c>
      <c r="BL15" s="300">
        <f>COUNTIF(ParticipationMars1[[#This Row],[1]:[31]],code29)</f>
        <v>0</v>
      </c>
      <c r="BM15" s="297"/>
      <c r="BN15" s="297">
        <v>1</v>
      </c>
      <c r="BO15" s="297"/>
      <c r="BP15" s="297"/>
      <c r="BQ15" s="297"/>
      <c r="BR15" s="297"/>
      <c r="BS15" s="297"/>
      <c r="BT15" s="297"/>
      <c r="BU15" s="297"/>
      <c r="BV15" s="297"/>
      <c r="BW15" s="297">
        <v>1</v>
      </c>
      <c r="BX15" s="297"/>
      <c r="BY15" s="297"/>
      <c r="BZ15" s="297"/>
      <c r="CA15" s="297"/>
      <c r="CB15" s="297"/>
      <c r="CC15" s="297"/>
      <c r="CD15" s="297"/>
      <c r="CE15" s="297"/>
      <c r="CF15" s="297"/>
      <c r="CG15" s="297">
        <v>1</v>
      </c>
      <c r="CH15" s="297"/>
      <c r="CI15" s="297"/>
      <c r="CJ15" s="297"/>
      <c r="CK15" s="297"/>
      <c r="CL15" s="297"/>
      <c r="CM15" s="297"/>
      <c r="CN15" s="297"/>
      <c r="CO15" s="297"/>
      <c r="CP15" s="297"/>
      <c r="CQ15" s="297"/>
      <c r="CR15" s="297"/>
      <c r="CS15" s="307"/>
      <c r="CT15" s="307"/>
      <c r="CU15" s="300"/>
      <c r="CV15" s="501">
        <f t="shared" si="0"/>
        <v>0</v>
      </c>
      <c r="CW15" s="501">
        <f t="shared" si="1"/>
        <v>8</v>
      </c>
      <c r="CX15" s="249">
        <f t="shared" si="2"/>
        <v>0</v>
      </c>
      <c r="CY15" s="327"/>
    </row>
    <row r="16" spans="1:103">
      <c r="A16" s="534" t="s">
        <v>357</v>
      </c>
      <c r="B16" s="162" t="str">
        <f>IFERROR(VLOOKUP(ParticipationMars1[[#This Row],[Référence]],ListeÉtudiants1[],18,FALSE),"")</f>
        <v>AIT CHALALET SELENA</v>
      </c>
      <c r="C16" s="19"/>
      <c r="D16" s="19"/>
      <c r="E16" s="19"/>
      <c r="F16" s="19"/>
      <c r="G16" s="19"/>
      <c r="H16" s="19"/>
      <c r="I16" s="19"/>
      <c r="J16" s="19"/>
      <c r="K16" s="19"/>
      <c r="L16" s="19"/>
      <c r="M16" s="19"/>
      <c r="N16" s="19"/>
      <c r="O16" s="19"/>
      <c r="P16" s="19" t="s">
        <v>35</v>
      </c>
      <c r="Q16" s="19" t="s">
        <v>529</v>
      </c>
      <c r="R16" s="19"/>
      <c r="S16" s="19"/>
      <c r="T16" s="19"/>
      <c r="U16" s="19"/>
      <c r="V16" s="19" t="s">
        <v>529</v>
      </c>
      <c r="W16" s="19" t="s">
        <v>529</v>
      </c>
      <c r="X16" s="19" t="s">
        <v>109</v>
      </c>
      <c r="Y16" s="19"/>
      <c r="Z16" s="19"/>
      <c r="AA16" s="19" t="s">
        <v>529</v>
      </c>
      <c r="AB16" s="19" t="s">
        <v>487</v>
      </c>
      <c r="AC16" s="19" t="s">
        <v>486</v>
      </c>
      <c r="AD16" s="19" t="s">
        <v>35</v>
      </c>
      <c r="AE16" s="19" t="s">
        <v>105</v>
      </c>
      <c r="AF16" s="19" t="s">
        <v>531</v>
      </c>
      <c r="AG16" s="144"/>
      <c r="AH16" s="6">
        <f>COUNTIF(ParticipationMars1[[#This Row],[1]:[31]],Code1)</f>
        <v>0</v>
      </c>
      <c r="AI16" s="331">
        <f>COUNTIF(ParticipationMars1[[#This Row],[1]:[31]],code22)</f>
        <v>0</v>
      </c>
      <c r="AJ16" s="30">
        <f>COUNTIF(ParticipationMars1[[#This Row],[1]:[31]],Code2)</f>
        <v>1</v>
      </c>
      <c r="AK16" s="30">
        <f>COUNTIF(ParticipationMars1[[#This Row],[1]:[31]],Code3)</f>
        <v>0</v>
      </c>
      <c r="AL16" s="30">
        <f>COUNTIF(ParticipationMars1[[#This Row],[1]:[31]],Code4)</f>
        <v>0</v>
      </c>
      <c r="AM16" s="307">
        <f>COUNTIF(ParticipationMars1[[#This Row],[1]:[31]],Code5)</f>
        <v>2</v>
      </c>
      <c r="AN16" s="307">
        <f>COUNTIF(ParticipationMars1[[#This Row],[1]:[31]],Code23)</f>
        <v>4</v>
      </c>
      <c r="AO16" s="307">
        <f>COUNTIF(ParticipationMars1[[#This Row],[1]:[31]],Code6)</f>
        <v>0</v>
      </c>
      <c r="AP16" s="307">
        <f>COUNTIF(ParticipationMars1[[#This Row],[1]:[31]],Code7)</f>
        <v>1</v>
      </c>
      <c r="AQ16" s="307">
        <f>COUNTIF(ParticipationMars1[[#This Row],[1]:[31]],Code8)</f>
        <v>0</v>
      </c>
      <c r="AR16" s="307">
        <f>COUNTIF(ParticipationMars1[[#This Row],[1]:[31]],Code9)</f>
        <v>0</v>
      </c>
      <c r="AS16" s="307">
        <f>COUNTIF(ParticipationMars1[[#This Row],[1]:[31]],Code10)</f>
        <v>0</v>
      </c>
      <c r="AT16" s="307">
        <f>COUNTIF(ParticipationMars1[[#This Row],[1]:[31]],Code11)</f>
        <v>1</v>
      </c>
      <c r="AU16" s="307">
        <f>COUNTIF(ParticipationMars1[[#This Row],[1]:[31]],Code12)</f>
        <v>1</v>
      </c>
      <c r="AV16" s="307">
        <f>COUNTIF(ParticipationMars1[[#This Row],[1]:[31]],Code13)</f>
        <v>0</v>
      </c>
      <c r="AW16" s="307">
        <f>COUNTIF(ParticipationMars1[[#This Row],[1]:[31]],Code14)</f>
        <v>0</v>
      </c>
      <c r="AX16" s="307">
        <f>COUNTIF(ParticipationMars1[[#This Row],[1]:[31]],Code15)</f>
        <v>0</v>
      </c>
      <c r="AY16" s="307">
        <f>COUNTIF(ParticipationMars1[[#This Row],[1]:[31]],Code16)</f>
        <v>0</v>
      </c>
      <c r="AZ16" s="307">
        <f>COUNTIF(ParticipationMars1[[#This Row],[1]:[31]],Code17)</f>
        <v>0</v>
      </c>
      <c r="BA16" s="30">
        <f>COUNTIF(ParticipationMars1[[#This Row],[1]:[31]],Code25)</f>
        <v>0</v>
      </c>
      <c r="BB16" s="307">
        <f>COUNTIF(ParticipationMars1[[#This Row],[1]:[31]],Code26)</f>
        <v>0</v>
      </c>
      <c r="BC16" s="307">
        <f>COUNTIF(ParticipationMars1[[#This Row],[1]:[31]],Code27)</f>
        <v>0</v>
      </c>
      <c r="BD16" s="30">
        <f>COUNTIF(ParticipationMars1[[#This Row],[1]:[31]],Code28)</f>
        <v>0</v>
      </c>
      <c r="BE16" s="30">
        <f>COUNTIF(ParticipationMars1[[#This Row],[1]:[31]],code30)</f>
        <v>0</v>
      </c>
      <c r="BF16" s="30">
        <f>COUNTIF(ParticipationMars1[[#This Row],[1]:[31]],Code31)</f>
        <v>0</v>
      </c>
      <c r="BG16" s="307">
        <f>COUNTIF(ParticipationMars1[[#This Row],[1]:[31]],code21)</f>
        <v>0</v>
      </c>
      <c r="BH16" s="307">
        <f>COUNTIF(ParticipationMars1[[#This Row],[1]:[31]],Code24)</f>
        <v>1</v>
      </c>
      <c r="BI16" s="307">
        <f>COUNTIF(ParticipationMars1[[#This Row],[1]:[31]],code18)</f>
        <v>0</v>
      </c>
      <c r="BJ16" s="307">
        <f>COUNTIF(ParticipationMars1[[#This Row],[1]:[31]],code19)</f>
        <v>0</v>
      </c>
      <c r="BK16" s="307">
        <f>COUNTIF(ParticipationMars1[[#This Row],[1]:[31]],code20)</f>
        <v>0</v>
      </c>
      <c r="BL16" s="300">
        <f>COUNTIF(ParticipationMars1[[#This Row],[1]:[31]],code29)</f>
        <v>0</v>
      </c>
      <c r="BM16" s="297"/>
      <c r="BN16" s="297">
        <v>1</v>
      </c>
      <c r="BO16" s="297"/>
      <c r="BP16" s="297"/>
      <c r="BQ16" s="297"/>
      <c r="BR16" s="297"/>
      <c r="BS16" s="297"/>
      <c r="BT16" s="297">
        <v>2</v>
      </c>
      <c r="BU16" s="297"/>
      <c r="BV16" s="297"/>
      <c r="BW16" s="297">
        <v>3</v>
      </c>
      <c r="BX16" s="297"/>
      <c r="BY16" s="297"/>
      <c r="BZ16" s="297">
        <v>1</v>
      </c>
      <c r="CA16" s="297"/>
      <c r="CB16" s="297">
        <v>1</v>
      </c>
      <c r="CC16" s="297"/>
      <c r="CD16" s="297"/>
      <c r="CE16" s="297"/>
      <c r="CF16" s="297"/>
      <c r="CG16" s="297">
        <v>1</v>
      </c>
      <c r="CH16" s="297"/>
      <c r="CI16" s="297"/>
      <c r="CJ16" s="297"/>
      <c r="CK16" s="297">
        <v>1</v>
      </c>
      <c r="CL16" s="297"/>
      <c r="CM16" s="297"/>
      <c r="CN16" s="297"/>
      <c r="CO16" s="297"/>
      <c r="CP16" s="297"/>
      <c r="CQ16" s="297"/>
      <c r="CR16" s="297"/>
      <c r="CS16" s="307"/>
      <c r="CT16" s="307"/>
      <c r="CU16" s="300"/>
      <c r="CV16" s="501">
        <f t="shared" si="0"/>
        <v>9</v>
      </c>
      <c r="CW16" s="501">
        <f t="shared" si="1"/>
        <v>23</v>
      </c>
      <c r="CX16" s="249">
        <f t="shared" si="2"/>
        <v>1</v>
      </c>
      <c r="CY16" s="327"/>
    </row>
    <row r="17" spans="1:103">
      <c r="A17" s="534" t="s">
        <v>358</v>
      </c>
      <c r="B17" s="162" t="str">
        <f>IFERROR(VLOOKUP(ParticipationMars1[[#This Row],[Référence]],ListeÉtudiants1[],18,FALSE),"")</f>
        <v>AJINCA NATHAN</v>
      </c>
      <c r="C17" s="19"/>
      <c r="D17" s="19"/>
      <c r="E17" s="19"/>
      <c r="F17" s="19"/>
      <c r="G17" s="19"/>
      <c r="H17" s="19"/>
      <c r="I17" s="19"/>
      <c r="J17" s="19"/>
      <c r="K17" s="19"/>
      <c r="L17" s="19"/>
      <c r="M17" s="19"/>
      <c r="N17" s="19"/>
      <c r="O17" s="19"/>
      <c r="P17" s="19"/>
      <c r="Q17" s="19"/>
      <c r="R17" s="19"/>
      <c r="S17" s="19"/>
      <c r="T17" s="19"/>
      <c r="U17" s="19"/>
      <c r="V17" s="19"/>
      <c r="W17" s="19" t="s">
        <v>529</v>
      </c>
      <c r="X17" s="19"/>
      <c r="Y17" s="19"/>
      <c r="Z17" s="19"/>
      <c r="AA17" s="19"/>
      <c r="AB17" s="19"/>
      <c r="AC17" s="19"/>
      <c r="AD17" s="19"/>
      <c r="AE17" s="19"/>
      <c r="AF17" s="19"/>
      <c r="AG17" s="144"/>
      <c r="AH17" s="6">
        <f>COUNTIF(ParticipationMars1[[#This Row],[1]:[31]],Code1)</f>
        <v>0</v>
      </c>
      <c r="AI17" s="331">
        <f>COUNTIF(ParticipationMars1[[#This Row],[1]:[31]],code22)</f>
        <v>0</v>
      </c>
      <c r="AJ17" s="30">
        <f>COUNTIF(ParticipationMars1[[#This Row],[1]:[31]],Code2)</f>
        <v>0</v>
      </c>
      <c r="AK17" s="30">
        <f>COUNTIF(ParticipationMars1[[#This Row],[1]:[31]],Code3)</f>
        <v>0</v>
      </c>
      <c r="AL17" s="30">
        <f>COUNTIF(ParticipationMars1[[#This Row],[1]:[31]],Code4)</f>
        <v>0</v>
      </c>
      <c r="AM17" s="307">
        <f>COUNTIF(ParticipationMars1[[#This Row],[1]:[31]],Code5)</f>
        <v>0</v>
      </c>
      <c r="AN17" s="307">
        <f>COUNTIF(ParticipationMars1[[#This Row],[1]:[31]],Code23)</f>
        <v>1</v>
      </c>
      <c r="AO17" s="307">
        <f>COUNTIF(ParticipationMars1[[#This Row],[1]:[31]],Code6)</f>
        <v>0</v>
      </c>
      <c r="AP17" s="307">
        <f>COUNTIF(ParticipationMars1[[#This Row],[1]:[31]],Code7)</f>
        <v>0</v>
      </c>
      <c r="AQ17" s="307">
        <f>COUNTIF(ParticipationMars1[[#This Row],[1]:[31]],Code8)</f>
        <v>0</v>
      </c>
      <c r="AR17" s="307">
        <f>COUNTIF(ParticipationMars1[[#This Row],[1]:[31]],Code9)</f>
        <v>0</v>
      </c>
      <c r="AS17" s="307">
        <f>COUNTIF(ParticipationMars1[[#This Row],[1]:[31]],Code10)</f>
        <v>0</v>
      </c>
      <c r="AT17" s="307">
        <f>COUNTIF(ParticipationMars1[[#This Row],[1]:[31]],Code11)</f>
        <v>0</v>
      </c>
      <c r="AU17" s="307">
        <f>COUNTIF(ParticipationMars1[[#This Row],[1]:[31]],Code12)</f>
        <v>0</v>
      </c>
      <c r="AV17" s="307">
        <f>COUNTIF(ParticipationMars1[[#This Row],[1]:[31]],Code13)</f>
        <v>0</v>
      </c>
      <c r="AW17" s="307">
        <f>COUNTIF(ParticipationMars1[[#This Row],[1]:[31]],Code14)</f>
        <v>0</v>
      </c>
      <c r="AX17" s="307">
        <f>COUNTIF(ParticipationMars1[[#This Row],[1]:[31]],Code15)</f>
        <v>0</v>
      </c>
      <c r="AY17" s="307">
        <f>COUNTIF(ParticipationMars1[[#This Row],[1]:[31]],Code16)</f>
        <v>0</v>
      </c>
      <c r="AZ17" s="307">
        <f>COUNTIF(ParticipationMars1[[#This Row],[1]:[31]],Code17)</f>
        <v>0</v>
      </c>
      <c r="BA17" s="307">
        <f>COUNTIF(ParticipationMars1[[#This Row],[1]:[31]],Code25)</f>
        <v>0</v>
      </c>
      <c r="BB17" s="307">
        <f>COUNTIF(ParticipationMars1[[#This Row],[1]:[31]],Code26)</f>
        <v>0</v>
      </c>
      <c r="BC17" s="307">
        <f>COUNTIF(ParticipationMars1[[#This Row],[1]:[31]],Code27)</f>
        <v>0</v>
      </c>
      <c r="BD17" s="307">
        <f>COUNTIF(ParticipationMars1[[#This Row],[1]:[31]],Code28)</f>
        <v>0</v>
      </c>
      <c r="BE17" s="307">
        <f>COUNTIF(ParticipationMars1[[#This Row],[1]:[31]],code30)</f>
        <v>0</v>
      </c>
      <c r="BF17" s="307">
        <f>COUNTIF(ParticipationMars1[[#This Row],[1]:[31]],Code31)</f>
        <v>0</v>
      </c>
      <c r="BG17" s="307">
        <f>COUNTIF(ParticipationMars1[[#This Row],[1]:[31]],code21)</f>
        <v>0</v>
      </c>
      <c r="BH17" s="307">
        <f>COUNTIF(ParticipationMars1[[#This Row],[1]:[31]],Code24)</f>
        <v>0</v>
      </c>
      <c r="BI17" s="307">
        <f>COUNTIF(ParticipationMars1[[#This Row],[1]:[31]],code18)</f>
        <v>0</v>
      </c>
      <c r="BJ17" s="307">
        <f>COUNTIF(ParticipationMars1[[#This Row],[1]:[31]],code19)</f>
        <v>0</v>
      </c>
      <c r="BK17" s="307">
        <f>COUNTIF(ParticipationMars1[[#This Row],[1]:[31]],code20)</f>
        <v>0</v>
      </c>
      <c r="BL17" s="300">
        <f>COUNTIF(ParticipationMars1[[#This Row],[1]:[31]],code29)</f>
        <v>0</v>
      </c>
      <c r="BM17" s="297"/>
      <c r="BN17" s="297"/>
      <c r="BO17" s="297"/>
      <c r="BP17" s="297"/>
      <c r="BQ17" s="297"/>
      <c r="BR17" s="297"/>
      <c r="BS17" s="297"/>
      <c r="BT17" s="297"/>
      <c r="BU17" s="297"/>
      <c r="BV17" s="297"/>
      <c r="BW17" s="297">
        <v>1</v>
      </c>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307"/>
      <c r="CT17" s="307"/>
      <c r="CU17" s="300"/>
      <c r="CV17" s="501">
        <f t="shared" si="0"/>
        <v>0</v>
      </c>
      <c r="CW17" s="501">
        <f t="shared" si="1"/>
        <v>1</v>
      </c>
      <c r="CX17" s="341">
        <f t="shared" si="2"/>
        <v>0</v>
      </c>
      <c r="CY17" s="327"/>
    </row>
    <row r="18" spans="1:103">
      <c r="A18" s="510" t="s">
        <v>359</v>
      </c>
      <c r="B18" s="162" t="str">
        <f>IFERROR(VLOOKUP(ParticipationMars1[[#This Row],[Référence]],ListeÉtudiants1[],18,FALSE),"")</f>
        <v>ALBINA IONA</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t="s">
        <v>529</v>
      </c>
      <c r="AB18" s="19" t="s">
        <v>529</v>
      </c>
      <c r="AC18" s="19"/>
      <c r="AD18" s="19"/>
      <c r="AE18" s="19"/>
      <c r="AF18" s="19"/>
      <c r="AG18" s="144"/>
      <c r="AH18" s="6">
        <f>COUNTIF(ParticipationMars1[[#This Row],[1]:[31]],Code1)</f>
        <v>0</v>
      </c>
      <c r="AI18" s="331">
        <f>COUNTIF(ParticipationMars1[[#This Row],[1]:[31]],code22)</f>
        <v>0</v>
      </c>
      <c r="AJ18" s="30">
        <f>COUNTIF(ParticipationMars1[[#This Row],[1]:[31]],Code2)</f>
        <v>0</v>
      </c>
      <c r="AK18" s="30">
        <f>COUNTIF(ParticipationMars1[[#This Row],[1]:[31]],Code3)</f>
        <v>0</v>
      </c>
      <c r="AL18" s="30">
        <f>COUNTIF(ParticipationMars1[[#This Row],[1]:[31]],Code4)</f>
        <v>0</v>
      </c>
      <c r="AM18" s="307">
        <f>COUNTIF(ParticipationMars1[[#This Row],[1]:[31]],Code5)</f>
        <v>0</v>
      </c>
      <c r="AN18" s="307">
        <f>COUNTIF(ParticipationMars1[[#This Row],[1]:[31]],Code23)</f>
        <v>2</v>
      </c>
      <c r="AO18" s="307">
        <f>COUNTIF(ParticipationMars1[[#This Row],[1]:[31]],Code6)</f>
        <v>0</v>
      </c>
      <c r="AP18" s="307">
        <f>COUNTIF(ParticipationMars1[[#This Row],[1]:[31]],Code7)</f>
        <v>0</v>
      </c>
      <c r="AQ18" s="307">
        <f>COUNTIF(ParticipationMars1[[#This Row],[1]:[31]],Code8)</f>
        <v>0</v>
      </c>
      <c r="AR18" s="307">
        <f>COUNTIF(ParticipationMars1[[#This Row],[1]:[31]],Code9)</f>
        <v>0</v>
      </c>
      <c r="AS18" s="307">
        <f>COUNTIF(ParticipationMars1[[#This Row],[1]:[31]],Code10)</f>
        <v>0</v>
      </c>
      <c r="AT18" s="307">
        <f>COUNTIF(ParticipationMars1[[#This Row],[1]:[31]],Code11)</f>
        <v>0</v>
      </c>
      <c r="AU18" s="307">
        <f>COUNTIF(ParticipationMars1[[#This Row],[1]:[31]],Code12)</f>
        <v>0</v>
      </c>
      <c r="AV18" s="307">
        <f>COUNTIF(ParticipationMars1[[#This Row],[1]:[31]],Code13)</f>
        <v>0</v>
      </c>
      <c r="AW18" s="307">
        <f>COUNTIF(ParticipationMars1[[#This Row],[1]:[31]],Code14)</f>
        <v>0</v>
      </c>
      <c r="AX18" s="307">
        <f>COUNTIF(ParticipationMars1[[#This Row],[1]:[31]],Code15)</f>
        <v>0</v>
      </c>
      <c r="AY18" s="307">
        <f>COUNTIF(ParticipationMars1[[#This Row],[1]:[31]],Code16)</f>
        <v>0</v>
      </c>
      <c r="AZ18" s="307">
        <f>COUNTIF(ParticipationMars1[[#This Row],[1]:[31]],Code17)</f>
        <v>0</v>
      </c>
      <c r="BA18" s="307">
        <f>COUNTIF(ParticipationMars1[[#This Row],[1]:[31]],Code25)</f>
        <v>0</v>
      </c>
      <c r="BB18" s="307">
        <f>COUNTIF(ParticipationMars1[[#This Row],[1]:[31]],Code26)</f>
        <v>0</v>
      </c>
      <c r="BC18" s="307">
        <f>COUNTIF(ParticipationMars1[[#This Row],[1]:[31]],Code27)</f>
        <v>0</v>
      </c>
      <c r="BD18" s="307">
        <f>COUNTIF(ParticipationMars1[[#This Row],[1]:[31]],Code28)</f>
        <v>0</v>
      </c>
      <c r="BE18" s="307">
        <f>COUNTIF(ParticipationMars1[[#This Row],[1]:[31]],code30)</f>
        <v>0</v>
      </c>
      <c r="BF18" s="307">
        <f>COUNTIF(ParticipationMars1[[#This Row],[1]:[31]],Code31)</f>
        <v>0</v>
      </c>
      <c r="BG18" s="307">
        <f>COUNTIF(ParticipationMars1[[#This Row],[1]:[31]],code21)</f>
        <v>0</v>
      </c>
      <c r="BH18" s="307">
        <f>COUNTIF(ParticipationMars1[[#This Row],[1]:[31]],Code24)</f>
        <v>0</v>
      </c>
      <c r="BI18" s="307">
        <f>COUNTIF(ParticipationMars1[[#This Row],[1]:[31]],code18)</f>
        <v>0</v>
      </c>
      <c r="BJ18" s="307">
        <f>COUNTIF(ParticipationMars1[[#This Row],[1]:[31]],code19)</f>
        <v>0</v>
      </c>
      <c r="BK18" s="307">
        <f>COUNTIF(ParticipationMars1[[#This Row],[1]:[31]],code20)</f>
        <v>0</v>
      </c>
      <c r="BL18" s="300">
        <f>COUNTIF(ParticipationMars1[[#This Row],[1]:[31]],code29)</f>
        <v>0</v>
      </c>
      <c r="BM18" s="297"/>
      <c r="BN18" s="297"/>
      <c r="BO18" s="297"/>
      <c r="BP18" s="297"/>
      <c r="BQ18" s="297"/>
      <c r="BR18" s="297"/>
      <c r="BS18" s="297"/>
      <c r="BT18" s="297">
        <v>1</v>
      </c>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307"/>
      <c r="CT18" s="307"/>
      <c r="CU18" s="300"/>
      <c r="CV18" s="501">
        <f t="shared" si="0"/>
        <v>0</v>
      </c>
      <c r="CW18" s="501">
        <f t="shared" si="1"/>
        <v>2</v>
      </c>
      <c r="CX18" s="341">
        <f t="shared" si="2"/>
        <v>0</v>
      </c>
      <c r="CY18" s="327"/>
    </row>
    <row r="19" spans="1:103">
      <c r="A19" s="534" t="s">
        <v>360</v>
      </c>
      <c r="B19" s="162" t="str">
        <f>IFERROR(VLOOKUP(ParticipationMars1[[#This Row],[Référence]],ListeÉtudiants1[],18,FALSE),"")</f>
        <v>ALCHEK MONA</v>
      </c>
      <c r="C19" s="19"/>
      <c r="D19" s="19"/>
      <c r="E19" s="19"/>
      <c r="F19" s="19"/>
      <c r="G19" s="19"/>
      <c r="H19" s="19"/>
      <c r="I19" s="19"/>
      <c r="J19" s="19"/>
      <c r="K19" s="19"/>
      <c r="L19" s="19"/>
      <c r="M19" s="19"/>
      <c r="N19" s="19"/>
      <c r="O19" s="19"/>
      <c r="P19" s="19"/>
      <c r="Q19" s="19" t="s">
        <v>529</v>
      </c>
      <c r="R19" s="19"/>
      <c r="S19" s="19"/>
      <c r="T19" s="19"/>
      <c r="U19" s="19"/>
      <c r="V19" s="19" t="s">
        <v>529</v>
      </c>
      <c r="W19" s="19" t="s">
        <v>529</v>
      </c>
      <c r="X19" s="19" t="s">
        <v>109</v>
      </c>
      <c r="Y19" s="19"/>
      <c r="Z19" s="19"/>
      <c r="AA19" s="19" t="s">
        <v>529</v>
      </c>
      <c r="AB19" s="19" t="s">
        <v>487</v>
      </c>
      <c r="AC19" s="19" t="s">
        <v>529</v>
      </c>
      <c r="AD19" s="19" t="s">
        <v>35</v>
      </c>
      <c r="AE19" s="19"/>
      <c r="AF19" s="19"/>
      <c r="AG19" s="340"/>
      <c r="AH19" s="6">
        <f>COUNTIF(ParticipationMars1[[#This Row],[1]:[31]],Code1)</f>
        <v>0</v>
      </c>
      <c r="AI19" s="331">
        <f>COUNTIF(ParticipationMars1[[#This Row],[1]:[31]],code22)</f>
        <v>0</v>
      </c>
      <c r="AJ19" s="30">
        <f>COUNTIF(ParticipationMars1[[#This Row],[1]:[31]],Code2)</f>
        <v>0</v>
      </c>
      <c r="AK19" s="30">
        <f>COUNTIF(ParticipationMars1[[#This Row],[1]:[31]],Code3)</f>
        <v>0</v>
      </c>
      <c r="AL19" s="30">
        <f>COUNTIF(ParticipationMars1[[#This Row],[1]:[31]],Code4)</f>
        <v>0</v>
      </c>
      <c r="AM19" s="307">
        <f>COUNTIF(ParticipationMars1[[#This Row],[1]:[31]],Code5)</f>
        <v>1</v>
      </c>
      <c r="AN19" s="307">
        <f>COUNTIF(ParticipationMars1[[#This Row],[1]:[31]],Code23)</f>
        <v>5</v>
      </c>
      <c r="AO19" s="307">
        <f>COUNTIF(ParticipationMars1[[#This Row],[1]:[31]],Code6)</f>
        <v>0</v>
      </c>
      <c r="AP19" s="307">
        <f>COUNTIF(ParticipationMars1[[#This Row],[1]:[31]],Code7)</f>
        <v>1</v>
      </c>
      <c r="AQ19" s="307">
        <f>COUNTIF(ParticipationMars1[[#This Row],[1]:[31]],Code8)</f>
        <v>0</v>
      </c>
      <c r="AR19" s="307">
        <f>COUNTIF(ParticipationMars1[[#This Row],[1]:[31]],Code9)</f>
        <v>0</v>
      </c>
      <c r="AS19" s="307">
        <f>COUNTIF(ParticipationMars1[[#This Row],[1]:[31]],Code10)</f>
        <v>0</v>
      </c>
      <c r="AT19" s="307">
        <f>COUNTIF(ParticipationMars1[[#This Row],[1]:[31]],Code11)</f>
        <v>0</v>
      </c>
      <c r="AU19" s="307">
        <f>COUNTIF(ParticipationMars1[[#This Row],[1]:[31]],Code12)</f>
        <v>1</v>
      </c>
      <c r="AV19" s="307">
        <f>COUNTIF(ParticipationMars1[[#This Row],[1]:[31]],Code13)</f>
        <v>0</v>
      </c>
      <c r="AW19" s="307">
        <f>COUNTIF(ParticipationMars1[[#This Row],[1]:[31]],Code14)</f>
        <v>0</v>
      </c>
      <c r="AX19" s="307">
        <f>COUNTIF(ParticipationMars1[[#This Row],[1]:[31]],Code15)</f>
        <v>0</v>
      </c>
      <c r="AY19" s="307">
        <f>COUNTIF(ParticipationMars1[[#This Row],[1]:[31]],Code16)</f>
        <v>0</v>
      </c>
      <c r="AZ19" s="307">
        <f>COUNTIF(ParticipationMars1[[#This Row],[1]:[31]],Code17)</f>
        <v>0</v>
      </c>
      <c r="BA19" s="307">
        <f>COUNTIF(ParticipationMars1[[#This Row],[1]:[31]],Code25)</f>
        <v>0</v>
      </c>
      <c r="BB19" s="307">
        <f>COUNTIF(ParticipationMars1[[#This Row],[1]:[31]],Code26)</f>
        <v>0</v>
      </c>
      <c r="BC19" s="307">
        <f>COUNTIF(ParticipationMars1[[#This Row],[1]:[31]],Code27)</f>
        <v>0</v>
      </c>
      <c r="BD19" s="307">
        <f>COUNTIF(ParticipationMars1[[#This Row],[1]:[31]],Code28)</f>
        <v>0</v>
      </c>
      <c r="BE19" s="307">
        <f>COUNTIF(ParticipationMars1[[#This Row],[1]:[31]],code30)</f>
        <v>0</v>
      </c>
      <c r="BF19" s="307">
        <f>COUNTIF(ParticipationMars1[[#This Row],[1]:[31]],Code31)</f>
        <v>0</v>
      </c>
      <c r="BG19" s="307">
        <f>COUNTIF(ParticipationMars1[[#This Row],[1]:[31]],code21)</f>
        <v>0</v>
      </c>
      <c r="BH19" s="307">
        <f>COUNTIF(ParticipationMars1[[#This Row],[1]:[31]],Code24)</f>
        <v>0</v>
      </c>
      <c r="BI19" s="307">
        <f>COUNTIF(ParticipationMars1[[#This Row],[1]:[31]],code18)</f>
        <v>0</v>
      </c>
      <c r="BJ19" s="307">
        <f>COUNTIF(ParticipationMars1[[#This Row],[1]:[31]],code19)</f>
        <v>0</v>
      </c>
      <c r="BK19" s="307">
        <f>COUNTIF(ParticipationMars1[[#This Row],[1]:[31]],code20)</f>
        <v>0</v>
      </c>
      <c r="BL19" s="300">
        <f>COUNTIF(ParticipationMars1[[#This Row],[1]:[31]],code29)</f>
        <v>0</v>
      </c>
      <c r="BM19" s="297"/>
      <c r="BN19" s="297">
        <v>1</v>
      </c>
      <c r="BO19" s="297"/>
      <c r="BP19" s="297"/>
      <c r="BQ19" s="297"/>
      <c r="BR19" s="297"/>
      <c r="BS19" s="297"/>
      <c r="BT19" s="297">
        <v>3</v>
      </c>
      <c r="BU19" s="297"/>
      <c r="BV19" s="297"/>
      <c r="BW19" s="297">
        <v>2</v>
      </c>
      <c r="BX19" s="297"/>
      <c r="BY19" s="297"/>
      <c r="BZ19" s="297">
        <v>1</v>
      </c>
      <c r="CA19" s="297"/>
      <c r="CB19" s="297"/>
      <c r="CC19" s="297"/>
      <c r="CD19" s="297"/>
      <c r="CE19" s="297"/>
      <c r="CF19" s="297"/>
      <c r="CG19" s="297"/>
      <c r="CH19" s="297"/>
      <c r="CI19" s="297"/>
      <c r="CJ19" s="297"/>
      <c r="CK19" s="297">
        <v>1</v>
      </c>
      <c r="CL19" s="297"/>
      <c r="CM19" s="297"/>
      <c r="CN19" s="297"/>
      <c r="CO19" s="297"/>
      <c r="CP19" s="297"/>
      <c r="CQ19" s="297"/>
      <c r="CR19" s="297"/>
      <c r="CS19" s="307"/>
      <c r="CT19" s="307"/>
      <c r="CU19" s="300"/>
      <c r="CV19" s="501">
        <f t="shared" si="0"/>
        <v>7</v>
      </c>
      <c r="CW19" s="501">
        <f t="shared" si="1"/>
        <v>17</v>
      </c>
      <c r="CX19" s="341">
        <f t="shared" si="2"/>
        <v>0</v>
      </c>
      <c r="CY19" s="327"/>
    </row>
    <row r="20" spans="1:103">
      <c r="A20" s="510" t="s">
        <v>361</v>
      </c>
      <c r="B20" s="162" t="str">
        <f>IFERROR(VLOOKUP(ParticipationMars1[[#This Row],[Référence]],ListeÉtudiants1[],18,FALSE),"")</f>
        <v>ALLOUCH EINAT</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44"/>
      <c r="AH20" s="6">
        <f>COUNTIF(ParticipationMars1[[#This Row],[1]:[31]],Code1)</f>
        <v>0</v>
      </c>
      <c r="AI20" s="475">
        <f>COUNTIF(ParticipationMars1[[#This Row],[1]:[31]],code22)</f>
        <v>0</v>
      </c>
      <c r="AJ20" s="30">
        <f>COUNTIF(ParticipationMars1[[#This Row],[1]:[31]],Code2)</f>
        <v>0</v>
      </c>
      <c r="AK20" s="30">
        <f>COUNTIF(ParticipationMars1[[#This Row],[1]:[31]],Code3)</f>
        <v>0</v>
      </c>
      <c r="AL20" s="30">
        <f>COUNTIF(ParticipationMars1[[#This Row],[1]:[31]],Code4)</f>
        <v>0</v>
      </c>
      <c r="AM20" s="473">
        <f>COUNTIF(ParticipationMars1[[#This Row],[1]:[31]],Code5)</f>
        <v>0</v>
      </c>
      <c r="AN20" s="473">
        <f>COUNTIF(ParticipationMars1[[#This Row],[1]:[31]],Code23)</f>
        <v>0</v>
      </c>
      <c r="AO20" s="473">
        <f>COUNTIF(ParticipationMars1[[#This Row],[1]:[31]],Code6)</f>
        <v>0</v>
      </c>
      <c r="AP20" s="473">
        <f>COUNTIF(ParticipationMars1[[#This Row],[1]:[31]],Code7)</f>
        <v>0</v>
      </c>
      <c r="AQ20" s="473">
        <f>COUNTIF(ParticipationMars1[[#This Row],[1]:[31]],Code8)</f>
        <v>0</v>
      </c>
      <c r="AR20" s="473">
        <f>COUNTIF(ParticipationMars1[[#This Row],[1]:[31]],Code9)</f>
        <v>0</v>
      </c>
      <c r="AS20" s="473">
        <f>COUNTIF(ParticipationMars1[[#This Row],[1]:[31]],Code10)</f>
        <v>0</v>
      </c>
      <c r="AT20" s="473">
        <f>COUNTIF(ParticipationMars1[[#This Row],[1]:[31]],Code11)</f>
        <v>0</v>
      </c>
      <c r="AU20" s="473">
        <f>COUNTIF(ParticipationMars1[[#This Row],[1]:[31]],Code12)</f>
        <v>0</v>
      </c>
      <c r="AV20" s="473">
        <f>COUNTIF(ParticipationMars1[[#This Row],[1]:[31]],Code13)</f>
        <v>0</v>
      </c>
      <c r="AW20" s="473">
        <f>COUNTIF(ParticipationMars1[[#This Row],[1]:[31]],Code14)</f>
        <v>0</v>
      </c>
      <c r="AX20" s="473">
        <f>COUNTIF(ParticipationMars1[[#This Row],[1]:[31]],Code15)</f>
        <v>0</v>
      </c>
      <c r="AY20" s="473">
        <f>COUNTIF(ParticipationMars1[[#This Row],[1]:[31]],Code16)</f>
        <v>0</v>
      </c>
      <c r="AZ20" s="473">
        <f>COUNTIF(ParticipationMars1[[#This Row],[1]:[31]],Code17)</f>
        <v>0</v>
      </c>
      <c r="BA20" s="473">
        <f>COUNTIF(ParticipationMars1[[#This Row],[1]:[31]],Code25)</f>
        <v>0</v>
      </c>
      <c r="BB20" s="473">
        <f>COUNTIF(ParticipationMars1[[#This Row],[1]:[31]],Code26)</f>
        <v>0</v>
      </c>
      <c r="BC20" s="473">
        <f>COUNTIF(ParticipationMars1[[#This Row],[1]:[31]],Code27)</f>
        <v>0</v>
      </c>
      <c r="BD20" s="473">
        <f>COUNTIF(ParticipationMars1[[#This Row],[1]:[31]],Code28)</f>
        <v>0</v>
      </c>
      <c r="BE20" s="473">
        <f>COUNTIF(ParticipationMars1[[#This Row],[1]:[31]],code30)</f>
        <v>0</v>
      </c>
      <c r="BF20" s="473">
        <f>COUNTIF(ParticipationMars1[[#This Row],[1]:[31]],Code31)</f>
        <v>0</v>
      </c>
      <c r="BG20" s="473">
        <f>COUNTIF(ParticipationMars1[[#This Row],[1]:[31]],code21)</f>
        <v>0</v>
      </c>
      <c r="BH20" s="473">
        <f>COUNTIF(ParticipationMars1[[#This Row],[1]:[31]],Code24)</f>
        <v>0</v>
      </c>
      <c r="BI20" s="473">
        <f>COUNTIF(ParticipationMars1[[#This Row],[1]:[31]],code18)</f>
        <v>0</v>
      </c>
      <c r="BJ20" s="473">
        <f>COUNTIF(ParticipationMars1[[#This Row],[1]:[31]],code19)</f>
        <v>0</v>
      </c>
      <c r="BK20" s="473">
        <f>COUNTIF(ParticipationMars1[[#This Row],[1]:[31]],code20)</f>
        <v>0</v>
      </c>
      <c r="BL20" s="516">
        <f>COUNTIF(ParticipationMars1[[#This Row],[1]:[31]],code29)</f>
        <v>0</v>
      </c>
      <c r="BM20" s="472"/>
      <c r="BN20" s="472"/>
      <c r="BO20" s="472"/>
      <c r="BP20" s="472"/>
      <c r="BQ20" s="472"/>
      <c r="BR20" s="472"/>
      <c r="BS20" s="472"/>
      <c r="BT20" s="472"/>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2"/>
      <c r="CR20" s="472"/>
      <c r="CS20" s="473"/>
      <c r="CT20" s="473"/>
      <c r="CU20" s="516"/>
      <c r="CV20" s="533">
        <f t="shared" si="0"/>
        <v>0</v>
      </c>
      <c r="CW20" s="533">
        <f t="shared" si="1"/>
        <v>0</v>
      </c>
      <c r="CX20" s="523">
        <f t="shared" si="2"/>
        <v>0</v>
      </c>
      <c r="CY20" s="512"/>
    </row>
    <row r="21" spans="1:103">
      <c r="A21" s="534" t="s">
        <v>362</v>
      </c>
      <c r="B21" s="162" t="str">
        <f>IFERROR(VLOOKUP(ParticipationMars1[[#This Row],[Référence]],ListeÉtudiants1[],18,FALSE),"")</f>
        <v>ANCELE-VALCIN KATIANA</v>
      </c>
      <c r="C21" s="19"/>
      <c r="D21" s="19"/>
      <c r="E21" s="19"/>
      <c r="F21" s="19"/>
      <c r="G21" s="19"/>
      <c r="H21" s="19"/>
      <c r="I21" s="19" t="s">
        <v>496</v>
      </c>
      <c r="J21" s="19"/>
      <c r="K21" s="19"/>
      <c r="L21" s="19"/>
      <c r="M21" s="19"/>
      <c r="N21" s="19"/>
      <c r="O21" s="19"/>
      <c r="P21" s="19"/>
      <c r="Q21" s="19"/>
      <c r="R21" s="19"/>
      <c r="S21" s="19"/>
      <c r="T21" s="19"/>
      <c r="U21" s="19"/>
      <c r="V21" s="19"/>
      <c r="W21" s="19"/>
      <c r="X21" s="19" t="s">
        <v>488</v>
      </c>
      <c r="Y21" s="19"/>
      <c r="Z21" s="19"/>
      <c r="AA21" s="19"/>
      <c r="AB21" s="19"/>
      <c r="AC21" s="19"/>
      <c r="AD21" s="19"/>
      <c r="AE21" s="19"/>
      <c r="AF21" s="19"/>
      <c r="AG21" s="340"/>
      <c r="AH21" s="6">
        <f>COUNTIF(ParticipationMars1[[#This Row],[1]:[31]],Code1)</f>
        <v>0</v>
      </c>
      <c r="AI21" s="6">
        <f>COUNTIF(ParticipationMars1[[#This Row],[1]:[31]],code22)</f>
        <v>0</v>
      </c>
      <c r="AJ21" s="30">
        <f>COUNTIF(ParticipationMars1[[#This Row],[1]:[31]],Code2)</f>
        <v>0</v>
      </c>
      <c r="AK21" s="30">
        <f>COUNTIF(ParticipationMars1[[#This Row],[1]:[31]],Code3)</f>
        <v>0</v>
      </c>
      <c r="AL21" s="30">
        <f>COUNTIF(ParticipationMars1[[#This Row],[1]:[31]],Code4)</f>
        <v>0</v>
      </c>
      <c r="AM21" s="30">
        <f>COUNTIF(ParticipationMars1[[#This Row],[1]:[31]],Code5)</f>
        <v>0</v>
      </c>
      <c r="AN21" s="30">
        <f>COUNTIF(ParticipationMars1[[#This Row],[1]:[31]],Code23)</f>
        <v>0</v>
      </c>
      <c r="AO21" s="30">
        <f>COUNTIF(ParticipationMars1[[#This Row],[1]:[31]],Code6)</f>
        <v>0</v>
      </c>
      <c r="AP21" s="30">
        <f>COUNTIF(ParticipationMars1[[#This Row],[1]:[31]],Code7)</f>
        <v>0</v>
      </c>
      <c r="AQ21" s="30">
        <f>COUNTIF(ParticipationMars1[[#This Row],[1]:[31]],Code8)</f>
        <v>0</v>
      </c>
      <c r="AR21" s="30">
        <f>COUNTIF(ParticipationMars1[[#This Row],[1]:[31]],Code9)</f>
        <v>0</v>
      </c>
      <c r="AS21" s="30">
        <f>COUNTIF(ParticipationMars1[[#This Row],[1]:[31]],Code10)</f>
        <v>0</v>
      </c>
      <c r="AT21" s="30">
        <f>COUNTIF(ParticipationMars1[[#This Row],[1]:[31]],Code11)</f>
        <v>0</v>
      </c>
      <c r="AU21" s="30">
        <f>COUNTIF(ParticipationMars1[[#This Row],[1]:[31]],Code12)</f>
        <v>0</v>
      </c>
      <c r="AV21" s="30">
        <f>COUNTIF(ParticipationMars1[[#This Row],[1]:[31]],Code13)</f>
        <v>0</v>
      </c>
      <c r="AW21" s="30">
        <f>COUNTIF(ParticipationMars1[[#This Row],[1]:[31]],Code14)</f>
        <v>1</v>
      </c>
      <c r="AX21" s="30">
        <f>COUNTIF(ParticipationMars1[[#This Row],[1]:[31]],Code15)</f>
        <v>0</v>
      </c>
      <c r="AY21" s="30">
        <f>COUNTIF(ParticipationMars1[[#This Row],[1]:[31]],Code16)</f>
        <v>0</v>
      </c>
      <c r="AZ21" s="30">
        <f>COUNTIF(ParticipationMars1[[#This Row],[1]:[31]],Code17)</f>
        <v>0</v>
      </c>
      <c r="BA21" s="30">
        <f>COUNTIF(ParticipationMars1[[#This Row],[1]:[31]],Code25)</f>
        <v>0</v>
      </c>
      <c r="BB21" s="307">
        <f>COUNTIF(ParticipationMars1[[#This Row],[1]:[31]],Code26)</f>
        <v>0</v>
      </c>
      <c r="BC21" s="30">
        <f>COUNTIF(ParticipationMars1[[#This Row],[1]:[31]],Code27)</f>
        <v>0</v>
      </c>
      <c r="BD21" s="30">
        <f>COUNTIF(ParticipationMars1[[#This Row],[1]:[31]],Code28)</f>
        <v>0</v>
      </c>
      <c r="BE21" s="30">
        <f>COUNTIF(ParticipationMars1[[#This Row],[1]:[31]],code30)</f>
        <v>0</v>
      </c>
      <c r="BF21" s="30">
        <f>COUNTIF(ParticipationMars1[[#This Row],[1]:[31]],Code31)</f>
        <v>0</v>
      </c>
      <c r="BG21" s="30">
        <f>COUNTIF(ParticipationMars1[[#This Row],[1]:[31]],code21)</f>
        <v>0</v>
      </c>
      <c r="BH21" s="30">
        <f>COUNTIF(ParticipationMars1[[#This Row],[1]:[31]],Code24)</f>
        <v>0</v>
      </c>
      <c r="BI21" s="30">
        <f>COUNTIF(ParticipationMars1[[#This Row],[1]:[31]],code18)</f>
        <v>1</v>
      </c>
      <c r="BJ21" s="30">
        <f>COUNTIF(ParticipationMars1[[#This Row],[1]:[31]],code19)</f>
        <v>0</v>
      </c>
      <c r="BK21" s="30">
        <f>COUNTIF(ParticipationMars1[[#This Row],[1]:[31]],code20)</f>
        <v>0</v>
      </c>
      <c r="BL21" s="164">
        <f>COUNTIF(ParticipationMars1[[#This Row],[1]:[31]],code29)</f>
        <v>0</v>
      </c>
      <c r="BM21" s="297"/>
      <c r="BN21" s="297">
        <v>1</v>
      </c>
      <c r="BO21" s="297"/>
      <c r="BP21" s="297"/>
      <c r="BQ21" s="297"/>
      <c r="BR21" s="297"/>
      <c r="BS21" s="297"/>
      <c r="BT21" s="297"/>
      <c r="BU21" s="297"/>
      <c r="BV21" s="297"/>
      <c r="BW21" s="297"/>
      <c r="BX21" s="297"/>
      <c r="BY21" s="297"/>
      <c r="BZ21" s="297"/>
      <c r="CA21" s="297"/>
      <c r="CB21" s="297"/>
      <c r="CC21" s="297"/>
      <c r="CD21" s="297"/>
      <c r="CE21" s="297"/>
      <c r="CF21" s="297"/>
      <c r="CG21" s="297">
        <v>1</v>
      </c>
      <c r="CH21" s="297"/>
      <c r="CI21" s="297"/>
      <c r="CJ21" s="297"/>
      <c r="CK21" s="297"/>
      <c r="CL21" s="297"/>
      <c r="CM21" s="297"/>
      <c r="CN21" s="297"/>
      <c r="CO21" s="297"/>
      <c r="CP21" s="297"/>
      <c r="CQ21" s="297"/>
      <c r="CR21" s="297"/>
      <c r="CS21" s="307"/>
      <c r="CT21" s="307"/>
      <c r="CU21" s="300"/>
      <c r="CV21" s="501">
        <f t="shared" si="0"/>
        <v>0</v>
      </c>
      <c r="CW21" s="501">
        <f t="shared" si="1"/>
        <v>7</v>
      </c>
      <c r="CX21" s="249">
        <f t="shared" si="2"/>
        <v>0</v>
      </c>
      <c r="CY21" s="170">
        <f>SUM((BI21*7)+(BJ21*10)+(BK21*12))</f>
        <v>7</v>
      </c>
    </row>
    <row r="22" spans="1:103">
      <c r="A22" s="510" t="s">
        <v>363</v>
      </c>
      <c r="B22" s="162" t="str">
        <f>IFERROR(VLOOKUP(ParticipationMars1[[#This Row],[Référence]],ListeÉtudiants1[],18,FALSE),"")</f>
        <v>ANDRE ORNELLA</v>
      </c>
      <c r="C22" s="19"/>
      <c r="D22" s="19"/>
      <c r="E22" s="19"/>
      <c r="F22" s="19"/>
      <c r="G22" s="19"/>
      <c r="H22" s="19"/>
      <c r="I22" s="19"/>
      <c r="J22" s="19"/>
      <c r="K22" s="19"/>
      <c r="L22" s="19"/>
      <c r="M22" s="19"/>
      <c r="N22" s="19"/>
      <c r="O22" s="19"/>
      <c r="P22" s="19"/>
      <c r="Q22" s="19"/>
      <c r="R22" s="19"/>
      <c r="S22" s="19"/>
      <c r="T22" s="19"/>
      <c r="U22" s="19"/>
      <c r="V22" s="19"/>
      <c r="W22" s="19"/>
      <c r="X22" s="19" t="s">
        <v>109</v>
      </c>
      <c r="Y22" s="19"/>
      <c r="Z22" s="19"/>
      <c r="AA22" s="19" t="s">
        <v>529</v>
      </c>
      <c r="AB22" s="19"/>
      <c r="AC22" s="19"/>
      <c r="AD22" s="19"/>
      <c r="AE22" s="19"/>
      <c r="AF22" s="19"/>
      <c r="AG22" s="144"/>
      <c r="AH22" s="6">
        <f>COUNTIF(ParticipationMars1[[#This Row],[1]:[31]],Code1)</f>
        <v>0</v>
      </c>
      <c r="AI22" s="475">
        <f>COUNTIF(ParticipationMars1[[#This Row],[1]:[31]],code22)</f>
        <v>0</v>
      </c>
      <c r="AJ22" s="30">
        <f>COUNTIF(ParticipationMars1[[#This Row],[1]:[31]],Code2)</f>
        <v>0</v>
      </c>
      <c r="AK22" s="30">
        <f>COUNTIF(ParticipationMars1[[#This Row],[1]:[31]],Code3)</f>
        <v>0</v>
      </c>
      <c r="AL22" s="30">
        <f>COUNTIF(ParticipationMars1[[#This Row],[1]:[31]],Code4)</f>
        <v>0</v>
      </c>
      <c r="AM22" s="473">
        <f>COUNTIF(ParticipationMars1[[#This Row],[1]:[31]],Code5)</f>
        <v>0</v>
      </c>
      <c r="AN22" s="473">
        <f>COUNTIF(ParticipationMars1[[#This Row],[1]:[31]],Code23)</f>
        <v>1</v>
      </c>
      <c r="AO22" s="473">
        <f>COUNTIF(ParticipationMars1[[#This Row],[1]:[31]],Code6)</f>
        <v>0</v>
      </c>
      <c r="AP22" s="473">
        <f>COUNTIF(ParticipationMars1[[#This Row],[1]:[31]],Code7)</f>
        <v>1</v>
      </c>
      <c r="AQ22" s="473">
        <f>COUNTIF(ParticipationMars1[[#This Row],[1]:[31]],Code8)</f>
        <v>0</v>
      </c>
      <c r="AR22" s="473">
        <f>COUNTIF(ParticipationMars1[[#This Row],[1]:[31]],Code9)</f>
        <v>0</v>
      </c>
      <c r="AS22" s="473">
        <f>COUNTIF(ParticipationMars1[[#This Row],[1]:[31]],Code10)</f>
        <v>0</v>
      </c>
      <c r="AT22" s="473">
        <f>COUNTIF(ParticipationMars1[[#This Row],[1]:[31]],Code11)</f>
        <v>0</v>
      </c>
      <c r="AU22" s="473">
        <f>COUNTIF(ParticipationMars1[[#This Row],[1]:[31]],Code12)</f>
        <v>0</v>
      </c>
      <c r="AV22" s="473">
        <f>COUNTIF(ParticipationMars1[[#This Row],[1]:[31]],Code13)</f>
        <v>0</v>
      </c>
      <c r="AW22" s="473">
        <f>COUNTIF(ParticipationMars1[[#This Row],[1]:[31]],Code14)</f>
        <v>0</v>
      </c>
      <c r="AX22" s="473">
        <f>COUNTIF(ParticipationMars1[[#This Row],[1]:[31]],Code15)</f>
        <v>0</v>
      </c>
      <c r="AY22" s="473">
        <f>COUNTIF(ParticipationMars1[[#This Row],[1]:[31]],Code16)</f>
        <v>0</v>
      </c>
      <c r="AZ22" s="473">
        <f>COUNTIF(ParticipationMars1[[#This Row],[1]:[31]],Code17)</f>
        <v>0</v>
      </c>
      <c r="BA22" s="473">
        <f>COUNTIF(ParticipationMars1[[#This Row],[1]:[31]],Code25)</f>
        <v>0</v>
      </c>
      <c r="BB22" s="473">
        <f>COUNTIF(ParticipationMars1[[#This Row],[1]:[31]],Code26)</f>
        <v>0</v>
      </c>
      <c r="BC22" s="473">
        <f>COUNTIF(ParticipationMars1[[#This Row],[1]:[31]],Code27)</f>
        <v>0</v>
      </c>
      <c r="BD22" s="473">
        <f>COUNTIF(ParticipationMars1[[#This Row],[1]:[31]],Code28)</f>
        <v>0</v>
      </c>
      <c r="BE22" s="473">
        <f>COUNTIF(ParticipationMars1[[#This Row],[1]:[31]],code30)</f>
        <v>0</v>
      </c>
      <c r="BF22" s="473">
        <f>COUNTIF(ParticipationMars1[[#This Row],[1]:[31]],Code31)</f>
        <v>0</v>
      </c>
      <c r="BG22" s="473">
        <f>COUNTIF(ParticipationMars1[[#This Row],[1]:[31]],code21)</f>
        <v>0</v>
      </c>
      <c r="BH22" s="473">
        <f>COUNTIF(ParticipationMars1[[#This Row],[1]:[31]],Code24)</f>
        <v>0</v>
      </c>
      <c r="BI22" s="473">
        <f>COUNTIF(ParticipationMars1[[#This Row],[1]:[31]],code18)</f>
        <v>0</v>
      </c>
      <c r="BJ22" s="473">
        <f>COUNTIF(ParticipationMars1[[#This Row],[1]:[31]],code19)</f>
        <v>0</v>
      </c>
      <c r="BK22" s="473">
        <f>COUNTIF(ParticipationMars1[[#This Row],[1]:[31]],code20)</f>
        <v>0</v>
      </c>
      <c r="BL22" s="516">
        <f>COUNTIF(ParticipationMars1[[#This Row],[1]:[31]],code29)</f>
        <v>0</v>
      </c>
      <c r="BM22" s="472"/>
      <c r="BN22" s="472"/>
      <c r="BO22" s="472"/>
      <c r="BP22" s="472"/>
      <c r="BQ22" s="472"/>
      <c r="BR22" s="472"/>
      <c r="BS22" s="472"/>
      <c r="BT22" s="472"/>
      <c r="BU22" s="472"/>
      <c r="BV22" s="472"/>
      <c r="BW22" s="472"/>
      <c r="BX22" s="472"/>
      <c r="BY22" s="472"/>
      <c r="BZ22" s="472"/>
      <c r="CA22" s="472"/>
      <c r="CB22" s="472"/>
      <c r="CC22" s="472"/>
      <c r="CD22" s="472"/>
      <c r="CE22" s="472"/>
      <c r="CF22" s="472"/>
      <c r="CG22" s="472"/>
      <c r="CH22" s="472"/>
      <c r="CI22" s="472"/>
      <c r="CJ22" s="472"/>
      <c r="CK22" s="472"/>
      <c r="CL22" s="472"/>
      <c r="CM22" s="472"/>
      <c r="CN22" s="472"/>
      <c r="CO22" s="472"/>
      <c r="CP22" s="472"/>
      <c r="CQ22" s="472"/>
      <c r="CR22" s="472"/>
      <c r="CS22" s="473"/>
      <c r="CT22" s="473"/>
      <c r="CU22" s="516"/>
      <c r="CV22" s="533">
        <f t="shared" si="0"/>
        <v>5</v>
      </c>
      <c r="CW22" s="533">
        <f t="shared" si="1"/>
        <v>5</v>
      </c>
      <c r="CX22" s="523">
        <f t="shared" si="2"/>
        <v>0</v>
      </c>
      <c r="CY22" s="512"/>
    </row>
    <row r="23" spans="1:103">
      <c r="A23" s="534" t="s">
        <v>364</v>
      </c>
      <c r="B23" s="162" t="str">
        <f>IFERROR(VLOOKUP(ParticipationMars1[[#This Row],[Référence]],ListeÉtudiants1[],18,FALSE),"")</f>
        <v>ANGRE GRACE</v>
      </c>
      <c r="C23" s="19"/>
      <c r="D23" s="19"/>
      <c r="E23" s="19"/>
      <c r="F23" s="19"/>
      <c r="G23" s="19"/>
      <c r="H23" s="19"/>
      <c r="I23" s="19"/>
      <c r="J23" s="19"/>
      <c r="K23" s="19"/>
      <c r="L23" s="19"/>
      <c r="M23" s="19"/>
      <c r="N23" s="19"/>
      <c r="O23" s="19"/>
      <c r="P23" s="19"/>
      <c r="Q23" s="19" t="s">
        <v>529</v>
      </c>
      <c r="R23" s="19"/>
      <c r="S23" s="19"/>
      <c r="T23" s="19"/>
      <c r="U23" s="19"/>
      <c r="V23" s="19"/>
      <c r="W23" s="19"/>
      <c r="X23" s="19"/>
      <c r="Y23" s="19"/>
      <c r="Z23" s="19"/>
      <c r="AA23" s="19"/>
      <c r="AB23" s="19" t="s">
        <v>529</v>
      </c>
      <c r="AC23" s="19"/>
      <c r="AD23" s="19"/>
      <c r="AE23" s="19"/>
      <c r="AF23" s="19"/>
      <c r="AG23" s="144"/>
      <c r="AH23" s="6">
        <f>COUNTIF(ParticipationMars1[[#This Row],[1]:[31]],Code1)</f>
        <v>0</v>
      </c>
      <c r="AI23" s="331">
        <f>COUNTIF(ParticipationMars1[[#This Row],[1]:[31]],code22)</f>
        <v>0</v>
      </c>
      <c r="AJ23" s="30">
        <f>COUNTIF(ParticipationMars1[[#This Row],[1]:[31]],Code2)</f>
        <v>0</v>
      </c>
      <c r="AK23" s="30">
        <f>COUNTIF(ParticipationMars1[[#This Row],[1]:[31]],Code3)</f>
        <v>0</v>
      </c>
      <c r="AL23" s="30">
        <f>COUNTIF(ParticipationMars1[[#This Row],[1]:[31]],Code4)</f>
        <v>0</v>
      </c>
      <c r="AM23" s="307">
        <f>COUNTIF(ParticipationMars1[[#This Row],[1]:[31]],Code5)</f>
        <v>0</v>
      </c>
      <c r="AN23" s="307">
        <f>COUNTIF(ParticipationMars1[[#This Row],[1]:[31]],Code23)</f>
        <v>2</v>
      </c>
      <c r="AO23" s="307">
        <f>COUNTIF(ParticipationMars1[[#This Row],[1]:[31]],Code6)</f>
        <v>0</v>
      </c>
      <c r="AP23" s="307">
        <f>COUNTIF(ParticipationMars1[[#This Row],[1]:[31]],Code7)</f>
        <v>0</v>
      </c>
      <c r="AQ23" s="307">
        <f>COUNTIF(ParticipationMars1[[#This Row],[1]:[31]],Code8)</f>
        <v>0</v>
      </c>
      <c r="AR23" s="307">
        <f>COUNTIF(ParticipationMars1[[#This Row],[1]:[31]],Code9)</f>
        <v>0</v>
      </c>
      <c r="AS23" s="307">
        <f>COUNTIF(ParticipationMars1[[#This Row],[1]:[31]],Code10)</f>
        <v>0</v>
      </c>
      <c r="AT23" s="307">
        <f>COUNTIF(ParticipationMars1[[#This Row],[1]:[31]],Code11)</f>
        <v>0</v>
      </c>
      <c r="AU23" s="307">
        <f>COUNTIF(ParticipationMars1[[#This Row],[1]:[31]],Code12)</f>
        <v>0</v>
      </c>
      <c r="AV23" s="307">
        <f>COUNTIF(ParticipationMars1[[#This Row],[1]:[31]],Code13)</f>
        <v>0</v>
      </c>
      <c r="AW23" s="307">
        <f>COUNTIF(ParticipationMars1[[#This Row],[1]:[31]],Code14)</f>
        <v>0</v>
      </c>
      <c r="AX23" s="307">
        <f>COUNTIF(ParticipationMars1[[#This Row],[1]:[31]],Code15)</f>
        <v>0</v>
      </c>
      <c r="AY23" s="307">
        <f>COUNTIF(ParticipationMars1[[#This Row],[1]:[31]],Code16)</f>
        <v>0</v>
      </c>
      <c r="AZ23" s="307">
        <f>COUNTIF(ParticipationMars1[[#This Row],[1]:[31]],Code17)</f>
        <v>0</v>
      </c>
      <c r="BA23" s="307">
        <f>COUNTIF(ParticipationMars1[[#This Row],[1]:[31]],Code25)</f>
        <v>0</v>
      </c>
      <c r="BB23" s="307">
        <f>COUNTIF(ParticipationMars1[[#This Row],[1]:[31]],Code26)</f>
        <v>0</v>
      </c>
      <c r="BC23" s="307">
        <f>COUNTIF(ParticipationMars1[[#This Row],[1]:[31]],Code27)</f>
        <v>0</v>
      </c>
      <c r="BD23" s="307">
        <f>COUNTIF(ParticipationMars1[[#This Row],[1]:[31]],Code28)</f>
        <v>0</v>
      </c>
      <c r="BE23" s="307">
        <f>COUNTIF(ParticipationMars1[[#This Row],[1]:[31]],code30)</f>
        <v>0</v>
      </c>
      <c r="BF23" s="307">
        <f>COUNTIF(ParticipationMars1[[#This Row],[1]:[31]],Code31)</f>
        <v>0</v>
      </c>
      <c r="BG23" s="307">
        <f>COUNTIF(ParticipationMars1[[#This Row],[1]:[31]],code21)</f>
        <v>0</v>
      </c>
      <c r="BH23" s="307">
        <f>COUNTIF(ParticipationMars1[[#This Row],[1]:[31]],Code24)</f>
        <v>0</v>
      </c>
      <c r="BI23" s="307">
        <f>COUNTIF(ParticipationMars1[[#This Row],[1]:[31]],code18)</f>
        <v>0</v>
      </c>
      <c r="BJ23" s="307">
        <f>COUNTIF(ParticipationMars1[[#This Row],[1]:[31]],code19)</f>
        <v>0</v>
      </c>
      <c r="BK23" s="307">
        <f>COUNTIF(ParticipationMars1[[#This Row],[1]:[31]],code20)</f>
        <v>0</v>
      </c>
      <c r="BL23" s="300">
        <f>COUNTIF(ParticipationMars1[[#This Row],[1]:[31]],code29)</f>
        <v>0</v>
      </c>
      <c r="BM23" s="297"/>
      <c r="BN23" s="297"/>
      <c r="BO23" s="297"/>
      <c r="BP23" s="297"/>
      <c r="BQ23" s="297"/>
      <c r="BR23" s="297"/>
      <c r="BS23" s="297"/>
      <c r="BT23" s="297"/>
      <c r="BU23" s="297"/>
      <c r="BV23" s="297"/>
      <c r="BW23" s="297">
        <v>2</v>
      </c>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307"/>
      <c r="CT23" s="307"/>
      <c r="CU23" s="300"/>
      <c r="CV23" s="501">
        <f t="shared" si="0"/>
        <v>0</v>
      </c>
      <c r="CW23" s="501">
        <f t="shared" si="1"/>
        <v>2</v>
      </c>
      <c r="CX23" s="341">
        <f t="shared" si="2"/>
        <v>0</v>
      </c>
      <c r="CY23" s="327"/>
    </row>
    <row r="24" spans="1:103">
      <c r="A24" s="534" t="s">
        <v>365</v>
      </c>
      <c r="B24" s="162" t="str">
        <f>IFERROR(VLOOKUP(ParticipationMars1[[#This Row],[Référence]],ListeÉtudiants1[],18,FALSE),"")</f>
        <v>BAESSA ELISA</v>
      </c>
      <c r="C24" s="19"/>
      <c r="D24" s="19"/>
      <c r="E24" s="19"/>
      <c r="F24" s="19"/>
      <c r="G24" s="19"/>
      <c r="H24" s="19"/>
      <c r="I24" s="19"/>
      <c r="J24" s="19"/>
      <c r="K24" s="19"/>
      <c r="L24" s="19"/>
      <c r="M24" s="19"/>
      <c r="N24" s="19"/>
      <c r="O24" s="19"/>
      <c r="P24" s="19"/>
      <c r="Q24" s="19" t="s">
        <v>529</v>
      </c>
      <c r="R24" s="19"/>
      <c r="S24" s="19"/>
      <c r="T24" s="19"/>
      <c r="U24" s="19"/>
      <c r="V24" s="19"/>
      <c r="W24" s="19"/>
      <c r="X24" s="19"/>
      <c r="Y24" s="19"/>
      <c r="Z24" s="19"/>
      <c r="AA24" s="19"/>
      <c r="AB24" s="19" t="s">
        <v>529</v>
      </c>
      <c r="AC24" s="19"/>
      <c r="AD24" s="19"/>
      <c r="AE24" s="19"/>
      <c r="AF24" s="19"/>
      <c r="AG24" s="144"/>
      <c r="AH24" s="6">
        <f>COUNTIF(ParticipationMars1[[#This Row],[1]:[31]],Code1)</f>
        <v>0</v>
      </c>
      <c r="AI24" s="331">
        <f>COUNTIF(ParticipationMars1[[#This Row],[1]:[31]],code22)</f>
        <v>0</v>
      </c>
      <c r="AJ24" s="30">
        <f>COUNTIF(ParticipationMars1[[#This Row],[1]:[31]],Code2)</f>
        <v>0</v>
      </c>
      <c r="AK24" s="30">
        <f>COUNTIF(ParticipationMars1[[#This Row],[1]:[31]],Code3)</f>
        <v>0</v>
      </c>
      <c r="AL24" s="30">
        <f>COUNTIF(ParticipationMars1[[#This Row],[1]:[31]],Code4)</f>
        <v>0</v>
      </c>
      <c r="AM24" s="307">
        <f>COUNTIF(ParticipationMars1[[#This Row],[1]:[31]],Code5)</f>
        <v>0</v>
      </c>
      <c r="AN24" s="307">
        <f>COUNTIF(ParticipationMars1[[#This Row],[1]:[31]],Code23)</f>
        <v>2</v>
      </c>
      <c r="AO24" s="307">
        <f>COUNTIF(ParticipationMars1[[#This Row],[1]:[31]],Code6)</f>
        <v>0</v>
      </c>
      <c r="AP24" s="307">
        <f>COUNTIF(ParticipationMars1[[#This Row],[1]:[31]],Code7)</f>
        <v>0</v>
      </c>
      <c r="AQ24" s="307">
        <f>COUNTIF(ParticipationMars1[[#This Row],[1]:[31]],Code8)</f>
        <v>0</v>
      </c>
      <c r="AR24" s="307">
        <f>COUNTIF(ParticipationMars1[[#This Row],[1]:[31]],Code9)</f>
        <v>0</v>
      </c>
      <c r="AS24" s="307">
        <f>COUNTIF(ParticipationMars1[[#This Row],[1]:[31]],Code10)</f>
        <v>0</v>
      </c>
      <c r="AT24" s="307">
        <f>COUNTIF(ParticipationMars1[[#This Row],[1]:[31]],Code11)</f>
        <v>0</v>
      </c>
      <c r="AU24" s="307">
        <f>COUNTIF(ParticipationMars1[[#This Row],[1]:[31]],Code12)</f>
        <v>0</v>
      </c>
      <c r="AV24" s="307">
        <f>COUNTIF(ParticipationMars1[[#This Row],[1]:[31]],Code13)</f>
        <v>0</v>
      </c>
      <c r="AW24" s="307">
        <f>COUNTIF(ParticipationMars1[[#This Row],[1]:[31]],Code14)</f>
        <v>0</v>
      </c>
      <c r="AX24" s="307">
        <f>COUNTIF(ParticipationMars1[[#This Row],[1]:[31]],Code15)</f>
        <v>0</v>
      </c>
      <c r="AY24" s="307">
        <f>COUNTIF(ParticipationMars1[[#This Row],[1]:[31]],Code16)</f>
        <v>0</v>
      </c>
      <c r="AZ24" s="307">
        <f>COUNTIF(ParticipationMars1[[#This Row],[1]:[31]],Code17)</f>
        <v>0</v>
      </c>
      <c r="BA24" s="307">
        <f>COUNTIF(ParticipationMars1[[#This Row],[1]:[31]],Code25)</f>
        <v>0</v>
      </c>
      <c r="BB24" s="307">
        <f>COUNTIF(ParticipationMars1[[#This Row],[1]:[31]],Code26)</f>
        <v>0</v>
      </c>
      <c r="BC24" s="307">
        <f>COUNTIF(ParticipationMars1[[#This Row],[1]:[31]],Code27)</f>
        <v>0</v>
      </c>
      <c r="BD24" s="307">
        <f>COUNTIF(ParticipationMars1[[#This Row],[1]:[31]],Code28)</f>
        <v>0</v>
      </c>
      <c r="BE24" s="307">
        <f>COUNTIF(ParticipationMars1[[#This Row],[1]:[31]],code30)</f>
        <v>0</v>
      </c>
      <c r="BF24" s="307">
        <f>COUNTIF(ParticipationMars1[[#This Row],[1]:[31]],Code31)</f>
        <v>0</v>
      </c>
      <c r="BG24" s="307">
        <f>COUNTIF(ParticipationMars1[[#This Row],[1]:[31]],code21)</f>
        <v>0</v>
      </c>
      <c r="BH24" s="307">
        <f>COUNTIF(ParticipationMars1[[#This Row],[1]:[31]],Code24)</f>
        <v>0</v>
      </c>
      <c r="BI24" s="307">
        <f>COUNTIF(ParticipationMars1[[#This Row],[1]:[31]],code18)</f>
        <v>0</v>
      </c>
      <c r="BJ24" s="307">
        <f>COUNTIF(ParticipationMars1[[#This Row],[1]:[31]],code19)</f>
        <v>0</v>
      </c>
      <c r="BK24" s="307">
        <f>COUNTIF(ParticipationMars1[[#This Row],[1]:[31]],code20)</f>
        <v>0</v>
      </c>
      <c r="BL24" s="300">
        <f>COUNTIF(ParticipationMars1[[#This Row],[1]:[31]],code29)</f>
        <v>0</v>
      </c>
      <c r="BM24" s="297"/>
      <c r="BN24" s="297"/>
      <c r="BO24" s="297"/>
      <c r="BP24" s="297"/>
      <c r="BQ24" s="297"/>
      <c r="BR24" s="297"/>
      <c r="BS24" s="297"/>
      <c r="BT24" s="297"/>
      <c r="BU24" s="297"/>
      <c r="BV24" s="297"/>
      <c r="BW24" s="297">
        <v>2</v>
      </c>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307"/>
      <c r="CT24" s="307"/>
      <c r="CU24" s="300"/>
      <c r="CV24" s="501">
        <f t="shared" si="0"/>
        <v>0</v>
      </c>
      <c r="CW24" s="501">
        <f t="shared" si="1"/>
        <v>2</v>
      </c>
      <c r="CX24" s="341">
        <f t="shared" si="2"/>
        <v>0</v>
      </c>
      <c r="CY24" s="327"/>
    </row>
    <row r="25" spans="1:103">
      <c r="A25" s="510" t="s">
        <v>366</v>
      </c>
      <c r="B25" s="162" t="str">
        <f>IFERROR(VLOOKUP(ParticipationMars1[[#This Row],[Référence]],ListeÉtudiants1[],18,FALSE),"")</f>
        <v>BARREIROS  KATIE</v>
      </c>
      <c r="C25" s="19"/>
      <c r="D25" s="19"/>
      <c r="E25" s="19"/>
      <c r="F25" s="19"/>
      <c r="G25" s="19"/>
      <c r="H25" s="19"/>
      <c r="I25" s="19"/>
      <c r="J25" s="19"/>
      <c r="K25" s="19"/>
      <c r="L25" s="19"/>
      <c r="M25" s="19"/>
      <c r="N25" s="19"/>
      <c r="O25" s="19"/>
      <c r="P25" s="19" t="s">
        <v>35</v>
      </c>
      <c r="Q25" s="19" t="s">
        <v>109</v>
      </c>
      <c r="R25" s="19"/>
      <c r="S25" s="19"/>
      <c r="T25" s="19"/>
      <c r="U25" s="19"/>
      <c r="V25" s="19"/>
      <c r="W25" s="19"/>
      <c r="X25" s="19" t="s">
        <v>109</v>
      </c>
      <c r="Y25" s="19"/>
      <c r="Z25" s="19"/>
      <c r="AA25" s="19"/>
      <c r="AB25" s="19" t="s">
        <v>108</v>
      </c>
      <c r="AC25" s="19"/>
      <c r="AD25" s="19"/>
      <c r="AE25" s="19"/>
      <c r="AF25" s="19"/>
      <c r="AG25" s="144"/>
      <c r="AH25" s="6">
        <f>COUNTIF(ParticipationMars1[[#This Row],[1]:[31]],Code1)</f>
        <v>0</v>
      </c>
      <c r="AI25" s="331">
        <f>COUNTIF(ParticipationMars1[[#This Row],[1]:[31]],code22)</f>
        <v>0</v>
      </c>
      <c r="AJ25" s="30">
        <f>COUNTIF(ParticipationMars1[[#This Row],[1]:[31]],Code2)</f>
        <v>0</v>
      </c>
      <c r="AK25" s="30">
        <f>COUNTIF(ParticipationMars1[[#This Row],[1]:[31]],Code3)</f>
        <v>0</v>
      </c>
      <c r="AL25" s="30">
        <f>COUNTIF(ParticipationMars1[[#This Row],[1]:[31]],Code4)</f>
        <v>0</v>
      </c>
      <c r="AM25" s="307">
        <f>COUNTIF(ParticipationMars1[[#This Row],[1]:[31]],Code5)</f>
        <v>1</v>
      </c>
      <c r="AN25" s="307">
        <f>COUNTIF(ParticipationMars1[[#This Row],[1]:[31]],Code23)</f>
        <v>0</v>
      </c>
      <c r="AO25" s="307">
        <f>COUNTIF(ParticipationMars1[[#This Row],[1]:[31]],Code6)</f>
        <v>1</v>
      </c>
      <c r="AP25" s="307">
        <f>COUNTIF(ParticipationMars1[[#This Row],[1]:[31]],Code7)</f>
        <v>2</v>
      </c>
      <c r="AQ25" s="307">
        <f>COUNTIF(ParticipationMars1[[#This Row],[1]:[31]],Code8)</f>
        <v>0</v>
      </c>
      <c r="AR25" s="307">
        <f>COUNTIF(ParticipationMars1[[#This Row],[1]:[31]],Code9)</f>
        <v>0</v>
      </c>
      <c r="AS25" s="307">
        <f>COUNTIF(ParticipationMars1[[#This Row],[1]:[31]],Code10)</f>
        <v>0</v>
      </c>
      <c r="AT25" s="307">
        <f>COUNTIF(ParticipationMars1[[#This Row],[1]:[31]],Code11)</f>
        <v>0</v>
      </c>
      <c r="AU25" s="307">
        <f>COUNTIF(ParticipationMars1[[#This Row],[1]:[31]],Code12)</f>
        <v>0</v>
      </c>
      <c r="AV25" s="307">
        <f>COUNTIF(ParticipationMars1[[#This Row],[1]:[31]],Code13)</f>
        <v>0</v>
      </c>
      <c r="AW25" s="307">
        <f>COUNTIF(ParticipationMars1[[#This Row],[1]:[31]],Code14)</f>
        <v>0</v>
      </c>
      <c r="AX25" s="307">
        <f>COUNTIF(ParticipationMars1[[#This Row],[1]:[31]],Code15)</f>
        <v>0</v>
      </c>
      <c r="AY25" s="307">
        <f>COUNTIF(ParticipationMars1[[#This Row],[1]:[31]],Code16)</f>
        <v>0</v>
      </c>
      <c r="AZ25" s="307">
        <f>COUNTIF(ParticipationMars1[[#This Row],[1]:[31]],Code17)</f>
        <v>0</v>
      </c>
      <c r="BA25" s="30">
        <f>COUNTIF(ParticipationMars1[[#This Row],[1]:[31]],Code25)</f>
        <v>0</v>
      </c>
      <c r="BB25" s="307">
        <f>COUNTIF(ParticipationMars1[[#This Row],[1]:[31]],Code26)</f>
        <v>0</v>
      </c>
      <c r="BC25" s="307">
        <f>COUNTIF(ParticipationMars1[[#This Row],[1]:[31]],Code27)</f>
        <v>0</v>
      </c>
      <c r="BD25" s="30">
        <f>COUNTIF(ParticipationMars1[[#This Row],[1]:[31]],Code28)</f>
        <v>0</v>
      </c>
      <c r="BE25" s="30">
        <f>COUNTIF(ParticipationMars1[[#This Row],[1]:[31]],code30)</f>
        <v>0</v>
      </c>
      <c r="BF25" s="30">
        <f>COUNTIF(ParticipationMars1[[#This Row],[1]:[31]],Code31)</f>
        <v>0</v>
      </c>
      <c r="BG25" s="307">
        <f>COUNTIF(ParticipationMars1[[#This Row],[1]:[31]],code21)</f>
        <v>0</v>
      </c>
      <c r="BH25" s="307">
        <f>COUNTIF(ParticipationMars1[[#This Row],[1]:[31]],Code24)</f>
        <v>0</v>
      </c>
      <c r="BI25" s="307">
        <f>COUNTIF(ParticipationMars1[[#This Row],[1]:[31]],code18)</f>
        <v>0</v>
      </c>
      <c r="BJ25" s="307">
        <f>COUNTIF(ParticipationMars1[[#This Row],[1]:[31]],code19)</f>
        <v>0</v>
      </c>
      <c r="BK25" s="307">
        <f>COUNTIF(ParticipationMars1[[#This Row],[1]:[31]],code20)</f>
        <v>0</v>
      </c>
      <c r="BL25" s="300">
        <f>COUNTIF(ParticipationMars1[[#This Row],[1]:[31]],code29)</f>
        <v>0</v>
      </c>
      <c r="BM25" s="297"/>
      <c r="BN25" s="297">
        <v>1</v>
      </c>
      <c r="BO25" s="297"/>
      <c r="BP25" s="297"/>
      <c r="BQ25" s="297"/>
      <c r="BR25" s="297"/>
      <c r="BS25" s="297"/>
      <c r="BT25" s="297">
        <v>1</v>
      </c>
      <c r="BU25" s="297"/>
      <c r="BV25" s="297"/>
      <c r="BW25" s="297">
        <v>1</v>
      </c>
      <c r="BX25" s="297"/>
      <c r="BY25" s="297"/>
      <c r="BZ25" s="297">
        <v>1</v>
      </c>
      <c r="CA25" s="297"/>
      <c r="CB25" s="297"/>
      <c r="CC25" s="297"/>
      <c r="CD25" s="297"/>
      <c r="CE25" s="297"/>
      <c r="CF25" s="297"/>
      <c r="CG25" s="297"/>
      <c r="CH25" s="297"/>
      <c r="CI25" s="297"/>
      <c r="CJ25" s="297"/>
      <c r="CK25" s="297">
        <v>1</v>
      </c>
      <c r="CL25" s="297"/>
      <c r="CM25" s="297"/>
      <c r="CN25" s="297"/>
      <c r="CO25" s="297"/>
      <c r="CP25" s="297"/>
      <c r="CQ25" s="297"/>
      <c r="CR25" s="297"/>
      <c r="CS25" s="307"/>
      <c r="CT25" s="307"/>
      <c r="CU25" s="300"/>
      <c r="CV25" s="501">
        <f t="shared" si="0"/>
        <v>10</v>
      </c>
      <c r="CW25" s="501">
        <f t="shared" si="1"/>
        <v>13</v>
      </c>
      <c r="CX25" s="249">
        <f t="shared" si="2"/>
        <v>0</v>
      </c>
      <c r="CY25" s="327"/>
    </row>
    <row r="26" spans="1:103">
      <c r="A26" s="510" t="s">
        <v>367</v>
      </c>
      <c r="B26" s="162" t="str">
        <f>IFERROR(VLOOKUP(ParticipationMars1[[#This Row],[Référence]],ListeÉtudiants1[],18,FALSE),"")</f>
        <v>BASTARDIE JULIEN</v>
      </c>
      <c r="C26" s="19"/>
      <c r="D26" s="19"/>
      <c r="E26" s="19"/>
      <c r="F26" s="19"/>
      <c r="G26" s="19"/>
      <c r="H26" s="19"/>
      <c r="I26" s="19"/>
      <c r="J26" s="19"/>
      <c r="K26" s="19"/>
      <c r="L26" s="19"/>
      <c r="M26" s="19"/>
      <c r="N26" s="19"/>
      <c r="O26" s="19"/>
      <c r="P26" s="19" t="s">
        <v>507</v>
      </c>
      <c r="Q26" s="19" t="s">
        <v>529</v>
      </c>
      <c r="R26" s="19"/>
      <c r="S26" s="19"/>
      <c r="T26" s="19"/>
      <c r="U26" s="19"/>
      <c r="V26" s="19"/>
      <c r="W26" s="19"/>
      <c r="X26" s="19"/>
      <c r="Y26" s="19"/>
      <c r="Z26" s="19"/>
      <c r="AA26" s="19" t="s">
        <v>529</v>
      </c>
      <c r="AB26" s="19" t="s">
        <v>529</v>
      </c>
      <c r="AC26" s="19" t="s">
        <v>529</v>
      </c>
      <c r="AD26" s="19"/>
      <c r="AE26" s="19"/>
      <c r="AF26" s="19"/>
      <c r="AG26" s="144"/>
      <c r="AH26" s="6">
        <f>COUNTIF(ParticipationMars1[[#This Row],[1]:[31]],Code1)</f>
        <v>0</v>
      </c>
      <c r="AI26" s="331">
        <f>COUNTIF(ParticipationMars1[[#This Row],[1]:[31]],code22)</f>
        <v>0</v>
      </c>
      <c r="AJ26" s="30">
        <f>COUNTIF(ParticipationMars1[[#This Row],[1]:[31]],Code2)</f>
        <v>0</v>
      </c>
      <c r="AK26" s="30">
        <f>COUNTIF(ParticipationMars1[[#This Row],[1]:[31]],Code3)</f>
        <v>0</v>
      </c>
      <c r="AL26" s="30">
        <f>COUNTIF(ParticipationMars1[[#This Row],[1]:[31]],Code4)</f>
        <v>0</v>
      </c>
      <c r="AM26" s="307">
        <f>COUNTIF(ParticipationMars1[[#This Row],[1]:[31]],Code5)</f>
        <v>0</v>
      </c>
      <c r="AN26" s="307">
        <f>COUNTIF(ParticipationMars1[[#This Row],[1]:[31]],Code23)</f>
        <v>4</v>
      </c>
      <c r="AO26" s="307">
        <f>COUNTIF(ParticipationMars1[[#This Row],[1]:[31]],Code6)</f>
        <v>0</v>
      </c>
      <c r="AP26" s="307">
        <f>COUNTIF(ParticipationMars1[[#This Row],[1]:[31]],Code7)</f>
        <v>0</v>
      </c>
      <c r="AQ26" s="307">
        <f>COUNTIF(ParticipationMars1[[#This Row],[1]:[31]],Code8)</f>
        <v>0</v>
      </c>
      <c r="AR26" s="307">
        <f>COUNTIF(ParticipationMars1[[#This Row],[1]:[31]],Code9)</f>
        <v>0</v>
      </c>
      <c r="AS26" s="307">
        <f>COUNTIF(ParticipationMars1[[#This Row],[1]:[31]],Code10)</f>
        <v>0</v>
      </c>
      <c r="AT26" s="307">
        <f>COUNTIF(ParticipationMars1[[#This Row],[1]:[31]],Code11)</f>
        <v>0</v>
      </c>
      <c r="AU26" s="307">
        <f>COUNTIF(ParticipationMars1[[#This Row],[1]:[31]],Code12)</f>
        <v>0</v>
      </c>
      <c r="AV26" s="307">
        <f>COUNTIF(ParticipationMars1[[#This Row],[1]:[31]],Code13)</f>
        <v>0</v>
      </c>
      <c r="AW26" s="307">
        <f>COUNTIF(ParticipationMars1[[#This Row],[1]:[31]],Code14)</f>
        <v>0</v>
      </c>
      <c r="AX26" s="307">
        <f>COUNTIF(ParticipationMars1[[#This Row],[1]:[31]],Code15)</f>
        <v>0</v>
      </c>
      <c r="AY26" s="307">
        <f>COUNTIF(ParticipationMars1[[#This Row],[1]:[31]],Code16)</f>
        <v>0</v>
      </c>
      <c r="AZ26" s="307">
        <f>COUNTIF(ParticipationMars1[[#This Row],[1]:[31]],Code17)</f>
        <v>0</v>
      </c>
      <c r="BA26" s="30">
        <f>COUNTIF(ParticipationMars1[[#This Row],[1]:[31]],Code25)</f>
        <v>0</v>
      </c>
      <c r="BB26" s="307">
        <f>COUNTIF(ParticipationMars1[[#This Row],[1]:[31]],Code26)</f>
        <v>0</v>
      </c>
      <c r="BC26" s="307">
        <f>COUNTIF(ParticipationMars1[[#This Row],[1]:[31]],Code27)</f>
        <v>0</v>
      </c>
      <c r="BD26" s="30">
        <f>COUNTIF(ParticipationMars1[[#This Row],[1]:[31]],Code28)</f>
        <v>0</v>
      </c>
      <c r="BE26" s="30">
        <f>COUNTIF(ParticipationMars1[[#This Row],[1]:[31]],code30)</f>
        <v>0</v>
      </c>
      <c r="BF26" s="30">
        <f>COUNTIF(ParticipationMars1[[#This Row],[1]:[31]],Code31)</f>
        <v>0</v>
      </c>
      <c r="BG26" s="307">
        <f>COUNTIF(ParticipationMars1[[#This Row],[1]:[31]],code21)</f>
        <v>1</v>
      </c>
      <c r="BH26" s="307">
        <f>COUNTIF(ParticipationMars1[[#This Row],[1]:[31]],Code24)</f>
        <v>0</v>
      </c>
      <c r="BI26" s="307">
        <f>COUNTIF(ParticipationMars1[[#This Row],[1]:[31]],code18)</f>
        <v>0</v>
      </c>
      <c r="BJ26" s="307">
        <f>COUNTIF(ParticipationMars1[[#This Row],[1]:[31]],code19)</f>
        <v>0</v>
      </c>
      <c r="BK26" s="307">
        <f>COUNTIF(ParticipationMars1[[#This Row],[1]:[31]],code20)</f>
        <v>0</v>
      </c>
      <c r="BL26" s="300">
        <f>COUNTIF(ParticipationMars1[[#This Row],[1]:[31]],code29)</f>
        <v>0</v>
      </c>
      <c r="BM26" s="297"/>
      <c r="BN26" s="297"/>
      <c r="BO26" s="297"/>
      <c r="BP26" s="297"/>
      <c r="BQ26" s="297"/>
      <c r="BR26" s="297"/>
      <c r="BS26" s="297"/>
      <c r="BT26" s="297">
        <v>1</v>
      </c>
      <c r="BU26" s="297"/>
      <c r="BV26" s="297"/>
      <c r="BW26" s="297">
        <v>2</v>
      </c>
      <c r="BX26" s="297"/>
      <c r="BY26" s="297"/>
      <c r="BZ26" s="297"/>
      <c r="CA26" s="297"/>
      <c r="CB26" s="297"/>
      <c r="CC26" s="297"/>
      <c r="CD26" s="297"/>
      <c r="CE26" s="297"/>
      <c r="CF26" s="297"/>
      <c r="CG26" s="297"/>
      <c r="CH26" s="297"/>
      <c r="CI26" s="297"/>
      <c r="CJ26" s="297"/>
      <c r="CK26" s="297"/>
      <c r="CL26" s="297"/>
      <c r="CM26" s="297"/>
      <c r="CN26" s="297"/>
      <c r="CO26" s="297"/>
      <c r="CP26" s="297"/>
      <c r="CQ26" s="297"/>
      <c r="CR26" s="297"/>
      <c r="CS26" s="307"/>
      <c r="CT26" s="307"/>
      <c r="CU26" s="300"/>
      <c r="CV26" s="501">
        <f t="shared" si="0"/>
        <v>2</v>
      </c>
      <c r="CW26" s="501">
        <f t="shared" si="1"/>
        <v>6</v>
      </c>
      <c r="CX26" s="249">
        <f t="shared" si="2"/>
        <v>0</v>
      </c>
      <c r="CY26" s="327"/>
    </row>
    <row r="27" spans="1:103">
      <c r="A27" s="510" t="s">
        <v>368</v>
      </c>
      <c r="B27" s="162" t="str">
        <f>IFERROR(VLOOKUP(ParticipationMars1[[#This Row],[Référence]],ListeÉtudiants1[],18,FALSE),"")</f>
        <v>BAUDET M0RGANE</v>
      </c>
      <c r="C27" s="19"/>
      <c r="D27" s="19"/>
      <c r="E27" s="19"/>
      <c r="F27" s="19"/>
      <c r="G27" s="19"/>
      <c r="H27" s="19"/>
      <c r="I27" s="19"/>
      <c r="J27" s="19"/>
      <c r="K27" s="19"/>
      <c r="L27" s="19"/>
      <c r="M27" s="19"/>
      <c r="N27" s="19"/>
      <c r="O27" s="19"/>
      <c r="P27" s="19"/>
      <c r="Q27" s="19"/>
      <c r="R27" s="19"/>
      <c r="S27" s="19"/>
      <c r="T27" s="19"/>
      <c r="U27" s="19"/>
      <c r="V27" s="19"/>
      <c r="W27" s="19" t="s">
        <v>529</v>
      </c>
      <c r="X27" s="19" t="s">
        <v>109</v>
      </c>
      <c r="Y27" s="19"/>
      <c r="Z27" s="19"/>
      <c r="AA27" s="19" t="s">
        <v>529</v>
      </c>
      <c r="AB27" s="19" t="s">
        <v>529</v>
      </c>
      <c r="AC27" s="19"/>
      <c r="AD27" s="19"/>
      <c r="AE27" s="19"/>
      <c r="AF27" s="19"/>
      <c r="AG27" s="144"/>
      <c r="AH27" s="6">
        <f>COUNTIF(ParticipationMars1[[#This Row],[1]:[31]],Code1)</f>
        <v>0</v>
      </c>
      <c r="AI27" s="331">
        <f>COUNTIF(ParticipationMars1[[#This Row],[1]:[31]],code22)</f>
        <v>0</v>
      </c>
      <c r="AJ27" s="30">
        <f>COUNTIF(ParticipationMars1[[#This Row],[1]:[31]],Code2)</f>
        <v>0</v>
      </c>
      <c r="AK27" s="30">
        <f>COUNTIF(ParticipationMars1[[#This Row],[1]:[31]],Code3)</f>
        <v>0</v>
      </c>
      <c r="AL27" s="30">
        <f>COUNTIF(ParticipationMars1[[#This Row],[1]:[31]],Code4)</f>
        <v>0</v>
      </c>
      <c r="AM27" s="307">
        <f>COUNTIF(ParticipationMars1[[#This Row],[1]:[31]],Code5)</f>
        <v>0</v>
      </c>
      <c r="AN27" s="307">
        <f>COUNTIF(ParticipationMars1[[#This Row],[1]:[31]],Code23)</f>
        <v>3</v>
      </c>
      <c r="AO27" s="307">
        <f>COUNTIF(ParticipationMars1[[#This Row],[1]:[31]],Code6)</f>
        <v>0</v>
      </c>
      <c r="AP27" s="307">
        <f>COUNTIF(ParticipationMars1[[#This Row],[1]:[31]],Code7)</f>
        <v>1</v>
      </c>
      <c r="AQ27" s="307">
        <f>COUNTIF(ParticipationMars1[[#This Row],[1]:[31]],Code8)</f>
        <v>0</v>
      </c>
      <c r="AR27" s="307">
        <f>COUNTIF(ParticipationMars1[[#This Row],[1]:[31]],Code9)</f>
        <v>0</v>
      </c>
      <c r="AS27" s="307">
        <f>COUNTIF(ParticipationMars1[[#This Row],[1]:[31]],Code10)</f>
        <v>0</v>
      </c>
      <c r="AT27" s="307">
        <f>COUNTIF(ParticipationMars1[[#This Row],[1]:[31]],Code11)</f>
        <v>0</v>
      </c>
      <c r="AU27" s="307">
        <f>COUNTIF(ParticipationMars1[[#This Row],[1]:[31]],Code12)</f>
        <v>0</v>
      </c>
      <c r="AV27" s="307">
        <f>COUNTIF(ParticipationMars1[[#This Row],[1]:[31]],Code13)</f>
        <v>0</v>
      </c>
      <c r="AW27" s="307">
        <f>COUNTIF(ParticipationMars1[[#This Row],[1]:[31]],Code14)</f>
        <v>0</v>
      </c>
      <c r="AX27" s="307">
        <f>COUNTIF(ParticipationMars1[[#This Row],[1]:[31]],Code15)</f>
        <v>0</v>
      </c>
      <c r="AY27" s="307">
        <f>COUNTIF(ParticipationMars1[[#This Row],[1]:[31]],Code16)</f>
        <v>0</v>
      </c>
      <c r="AZ27" s="307">
        <f>COUNTIF(ParticipationMars1[[#This Row],[1]:[31]],Code17)</f>
        <v>0</v>
      </c>
      <c r="BA27" s="307">
        <f>COUNTIF(ParticipationMars1[[#This Row],[1]:[31]],Code25)</f>
        <v>0</v>
      </c>
      <c r="BB27" s="307">
        <f>COUNTIF(ParticipationMars1[[#This Row],[1]:[31]],Code26)</f>
        <v>0</v>
      </c>
      <c r="BC27" s="307">
        <f>COUNTIF(ParticipationMars1[[#This Row],[1]:[31]],Code27)</f>
        <v>0</v>
      </c>
      <c r="BD27" s="307">
        <f>COUNTIF(ParticipationMars1[[#This Row],[1]:[31]],Code28)</f>
        <v>0</v>
      </c>
      <c r="BE27" s="307">
        <f>COUNTIF(ParticipationMars1[[#This Row],[1]:[31]],code30)</f>
        <v>0</v>
      </c>
      <c r="BF27" s="307">
        <f>COUNTIF(ParticipationMars1[[#This Row],[1]:[31]],Code31)</f>
        <v>0</v>
      </c>
      <c r="BG27" s="307">
        <f>COUNTIF(ParticipationMars1[[#This Row],[1]:[31]],code21)</f>
        <v>0</v>
      </c>
      <c r="BH27" s="307">
        <f>COUNTIF(ParticipationMars1[[#This Row],[1]:[31]],Code24)</f>
        <v>0</v>
      </c>
      <c r="BI27" s="307">
        <f>COUNTIF(ParticipationMars1[[#This Row],[1]:[31]],code18)</f>
        <v>0</v>
      </c>
      <c r="BJ27" s="307">
        <f>COUNTIF(ParticipationMars1[[#This Row],[1]:[31]],code19)</f>
        <v>0</v>
      </c>
      <c r="BK27" s="307">
        <f>COUNTIF(ParticipationMars1[[#This Row],[1]:[31]],code20)</f>
        <v>0</v>
      </c>
      <c r="BL27" s="300">
        <f>COUNTIF(ParticipationMars1[[#This Row],[1]:[31]],code29)</f>
        <v>0</v>
      </c>
      <c r="BM27" s="297"/>
      <c r="BN27" s="297">
        <v>1</v>
      </c>
      <c r="BO27" s="297"/>
      <c r="BP27" s="297"/>
      <c r="BQ27" s="297"/>
      <c r="BR27" s="297"/>
      <c r="BS27" s="297"/>
      <c r="BT27" s="297"/>
      <c r="BU27" s="297"/>
      <c r="BV27" s="297"/>
      <c r="BW27" s="297">
        <v>2</v>
      </c>
      <c r="BX27" s="297"/>
      <c r="BY27" s="297"/>
      <c r="BZ27" s="297"/>
      <c r="CA27" s="297"/>
      <c r="CB27" s="297"/>
      <c r="CC27" s="297"/>
      <c r="CD27" s="297"/>
      <c r="CE27" s="297"/>
      <c r="CF27" s="297"/>
      <c r="CG27" s="297"/>
      <c r="CH27" s="297"/>
      <c r="CI27" s="297"/>
      <c r="CJ27" s="297"/>
      <c r="CK27" s="297"/>
      <c r="CL27" s="297"/>
      <c r="CM27" s="297"/>
      <c r="CN27" s="297"/>
      <c r="CO27" s="297"/>
      <c r="CP27" s="297"/>
      <c r="CQ27" s="297"/>
      <c r="CR27" s="297"/>
      <c r="CS27" s="307"/>
      <c r="CT27" s="307"/>
      <c r="CU27" s="300"/>
      <c r="CV27" s="501">
        <f t="shared" si="0"/>
        <v>5</v>
      </c>
      <c r="CW27" s="501">
        <f t="shared" si="1"/>
        <v>7</v>
      </c>
      <c r="CX27" s="341">
        <f t="shared" si="2"/>
        <v>0</v>
      </c>
      <c r="CY27" s="327"/>
    </row>
    <row r="28" spans="1:103">
      <c r="A28" s="510" t="s">
        <v>369</v>
      </c>
      <c r="B28" s="162" t="str">
        <f>IFERROR(VLOOKUP(ParticipationMars1[[#This Row],[Référence]],ListeÉtudiants1[],18,FALSE),"")</f>
        <v>BENOIST SANDY</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340"/>
      <c r="AH28" s="6">
        <f>COUNTIF(ParticipationMars1[[#This Row],[1]:[31]],Code1)</f>
        <v>0</v>
      </c>
      <c r="AI28" s="475">
        <f>COUNTIF(ParticipationMars1[[#This Row],[1]:[31]],code22)</f>
        <v>0</v>
      </c>
      <c r="AJ28" s="30">
        <f>COUNTIF(ParticipationMars1[[#This Row],[1]:[31]],Code2)</f>
        <v>0</v>
      </c>
      <c r="AK28" s="30">
        <f>COUNTIF(ParticipationMars1[[#This Row],[1]:[31]],Code3)</f>
        <v>0</v>
      </c>
      <c r="AL28" s="30">
        <f>COUNTIF(ParticipationMars1[[#This Row],[1]:[31]],Code4)</f>
        <v>0</v>
      </c>
      <c r="AM28" s="473">
        <f>COUNTIF(ParticipationMars1[[#This Row],[1]:[31]],Code5)</f>
        <v>0</v>
      </c>
      <c r="AN28" s="473">
        <f>COUNTIF(ParticipationMars1[[#This Row],[1]:[31]],Code23)</f>
        <v>0</v>
      </c>
      <c r="AO28" s="473">
        <f>COUNTIF(ParticipationMars1[[#This Row],[1]:[31]],Code6)</f>
        <v>0</v>
      </c>
      <c r="AP28" s="473">
        <f>COUNTIF(ParticipationMars1[[#This Row],[1]:[31]],Code7)</f>
        <v>0</v>
      </c>
      <c r="AQ28" s="473">
        <f>COUNTIF(ParticipationMars1[[#This Row],[1]:[31]],Code8)</f>
        <v>0</v>
      </c>
      <c r="AR28" s="473">
        <f>COUNTIF(ParticipationMars1[[#This Row],[1]:[31]],Code9)</f>
        <v>0</v>
      </c>
      <c r="AS28" s="473">
        <f>COUNTIF(ParticipationMars1[[#This Row],[1]:[31]],Code10)</f>
        <v>0</v>
      </c>
      <c r="AT28" s="473">
        <f>COUNTIF(ParticipationMars1[[#This Row],[1]:[31]],Code11)</f>
        <v>0</v>
      </c>
      <c r="AU28" s="473">
        <f>COUNTIF(ParticipationMars1[[#This Row],[1]:[31]],Code12)</f>
        <v>0</v>
      </c>
      <c r="AV28" s="473">
        <f>COUNTIF(ParticipationMars1[[#This Row],[1]:[31]],Code13)</f>
        <v>0</v>
      </c>
      <c r="AW28" s="473">
        <f>COUNTIF(ParticipationMars1[[#This Row],[1]:[31]],Code14)</f>
        <v>0</v>
      </c>
      <c r="AX28" s="473">
        <f>COUNTIF(ParticipationMars1[[#This Row],[1]:[31]],Code15)</f>
        <v>0</v>
      </c>
      <c r="AY28" s="473">
        <f>COUNTIF(ParticipationMars1[[#This Row],[1]:[31]],Code16)</f>
        <v>0</v>
      </c>
      <c r="AZ28" s="473">
        <f>COUNTIF(ParticipationMars1[[#This Row],[1]:[31]],Code17)</f>
        <v>0</v>
      </c>
      <c r="BA28" s="473">
        <f>COUNTIF(ParticipationMars1[[#This Row],[1]:[31]],Code25)</f>
        <v>0</v>
      </c>
      <c r="BB28" s="473">
        <f>COUNTIF(ParticipationMars1[[#This Row],[1]:[31]],Code26)</f>
        <v>0</v>
      </c>
      <c r="BC28" s="473">
        <f>COUNTIF(ParticipationMars1[[#This Row],[1]:[31]],Code27)</f>
        <v>0</v>
      </c>
      <c r="BD28" s="473">
        <f>COUNTIF(ParticipationMars1[[#This Row],[1]:[31]],Code28)</f>
        <v>0</v>
      </c>
      <c r="BE28" s="473">
        <f>COUNTIF(ParticipationMars1[[#This Row],[1]:[31]],code30)</f>
        <v>0</v>
      </c>
      <c r="BF28" s="473">
        <f>COUNTIF(ParticipationMars1[[#This Row],[1]:[31]],Code31)</f>
        <v>0</v>
      </c>
      <c r="BG28" s="473">
        <f>COUNTIF(ParticipationMars1[[#This Row],[1]:[31]],code21)</f>
        <v>0</v>
      </c>
      <c r="BH28" s="473">
        <f>COUNTIF(ParticipationMars1[[#This Row],[1]:[31]],Code24)</f>
        <v>0</v>
      </c>
      <c r="BI28" s="473">
        <f>COUNTIF(ParticipationMars1[[#This Row],[1]:[31]],code18)</f>
        <v>0</v>
      </c>
      <c r="BJ28" s="473">
        <f>COUNTIF(ParticipationMars1[[#This Row],[1]:[31]],code19)</f>
        <v>0</v>
      </c>
      <c r="BK28" s="473">
        <f>COUNTIF(ParticipationMars1[[#This Row],[1]:[31]],code20)</f>
        <v>0</v>
      </c>
      <c r="BL28" s="516">
        <f>COUNTIF(ParticipationMars1[[#This Row],[1]:[31]],code29)</f>
        <v>0</v>
      </c>
      <c r="BM28" s="472"/>
      <c r="BN28" s="472"/>
      <c r="BO28" s="472"/>
      <c r="BP28" s="472"/>
      <c r="BQ28" s="472"/>
      <c r="BR28" s="472"/>
      <c r="BS28" s="472"/>
      <c r="BT28" s="472"/>
      <c r="BU28" s="472"/>
      <c r="BV28" s="472"/>
      <c r="BW28" s="472"/>
      <c r="BX28" s="472"/>
      <c r="BY28" s="472"/>
      <c r="BZ28" s="472"/>
      <c r="CA28" s="472"/>
      <c r="CB28" s="472"/>
      <c r="CC28" s="472"/>
      <c r="CD28" s="472"/>
      <c r="CE28" s="472"/>
      <c r="CF28" s="472"/>
      <c r="CG28" s="472"/>
      <c r="CH28" s="472"/>
      <c r="CI28" s="472"/>
      <c r="CJ28" s="472"/>
      <c r="CK28" s="472"/>
      <c r="CL28" s="472"/>
      <c r="CM28" s="472"/>
      <c r="CN28" s="472"/>
      <c r="CO28" s="472"/>
      <c r="CP28" s="472"/>
      <c r="CQ28" s="472"/>
      <c r="CR28" s="472"/>
      <c r="CS28" s="473"/>
      <c r="CT28" s="473"/>
      <c r="CU28" s="516"/>
      <c r="CV28" s="533">
        <f t="shared" si="0"/>
        <v>0</v>
      </c>
      <c r="CW28" s="533">
        <f t="shared" si="1"/>
        <v>0</v>
      </c>
      <c r="CX28" s="523">
        <f t="shared" si="2"/>
        <v>0</v>
      </c>
      <c r="CY28" s="512"/>
    </row>
    <row r="29" spans="1:103">
      <c r="A29" s="534" t="s">
        <v>370</v>
      </c>
      <c r="B29" s="162" t="str">
        <f>IFERROR(VLOOKUP(ParticipationMars1[[#This Row],[Référence]],ListeÉtudiants1[],18,FALSE),"")</f>
        <v>BENOUARETH NAWEL</v>
      </c>
      <c r="C29" s="19"/>
      <c r="D29" s="19"/>
      <c r="E29" s="19"/>
      <c r="F29" s="19"/>
      <c r="G29" s="19"/>
      <c r="H29" s="19"/>
      <c r="I29" s="19"/>
      <c r="J29" s="19"/>
      <c r="K29" s="19"/>
      <c r="L29" s="19"/>
      <c r="M29" s="19"/>
      <c r="N29" s="19"/>
      <c r="O29" s="19" t="s">
        <v>108</v>
      </c>
      <c r="P29" s="19"/>
      <c r="Q29" s="19" t="s">
        <v>529</v>
      </c>
      <c r="R29" s="19"/>
      <c r="S29" s="19"/>
      <c r="T29" s="19"/>
      <c r="U29" s="19"/>
      <c r="V29" s="19"/>
      <c r="W29" s="19" t="s">
        <v>108</v>
      </c>
      <c r="X29" s="19" t="s">
        <v>109</v>
      </c>
      <c r="Y29" s="19"/>
      <c r="Z29" s="19"/>
      <c r="AA29" s="19"/>
      <c r="AB29" s="19"/>
      <c r="AC29" s="19" t="s">
        <v>109</v>
      </c>
      <c r="AD29" s="19" t="s">
        <v>35</v>
      </c>
      <c r="AE29" s="19"/>
      <c r="AF29" s="19"/>
      <c r="AG29" s="144"/>
      <c r="AH29" s="6">
        <f>COUNTIF(ParticipationMars1[[#This Row],[1]:[31]],Code1)</f>
        <v>0</v>
      </c>
      <c r="AI29" s="6">
        <f>COUNTIF(ParticipationMars1[[#This Row],[1]:[31]],code22)</f>
        <v>0</v>
      </c>
      <c r="AJ29" s="30">
        <f>COUNTIF(ParticipationMars1[[#This Row],[1]:[31]],Code2)</f>
        <v>0</v>
      </c>
      <c r="AK29" s="30">
        <f>COUNTIF(ParticipationMars1[[#This Row],[1]:[31]],Code3)</f>
        <v>0</v>
      </c>
      <c r="AL29" s="30">
        <f>COUNTIF(ParticipationMars1[[#This Row],[1]:[31]],Code4)</f>
        <v>0</v>
      </c>
      <c r="AM29" s="30">
        <f>COUNTIF(ParticipationMars1[[#This Row],[1]:[31]],Code5)</f>
        <v>1</v>
      </c>
      <c r="AN29" s="30">
        <f>COUNTIF(ParticipationMars1[[#This Row],[1]:[31]],Code23)</f>
        <v>1</v>
      </c>
      <c r="AO29" s="30">
        <f>COUNTIF(ParticipationMars1[[#This Row],[1]:[31]],Code6)</f>
        <v>2</v>
      </c>
      <c r="AP29" s="30">
        <f>COUNTIF(ParticipationMars1[[#This Row],[1]:[31]],Code7)</f>
        <v>2</v>
      </c>
      <c r="AQ29" s="30">
        <f>COUNTIF(ParticipationMars1[[#This Row],[1]:[31]],Code8)</f>
        <v>0</v>
      </c>
      <c r="AR29" s="30">
        <f>COUNTIF(ParticipationMars1[[#This Row],[1]:[31]],Code9)</f>
        <v>0</v>
      </c>
      <c r="AS29" s="30">
        <f>COUNTIF(ParticipationMars1[[#This Row],[1]:[31]],Code10)</f>
        <v>0</v>
      </c>
      <c r="AT29" s="30">
        <f>COUNTIF(ParticipationMars1[[#This Row],[1]:[31]],Code11)</f>
        <v>0</v>
      </c>
      <c r="AU29" s="30">
        <f>COUNTIF(ParticipationMars1[[#This Row],[1]:[31]],Code12)</f>
        <v>0</v>
      </c>
      <c r="AV29" s="30">
        <f>COUNTIF(ParticipationMars1[[#This Row],[1]:[31]],Code13)</f>
        <v>0</v>
      </c>
      <c r="AW29" s="30">
        <f>COUNTIF(ParticipationMars1[[#This Row],[1]:[31]],Code14)</f>
        <v>0</v>
      </c>
      <c r="AX29" s="30">
        <f>COUNTIF(ParticipationMars1[[#This Row],[1]:[31]],Code15)</f>
        <v>0</v>
      </c>
      <c r="AY29" s="30">
        <f>COUNTIF(ParticipationMars1[[#This Row],[1]:[31]],Code16)</f>
        <v>0</v>
      </c>
      <c r="AZ29" s="30">
        <f>COUNTIF(ParticipationMars1[[#This Row],[1]:[31]],Code17)</f>
        <v>0</v>
      </c>
      <c r="BA29" s="30">
        <f>COUNTIF(ParticipationMars1[[#This Row],[1]:[31]],Code25)</f>
        <v>0</v>
      </c>
      <c r="BB29" s="307">
        <f>COUNTIF(ParticipationMars1[[#This Row],[1]:[31]],Code26)</f>
        <v>0</v>
      </c>
      <c r="BC29" s="30">
        <f>COUNTIF(ParticipationMars1[[#This Row],[1]:[31]],Code27)</f>
        <v>0</v>
      </c>
      <c r="BD29" s="30">
        <f>COUNTIF(ParticipationMars1[[#This Row],[1]:[31]],Code28)</f>
        <v>0</v>
      </c>
      <c r="BE29" s="30">
        <f>COUNTIF(ParticipationMars1[[#This Row],[1]:[31]],code30)</f>
        <v>0</v>
      </c>
      <c r="BF29" s="30">
        <f>COUNTIF(ParticipationMars1[[#This Row],[1]:[31]],Code31)</f>
        <v>0</v>
      </c>
      <c r="BG29" s="30">
        <f>COUNTIF(ParticipationMars1[[#This Row],[1]:[31]],code21)</f>
        <v>0</v>
      </c>
      <c r="BH29" s="30">
        <f>COUNTIF(ParticipationMars1[[#This Row],[1]:[31]],Code24)</f>
        <v>0</v>
      </c>
      <c r="BI29" s="30">
        <f>COUNTIF(ParticipationMars1[[#This Row],[1]:[31]],code18)</f>
        <v>0</v>
      </c>
      <c r="BJ29" s="30">
        <f>COUNTIF(ParticipationMars1[[#This Row],[1]:[31]],code19)</f>
        <v>0</v>
      </c>
      <c r="BK29" s="30">
        <f>COUNTIF(ParticipationMars1[[#This Row],[1]:[31]],code20)</f>
        <v>0</v>
      </c>
      <c r="BL29" s="164">
        <f>COUNTIF(ParticipationMars1[[#This Row],[1]:[31]],code29)</f>
        <v>0</v>
      </c>
      <c r="BM29" s="297"/>
      <c r="BN29" s="297">
        <v>1</v>
      </c>
      <c r="BO29" s="297"/>
      <c r="BP29" s="297"/>
      <c r="BQ29" s="297"/>
      <c r="BR29" s="297"/>
      <c r="BS29" s="297"/>
      <c r="BT29" s="297">
        <v>4</v>
      </c>
      <c r="BU29" s="297"/>
      <c r="BV29" s="297"/>
      <c r="BW29" s="297">
        <v>3</v>
      </c>
      <c r="BX29" s="297"/>
      <c r="BY29" s="297"/>
      <c r="BZ29" s="297"/>
      <c r="CA29" s="297"/>
      <c r="CB29" s="297"/>
      <c r="CC29" s="297"/>
      <c r="CD29" s="297"/>
      <c r="CE29" s="297"/>
      <c r="CF29" s="297"/>
      <c r="CG29" s="297"/>
      <c r="CH29" s="297"/>
      <c r="CI29" s="297"/>
      <c r="CJ29" s="297"/>
      <c r="CK29" s="297"/>
      <c r="CL29" s="297"/>
      <c r="CM29" s="297"/>
      <c r="CN29" s="297"/>
      <c r="CO29" s="297"/>
      <c r="CP29" s="297"/>
      <c r="CQ29" s="297"/>
      <c r="CR29" s="297"/>
      <c r="CS29" s="307"/>
      <c r="CT29" s="307"/>
      <c r="CU29" s="300"/>
      <c r="CV29" s="501">
        <f t="shared" si="0"/>
        <v>10</v>
      </c>
      <c r="CW29" s="501">
        <f t="shared" si="1"/>
        <v>17</v>
      </c>
      <c r="CX29" s="249">
        <f t="shared" si="2"/>
        <v>0</v>
      </c>
      <c r="CY29" s="170">
        <f>SUM((BI29*7)+(BJ29*10)+(BK29*12))</f>
        <v>0</v>
      </c>
    </row>
    <row r="30" spans="1:103">
      <c r="A30" s="510" t="s">
        <v>371</v>
      </c>
      <c r="B30" s="162" t="str">
        <f>IFERROR(VLOOKUP(ParticipationMars1[[#This Row],[Référence]],ListeÉtudiants1[],18,FALSE),"")</f>
        <v>BERNARD LUDOVIC</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340"/>
      <c r="AH30" s="6">
        <f>COUNTIF(ParticipationMars1[[#This Row],[1]:[31]],Code1)</f>
        <v>0</v>
      </c>
      <c r="AI30" s="475">
        <f>COUNTIF(ParticipationMars1[[#This Row],[1]:[31]],code22)</f>
        <v>0</v>
      </c>
      <c r="AJ30" s="30">
        <f>COUNTIF(ParticipationMars1[[#This Row],[1]:[31]],Code2)</f>
        <v>0</v>
      </c>
      <c r="AK30" s="30">
        <f>COUNTIF(ParticipationMars1[[#This Row],[1]:[31]],Code3)</f>
        <v>0</v>
      </c>
      <c r="AL30" s="30">
        <f>COUNTIF(ParticipationMars1[[#This Row],[1]:[31]],Code4)</f>
        <v>0</v>
      </c>
      <c r="AM30" s="473">
        <f>COUNTIF(ParticipationMars1[[#This Row],[1]:[31]],Code5)</f>
        <v>0</v>
      </c>
      <c r="AN30" s="473">
        <f>COUNTIF(ParticipationMars1[[#This Row],[1]:[31]],Code23)</f>
        <v>0</v>
      </c>
      <c r="AO30" s="473">
        <f>COUNTIF(ParticipationMars1[[#This Row],[1]:[31]],Code6)</f>
        <v>0</v>
      </c>
      <c r="AP30" s="473">
        <f>COUNTIF(ParticipationMars1[[#This Row],[1]:[31]],Code7)</f>
        <v>0</v>
      </c>
      <c r="AQ30" s="473">
        <f>COUNTIF(ParticipationMars1[[#This Row],[1]:[31]],Code8)</f>
        <v>0</v>
      </c>
      <c r="AR30" s="473">
        <f>COUNTIF(ParticipationMars1[[#This Row],[1]:[31]],Code9)</f>
        <v>0</v>
      </c>
      <c r="AS30" s="473">
        <f>COUNTIF(ParticipationMars1[[#This Row],[1]:[31]],Code10)</f>
        <v>0</v>
      </c>
      <c r="AT30" s="473">
        <f>COUNTIF(ParticipationMars1[[#This Row],[1]:[31]],Code11)</f>
        <v>0</v>
      </c>
      <c r="AU30" s="473">
        <f>COUNTIF(ParticipationMars1[[#This Row],[1]:[31]],Code12)</f>
        <v>0</v>
      </c>
      <c r="AV30" s="473">
        <f>COUNTIF(ParticipationMars1[[#This Row],[1]:[31]],Code13)</f>
        <v>0</v>
      </c>
      <c r="AW30" s="473">
        <f>COUNTIF(ParticipationMars1[[#This Row],[1]:[31]],Code14)</f>
        <v>0</v>
      </c>
      <c r="AX30" s="473">
        <f>COUNTIF(ParticipationMars1[[#This Row],[1]:[31]],Code15)</f>
        <v>0</v>
      </c>
      <c r="AY30" s="473">
        <f>COUNTIF(ParticipationMars1[[#This Row],[1]:[31]],Code16)</f>
        <v>0</v>
      </c>
      <c r="AZ30" s="473">
        <f>COUNTIF(ParticipationMars1[[#This Row],[1]:[31]],Code17)</f>
        <v>0</v>
      </c>
      <c r="BA30" s="473">
        <f>COUNTIF(ParticipationMars1[[#This Row],[1]:[31]],Code25)</f>
        <v>0</v>
      </c>
      <c r="BB30" s="473">
        <f>COUNTIF(ParticipationMars1[[#This Row],[1]:[31]],Code26)</f>
        <v>0</v>
      </c>
      <c r="BC30" s="473">
        <f>COUNTIF(ParticipationMars1[[#This Row],[1]:[31]],Code27)</f>
        <v>0</v>
      </c>
      <c r="BD30" s="473">
        <f>COUNTIF(ParticipationMars1[[#This Row],[1]:[31]],Code28)</f>
        <v>0</v>
      </c>
      <c r="BE30" s="473">
        <f>COUNTIF(ParticipationMars1[[#This Row],[1]:[31]],code30)</f>
        <v>0</v>
      </c>
      <c r="BF30" s="473">
        <f>COUNTIF(ParticipationMars1[[#This Row],[1]:[31]],Code31)</f>
        <v>0</v>
      </c>
      <c r="BG30" s="473">
        <f>COUNTIF(ParticipationMars1[[#This Row],[1]:[31]],code21)</f>
        <v>0</v>
      </c>
      <c r="BH30" s="473">
        <f>COUNTIF(ParticipationMars1[[#This Row],[1]:[31]],Code24)</f>
        <v>0</v>
      </c>
      <c r="BI30" s="473">
        <f>COUNTIF(ParticipationMars1[[#This Row],[1]:[31]],code18)</f>
        <v>0</v>
      </c>
      <c r="BJ30" s="473">
        <f>COUNTIF(ParticipationMars1[[#This Row],[1]:[31]],code19)</f>
        <v>0</v>
      </c>
      <c r="BK30" s="473">
        <f>COUNTIF(ParticipationMars1[[#This Row],[1]:[31]],code20)</f>
        <v>0</v>
      </c>
      <c r="BL30" s="516">
        <f>COUNTIF(ParticipationMars1[[#This Row],[1]:[31]],code29)</f>
        <v>0</v>
      </c>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472"/>
      <c r="CO30" s="472"/>
      <c r="CP30" s="472"/>
      <c r="CQ30" s="472"/>
      <c r="CR30" s="472"/>
      <c r="CS30" s="473"/>
      <c r="CT30" s="473"/>
      <c r="CU30" s="516"/>
      <c r="CV30" s="533">
        <f t="shared" si="0"/>
        <v>0</v>
      </c>
      <c r="CW30" s="533">
        <f t="shared" si="1"/>
        <v>0</v>
      </c>
      <c r="CX30" s="523">
        <f t="shared" si="2"/>
        <v>0</v>
      </c>
      <c r="CY30" s="512"/>
    </row>
    <row r="31" spans="1:103">
      <c r="A31" s="534" t="s">
        <v>372</v>
      </c>
      <c r="B31" s="162" t="str">
        <f>IFERROR(VLOOKUP(ParticipationMars1[[#This Row],[Référence]],ListeÉtudiants1[],18,FALSE),"")</f>
        <v>BESTEL AGATHE</v>
      </c>
      <c r="C31" s="19"/>
      <c r="D31" s="19"/>
      <c r="E31" s="19"/>
      <c r="F31" s="19"/>
      <c r="G31" s="19"/>
      <c r="H31" s="19"/>
      <c r="I31" s="19"/>
      <c r="J31" s="19"/>
      <c r="K31" s="19"/>
      <c r="L31" s="19"/>
      <c r="M31" s="19"/>
      <c r="N31" s="19" t="s">
        <v>531</v>
      </c>
      <c r="O31" s="19"/>
      <c r="P31" s="19"/>
      <c r="Q31" s="19"/>
      <c r="R31" s="19"/>
      <c r="S31" s="19"/>
      <c r="T31" s="19"/>
      <c r="U31" s="19" t="s">
        <v>604</v>
      </c>
      <c r="V31" s="19" t="s">
        <v>620</v>
      </c>
      <c r="W31" s="19"/>
      <c r="X31" s="19"/>
      <c r="Y31" s="19"/>
      <c r="Z31" s="19"/>
      <c r="AA31" s="19" t="s">
        <v>529</v>
      </c>
      <c r="AB31" s="19" t="s">
        <v>529</v>
      </c>
      <c r="AC31" s="19"/>
      <c r="AD31" s="19"/>
      <c r="AE31" s="19"/>
      <c r="AF31" s="19"/>
      <c r="AG31" s="144"/>
      <c r="AH31" s="6">
        <f>COUNTIF(ParticipationMars1[[#This Row],[1]:[31]],Code1)</f>
        <v>0</v>
      </c>
      <c r="AI31" s="6">
        <f>COUNTIF(ParticipationMars1[[#This Row],[1]:[31]],code22)</f>
        <v>0</v>
      </c>
      <c r="AJ31" s="30">
        <f>COUNTIF(ParticipationMars1[[#This Row],[1]:[31]],Code2)</f>
        <v>0</v>
      </c>
      <c r="AK31" s="30">
        <f>COUNTIF(ParticipationMars1[[#This Row],[1]:[31]],Code3)</f>
        <v>0</v>
      </c>
      <c r="AL31" s="30">
        <f>COUNTIF(ParticipationMars1[[#This Row],[1]:[31]],Code4)</f>
        <v>0</v>
      </c>
      <c r="AM31" s="30">
        <f>COUNTIF(ParticipationMars1[[#This Row],[1]:[31]],Code5)</f>
        <v>0</v>
      </c>
      <c r="AN31" s="30">
        <f>COUNTIF(ParticipationMars1[[#This Row],[1]:[31]],Code23)</f>
        <v>2</v>
      </c>
      <c r="AO31" s="30">
        <f>COUNTIF(ParticipationMars1[[#This Row],[1]:[31]],Code6)</f>
        <v>0</v>
      </c>
      <c r="AP31" s="30">
        <f>COUNTIF(ParticipationMars1[[#This Row],[1]:[31]],Code7)</f>
        <v>0</v>
      </c>
      <c r="AQ31" s="30">
        <f>COUNTIF(ParticipationMars1[[#This Row],[1]:[31]],Code8)</f>
        <v>0</v>
      </c>
      <c r="AR31" s="30">
        <f>COUNTIF(ParticipationMars1[[#This Row],[1]:[31]],Code9)</f>
        <v>0</v>
      </c>
      <c r="AS31" s="30">
        <f>COUNTIF(ParticipationMars1[[#This Row],[1]:[31]],Code10)</f>
        <v>0</v>
      </c>
      <c r="AT31" s="30">
        <f>COUNTIF(ParticipationMars1[[#This Row],[1]:[31]],Code11)</f>
        <v>0</v>
      </c>
      <c r="AU31" s="30">
        <f>COUNTIF(ParticipationMars1[[#This Row],[1]:[31]],Code12)</f>
        <v>0</v>
      </c>
      <c r="AV31" s="30">
        <f>COUNTIF(ParticipationMars1[[#This Row],[1]:[31]],Code13)</f>
        <v>0</v>
      </c>
      <c r="AW31" s="30">
        <f>COUNTIF(ParticipationMars1[[#This Row],[1]:[31]],Code14)</f>
        <v>0</v>
      </c>
      <c r="AX31" s="30">
        <f>COUNTIF(ParticipationMars1[[#This Row],[1]:[31]],Code15)</f>
        <v>0</v>
      </c>
      <c r="AY31" s="30">
        <f>COUNTIF(ParticipationMars1[[#This Row],[1]:[31]],Code16)</f>
        <v>0</v>
      </c>
      <c r="AZ31" s="30">
        <f>COUNTIF(ParticipationMars1[[#This Row],[1]:[31]],Code17)</f>
        <v>0</v>
      </c>
      <c r="BA31" s="30">
        <f>COUNTIF(ParticipationMars1[[#This Row],[1]:[31]],Code25)</f>
        <v>1</v>
      </c>
      <c r="BB31" s="307">
        <f>COUNTIF(ParticipationMars1[[#This Row],[1]:[31]],Code26)</f>
        <v>1</v>
      </c>
      <c r="BC31" s="30">
        <f>COUNTIF(ParticipationMars1[[#This Row],[1]:[31]],Code27)</f>
        <v>0</v>
      </c>
      <c r="BD31" s="30">
        <f>COUNTIF(ParticipationMars1[[#This Row],[1]:[31]],Code28)</f>
        <v>0</v>
      </c>
      <c r="BE31" s="30">
        <f>COUNTIF(ParticipationMars1[[#This Row],[1]:[31]],code30)</f>
        <v>0</v>
      </c>
      <c r="BF31" s="30">
        <f>COUNTIF(ParticipationMars1[[#This Row],[1]:[31]],Code31)</f>
        <v>0</v>
      </c>
      <c r="BG31" s="30">
        <f>COUNTIF(ParticipationMars1[[#This Row],[1]:[31]],code21)</f>
        <v>0</v>
      </c>
      <c r="BH31" s="30">
        <f>COUNTIF(ParticipationMars1[[#This Row],[1]:[31]],Code24)</f>
        <v>1</v>
      </c>
      <c r="BI31" s="30">
        <f>COUNTIF(ParticipationMars1[[#This Row],[1]:[31]],code18)</f>
        <v>0</v>
      </c>
      <c r="BJ31" s="30">
        <f>COUNTIF(ParticipationMars1[[#This Row],[1]:[31]],code19)</f>
        <v>0</v>
      </c>
      <c r="BK31" s="30">
        <f>COUNTIF(ParticipationMars1[[#This Row],[1]:[31]],code20)</f>
        <v>0</v>
      </c>
      <c r="BL31" s="164">
        <f>COUNTIF(ParticipationMars1[[#This Row],[1]:[31]],code29)</f>
        <v>0</v>
      </c>
      <c r="BM31" s="297"/>
      <c r="BN31" s="297"/>
      <c r="BO31" s="297"/>
      <c r="BP31" s="297"/>
      <c r="BQ31" s="297"/>
      <c r="BR31" s="297"/>
      <c r="BS31" s="297"/>
      <c r="BT31" s="297"/>
      <c r="BU31" s="297"/>
      <c r="BV31" s="297"/>
      <c r="BW31" s="297">
        <v>2</v>
      </c>
      <c r="BX31" s="297"/>
      <c r="BY31" s="297"/>
      <c r="BZ31" s="297"/>
      <c r="CA31" s="297"/>
      <c r="CB31" s="297"/>
      <c r="CC31" s="297"/>
      <c r="CD31" s="297"/>
      <c r="CE31" s="297"/>
      <c r="CF31" s="297"/>
      <c r="CG31" s="297"/>
      <c r="CH31" s="297"/>
      <c r="CI31" s="297"/>
      <c r="CJ31" s="297"/>
      <c r="CK31" s="297"/>
      <c r="CL31" s="297"/>
      <c r="CM31" s="297"/>
      <c r="CN31" s="297"/>
      <c r="CO31" s="297"/>
      <c r="CP31" s="297"/>
      <c r="CQ31" s="297"/>
      <c r="CR31" s="297"/>
      <c r="CS31" s="307"/>
      <c r="CT31" s="307"/>
      <c r="CU31" s="300"/>
      <c r="CV31" s="501">
        <f t="shared" si="0"/>
        <v>5</v>
      </c>
      <c r="CW31" s="501">
        <f t="shared" si="1"/>
        <v>7</v>
      </c>
      <c r="CX31" s="249">
        <f t="shared" si="2"/>
        <v>1</v>
      </c>
      <c r="CY31" s="170">
        <f>SUM((BI31*7)+(BJ31*10)+(BK31*12))</f>
        <v>0</v>
      </c>
    </row>
    <row r="32" spans="1:103">
      <c r="A32" s="510" t="s">
        <v>373</v>
      </c>
      <c r="B32" s="162" t="str">
        <f>IFERROR(VLOOKUP(ParticipationMars1[[#This Row],[Référence]],ListeÉtudiants1[],18,FALSE),"")</f>
        <v>BLOT  WENDY</v>
      </c>
      <c r="C32" s="19"/>
      <c r="D32" s="19"/>
      <c r="E32" s="19"/>
      <c r="F32" s="19"/>
      <c r="G32" s="19"/>
      <c r="H32" s="19"/>
      <c r="I32" s="19"/>
      <c r="J32" s="19"/>
      <c r="K32" s="19"/>
      <c r="L32" s="19"/>
      <c r="M32" s="19"/>
      <c r="N32" s="19"/>
      <c r="O32" s="19"/>
      <c r="P32" s="19"/>
      <c r="Q32" s="19" t="s">
        <v>529</v>
      </c>
      <c r="R32" s="19"/>
      <c r="S32" s="19"/>
      <c r="T32" s="19"/>
      <c r="U32" s="19"/>
      <c r="V32" s="19"/>
      <c r="W32" s="19" t="s">
        <v>488</v>
      </c>
      <c r="X32" s="19" t="s">
        <v>488</v>
      </c>
      <c r="Y32" s="19"/>
      <c r="Z32" s="19"/>
      <c r="AA32" s="19"/>
      <c r="AB32" s="19" t="s">
        <v>487</v>
      </c>
      <c r="AC32" s="19" t="s">
        <v>108</v>
      </c>
      <c r="AD32" s="19" t="s">
        <v>35</v>
      </c>
      <c r="AE32" s="19" t="s">
        <v>529</v>
      </c>
      <c r="AF32" s="19"/>
      <c r="AG32" s="144"/>
      <c r="AH32" s="6">
        <f>COUNTIF(ParticipationMars1[[#This Row],[1]:[31]],Code1)</f>
        <v>0</v>
      </c>
      <c r="AI32" s="331">
        <f>COUNTIF(ParticipationMars1[[#This Row],[1]:[31]],code22)</f>
        <v>0</v>
      </c>
      <c r="AJ32" s="30">
        <f>COUNTIF(ParticipationMars1[[#This Row],[1]:[31]],Code2)</f>
        <v>0</v>
      </c>
      <c r="AK32" s="30">
        <f>COUNTIF(ParticipationMars1[[#This Row],[1]:[31]],Code3)</f>
        <v>0</v>
      </c>
      <c r="AL32" s="30">
        <f>COUNTIF(ParticipationMars1[[#This Row],[1]:[31]],Code4)</f>
        <v>0</v>
      </c>
      <c r="AM32" s="307">
        <f>COUNTIF(ParticipationMars1[[#This Row],[1]:[31]],Code5)</f>
        <v>1</v>
      </c>
      <c r="AN32" s="307">
        <f>COUNTIF(ParticipationMars1[[#This Row],[1]:[31]],Code23)</f>
        <v>2</v>
      </c>
      <c r="AO32" s="307">
        <f>COUNTIF(ParticipationMars1[[#This Row],[1]:[31]],Code6)</f>
        <v>1</v>
      </c>
      <c r="AP32" s="307">
        <f>COUNTIF(ParticipationMars1[[#This Row],[1]:[31]],Code7)</f>
        <v>0</v>
      </c>
      <c r="AQ32" s="307">
        <f>COUNTIF(ParticipationMars1[[#This Row],[1]:[31]],Code8)</f>
        <v>0</v>
      </c>
      <c r="AR32" s="307">
        <f>COUNTIF(ParticipationMars1[[#This Row],[1]:[31]],Code9)</f>
        <v>0</v>
      </c>
      <c r="AS32" s="307">
        <f>COUNTIF(ParticipationMars1[[#This Row],[1]:[31]],Code10)</f>
        <v>0</v>
      </c>
      <c r="AT32" s="307">
        <f>COUNTIF(ParticipationMars1[[#This Row],[1]:[31]],Code11)</f>
        <v>0</v>
      </c>
      <c r="AU32" s="307">
        <f>COUNTIF(ParticipationMars1[[#This Row],[1]:[31]],Code12)</f>
        <v>1</v>
      </c>
      <c r="AV32" s="307">
        <f>COUNTIF(ParticipationMars1[[#This Row],[1]:[31]],Code13)</f>
        <v>0</v>
      </c>
      <c r="AW32" s="307">
        <f>COUNTIF(ParticipationMars1[[#This Row],[1]:[31]],Code14)</f>
        <v>2</v>
      </c>
      <c r="AX32" s="307">
        <f>COUNTIF(ParticipationMars1[[#This Row],[1]:[31]],Code15)</f>
        <v>0</v>
      </c>
      <c r="AY32" s="307">
        <f>COUNTIF(ParticipationMars1[[#This Row],[1]:[31]],Code16)</f>
        <v>0</v>
      </c>
      <c r="AZ32" s="307">
        <f>COUNTIF(ParticipationMars1[[#This Row],[1]:[31]],Code17)</f>
        <v>0</v>
      </c>
      <c r="BA32" s="307">
        <f>COUNTIF(ParticipationMars1[[#This Row],[1]:[31]],Code25)</f>
        <v>0</v>
      </c>
      <c r="BB32" s="307">
        <f>COUNTIF(ParticipationMars1[[#This Row],[1]:[31]],Code26)</f>
        <v>0</v>
      </c>
      <c r="BC32" s="307">
        <f>COUNTIF(ParticipationMars1[[#This Row],[1]:[31]],Code27)</f>
        <v>0</v>
      </c>
      <c r="BD32" s="307">
        <f>COUNTIF(ParticipationMars1[[#This Row],[1]:[31]],Code28)</f>
        <v>0</v>
      </c>
      <c r="BE32" s="307">
        <f>COUNTIF(ParticipationMars1[[#This Row],[1]:[31]],code30)</f>
        <v>0</v>
      </c>
      <c r="BF32" s="307">
        <f>COUNTIF(ParticipationMars1[[#This Row],[1]:[31]],Code31)</f>
        <v>0</v>
      </c>
      <c r="BG32" s="307">
        <f>COUNTIF(ParticipationMars1[[#This Row],[1]:[31]],code21)</f>
        <v>0</v>
      </c>
      <c r="BH32" s="307">
        <f>COUNTIF(ParticipationMars1[[#This Row],[1]:[31]],Code24)</f>
        <v>0</v>
      </c>
      <c r="BI32" s="307">
        <f>COUNTIF(ParticipationMars1[[#This Row],[1]:[31]],code18)</f>
        <v>0</v>
      </c>
      <c r="BJ32" s="307">
        <f>COUNTIF(ParticipationMars1[[#This Row],[1]:[31]],code19)</f>
        <v>0</v>
      </c>
      <c r="BK32" s="307">
        <f>COUNTIF(ParticipationMars1[[#This Row],[1]:[31]],code20)</f>
        <v>0</v>
      </c>
      <c r="BL32" s="300">
        <f>COUNTIF(ParticipationMars1[[#This Row],[1]:[31]],code29)</f>
        <v>0</v>
      </c>
      <c r="BM32" s="297"/>
      <c r="BN32" s="297">
        <v>1</v>
      </c>
      <c r="BO32" s="297"/>
      <c r="BP32" s="297"/>
      <c r="BQ32" s="297"/>
      <c r="BR32" s="297"/>
      <c r="BS32" s="297"/>
      <c r="BT32" s="297">
        <v>2</v>
      </c>
      <c r="BU32" s="297"/>
      <c r="BV32" s="297"/>
      <c r="BW32" s="297">
        <v>6</v>
      </c>
      <c r="BX32" s="297"/>
      <c r="BY32" s="297"/>
      <c r="BZ32" s="297">
        <v>1</v>
      </c>
      <c r="CA32" s="297"/>
      <c r="CB32" s="297"/>
      <c r="CC32" s="297"/>
      <c r="CD32" s="297"/>
      <c r="CE32" s="297"/>
      <c r="CF32" s="297"/>
      <c r="CG32" s="297">
        <v>1</v>
      </c>
      <c r="CH32" s="297"/>
      <c r="CI32" s="297"/>
      <c r="CJ32" s="297"/>
      <c r="CK32" s="297">
        <v>1</v>
      </c>
      <c r="CL32" s="297"/>
      <c r="CM32" s="297"/>
      <c r="CN32" s="297"/>
      <c r="CO32" s="297"/>
      <c r="CP32" s="297"/>
      <c r="CQ32" s="297"/>
      <c r="CR32" s="297"/>
      <c r="CS32" s="307"/>
      <c r="CT32" s="307"/>
      <c r="CU32" s="300"/>
      <c r="CV32" s="501">
        <f t="shared" si="0"/>
        <v>2</v>
      </c>
      <c r="CW32" s="501">
        <f t="shared" si="1"/>
        <v>27</v>
      </c>
      <c r="CX32" s="341">
        <f t="shared" si="2"/>
        <v>0</v>
      </c>
      <c r="CY32" s="327"/>
    </row>
    <row r="33" spans="1:103">
      <c r="A33" s="510" t="s">
        <v>374</v>
      </c>
      <c r="B33" s="162" t="str">
        <f>IFERROR(VLOOKUP(ParticipationMars1[[#This Row],[Référence]],ListeÉtudiants1[],18,FALSE),"")</f>
        <v>BOISSELET CHRISTELLE</v>
      </c>
      <c r="C33" s="19"/>
      <c r="D33" s="19"/>
      <c r="E33" s="19"/>
      <c r="F33" s="19"/>
      <c r="G33" s="19"/>
      <c r="H33" s="19"/>
      <c r="I33" s="19"/>
      <c r="J33" s="19"/>
      <c r="K33" s="19"/>
      <c r="L33" s="19"/>
      <c r="M33" s="19"/>
      <c r="N33" s="19"/>
      <c r="O33" s="19"/>
      <c r="P33" s="19"/>
      <c r="Q33" s="19" t="s">
        <v>109</v>
      </c>
      <c r="R33" s="19"/>
      <c r="S33" s="19"/>
      <c r="T33" s="19"/>
      <c r="U33" s="19" t="s">
        <v>604</v>
      </c>
      <c r="V33" s="19" t="s">
        <v>620</v>
      </c>
      <c r="W33" s="19" t="s">
        <v>488</v>
      </c>
      <c r="X33" s="19" t="s">
        <v>488</v>
      </c>
      <c r="Y33" s="19" t="s">
        <v>627</v>
      </c>
      <c r="Z33" s="19"/>
      <c r="AA33" s="19"/>
      <c r="AB33" s="19" t="s">
        <v>529</v>
      </c>
      <c r="AC33" s="19"/>
      <c r="AD33" s="19"/>
      <c r="AE33" s="19"/>
      <c r="AF33" s="19"/>
      <c r="AG33" s="144"/>
      <c r="AH33" s="6">
        <f>COUNTIF(ParticipationMars1[[#This Row],[1]:[31]],Code1)</f>
        <v>0</v>
      </c>
      <c r="AI33" s="331">
        <f>COUNTIF(ParticipationMars1[[#This Row],[1]:[31]],code22)</f>
        <v>0</v>
      </c>
      <c r="AJ33" s="30">
        <f>COUNTIF(ParticipationMars1[[#This Row],[1]:[31]],Code2)</f>
        <v>0</v>
      </c>
      <c r="AK33" s="30">
        <f>COUNTIF(ParticipationMars1[[#This Row],[1]:[31]],Code3)</f>
        <v>0</v>
      </c>
      <c r="AL33" s="30">
        <f>COUNTIF(ParticipationMars1[[#This Row],[1]:[31]],Code4)</f>
        <v>0</v>
      </c>
      <c r="AM33" s="307">
        <f>COUNTIF(ParticipationMars1[[#This Row],[1]:[31]],Code5)</f>
        <v>0</v>
      </c>
      <c r="AN33" s="307">
        <f>COUNTIF(ParticipationMars1[[#This Row],[1]:[31]],Code23)</f>
        <v>1</v>
      </c>
      <c r="AO33" s="307">
        <f>COUNTIF(ParticipationMars1[[#This Row],[1]:[31]],Code6)</f>
        <v>0</v>
      </c>
      <c r="AP33" s="307">
        <f>COUNTIF(ParticipationMars1[[#This Row],[1]:[31]],Code7)</f>
        <v>1</v>
      </c>
      <c r="AQ33" s="307">
        <f>COUNTIF(ParticipationMars1[[#This Row],[1]:[31]],Code8)</f>
        <v>0</v>
      </c>
      <c r="AR33" s="307">
        <f>COUNTIF(ParticipationMars1[[#This Row],[1]:[31]],Code9)</f>
        <v>0</v>
      </c>
      <c r="AS33" s="307">
        <f>COUNTIF(ParticipationMars1[[#This Row],[1]:[31]],Code10)</f>
        <v>0</v>
      </c>
      <c r="AT33" s="307">
        <f>COUNTIF(ParticipationMars1[[#This Row],[1]:[31]],Code11)</f>
        <v>0</v>
      </c>
      <c r="AU33" s="307">
        <f>COUNTIF(ParticipationMars1[[#This Row],[1]:[31]],Code12)</f>
        <v>0</v>
      </c>
      <c r="AV33" s="307">
        <f>COUNTIF(ParticipationMars1[[#This Row],[1]:[31]],Code13)</f>
        <v>0</v>
      </c>
      <c r="AW33" s="307">
        <f>COUNTIF(ParticipationMars1[[#This Row],[1]:[31]],Code14)</f>
        <v>2</v>
      </c>
      <c r="AX33" s="307">
        <f>COUNTIF(ParticipationMars1[[#This Row],[1]:[31]],Code15)</f>
        <v>0</v>
      </c>
      <c r="AY33" s="307">
        <f>COUNTIF(ParticipationMars1[[#This Row],[1]:[31]],Code16)</f>
        <v>0</v>
      </c>
      <c r="AZ33" s="307">
        <f>COUNTIF(ParticipationMars1[[#This Row],[1]:[31]],Code17)</f>
        <v>0</v>
      </c>
      <c r="BA33" s="307">
        <f>COUNTIF(ParticipationMars1[[#This Row],[1]:[31]],Code25)</f>
        <v>1</v>
      </c>
      <c r="BB33" s="307">
        <f>COUNTIF(ParticipationMars1[[#This Row],[1]:[31]],Code26)</f>
        <v>1</v>
      </c>
      <c r="BC33" s="307">
        <f>COUNTIF(ParticipationMars1[[#This Row],[1]:[31]],Code27)</f>
        <v>1</v>
      </c>
      <c r="BD33" s="307">
        <f>COUNTIF(ParticipationMars1[[#This Row],[1]:[31]],Code28)</f>
        <v>0</v>
      </c>
      <c r="BE33" s="307">
        <f>COUNTIF(ParticipationMars1[[#This Row],[1]:[31]],code30)</f>
        <v>0</v>
      </c>
      <c r="BF33" s="307">
        <f>COUNTIF(ParticipationMars1[[#This Row],[1]:[31]],Code31)</f>
        <v>0</v>
      </c>
      <c r="BG33" s="307">
        <f>COUNTIF(ParticipationMars1[[#This Row],[1]:[31]],code21)</f>
        <v>0</v>
      </c>
      <c r="BH33" s="307">
        <f>COUNTIF(ParticipationMars1[[#This Row],[1]:[31]],Code24)</f>
        <v>0</v>
      </c>
      <c r="BI33" s="307">
        <f>COUNTIF(ParticipationMars1[[#This Row],[1]:[31]],code18)</f>
        <v>0</v>
      </c>
      <c r="BJ33" s="307">
        <f>COUNTIF(ParticipationMars1[[#This Row],[1]:[31]],code19)</f>
        <v>0</v>
      </c>
      <c r="BK33" s="307">
        <f>COUNTIF(ParticipationMars1[[#This Row],[1]:[31]],code20)</f>
        <v>0</v>
      </c>
      <c r="BL33" s="300">
        <f>COUNTIF(ParticipationMars1[[#This Row],[1]:[31]],code29)</f>
        <v>0</v>
      </c>
      <c r="BM33" s="297"/>
      <c r="BN33" s="297">
        <v>1</v>
      </c>
      <c r="BO33" s="297"/>
      <c r="BP33" s="297"/>
      <c r="BQ33" s="297"/>
      <c r="BR33" s="297"/>
      <c r="BS33" s="297"/>
      <c r="BT33" s="297">
        <v>2</v>
      </c>
      <c r="BU33" s="297"/>
      <c r="BV33" s="297"/>
      <c r="BW33" s="297">
        <v>4</v>
      </c>
      <c r="BX33" s="297"/>
      <c r="BY33" s="297"/>
      <c r="BZ33" s="297"/>
      <c r="CA33" s="297"/>
      <c r="CB33" s="297"/>
      <c r="CC33" s="297"/>
      <c r="CD33" s="297"/>
      <c r="CE33" s="297"/>
      <c r="CF33" s="297"/>
      <c r="CG33" s="297">
        <v>2</v>
      </c>
      <c r="CH33" s="297"/>
      <c r="CI33" s="297"/>
      <c r="CJ33" s="297"/>
      <c r="CK33" s="297">
        <v>1</v>
      </c>
      <c r="CL33" s="297"/>
      <c r="CM33" s="297"/>
      <c r="CN33" s="297"/>
      <c r="CO33" s="297"/>
      <c r="CP33" s="297"/>
      <c r="CQ33" s="297"/>
      <c r="CR33" s="297"/>
      <c r="CS33" s="307"/>
      <c r="CT33" s="307"/>
      <c r="CU33" s="300"/>
      <c r="CV33" s="501">
        <f t="shared" si="0"/>
        <v>12</v>
      </c>
      <c r="CW33" s="501">
        <f t="shared" si="1"/>
        <v>29</v>
      </c>
      <c r="CX33" s="341">
        <f t="shared" si="2"/>
        <v>0</v>
      </c>
      <c r="CY33" s="327"/>
    </row>
    <row r="34" spans="1:103">
      <c r="A34" s="534" t="s">
        <v>375</v>
      </c>
      <c r="B34" s="162" t="str">
        <f>IFERROR(VLOOKUP(ParticipationMars1[[#This Row],[Référence]],ListeÉtudiants1[],18,FALSE),"")</f>
        <v>BOUCAUD  CHRISTINE</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340"/>
      <c r="AH34" s="6">
        <f>COUNTIF(ParticipationMars1[[#This Row],[1]:[31]],Code1)</f>
        <v>0</v>
      </c>
      <c r="AI34" s="475">
        <f>COUNTIF(ParticipationMars1[[#This Row],[1]:[31]],code22)</f>
        <v>0</v>
      </c>
      <c r="AJ34" s="30">
        <f>COUNTIF(ParticipationMars1[[#This Row],[1]:[31]],Code2)</f>
        <v>0</v>
      </c>
      <c r="AK34" s="30">
        <f>COUNTIF(ParticipationMars1[[#This Row],[1]:[31]],Code3)</f>
        <v>0</v>
      </c>
      <c r="AL34" s="30">
        <f>COUNTIF(ParticipationMars1[[#This Row],[1]:[31]],Code4)</f>
        <v>0</v>
      </c>
      <c r="AM34" s="473">
        <f>COUNTIF(ParticipationMars1[[#This Row],[1]:[31]],Code5)</f>
        <v>0</v>
      </c>
      <c r="AN34" s="473">
        <f>COUNTIF(ParticipationMars1[[#This Row],[1]:[31]],Code23)</f>
        <v>0</v>
      </c>
      <c r="AO34" s="473">
        <f>COUNTIF(ParticipationMars1[[#This Row],[1]:[31]],Code6)</f>
        <v>0</v>
      </c>
      <c r="AP34" s="473">
        <f>COUNTIF(ParticipationMars1[[#This Row],[1]:[31]],Code7)</f>
        <v>0</v>
      </c>
      <c r="AQ34" s="473">
        <f>COUNTIF(ParticipationMars1[[#This Row],[1]:[31]],Code8)</f>
        <v>0</v>
      </c>
      <c r="AR34" s="473">
        <f>COUNTIF(ParticipationMars1[[#This Row],[1]:[31]],Code9)</f>
        <v>0</v>
      </c>
      <c r="AS34" s="473">
        <f>COUNTIF(ParticipationMars1[[#This Row],[1]:[31]],Code10)</f>
        <v>0</v>
      </c>
      <c r="AT34" s="473">
        <f>COUNTIF(ParticipationMars1[[#This Row],[1]:[31]],Code11)</f>
        <v>0</v>
      </c>
      <c r="AU34" s="473">
        <f>COUNTIF(ParticipationMars1[[#This Row],[1]:[31]],Code12)</f>
        <v>0</v>
      </c>
      <c r="AV34" s="473">
        <f>COUNTIF(ParticipationMars1[[#This Row],[1]:[31]],Code13)</f>
        <v>0</v>
      </c>
      <c r="AW34" s="473">
        <f>COUNTIF(ParticipationMars1[[#This Row],[1]:[31]],Code14)</f>
        <v>0</v>
      </c>
      <c r="AX34" s="473">
        <f>COUNTIF(ParticipationMars1[[#This Row],[1]:[31]],Code15)</f>
        <v>0</v>
      </c>
      <c r="AY34" s="473">
        <f>COUNTIF(ParticipationMars1[[#This Row],[1]:[31]],Code16)</f>
        <v>0</v>
      </c>
      <c r="AZ34" s="473">
        <f>COUNTIF(ParticipationMars1[[#This Row],[1]:[31]],Code17)</f>
        <v>0</v>
      </c>
      <c r="BA34" s="473">
        <f>COUNTIF(ParticipationMars1[[#This Row],[1]:[31]],Code25)</f>
        <v>0</v>
      </c>
      <c r="BB34" s="473">
        <f>COUNTIF(ParticipationMars1[[#This Row],[1]:[31]],Code26)</f>
        <v>0</v>
      </c>
      <c r="BC34" s="473">
        <f>COUNTIF(ParticipationMars1[[#This Row],[1]:[31]],Code27)</f>
        <v>0</v>
      </c>
      <c r="BD34" s="473">
        <f>COUNTIF(ParticipationMars1[[#This Row],[1]:[31]],Code28)</f>
        <v>0</v>
      </c>
      <c r="BE34" s="473">
        <f>COUNTIF(ParticipationMars1[[#This Row],[1]:[31]],code30)</f>
        <v>0</v>
      </c>
      <c r="BF34" s="473">
        <f>COUNTIF(ParticipationMars1[[#This Row],[1]:[31]],Code31)</f>
        <v>0</v>
      </c>
      <c r="BG34" s="473">
        <f>COUNTIF(ParticipationMars1[[#This Row],[1]:[31]],code21)</f>
        <v>0</v>
      </c>
      <c r="BH34" s="473">
        <f>COUNTIF(ParticipationMars1[[#This Row],[1]:[31]],Code24)</f>
        <v>0</v>
      </c>
      <c r="BI34" s="473">
        <f>COUNTIF(ParticipationMars1[[#This Row],[1]:[31]],code18)</f>
        <v>0</v>
      </c>
      <c r="BJ34" s="473">
        <f>COUNTIF(ParticipationMars1[[#This Row],[1]:[31]],code19)</f>
        <v>0</v>
      </c>
      <c r="BK34" s="473">
        <f>COUNTIF(ParticipationMars1[[#This Row],[1]:[31]],code20)</f>
        <v>0</v>
      </c>
      <c r="BL34" s="516">
        <f>COUNTIF(ParticipationMars1[[#This Row],[1]:[31]],code29)</f>
        <v>0</v>
      </c>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c r="CQ34" s="472"/>
      <c r="CR34" s="472"/>
      <c r="CS34" s="473"/>
      <c r="CT34" s="473"/>
      <c r="CU34" s="516"/>
      <c r="CV34" s="533">
        <f t="shared" si="0"/>
        <v>0</v>
      </c>
      <c r="CW34" s="533">
        <f t="shared" si="1"/>
        <v>0</v>
      </c>
      <c r="CX34" s="523">
        <f t="shared" si="2"/>
        <v>0</v>
      </c>
      <c r="CY34" s="512"/>
    </row>
    <row r="35" spans="1:103">
      <c r="A35" s="510" t="s">
        <v>376</v>
      </c>
      <c r="B35" s="162" t="str">
        <f>IFERROR(VLOOKUP(ParticipationMars1[[#This Row],[Référence]],ListeÉtudiants1[],18,FALSE),"")</f>
        <v>BOUKHARAZ MARINA</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t="s">
        <v>529</v>
      </c>
      <c r="AB35" s="19" t="s">
        <v>529</v>
      </c>
      <c r="AC35" s="19" t="s">
        <v>486</v>
      </c>
      <c r="AD35" s="19"/>
      <c r="AE35" s="19"/>
      <c r="AF35" s="19"/>
      <c r="AG35" s="144"/>
      <c r="AH35" s="6">
        <f>COUNTIF(ParticipationMars1[[#This Row],[1]:[31]],Code1)</f>
        <v>0</v>
      </c>
      <c r="AI35" s="331">
        <f>COUNTIF(ParticipationMars1[[#This Row],[1]:[31]],code22)</f>
        <v>0</v>
      </c>
      <c r="AJ35" s="30">
        <f>COUNTIF(ParticipationMars1[[#This Row],[1]:[31]],Code2)</f>
        <v>0</v>
      </c>
      <c r="AK35" s="30">
        <f>COUNTIF(ParticipationMars1[[#This Row],[1]:[31]],Code3)</f>
        <v>0</v>
      </c>
      <c r="AL35" s="30">
        <f>COUNTIF(ParticipationMars1[[#This Row],[1]:[31]],Code4)</f>
        <v>0</v>
      </c>
      <c r="AM35" s="307">
        <f>COUNTIF(ParticipationMars1[[#This Row],[1]:[31]],Code5)</f>
        <v>0</v>
      </c>
      <c r="AN35" s="307">
        <f>COUNTIF(ParticipationMars1[[#This Row],[1]:[31]],Code23)</f>
        <v>2</v>
      </c>
      <c r="AO35" s="307">
        <f>COUNTIF(ParticipationMars1[[#This Row],[1]:[31]],Code6)</f>
        <v>0</v>
      </c>
      <c r="AP35" s="307">
        <f>COUNTIF(ParticipationMars1[[#This Row],[1]:[31]],Code7)</f>
        <v>0</v>
      </c>
      <c r="AQ35" s="307">
        <f>COUNTIF(ParticipationMars1[[#This Row],[1]:[31]],Code8)</f>
        <v>0</v>
      </c>
      <c r="AR35" s="307">
        <f>COUNTIF(ParticipationMars1[[#This Row],[1]:[31]],Code9)</f>
        <v>0</v>
      </c>
      <c r="AS35" s="307">
        <f>COUNTIF(ParticipationMars1[[#This Row],[1]:[31]],Code10)</f>
        <v>0</v>
      </c>
      <c r="AT35" s="307">
        <f>COUNTIF(ParticipationMars1[[#This Row],[1]:[31]],Code11)</f>
        <v>1</v>
      </c>
      <c r="AU35" s="307">
        <f>COUNTIF(ParticipationMars1[[#This Row],[1]:[31]],Code12)</f>
        <v>0</v>
      </c>
      <c r="AV35" s="307">
        <f>COUNTIF(ParticipationMars1[[#This Row],[1]:[31]],Code13)</f>
        <v>0</v>
      </c>
      <c r="AW35" s="307">
        <f>COUNTIF(ParticipationMars1[[#This Row],[1]:[31]],Code14)</f>
        <v>0</v>
      </c>
      <c r="AX35" s="307">
        <f>COUNTIF(ParticipationMars1[[#This Row],[1]:[31]],Code15)</f>
        <v>0</v>
      </c>
      <c r="AY35" s="307">
        <f>COUNTIF(ParticipationMars1[[#This Row],[1]:[31]],Code16)</f>
        <v>0</v>
      </c>
      <c r="AZ35" s="307">
        <f>COUNTIF(ParticipationMars1[[#This Row],[1]:[31]],Code17)</f>
        <v>0</v>
      </c>
      <c r="BA35" s="307">
        <f>COUNTIF(ParticipationMars1[[#This Row],[1]:[31]],Code25)</f>
        <v>0</v>
      </c>
      <c r="BB35" s="307">
        <f>COUNTIF(ParticipationMars1[[#This Row],[1]:[31]],Code26)</f>
        <v>0</v>
      </c>
      <c r="BC35" s="307">
        <f>COUNTIF(ParticipationMars1[[#This Row],[1]:[31]],Code27)</f>
        <v>0</v>
      </c>
      <c r="BD35" s="307">
        <f>COUNTIF(ParticipationMars1[[#This Row],[1]:[31]],Code28)</f>
        <v>0</v>
      </c>
      <c r="BE35" s="307">
        <f>COUNTIF(ParticipationMars1[[#This Row],[1]:[31]],code30)</f>
        <v>0</v>
      </c>
      <c r="BF35" s="307">
        <f>COUNTIF(ParticipationMars1[[#This Row],[1]:[31]],Code31)</f>
        <v>0</v>
      </c>
      <c r="BG35" s="307">
        <f>COUNTIF(ParticipationMars1[[#This Row],[1]:[31]],code21)</f>
        <v>0</v>
      </c>
      <c r="BH35" s="307">
        <f>COUNTIF(ParticipationMars1[[#This Row],[1]:[31]],Code24)</f>
        <v>0</v>
      </c>
      <c r="BI35" s="307">
        <f>COUNTIF(ParticipationMars1[[#This Row],[1]:[31]],code18)</f>
        <v>0</v>
      </c>
      <c r="BJ35" s="307">
        <f>COUNTIF(ParticipationMars1[[#This Row],[1]:[31]],code19)</f>
        <v>0</v>
      </c>
      <c r="BK35" s="307">
        <f>COUNTIF(ParticipationMars1[[#This Row],[1]:[31]],code20)</f>
        <v>0</v>
      </c>
      <c r="BL35" s="300">
        <f>COUNTIF(ParticipationMars1[[#This Row],[1]:[31]],code29)</f>
        <v>0</v>
      </c>
      <c r="BM35" s="297"/>
      <c r="BN35" s="297"/>
      <c r="BO35" s="297"/>
      <c r="BP35" s="297"/>
      <c r="BQ35" s="297"/>
      <c r="BR35" s="297"/>
      <c r="BS35" s="297"/>
      <c r="BT35" s="297">
        <v>2</v>
      </c>
      <c r="BU35" s="297"/>
      <c r="BV35" s="297"/>
      <c r="BW35" s="297">
        <v>1</v>
      </c>
      <c r="BX35" s="297"/>
      <c r="BY35" s="297"/>
      <c r="BZ35" s="297">
        <v>1</v>
      </c>
      <c r="CA35" s="297"/>
      <c r="CB35" s="297">
        <v>1</v>
      </c>
      <c r="CC35" s="297"/>
      <c r="CD35" s="297"/>
      <c r="CE35" s="297"/>
      <c r="CF35" s="297"/>
      <c r="CG35" s="297"/>
      <c r="CH35" s="297"/>
      <c r="CI35" s="297"/>
      <c r="CJ35" s="297"/>
      <c r="CK35" s="297"/>
      <c r="CL35" s="297"/>
      <c r="CM35" s="297"/>
      <c r="CN35" s="297"/>
      <c r="CO35" s="297"/>
      <c r="CP35" s="297"/>
      <c r="CQ35" s="297"/>
      <c r="CR35" s="297"/>
      <c r="CS35" s="307"/>
      <c r="CT35" s="307"/>
      <c r="CU35" s="300"/>
      <c r="CV35" s="501">
        <f t="shared" si="0"/>
        <v>0</v>
      </c>
      <c r="CW35" s="501">
        <f t="shared" si="1"/>
        <v>7</v>
      </c>
      <c r="CX35" s="341">
        <f t="shared" si="2"/>
        <v>0</v>
      </c>
      <c r="CY35" s="362"/>
    </row>
    <row r="36" spans="1:103">
      <c r="A36" s="510" t="s">
        <v>377</v>
      </c>
      <c r="B36" s="162" t="str">
        <f>IFERROR(VLOOKUP(ParticipationMars1[[#This Row],[Référence]],ListeÉtudiants1[],18,FALSE),"")</f>
        <v>BOUTILLIER LAETITIA</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340"/>
      <c r="AH36" s="6">
        <f>COUNTIF(ParticipationMars1[[#This Row],[1]:[31]],Code1)</f>
        <v>0</v>
      </c>
      <c r="AI36" s="475">
        <f>COUNTIF(ParticipationMars1[[#This Row],[1]:[31]],code22)</f>
        <v>0</v>
      </c>
      <c r="AJ36" s="30">
        <f>COUNTIF(ParticipationMars1[[#This Row],[1]:[31]],Code2)</f>
        <v>0</v>
      </c>
      <c r="AK36" s="30">
        <f>COUNTIF(ParticipationMars1[[#This Row],[1]:[31]],Code3)</f>
        <v>0</v>
      </c>
      <c r="AL36" s="30">
        <f>COUNTIF(ParticipationMars1[[#This Row],[1]:[31]],Code4)</f>
        <v>0</v>
      </c>
      <c r="AM36" s="473">
        <f>COUNTIF(ParticipationMars1[[#This Row],[1]:[31]],Code5)</f>
        <v>0</v>
      </c>
      <c r="AN36" s="473">
        <f>COUNTIF(ParticipationMars1[[#This Row],[1]:[31]],Code23)</f>
        <v>0</v>
      </c>
      <c r="AO36" s="473">
        <f>COUNTIF(ParticipationMars1[[#This Row],[1]:[31]],Code6)</f>
        <v>0</v>
      </c>
      <c r="AP36" s="473">
        <f>COUNTIF(ParticipationMars1[[#This Row],[1]:[31]],Code7)</f>
        <v>0</v>
      </c>
      <c r="AQ36" s="473">
        <f>COUNTIF(ParticipationMars1[[#This Row],[1]:[31]],Code8)</f>
        <v>0</v>
      </c>
      <c r="AR36" s="473">
        <f>COUNTIF(ParticipationMars1[[#This Row],[1]:[31]],Code9)</f>
        <v>0</v>
      </c>
      <c r="AS36" s="473">
        <f>COUNTIF(ParticipationMars1[[#This Row],[1]:[31]],Code10)</f>
        <v>0</v>
      </c>
      <c r="AT36" s="473">
        <f>COUNTIF(ParticipationMars1[[#This Row],[1]:[31]],Code11)</f>
        <v>0</v>
      </c>
      <c r="AU36" s="473">
        <f>COUNTIF(ParticipationMars1[[#This Row],[1]:[31]],Code12)</f>
        <v>0</v>
      </c>
      <c r="AV36" s="473">
        <f>COUNTIF(ParticipationMars1[[#This Row],[1]:[31]],Code13)</f>
        <v>0</v>
      </c>
      <c r="AW36" s="473">
        <f>COUNTIF(ParticipationMars1[[#This Row],[1]:[31]],Code14)</f>
        <v>0</v>
      </c>
      <c r="AX36" s="473">
        <f>COUNTIF(ParticipationMars1[[#This Row],[1]:[31]],Code15)</f>
        <v>0</v>
      </c>
      <c r="AY36" s="473">
        <f>COUNTIF(ParticipationMars1[[#This Row],[1]:[31]],Code16)</f>
        <v>0</v>
      </c>
      <c r="AZ36" s="473">
        <f>COUNTIF(ParticipationMars1[[#This Row],[1]:[31]],Code17)</f>
        <v>0</v>
      </c>
      <c r="BA36" s="473">
        <f>COUNTIF(ParticipationMars1[[#This Row],[1]:[31]],Code25)</f>
        <v>0</v>
      </c>
      <c r="BB36" s="473">
        <f>COUNTIF(ParticipationMars1[[#This Row],[1]:[31]],Code26)</f>
        <v>0</v>
      </c>
      <c r="BC36" s="473">
        <f>COUNTIF(ParticipationMars1[[#This Row],[1]:[31]],Code27)</f>
        <v>0</v>
      </c>
      <c r="BD36" s="473">
        <f>COUNTIF(ParticipationMars1[[#This Row],[1]:[31]],Code28)</f>
        <v>0</v>
      </c>
      <c r="BE36" s="473">
        <f>COUNTIF(ParticipationMars1[[#This Row],[1]:[31]],code30)</f>
        <v>0</v>
      </c>
      <c r="BF36" s="473">
        <f>COUNTIF(ParticipationMars1[[#This Row],[1]:[31]],Code31)</f>
        <v>0</v>
      </c>
      <c r="BG36" s="473">
        <f>COUNTIF(ParticipationMars1[[#This Row],[1]:[31]],code21)</f>
        <v>0</v>
      </c>
      <c r="BH36" s="473">
        <f>COUNTIF(ParticipationMars1[[#This Row],[1]:[31]],Code24)</f>
        <v>0</v>
      </c>
      <c r="BI36" s="473">
        <f>COUNTIF(ParticipationMars1[[#This Row],[1]:[31]],code18)</f>
        <v>0</v>
      </c>
      <c r="BJ36" s="473">
        <f>COUNTIF(ParticipationMars1[[#This Row],[1]:[31]],code19)</f>
        <v>0</v>
      </c>
      <c r="BK36" s="473">
        <f>COUNTIF(ParticipationMars1[[#This Row],[1]:[31]],code20)</f>
        <v>0</v>
      </c>
      <c r="BL36" s="516">
        <f>COUNTIF(ParticipationMars1[[#This Row],[1]:[31]],code29)</f>
        <v>0</v>
      </c>
      <c r="BM36" s="472"/>
      <c r="BN36" s="472"/>
      <c r="BO36" s="472"/>
      <c r="BP36" s="472"/>
      <c r="BQ36" s="472"/>
      <c r="BR36" s="472"/>
      <c r="BS36" s="472"/>
      <c r="BT36" s="472"/>
      <c r="BU36" s="472"/>
      <c r="BV36" s="472"/>
      <c r="BW36" s="472"/>
      <c r="BX36" s="472"/>
      <c r="BY36" s="472"/>
      <c r="BZ36" s="472"/>
      <c r="CA36" s="472"/>
      <c r="CB36" s="472"/>
      <c r="CC36" s="472"/>
      <c r="CD36" s="472"/>
      <c r="CE36" s="472"/>
      <c r="CF36" s="472"/>
      <c r="CG36" s="472"/>
      <c r="CH36" s="472"/>
      <c r="CI36" s="472"/>
      <c r="CJ36" s="472"/>
      <c r="CK36" s="472"/>
      <c r="CL36" s="472"/>
      <c r="CM36" s="472"/>
      <c r="CN36" s="472"/>
      <c r="CO36" s="472"/>
      <c r="CP36" s="472"/>
      <c r="CQ36" s="472"/>
      <c r="CR36" s="472"/>
      <c r="CS36" s="473"/>
      <c r="CT36" s="473"/>
      <c r="CU36" s="516"/>
      <c r="CV36" s="533">
        <f t="shared" si="0"/>
        <v>0</v>
      </c>
      <c r="CW36" s="533">
        <f t="shared" si="1"/>
        <v>0</v>
      </c>
      <c r="CX36" s="523">
        <f t="shared" si="2"/>
        <v>0</v>
      </c>
      <c r="CY36" s="512"/>
    </row>
    <row r="37" spans="1:103">
      <c r="A37" s="510" t="s">
        <v>378</v>
      </c>
      <c r="B37" s="162" t="str">
        <f>IFERROR(VLOOKUP(ParticipationMars1[[#This Row],[Référence]],ListeÉtudiants1[],18,FALSE),"")</f>
        <v>BRIAND OCEANE</v>
      </c>
      <c r="C37" s="19"/>
      <c r="D37" s="19"/>
      <c r="E37" s="19"/>
      <c r="F37" s="19"/>
      <c r="G37" s="19"/>
      <c r="H37" s="19"/>
      <c r="I37" s="19"/>
      <c r="J37" s="19"/>
      <c r="K37" s="19"/>
      <c r="L37" s="19"/>
      <c r="M37" s="19"/>
      <c r="N37" s="19"/>
      <c r="O37" s="19"/>
      <c r="P37" s="19"/>
      <c r="Q37" s="19" t="s">
        <v>109</v>
      </c>
      <c r="R37" s="19"/>
      <c r="S37" s="19"/>
      <c r="T37" s="19"/>
      <c r="U37" s="19"/>
      <c r="V37" s="19"/>
      <c r="W37" s="19"/>
      <c r="X37" s="19"/>
      <c r="Y37" s="19"/>
      <c r="Z37" s="19"/>
      <c r="AA37" s="19"/>
      <c r="AB37" s="19"/>
      <c r="AC37" s="19"/>
      <c r="AD37" s="19"/>
      <c r="AE37" s="19"/>
      <c r="AF37" s="19"/>
      <c r="AG37" s="144"/>
      <c r="AH37" s="6">
        <f>COUNTIF(ParticipationMars1[[#This Row],[1]:[31]],Code1)</f>
        <v>0</v>
      </c>
      <c r="AI37" s="331">
        <f>COUNTIF(ParticipationMars1[[#This Row],[1]:[31]],code22)</f>
        <v>0</v>
      </c>
      <c r="AJ37" s="30">
        <f>COUNTIF(ParticipationMars1[[#This Row],[1]:[31]],Code2)</f>
        <v>0</v>
      </c>
      <c r="AK37" s="30">
        <f>COUNTIF(ParticipationMars1[[#This Row],[1]:[31]],Code3)</f>
        <v>0</v>
      </c>
      <c r="AL37" s="30">
        <f>COUNTIF(ParticipationMars1[[#This Row],[1]:[31]],Code4)</f>
        <v>0</v>
      </c>
      <c r="AM37" s="307">
        <f>COUNTIF(ParticipationMars1[[#This Row],[1]:[31]],Code5)</f>
        <v>0</v>
      </c>
      <c r="AN37" s="307">
        <f>COUNTIF(ParticipationMars1[[#This Row],[1]:[31]],Code23)</f>
        <v>0</v>
      </c>
      <c r="AO37" s="307">
        <f>COUNTIF(ParticipationMars1[[#This Row],[1]:[31]],Code6)</f>
        <v>0</v>
      </c>
      <c r="AP37" s="307">
        <f>COUNTIF(ParticipationMars1[[#This Row],[1]:[31]],Code7)</f>
        <v>1</v>
      </c>
      <c r="AQ37" s="307">
        <f>COUNTIF(ParticipationMars1[[#This Row],[1]:[31]],Code8)</f>
        <v>0</v>
      </c>
      <c r="AR37" s="307">
        <f>COUNTIF(ParticipationMars1[[#This Row],[1]:[31]],Code9)</f>
        <v>0</v>
      </c>
      <c r="AS37" s="307">
        <f>COUNTIF(ParticipationMars1[[#This Row],[1]:[31]],Code10)</f>
        <v>0</v>
      </c>
      <c r="AT37" s="307">
        <f>COUNTIF(ParticipationMars1[[#This Row],[1]:[31]],Code11)</f>
        <v>0</v>
      </c>
      <c r="AU37" s="307">
        <f>COUNTIF(ParticipationMars1[[#This Row],[1]:[31]],Code12)</f>
        <v>0</v>
      </c>
      <c r="AV37" s="307">
        <f>COUNTIF(ParticipationMars1[[#This Row],[1]:[31]],Code13)</f>
        <v>0</v>
      </c>
      <c r="AW37" s="307">
        <f>COUNTIF(ParticipationMars1[[#This Row],[1]:[31]],Code14)</f>
        <v>0</v>
      </c>
      <c r="AX37" s="307">
        <f>COUNTIF(ParticipationMars1[[#This Row],[1]:[31]],Code15)</f>
        <v>0</v>
      </c>
      <c r="AY37" s="307">
        <f>COUNTIF(ParticipationMars1[[#This Row],[1]:[31]],Code16)</f>
        <v>0</v>
      </c>
      <c r="AZ37" s="307">
        <f>COUNTIF(ParticipationMars1[[#This Row],[1]:[31]],Code17)</f>
        <v>0</v>
      </c>
      <c r="BA37" s="307">
        <f>COUNTIF(ParticipationMars1[[#This Row],[1]:[31]],Code25)</f>
        <v>0</v>
      </c>
      <c r="BB37" s="307">
        <f>COUNTIF(ParticipationMars1[[#This Row],[1]:[31]],Code26)</f>
        <v>0</v>
      </c>
      <c r="BC37" s="307">
        <f>COUNTIF(ParticipationMars1[[#This Row],[1]:[31]],Code27)</f>
        <v>0</v>
      </c>
      <c r="BD37" s="307">
        <f>COUNTIF(ParticipationMars1[[#This Row],[1]:[31]],Code28)</f>
        <v>0</v>
      </c>
      <c r="BE37" s="307">
        <f>COUNTIF(ParticipationMars1[[#This Row],[1]:[31]],code30)</f>
        <v>0</v>
      </c>
      <c r="BF37" s="307">
        <f>COUNTIF(ParticipationMars1[[#This Row],[1]:[31]],Code31)</f>
        <v>0</v>
      </c>
      <c r="BG37" s="307">
        <f>COUNTIF(ParticipationMars1[[#This Row],[1]:[31]],code21)</f>
        <v>0</v>
      </c>
      <c r="BH37" s="307">
        <f>COUNTIF(ParticipationMars1[[#This Row],[1]:[31]],Code24)</f>
        <v>0</v>
      </c>
      <c r="BI37" s="307">
        <f>COUNTIF(ParticipationMars1[[#This Row],[1]:[31]],code18)</f>
        <v>0</v>
      </c>
      <c r="BJ37" s="307">
        <f>COUNTIF(ParticipationMars1[[#This Row],[1]:[31]],code19)</f>
        <v>0</v>
      </c>
      <c r="BK37" s="307">
        <f>COUNTIF(ParticipationMars1[[#This Row],[1]:[31]],code20)</f>
        <v>0</v>
      </c>
      <c r="BL37" s="300">
        <f>COUNTIF(ParticipationMars1[[#This Row],[1]:[31]],code29)</f>
        <v>0</v>
      </c>
      <c r="BM37" s="297"/>
      <c r="BN37" s="297"/>
      <c r="BO37" s="297"/>
      <c r="BP37" s="297"/>
      <c r="BQ37" s="297"/>
      <c r="BR37" s="297"/>
      <c r="BS37" s="297"/>
      <c r="BT37" s="297">
        <v>1</v>
      </c>
      <c r="BU37" s="297"/>
      <c r="BV37" s="297"/>
      <c r="BW37" s="297">
        <v>1</v>
      </c>
      <c r="BX37" s="297"/>
      <c r="BY37" s="297"/>
      <c r="BZ37" s="297"/>
      <c r="CA37" s="297"/>
      <c r="CB37" s="297"/>
      <c r="CC37" s="297"/>
      <c r="CD37" s="297"/>
      <c r="CE37" s="297"/>
      <c r="CF37" s="297"/>
      <c r="CG37" s="297"/>
      <c r="CH37" s="297"/>
      <c r="CI37" s="297"/>
      <c r="CJ37" s="297"/>
      <c r="CK37" s="297"/>
      <c r="CL37" s="297"/>
      <c r="CM37" s="297"/>
      <c r="CN37" s="297"/>
      <c r="CO37" s="297"/>
      <c r="CP37" s="297"/>
      <c r="CQ37" s="297"/>
      <c r="CR37" s="297"/>
      <c r="CS37" s="307"/>
      <c r="CT37" s="307"/>
      <c r="CU37" s="300"/>
      <c r="CV37" s="501">
        <f t="shared" si="0"/>
        <v>5</v>
      </c>
      <c r="CW37" s="501">
        <f t="shared" si="1"/>
        <v>4</v>
      </c>
      <c r="CX37" s="341">
        <f t="shared" si="2"/>
        <v>0</v>
      </c>
      <c r="CY37" s="362"/>
    </row>
    <row r="38" spans="1:103">
      <c r="A38" s="534" t="s">
        <v>379</v>
      </c>
      <c r="B38" s="162" t="str">
        <f>IFERROR(VLOOKUP(ParticipationMars1[[#This Row],[Référence]],ListeÉtudiants1[],18,FALSE),"")</f>
        <v>BRITES TRACA ELODIE</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340"/>
      <c r="AH38" s="6">
        <f>COUNTIF(ParticipationMars1[[#This Row],[1]:[31]],Code1)</f>
        <v>0</v>
      </c>
      <c r="AI38" s="475">
        <f>COUNTIF(ParticipationMars1[[#This Row],[1]:[31]],code22)</f>
        <v>0</v>
      </c>
      <c r="AJ38" s="30">
        <f>COUNTIF(ParticipationMars1[[#This Row],[1]:[31]],Code2)</f>
        <v>0</v>
      </c>
      <c r="AK38" s="30">
        <f>COUNTIF(ParticipationMars1[[#This Row],[1]:[31]],Code3)</f>
        <v>0</v>
      </c>
      <c r="AL38" s="30">
        <f>COUNTIF(ParticipationMars1[[#This Row],[1]:[31]],Code4)</f>
        <v>0</v>
      </c>
      <c r="AM38" s="473">
        <f>COUNTIF(ParticipationMars1[[#This Row],[1]:[31]],Code5)</f>
        <v>0</v>
      </c>
      <c r="AN38" s="473">
        <f>COUNTIF(ParticipationMars1[[#This Row],[1]:[31]],Code23)</f>
        <v>0</v>
      </c>
      <c r="AO38" s="473">
        <f>COUNTIF(ParticipationMars1[[#This Row],[1]:[31]],Code6)</f>
        <v>0</v>
      </c>
      <c r="AP38" s="473">
        <f>COUNTIF(ParticipationMars1[[#This Row],[1]:[31]],Code7)</f>
        <v>0</v>
      </c>
      <c r="AQ38" s="473">
        <f>COUNTIF(ParticipationMars1[[#This Row],[1]:[31]],Code8)</f>
        <v>0</v>
      </c>
      <c r="AR38" s="473">
        <f>COUNTIF(ParticipationMars1[[#This Row],[1]:[31]],Code9)</f>
        <v>0</v>
      </c>
      <c r="AS38" s="473">
        <f>COUNTIF(ParticipationMars1[[#This Row],[1]:[31]],Code10)</f>
        <v>0</v>
      </c>
      <c r="AT38" s="473">
        <f>COUNTIF(ParticipationMars1[[#This Row],[1]:[31]],Code11)</f>
        <v>0</v>
      </c>
      <c r="AU38" s="473">
        <f>COUNTIF(ParticipationMars1[[#This Row],[1]:[31]],Code12)</f>
        <v>0</v>
      </c>
      <c r="AV38" s="473">
        <f>COUNTIF(ParticipationMars1[[#This Row],[1]:[31]],Code13)</f>
        <v>0</v>
      </c>
      <c r="AW38" s="473">
        <f>COUNTIF(ParticipationMars1[[#This Row],[1]:[31]],Code14)</f>
        <v>0</v>
      </c>
      <c r="AX38" s="473">
        <f>COUNTIF(ParticipationMars1[[#This Row],[1]:[31]],Code15)</f>
        <v>0</v>
      </c>
      <c r="AY38" s="473">
        <f>COUNTIF(ParticipationMars1[[#This Row],[1]:[31]],Code16)</f>
        <v>0</v>
      </c>
      <c r="AZ38" s="473">
        <f>COUNTIF(ParticipationMars1[[#This Row],[1]:[31]],Code17)</f>
        <v>0</v>
      </c>
      <c r="BA38" s="473">
        <f>COUNTIF(ParticipationMars1[[#This Row],[1]:[31]],Code25)</f>
        <v>0</v>
      </c>
      <c r="BB38" s="473">
        <f>COUNTIF(ParticipationMars1[[#This Row],[1]:[31]],Code26)</f>
        <v>0</v>
      </c>
      <c r="BC38" s="473">
        <f>COUNTIF(ParticipationMars1[[#This Row],[1]:[31]],Code27)</f>
        <v>0</v>
      </c>
      <c r="BD38" s="473">
        <f>COUNTIF(ParticipationMars1[[#This Row],[1]:[31]],Code28)</f>
        <v>0</v>
      </c>
      <c r="BE38" s="473">
        <f>COUNTIF(ParticipationMars1[[#This Row],[1]:[31]],code30)</f>
        <v>0</v>
      </c>
      <c r="BF38" s="473">
        <f>COUNTIF(ParticipationMars1[[#This Row],[1]:[31]],Code31)</f>
        <v>0</v>
      </c>
      <c r="BG38" s="473">
        <f>COUNTIF(ParticipationMars1[[#This Row],[1]:[31]],code21)</f>
        <v>0</v>
      </c>
      <c r="BH38" s="473">
        <f>COUNTIF(ParticipationMars1[[#This Row],[1]:[31]],Code24)</f>
        <v>0</v>
      </c>
      <c r="BI38" s="473">
        <f>COUNTIF(ParticipationMars1[[#This Row],[1]:[31]],code18)</f>
        <v>0</v>
      </c>
      <c r="BJ38" s="473">
        <f>COUNTIF(ParticipationMars1[[#This Row],[1]:[31]],code19)</f>
        <v>0</v>
      </c>
      <c r="BK38" s="473">
        <f>COUNTIF(ParticipationMars1[[#This Row],[1]:[31]],code20)</f>
        <v>0</v>
      </c>
      <c r="BL38" s="516">
        <f>COUNTIF(ParticipationMars1[[#This Row],[1]:[31]],code29)</f>
        <v>0</v>
      </c>
      <c r="BM38" s="472"/>
      <c r="BN38" s="472"/>
      <c r="BO38" s="472"/>
      <c r="BP38" s="472"/>
      <c r="BQ38" s="472"/>
      <c r="BR38" s="472"/>
      <c r="BS38" s="472"/>
      <c r="BT38" s="472"/>
      <c r="BU38" s="472"/>
      <c r="BV38" s="472"/>
      <c r="BW38" s="472"/>
      <c r="BX38" s="472"/>
      <c r="BY38" s="472"/>
      <c r="BZ38" s="472"/>
      <c r="CA38" s="472"/>
      <c r="CB38" s="472"/>
      <c r="CC38" s="472"/>
      <c r="CD38" s="472"/>
      <c r="CE38" s="472"/>
      <c r="CF38" s="472"/>
      <c r="CG38" s="472"/>
      <c r="CH38" s="472"/>
      <c r="CI38" s="472"/>
      <c r="CJ38" s="472"/>
      <c r="CK38" s="472"/>
      <c r="CL38" s="472"/>
      <c r="CM38" s="472"/>
      <c r="CN38" s="472"/>
      <c r="CO38" s="472"/>
      <c r="CP38" s="472"/>
      <c r="CQ38" s="472"/>
      <c r="CR38" s="472"/>
      <c r="CS38" s="473"/>
      <c r="CT38" s="473"/>
      <c r="CU38" s="516"/>
      <c r="CV38" s="533">
        <f t="shared" si="0"/>
        <v>0</v>
      </c>
      <c r="CW38" s="533">
        <f t="shared" si="1"/>
        <v>0</v>
      </c>
      <c r="CX38" s="523">
        <f t="shared" si="2"/>
        <v>0</v>
      </c>
      <c r="CY38" s="512"/>
    </row>
    <row r="39" spans="1:103">
      <c r="A39" s="510" t="s">
        <v>380</v>
      </c>
      <c r="B39" s="162" t="str">
        <f>IFERROR(VLOOKUP(ParticipationMars1[[#This Row],[Référence]],ListeÉtudiants1[],18,FALSE),"")</f>
        <v>BRONZE  MARINE</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340"/>
      <c r="AH39" s="6">
        <f>COUNTIF(ParticipationMars1[[#This Row],[1]:[31]],Code1)</f>
        <v>0</v>
      </c>
      <c r="AI39" s="475">
        <f>COUNTIF(ParticipationMars1[[#This Row],[1]:[31]],code22)</f>
        <v>0</v>
      </c>
      <c r="AJ39" s="30">
        <f>COUNTIF(ParticipationMars1[[#This Row],[1]:[31]],Code2)</f>
        <v>0</v>
      </c>
      <c r="AK39" s="30">
        <f>COUNTIF(ParticipationMars1[[#This Row],[1]:[31]],Code3)</f>
        <v>0</v>
      </c>
      <c r="AL39" s="30">
        <f>COUNTIF(ParticipationMars1[[#This Row],[1]:[31]],Code4)</f>
        <v>0</v>
      </c>
      <c r="AM39" s="473">
        <f>COUNTIF(ParticipationMars1[[#This Row],[1]:[31]],Code5)</f>
        <v>0</v>
      </c>
      <c r="AN39" s="473">
        <f>COUNTIF(ParticipationMars1[[#This Row],[1]:[31]],Code23)</f>
        <v>0</v>
      </c>
      <c r="AO39" s="473">
        <f>COUNTIF(ParticipationMars1[[#This Row],[1]:[31]],Code6)</f>
        <v>0</v>
      </c>
      <c r="AP39" s="473">
        <f>COUNTIF(ParticipationMars1[[#This Row],[1]:[31]],Code7)</f>
        <v>0</v>
      </c>
      <c r="AQ39" s="473">
        <f>COUNTIF(ParticipationMars1[[#This Row],[1]:[31]],Code8)</f>
        <v>0</v>
      </c>
      <c r="AR39" s="473">
        <f>COUNTIF(ParticipationMars1[[#This Row],[1]:[31]],Code9)</f>
        <v>0</v>
      </c>
      <c r="AS39" s="473">
        <f>COUNTIF(ParticipationMars1[[#This Row],[1]:[31]],Code10)</f>
        <v>0</v>
      </c>
      <c r="AT39" s="473">
        <f>COUNTIF(ParticipationMars1[[#This Row],[1]:[31]],Code11)</f>
        <v>0</v>
      </c>
      <c r="AU39" s="473">
        <f>COUNTIF(ParticipationMars1[[#This Row],[1]:[31]],Code12)</f>
        <v>0</v>
      </c>
      <c r="AV39" s="473">
        <f>COUNTIF(ParticipationMars1[[#This Row],[1]:[31]],Code13)</f>
        <v>0</v>
      </c>
      <c r="AW39" s="473">
        <f>COUNTIF(ParticipationMars1[[#This Row],[1]:[31]],Code14)</f>
        <v>0</v>
      </c>
      <c r="AX39" s="473">
        <f>COUNTIF(ParticipationMars1[[#This Row],[1]:[31]],Code15)</f>
        <v>0</v>
      </c>
      <c r="AY39" s="473">
        <f>COUNTIF(ParticipationMars1[[#This Row],[1]:[31]],Code16)</f>
        <v>0</v>
      </c>
      <c r="AZ39" s="473">
        <f>COUNTIF(ParticipationMars1[[#This Row],[1]:[31]],Code17)</f>
        <v>0</v>
      </c>
      <c r="BA39" s="473">
        <f>COUNTIF(ParticipationMars1[[#This Row],[1]:[31]],Code25)</f>
        <v>0</v>
      </c>
      <c r="BB39" s="473">
        <f>COUNTIF(ParticipationMars1[[#This Row],[1]:[31]],Code26)</f>
        <v>0</v>
      </c>
      <c r="BC39" s="473">
        <f>COUNTIF(ParticipationMars1[[#This Row],[1]:[31]],Code27)</f>
        <v>0</v>
      </c>
      <c r="BD39" s="473">
        <f>COUNTIF(ParticipationMars1[[#This Row],[1]:[31]],Code28)</f>
        <v>0</v>
      </c>
      <c r="BE39" s="473">
        <f>COUNTIF(ParticipationMars1[[#This Row],[1]:[31]],code30)</f>
        <v>0</v>
      </c>
      <c r="BF39" s="473">
        <f>COUNTIF(ParticipationMars1[[#This Row],[1]:[31]],Code31)</f>
        <v>0</v>
      </c>
      <c r="BG39" s="473">
        <f>COUNTIF(ParticipationMars1[[#This Row],[1]:[31]],code21)</f>
        <v>0</v>
      </c>
      <c r="BH39" s="473">
        <f>COUNTIF(ParticipationMars1[[#This Row],[1]:[31]],Code24)</f>
        <v>0</v>
      </c>
      <c r="BI39" s="473">
        <f>COUNTIF(ParticipationMars1[[#This Row],[1]:[31]],code18)</f>
        <v>0</v>
      </c>
      <c r="BJ39" s="473">
        <f>COUNTIF(ParticipationMars1[[#This Row],[1]:[31]],code19)</f>
        <v>0</v>
      </c>
      <c r="BK39" s="473">
        <f>COUNTIF(ParticipationMars1[[#This Row],[1]:[31]],code20)</f>
        <v>0</v>
      </c>
      <c r="BL39" s="516">
        <f>COUNTIF(ParticipationMars1[[#This Row],[1]:[31]],code29)</f>
        <v>0</v>
      </c>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2"/>
      <c r="CM39" s="472"/>
      <c r="CN39" s="472"/>
      <c r="CO39" s="472"/>
      <c r="CP39" s="472"/>
      <c r="CQ39" s="472"/>
      <c r="CR39" s="472"/>
      <c r="CS39" s="473"/>
      <c r="CT39" s="473"/>
      <c r="CU39" s="516"/>
      <c r="CV39" s="533">
        <f t="shared" si="0"/>
        <v>0</v>
      </c>
      <c r="CW39" s="533">
        <f t="shared" si="1"/>
        <v>0</v>
      </c>
      <c r="CX39" s="523">
        <f t="shared" si="2"/>
        <v>0</v>
      </c>
      <c r="CY39" s="512"/>
    </row>
    <row r="40" spans="1:103">
      <c r="A40" s="510" t="s">
        <v>381</v>
      </c>
      <c r="B40" s="162" t="str">
        <f>IFERROR(VLOOKUP(ParticipationMars1[[#This Row],[Référence]],ListeÉtudiants1[],18,FALSE),"")</f>
        <v>CAMISON VICTORIA</v>
      </c>
      <c r="C40" s="19"/>
      <c r="D40" s="19"/>
      <c r="E40" s="19"/>
      <c r="F40" s="19"/>
      <c r="G40" s="19"/>
      <c r="H40" s="19"/>
      <c r="I40" s="19"/>
      <c r="J40" s="19"/>
      <c r="K40" s="19"/>
      <c r="L40" s="19"/>
      <c r="M40" s="19"/>
      <c r="N40" s="19" t="s">
        <v>107</v>
      </c>
      <c r="O40" s="19" t="s">
        <v>604</v>
      </c>
      <c r="P40" s="19" t="s">
        <v>507</v>
      </c>
      <c r="Q40" s="19" t="s">
        <v>109</v>
      </c>
      <c r="R40" s="19"/>
      <c r="S40" s="19"/>
      <c r="T40" s="19"/>
      <c r="U40" s="19"/>
      <c r="V40" s="19" t="s">
        <v>529</v>
      </c>
      <c r="W40" s="19" t="s">
        <v>488</v>
      </c>
      <c r="X40" s="19" t="s">
        <v>109</v>
      </c>
      <c r="Y40" s="19"/>
      <c r="Z40" s="81"/>
      <c r="AA40" s="19"/>
      <c r="AB40" s="19" t="s">
        <v>529</v>
      </c>
      <c r="AC40" s="19" t="s">
        <v>529</v>
      </c>
      <c r="AD40" s="19"/>
      <c r="AE40" s="19"/>
      <c r="AF40" s="19" t="s">
        <v>106</v>
      </c>
      <c r="AG40" s="144"/>
      <c r="AH40" s="6">
        <f>COUNTIF(ParticipationMars1[[#This Row],[1]:[31]],Code1)</f>
        <v>0</v>
      </c>
      <c r="AI40" s="6">
        <f>COUNTIF(ParticipationMars1[[#This Row],[1]:[31]],code22)</f>
        <v>0</v>
      </c>
      <c r="AJ40" s="30">
        <f>COUNTIF(ParticipationMars1[[#This Row],[1]:[31]],Code2)</f>
        <v>0</v>
      </c>
      <c r="AK40" s="30">
        <f>COUNTIF(ParticipationMars1[[#This Row],[1]:[31]],Code3)</f>
        <v>1</v>
      </c>
      <c r="AL40" s="30">
        <f>COUNTIF(ParticipationMars1[[#This Row],[1]:[31]],Code4)</f>
        <v>1</v>
      </c>
      <c r="AM40" s="30">
        <f>COUNTIF(ParticipationMars1[[#This Row],[1]:[31]],Code5)</f>
        <v>0</v>
      </c>
      <c r="AN40" s="30">
        <f>COUNTIF(ParticipationMars1[[#This Row],[1]:[31]],Code23)</f>
        <v>3</v>
      </c>
      <c r="AO40" s="30">
        <f>COUNTIF(ParticipationMars1[[#This Row],[1]:[31]],Code6)</f>
        <v>0</v>
      </c>
      <c r="AP40" s="30">
        <f>COUNTIF(ParticipationMars1[[#This Row],[1]:[31]],Code7)</f>
        <v>2</v>
      </c>
      <c r="AQ40" s="30">
        <f>COUNTIF(ParticipationMars1[[#This Row],[1]:[31]],Code8)</f>
        <v>0</v>
      </c>
      <c r="AR40" s="30">
        <f>COUNTIF(ParticipationMars1[[#This Row],[1]:[31]],Code9)</f>
        <v>0</v>
      </c>
      <c r="AS40" s="30">
        <f>COUNTIF(ParticipationMars1[[#This Row],[1]:[31]],Code10)</f>
        <v>0</v>
      </c>
      <c r="AT40" s="30">
        <f>COUNTIF(ParticipationMars1[[#This Row],[1]:[31]],Code11)</f>
        <v>0</v>
      </c>
      <c r="AU40" s="30">
        <f>COUNTIF(ParticipationMars1[[#This Row],[1]:[31]],Code12)</f>
        <v>0</v>
      </c>
      <c r="AV40" s="30">
        <f>COUNTIF(ParticipationMars1[[#This Row],[1]:[31]],Code13)</f>
        <v>0</v>
      </c>
      <c r="AW40" s="30">
        <f>COUNTIF(ParticipationMars1[[#This Row],[1]:[31]],Code14)</f>
        <v>1</v>
      </c>
      <c r="AX40" s="30">
        <f>COUNTIF(ParticipationMars1[[#This Row],[1]:[31]],Code15)</f>
        <v>0</v>
      </c>
      <c r="AY40" s="30">
        <f>COUNTIF(ParticipationMars1[[#This Row],[1]:[31]],Code16)</f>
        <v>0</v>
      </c>
      <c r="AZ40" s="30">
        <f>COUNTIF(ParticipationMars1[[#This Row],[1]:[31]],Code17)</f>
        <v>0</v>
      </c>
      <c r="BA40" s="30">
        <f>COUNTIF(ParticipationMars1[[#This Row],[1]:[31]],Code25)</f>
        <v>1</v>
      </c>
      <c r="BB40" s="307">
        <f>COUNTIF(ParticipationMars1[[#This Row],[1]:[31]],Code26)</f>
        <v>0</v>
      </c>
      <c r="BC40" s="30">
        <f>COUNTIF(ParticipationMars1[[#This Row],[1]:[31]],Code27)</f>
        <v>0</v>
      </c>
      <c r="BD40" s="30">
        <f>COUNTIF(ParticipationMars1[[#This Row],[1]:[31]],Code28)</f>
        <v>0</v>
      </c>
      <c r="BE40" s="30">
        <f>COUNTIF(ParticipationMars1[[#This Row],[1]:[31]],code30)</f>
        <v>0</v>
      </c>
      <c r="BF40" s="30">
        <f>COUNTIF(ParticipationMars1[[#This Row],[1]:[31]],Code31)</f>
        <v>0</v>
      </c>
      <c r="BG40" s="30">
        <f>COUNTIF(ParticipationMars1[[#This Row],[1]:[31]],code21)</f>
        <v>1</v>
      </c>
      <c r="BH40" s="30">
        <f>COUNTIF(ParticipationMars1[[#This Row],[1]:[31]],Code24)</f>
        <v>0</v>
      </c>
      <c r="BI40" s="30">
        <f>COUNTIF(ParticipationMars1[[#This Row],[1]:[31]],code18)</f>
        <v>0</v>
      </c>
      <c r="BJ40" s="30">
        <f>COUNTIF(ParticipationMars1[[#This Row],[1]:[31]],code19)</f>
        <v>0</v>
      </c>
      <c r="BK40" s="30">
        <f>COUNTIF(ParticipationMars1[[#This Row],[1]:[31]],code20)</f>
        <v>0</v>
      </c>
      <c r="BL40" s="164">
        <f>COUNTIF(ParticipationMars1[[#This Row],[1]:[31]],code29)</f>
        <v>0</v>
      </c>
      <c r="BM40" s="297"/>
      <c r="BN40" s="297">
        <v>1</v>
      </c>
      <c r="BO40" s="297"/>
      <c r="BP40" s="297"/>
      <c r="BQ40" s="297"/>
      <c r="BR40" s="297"/>
      <c r="BS40" s="297"/>
      <c r="BT40" s="297">
        <v>4</v>
      </c>
      <c r="BU40" s="297"/>
      <c r="BV40" s="297"/>
      <c r="BW40" s="297">
        <v>4</v>
      </c>
      <c r="BX40" s="297"/>
      <c r="BY40" s="297"/>
      <c r="BZ40" s="297"/>
      <c r="CA40" s="297"/>
      <c r="CB40" s="297"/>
      <c r="CC40" s="297"/>
      <c r="CD40" s="297"/>
      <c r="CE40" s="297"/>
      <c r="CF40" s="297"/>
      <c r="CG40" s="297">
        <v>1</v>
      </c>
      <c r="CH40" s="297"/>
      <c r="CI40" s="297"/>
      <c r="CJ40" s="297"/>
      <c r="CK40" s="297"/>
      <c r="CL40" s="297"/>
      <c r="CM40" s="297"/>
      <c r="CN40" s="297"/>
      <c r="CO40" s="297"/>
      <c r="CP40" s="297"/>
      <c r="CQ40" s="297"/>
      <c r="CR40" s="297"/>
      <c r="CS40" s="307"/>
      <c r="CT40" s="307"/>
      <c r="CU40" s="300"/>
      <c r="CV40" s="501">
        <f t="shared" si="0"/>
        <v>17</v>
      </c>
      <c r="CW40" s="501">
        <f t="shared" si="1"/>
        <v>24</v>
      </c>
      <c r="CX40" s="249">
        <f t="shared" si="2"/>
        <v>0</v>
      </c>
      <c r="CY40" s="170">
        <f>SUM((BI40*7)+(BJ40*10)+(BK40*12))</f>
        <v>0</v>
      </c>
    </row>
    <row r="41" spans="1:103">
      <c r="A41" s="510" t="s">
        <v>382</v>
      </c>
      <c r="B41" s="162" t="str">
        <f>IFERROR(VLOOKUP(ParticipationMars1[[#This Row],[Référence]],ListeÉtudiants1[],18,FALSE),"")</f>
        <v>CEBIN AMANDINE</v>
      </c>
      <c r="C41" s="19"/>
      <c r="D41" s="19"/>
      <c r="E41" s="19"/>
      <c r="F41" s="19"/>
      <c r="G41" s="19"/>
      <c r="H41" s="19"/>
      <c r="I41" s="19"/>
      <c r="J41" s="19"/>
      <c r="K41" s="19"/>
      <c r="L41" s="19"/>
      <c r="M41" s="19"/>
      <c r="N41" s="19"/>
      <c r="O41" s="19"/>
      <c r="P41" s="19"/>
      <c r="Q41" s="19"/>
      <c r="R41" s="19"/>
      <c r="S41" s="19"/>
      <c r="T41" s="19"/>
      <c r="U41" s="19"/>
      <c r="V41" s="19"/>
      <c r="W41" s="19"/>
      <c r="X41" s="19"/>
      <c r="Y41" s="19"/>
      <c r="Z41" s="81"/>
      <c r="AA41" s="19"/>
      <c r="AB41" s="19"/>
      <c r="AC41" s="19"/>
      <c r="AD41" s="19"/>
      <c r="AE41" s="19"/>
      <c r="AF41" s="19"/>
      <c r="AG41" s="340"/>
      <c r="AH41" s="6">
        <f>COUNTIF(ParticipationMars1[[#This Row],[1]:[31]],Code1)</f>
        <v>0</v>
      </c>
      <c r="AI41" s="475">
        <f>COUNTIF(ParticipationMars1[[#This Row],[1]:[31]],code22)</f>
        <v>0</v>
      </c>
      <c r="AJ41" s="30">
        <f>COUNTIF(ParticipationMars1[[#This Row],[1]:[31]],Code2)</f>
        <v>0</v>
      </c>
      <c r="AK41" s="30">
        <f>COUNTIF(ParticipationMars1[[#This Row],[1]:[31]],Code3)</f>
        <v>0</v>
      </c>
      <c r="AL41" s="30">
        <f>COUNTIF(ParticipationMars1[[#This Row],[1]:[31]],Code4)</f>
        <v>0</v>
      </c>
      <c r="AM41" s="473">
        <f>COUNTIF(ParticipationMars1[[#This Row],[1]:[31]],Code5)</f>
        <v>0</v>
      </c>
      <c r="AN41" s="473">
        <f>COUNTIF(ParticipationMars1[[#This Row],[1]:[31]],Code23)</f>
        <v>0</v>
      </c>
      <c r="AO41" s="473">
        <f>COUNTIF(ParticipationMars1[[#This Row],[1]:[31]],Code6)</f>
        <v>0</v>
      </c>
      <c r="AP41" s="473">
        <f>COUNTIF(ParticipationMars1[[#This Row],[1]:[31]],Code7)</f>
        <v>0</v>
      </c>
      <c r="AQ41" s="473">
        <f>COUNTIF(ParticipationMars1[[#This Row],[1]:[31]],Code8)</f>
        <v>0</v>
      </c>
      <c r="AR41" s="473">
        <f>COUNTIF(ParticipationMars1[[#This Row],[1]:[31]],Code9)</f>
        <v>0</v>
      </c>
      <c r="AS41" s="473">
        <f>COUNTIF(ParticipationMars1[[#This Row],[1]:[31]],Code10)</f>
        <v>0</v>
      </c>
      <c r="AT41" s="473">
        <f>COUNTIF(ParticipationMars1[[#This Row],[1]:[31]],Code11)</f>
        <v>0</v>
      </c>
      <c r="AU41" s="473">
        <f>COUNTIF(ParticipationMars1[[#This Row],[1]:[31]],Code12)</f>
        <v>0</v>
      </c>
      <c r="AV41" s="473">
        <f>COUNTIF(ParticipationMars1[[#This Row],[1]:[31]],Code13)</f>
        <v>0</v>
      </c>
      <c r="AW41" s="473">
        <f>COUNTIF(ParticipationMars1[[#This Row],[1]:[31]],Code14)</f>
        <v>0</v>
      </c>
      <c r="AX41" s="473">
        <f>COUNTIF(ParticipationMars1[[#This Row],[1]:[31]],Code15)</f>
        <v>0</v>
      </c>
      <c r="AY41" s="473">
        <f>COUNTIF(ParticipationMars1[[#This Row],[1]:[31]],Code16)</f>
        <v>0</v>
      </c>
      <c r="AZ41" s="473">
        <f>COUNTIF(ParticipationMars1[[#This Row],[1]:[31]],Code17)</f>
        <v>0</v>
      </c>
      <c r="BA41" s="473">
        <f>COUNTIF(ParticipationMars1[[#This Row],[1]:[31]],Code25)</f>
        <v>0</v>
      </c>
      <c r="BB41" s="473">
        <f>COUNTIF(ParticipationMars1[[#This Row],[1]:[31]],Code26)</f>
        <v>0</v>
      </c>
      <c r="BC41" s="473">
        <f>COUNTIF(ParticipationMars1[[#This Row],[1]:[31]],Code27)</f>
        <v>0</v>
      </c>
      <c r="BD41" s="473">
        <f>COUNTIF(ParticipationMars1[[#This Row],[1]:[31]],Code28)</f>
        <v>0</v>
      </c>
      <c r="BE41" s="473">
        <f>COUNTIF(ParticipationMars1[[#This Row],[1]:[31]],code30)</f>
        <v>0</v>
      </c>
      <c r="BF41" s="473">
        <f>COUNTIF(ParticipationMars1[[#This Row],[1]:[31]],Code31)</f>
        <v>0</v>
      </c>
      <c r="BG41" s="473">
        <f>COUNTIF(ParticipationMars1[[#This Row],[1]:[31]],code21)</f>
        <v>0</v>
      </c>
      <c r="BH41" s="473">
        <f>COUNTIF(ParticipationMars1[[#This Row],[1]:[31]],Code24)</f>
        <v>0</v>
      </c>
      <c r="BI41" s="473">
        <f>COUNTIF(ParticipationMars1[[#This Row],[1]:[31]],code18)</f>
        <v>0</v>
      </c>
      <c r="BJ41" s="473">
        <f>COUNTIF(ParticipationMars1[[#This Row],[1]:[31]],code19)</f>
        <v>0</v>
      </c>
      <c r="BK41" s="473">
        <f>COUNTIF(ParticipationMars1[[#This Row],[1]:[31]],code20)</f>
        <v>0</v>
      </c>
      <c r="BL41" s="516">
        <f>COUNTIF(ParticipationMars1[[#This Row],[1]:[31]],code29)</f>
        <v>0</v>
      </c>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2"/>
      <c r="CM41" s="472"/>
      <c r="CN41" s="472"/>
      <c r="CO41" s="472"/>
      <c r="CP41" s="472"/>
      <c r="CQ41" s="472"/>
      <c r="CR41" s="472"/>
      <c r="CS41" s="473"/>
      <c r="CT41" s="473"/>
      <c r="CU41" s="516"/>
      <c r="CV41" s="533">
        <f t="shared" si="0"/>
        <v>0</v>
      </c>
      <c r="CW41" s="533">
        <f t="shared" si="1"/>
        <v>0</v>
      </c>
      <c r="CX41" s="523">
        <f t="shared" si="2"/>
        <v>0</v>
      </c>
      <c r="CY41" s="512"/>
    </row>
    <row r="42" spans="1:103">
      <c r="A42" s="534" t="s">
        <v>383</v>
      </c>
      <c r="B42" s="162" t="str">
        <f>IFERROR(VLOOKUP(ParticipationMars1[[#This Row],[Référence]],ListeÉtudiants1[],18,FALSE),"")</f>
        <v>CHARPAGNE MORGANE</v>
      </c>
      <c r="C42" s="19"/>
      <c r="D42" s="19"/>
      <c r="E42" s="19"/>
      <c r="F42" s="19"/>
      <c r="G42" s="19"/>
      <c r="H42" s="19"/>
      <c r="I42" s="19"/>
      <c r="J42" s="19"/>
      <c r="K42" s="19"/>
      <c r="L42" s="19"/>
      <c r="M42" s="19"/>
      <c r="N42" s="19"/>
      <c r="O42" s="19"/>
      <c r="P42" s="19"/>
      <c r="Q42" s="19"/>
      <c r="R42" s="19"/>
      <c r="S42" s="19"/>
      <c r="T42" s="19"/>
      <c r="U42" s="19"/>
      <c r="V42" s="19"/>
      <c r="W42" s="19"/>
      <c r="X42" s="19"/>
      <c r="Y42" s="19"/>
      <c r="Z42" s="81"/>
      <c r="AA42" s="19"/>
      <c r="AB42" s="19"/>
      <c r="AC42" s="19"/>
      <c r="AD42" s="19"/>
      <c r="AE42" s="19"/>
      <c r="AF42" s="19"/>
      <c r="AG42" s="340"/>
      <c r="AH42" s="6">
        <f>COUNTIF(ParticipationMars1[[#This Row],[1]:[31]],Code1)</f>
        <v>0</v>
      </c>
      <c r="AI42" s="475">
        <f>COUNTIF(ParticipationMars1[[#This Row],[1]:[31]],code22)</f>
        <v>0</v>
      </c>
      <c r="AJ42" s="30">
        <f>COUNTIF(ParticipationMars1[[#This Row],[1]:[31]],Code2)</f>
        <v>0</v>
      </c>
      <c r="AK42" s="30">
        <f>COUNTIF(ParticipationMars1[[#This Row],[1]:[31]],Code3)</f>
        <v>0</v>
      </c>
      <c r="AL42" s="30">
        <f>COUNTIF(ParticipationMars1[[#This Row],[1]:[31]],Code4)</f>
        <v>0</v>
      </c>
      <c r="AM42" s="473">
        <f>COUNTIF(ParticipationMars1[[#This Row],[1]:[31]],Code5)</f>
        <v>0</v>
      </c>
      <c r="AN42" s="473">
        <f>COUNTIF(ParticipationMars1[[#This Row],[1]:[31]],Code23)</f>
        <v>0</v>
      </c>
      <c r="AO42" s="473">
        <f>COUNTIF(ParticipationMars1[[#This Row],[1]:[31]],Code6)</f>
        <v>0</v>
      </c>
      <c r="AP42" s="473">
        <f>COUNTIF(ParticipationMars1[[#This Row],[1]:[31]],Code7)</f>
        <v>0</v>
      </c>
      <c r="AQ42" s="473">
        <f>COUNTIF(ParticipationMars1[[#This Row],[1]:[31]],Code8)</f>
        <v>0</v>
      </c>
      <c r="AR42" s="473">
        <f>COUNTIF(ParticipationMars1[[#This Row],[1]:[31]],Code9)</f>
        <v>0</v>
      </c>
      <c r="AS42" s="473">
        <f>COUNTIF(ParticipationMars1[[#This Row],[1]:[31]],Code10)</f>
        <v>0</v>
      </c>
      <c r="AT42" s="473">
        <f>COUNTIF(ParticipationMars1[[#This Row],[1]:[31]],Code11)</f>
        <v>0</v>
      </c>
      <c r="AU42" s="473">
        <f>COUNTIF(ParticipationMars1[[#This Row],[1]:[31]],Code12)</f>
        <v>0</v>
      </c>
      <c r="AV42" s="473">
        <f>COUNTIF(ParticipationMars1[[#This Row],[1]:[31]],Code13)</f>
        <v>0</v>
      </c>
      <c r="AW42" s="473">
        <f>COUNTIF(ParticipationMars1[[#This Row],[1]:[31]],Code14)</f>
        <v>0</v>
      </c>
      <c r="AX42" s="473">
        <f>COUNTIF(ParticipationMars1[[#This Row],[1]:[31]],Code15)</f>
        <v>0</v>
      </c>
      <c r="AY42" s="473">
        <f>COUNTIF(ParticipationMars1[[#This Row],[1]:[31]],Code16)</f>
        <v>0</v>
      </c>
      <c r="AZ42" s="473">
        <f>COUNTIF(ParticipationMars1[[#This Row],[1]:[31]],Code17)</f>
        <v>0</v>
      </c>
      <c r="BA42" s="473">
        <f>COUNTIF(ParticipationMars1[[#This Row],[1]:[31]],Code25)</f>
        <v>0</v>
      </c>
      <c r="BB42" s="473">
        <f>COUNTIF(ParticipationMars1[[#This Row],[1]:[31]],Code26)</f>
        <v>0</v>
      </c>
      <c r="BC42" s="473">
        <f>COUNTIF(ParticipationMars1[[#This Row],[1]:[31]],Code27)</f>
        <v>0</v>
      </c>
      <c r="BD42" s="473">
        <f>COUNTIF(ParticipationMars1[[#This Row],[1]:[31]],Code28)</f>
        <v>0</v>
      </c>
      <c r="BE42" s="473">
        <f>COUNTIF(ParticipationMars1[[#This Row],[1]:[31]],code30)</f>
        <v>0</v>
      </c>
      <c r="BF42" s="473">
        <f>COUNTIF(ParticipationMars1[[#This Row],[1]:[31]],Code31)</f>
        <v>0</v>
      </c>
      <c r="BG42" s="473">
        <f>COUNTIF(ParticipationMars1[[#This Row],[1]:[31]],code21)</f>
        <v>0</v>
      </c>
      <c r="BH42" s="473">
        <f>COUNTIF(ParticipationMars1[[#This Row],[1]:[31]],Code24)</f>
        <v>0</v>
      </c>
      <c r="BI42" s="473">
        <f>COUNTIF(ParticipationMars1[[#This Row],[1]:[31]],code18)</f>
        <v>0</v>
      </c>
      <c r="BJ42" s="473">
        <f>COUNTIF(ParticipationMars1[[#This Row],[1]:[31]],code19)</f>
        <v>0</v>
      </c>
      <c r="BK42" s="473">
        <f>COUNTIF(ParticipationMars1[[#This Row],[1]:[31]],code20)</f>
        <v>0</v>
      </c>
      <c r="BL42" s="516">
        <f>COUNTIF(ParticipationMars1[[#This Row],[1]:[31]],code29)</f>
        <v>0</v>
      </c>
      <c r="BM42" s="472"/>
      <c r="BN42" s="472"/>
      <c r="BO42" s="472"/>
      <c r="BP42" s="472"/>
      <c r="BQ42" s="472"/>
      <c r="BR42" s="472"/>
      <c r="BS42" s="472"/>
      <c r="BT42" s="472"/>
      <c r="BU42" s="472"/>
      <c r="BV42" s="472"/>
      <c r="BW42" s="472"/>
      <c r="BX42" s="472"/>
      <c r="BY42" s="472"/>
      <c r="BZ42" s="472"/>
      <c r="CA42" s="472"/>
      <c r="CB42" s="472"/>
      <c r="CC42" s="472"/>
      <c r="CD42" s="472"/>
      <c r="CE42" s="472"/>
      <c r="CF42" s="472"/>
      <c r="CG42" s="472"/>
      <c r="CH42" s="472"/>
      <c r="CI42" s="472"/>
      <c r="CJ42" s="472"/>
      <c r="CK42" s="472"/>
      <c r="CL42" s="472"/>
      <c r="CM42" s="472"/>
      <c r="CN42" s="472"/>
      <c r="CO42" s="472"/>
      <c r="CP42" s="472"/>
      <c r="CQ42" s="472"/>
      <c r="CR42" s="472"/>
      <c r="CS42" s="473"/>
      <c r="CT42" s="473"/>
      <c r="CU42" s="516"/>
      <c r="CV42" s="533">
        <f t="shared" si="0"/>
        <v>0</v>
      </c>
      <c r="CW42" s="533">
        <f t="shared" si="1"/>
        <v>0</v>
      </c>
      <c r="CX42" s="523">
        <f t="shared" si="2"/>
        <v>0</v>
      </c>
      <c r="CY42" s="512"/>
    </row>
    <row r="43" spans="1:103">
      <c r="A43" s="534" t="s">
        <v>384</v>
      </c>
      <c r="B43" s="162" t="str">
        <f>IFERROR(VLOOKUP(ParticipationMars1[[#This Row],[Référence]],ListeÉtudiants1[],18,FALSE),"")</f>
        <v>CIRACI AYLA</v>
      </c>
      <c r="C43" s="19"/>
      <c r="D43" s="19"/>
      <c r="E43" s="19"/>
      <c r="F43" s="19"/>
      <c r="G43" s="19"/>
      <c r="H43" s="19"/>
      <c r="I43" s="19"/>
      <c r="J43" s="19"/>
      <c r="K43" s="19"/>
      <c r="L43" s="19"/>
      <c r="M43" s="19"/>
      <c r="N43" s="19"/>
      <c r="O43" s="19"/>
      <c r="P43" s="19"/>
      <c r="Q43" s="19"/>
      <c r="R43" s="19"/>
      <c r="S43" s="19"/>
      <c r="T43" s="19"/>
      <c r="U43" s="19"/>
      <c r="V43" s="19"/>
      <c r="W43" s="19"/>
      <c r="X43" s="19"/>
      <c r="Y43" s="19"/>
      <c r="Z43" s="81"/>
      <c r="AA43" s="19"/>
      <c r="AB43" s="19"/>
      <c r="AC43" s="19"/>
      <c r="AD43" s="19"/>
      <c r="AE43" s="19"/>
      <c r="AF43" s="19"/>
      <c r="AG43" s="340"/>
      <c r="AH43" s="6">
        <f>COUNTIF(ParticipationMars1[[#This Row],[1]:[31]],Code1)</f>
        <v>0</v>
      </c>
      <c r="AI43" s="475">
        <f>COUNTIF(ParticipationMars1[[#This Row],[1]:[31]],code22)</f>
        <v>0</v>
      </c>
      <c r="AJ43" s="30">
        <f>COUNTIF(ParticipationMars1[[#This Row],[1]:[31]],Code2)</f>
        <v>0</v>
      </c>
      <c r="AK43" s="30">
        <f>COUNTIF(ParticipationMars1[[#This Row],[1]:[31]],Code3)</f>
        <v>0</v>
      </c>
      <c r="AL43" s="30">
        <f>COUNTIF(ParticipationMars1[[#This Row],[1]:[31]],Code4)</f>
        <v>0</v>
      </c>
      <c r="AM43" s="473">
        <f>COUNTIF(ParticipationMars1[[#This Row],[1]:[31]],Code5)</f>
        <v>0</v>
      </c>
      <c r="AN43" s="473">
        <f>COUNTIF(ParticipationMars1[[#This Row],[1]:[31]],Code23)</f>
        <v>0</v>
      </c>
      <c r="AO43" s="473">
        <f>COUNTIF(ParticipationMars1[[#This Row],[1]:[31]],Code6)</f>
        <v>0</v>
      </c>
      <c r="AP43" s="473">
        <f>COUNTIF(ParticipationMars1[[#This Row],[1]:[31]],Code7)</f>
        <v>0</v>
      </c>
      <c r="AQ43" s="473">
        <f>COUNTIF(ParticipationMars1[[#This Row],[1]:[31]],Code8)</f>
        <v>0</v>
      </c>
      <c r="AR43" s="473">
        <f>COUNTIF(ParticipationMars1[[#This Row],[1]:[31]],Code9)</f>
        <v>0</v>
      </c>
      <c r="AS43" s="473">
        <f>COUNTIF(ParticipationMars1[[#This Row],[1]:[31]],Code10)</f>
        <v>0</v>
      </c>
      <c r="AT43" s="473">
        <f>COUNTIF(ParticipationMars1[[#This Row],[1]:[31]],Code11)</f>
        <v>0</v>
      </c>
      <c r="AU43" s="473">
        <f>COUNTIF(ParticipationMars1[[#This Row],[1]:[31]],Code12)</f>
        <v>0</v>
      </c>
      <c r="AV43" s="473">
        <f>COUNTIF(ParticipationMars1[[#This Row],[1]:[31]],Code13)</f>
        <v>0</v>
      </c>
      <c r="AW43" s="473">
        <f>COUNTIF(ParticipationMars1[[#This Row],[1]:[31]],Code14)</f>
        <v>0</v>
      </c>
      <c r="AX43" s="473">
        <f>COUNTIF(ParticipationMars1[[#This Row],[1]:[31]],Code15)</f>
        <v>0</v>
      </c>
      <c r="AY43" s="473">
        <f>COUNTIF(ParticipationMars1[[#This Row],[1]:[31]],Code16)</f>
        <v>0</v>
      </c>
      <c r="AZ43" s="473">
        <f>COUNTIF(ParticipationMars1[[#This Row],[1]:[31]],Code17)</f>
        <v>0</v>
      </c>
      <c r="BA43" s="473">
        <f>COUNTIF(ParticipationMars1[[#This Row],[1]:[31]],Code25)</f>
        <v>0</v>
      </c>
      <c r="BB43" s="473">
        <f>COUNTIF(ParticipationMars1[[#This Row],[1]:[31]],Code26)</f>
        <v>0</v>
      </c>
      <c r="BC43" s="473">
        <f>COUNTIF(ParticipationMars1[[#This Row],[1]:[31]],Code27)</f>
        <v>0</v>
      </c>
      <c r="BD43" s="473">
        <f>COUNTIF(ParticipationMars1[[#This Row],[1]:[31]],Code28)</f>
        <v>0</v>
      </c>
      <c r="BE43" s="473">
        <f>COUNTIF(ParticipationMars1[[#This Row],[1]:[31]],code30)</f>
        <v>0</v>
      </c>
      <c r="BF43" s="473">
        <f>COUNTIF(ParticipationMars1[[#This Row],[1]:[31]],Code31)</f>
        <v>0</v>
      </c>
      <c r="BG43" s="473">
        <f>COUNTIF(ParticipationMars1[[#This Row],[1]:[31]],code21)</f>
        <v>0</v>
      </c>
      <c r="BH43" s="473">
        <f>COUNTIF(ParticipationMars1[[#This Row],[1]:[31]],Code24)</f>
        <v>0</v>
      </c>
      <c r="BI43" s="473">
        <f>COUNTIF(ParticipationMars1[[#This Row],[1]:[31]],code18)</f>
        <v>0</v>
      </c>
      <c r="BJ43" s="473">
        <f>COUNTIF(ParticipationMars1[[#This Row],[1]:[31]],code19)</f>
        <v>0</v>
      </c>
      <c r="BK43" s="473">
        <f>COUNTIF(ParticipationMars1[[#This Row],[1]:[31]],code20)</f>
        <v>0</v>
      </c>
      <c r="BL43" s="516">
        <f>COUNTIF(ParticipationMars1[[#This Row],[1]:[31]],code29)</f>
        <v>0</v>
      </c>
      <c r="BM43" s="472"/>
      <c r="BN43" s="472"/>
      <c r="BO43" s="472"/>
      <c r="BP43" s="472"/>
      <c r="BQ43" s="472"/>
      <c r="BR43" s="472"/>
      <c r="BS43" s="472"/>
      <c r="BT43" s="472"/>
      <c r="BU43" s="472"/>
      <c r="BV43" s="472"/>
      <c r="BW43" s="472"/>
      <c r="BX43" s="472"/>
      <c r="BY43" s="472"/>
      <c r="BZ43" s="472"/>
      <c r="CA43" s="472"/>
      <c r="CB43" s="472"/>
      <c r="CC43" s="472"/>
      <c r="CD43" s="472"/>
      <c r="CE43" s="472"/>
      <c r="CF43" s="472"/>
      <c r="CG43" s="472"/>
      <c r="CH43" s="472"/>
      <c r="CI43" s="472"/>
      <c r="CJ43" s="472"/>
      <c r="CK43" s="472"/>
      <c r="CL43" s="472"/>
      <c r="CM43" s="472"/>
      <c r="CN43" s="472"/>
      <c r="CO43" s="472"/>
      <c r="CP43" s="472"/>
      <c r="CQ43" s="472"/>
      <c r="CR43" s="472"/>
      <c r="CS43" s="473"/>
      <c r="CT43" s="473"/>
      <c r="CU43" s="516"/>
      <c r="CV43" s="533">
        <f t="shared" si="0"/>
        <v>0</v>
      </c>
      <c r="CW43" s="533">
        <f t="shared" si="1"/>
        <v>0</v>
      </c>
      <c r="CX43" s="523">
        <f t="shared" si="2"/>
        <v>0</v>
      </c>
      <c r="CY43" s="512"/>
    </row>
    <row r="44" spans="1:103">
      <c r="A44" s="510" t="s">
        <v>385</v>
      </c>
      <c r="B44" s="162" t="str">
        <f>IFERROR(VLOOKUP(ParticipationMars1[[#This Row],[Référence]],ListeÉtudiants1[],18,FALSE),"")</f>
        <v>CLARY VERONIQUE</v>
      </c>
      <c r="C44" s="19"/>
      <c r="D44" s="19"/>
      <c r="E44" s="19"/>
      <c r="F44" s="19"/>
      <c r="G44" s="19"/>
      <c r="H44" s="19"/>
      <c r="I44" s="19"/>
      <c r="J44" s="19"/>
      <c r="K44" s="19"/>
      <c r="L44" s="19"/>
      <c r="M44" s="19"/>
      <c r="N44" s="19"/>
      <c r="O44" s="19"/>
      <c r="P44" s="19"/>
      <c r="Q44" s="19"/>
      <c r="R44" s="19"/>
      <c r="S44" s="19"/>
      <c r="T44" s="19"/>
      <c r="U44" s="19"/>
      <c r="V44" s="19"/>
      <c r="W44" s="19"/>
      <c r="X44" s="19"/>
      <c r="Y44" s="19"/>
      <c r="Z44" s="81"/>
      <c r="AA44" s="19"/>
      <c r="AB44" s="19"/>
      <c r="AC44" s="19"/>
      <c r="AD44" s="19"/>
      <c r="AE44" s="19"/>
      <c r="AF44" s="19"/>
      <c r="AG44" s="340"/>
      <c r="AH44" s="6">
        <f>COUNTIF(ParticipationMars1[[#This Row],[1]:[31]],Code1)</f>
        <v>0</v>
      </c>
      <c r="AI44" s="475">
        <f>COUNTIF(ParticipationMars1[[#This Row],[1]:[31]],code22)</f>
        <v>0</v>
      </c>
      <c r="AJ44" s="30">
        <f>COUNTIF(ParticipationMars1[[#This Row],[1]:[31]],Code2)</f>
        <v>0</v>
      </c>
      <c r="AK44" s="30">
        <f>COUNTIF(ParticipationMars1[[#This Row],[1]:[31]],Code3)</f>
        <v>0</v>
      </c>
      <c r="AL44" s="30">
        <f>COUNTIF(ParticipationMars1[[#This Row],[1]:[31]],Code4)</f>
        <v>0</v>
      </c>
      <c r="AM44" s="473">
        <f>COUNTIF(ParticipationMars1[[#This Row],[1]:[31]],Code5)</f>
        <v>0</v>
      </c>
      <c r="AN44" s="473">
        <f>COUNTIF(ParticipationMars1[[#This Row],[1]:[31]],Code23)</f>
        <v>0</v>
      </c>
      <c r="AO44" s="473">
        <f>COUNTIF(ParticipationMars1[[#This Row],[1]:[31]],Code6)</f>
        <v>0</v>
      </c>
      <c r="AP44" s="473">
        <f>COUNTIF(ParticipationMars1[[#This Row],[1]:[31]],Code7)</f>
        <v>0</v>
      </c>
      <c r="AQ44" s="473">
        <f>COUNTIF(ParticipationMars1[[#This Row],[1]:[31]],Code8)</f>
        <v>0</v>
      </c>
      <c r="AR44" s="473">
        <f>COUNTIF(ParticipationMars1[[#This Row],[1]:[31]],Code9)</f>
        <v>0</v>
      </c>
      <c r="AS44" s="473">
        <f>COUNTIF(ParticipationMars1[[#This Row],[1]:[31]],Code10)</f>
        <v>0</v>
      </c>
      <c r="AT44" s="473">
        <f>COUNTIF(ParticipationMars1[[#This Row],[1]:[31]],Code11)</f>
        <v>0</v>
      </c>
      <c r="AU44" s="473">
        <f>COUNTIF(ParticipationMars1[[#This Row],[1]:[31]],Code12)</f>
        <v>0</v>
      </c>
      <c r="AV44" s="473">
        <f>COUNTIF(ParticipationMars1[[#This Row],[1]:[31]],Code13)</f>
        <v>0</v>
      </c>
      <c r="AW44" s="473">
        <f>COUNTIF(ParticipationMars1[[#This Row],[1]:[31]],Code14)</f>
        <v>0</v>
      </c>
      <c r="AX44" s="473">
        <f>COUNTIF(ParticipationMars1[[#This Row],[1]:[31]],Code15)</f>
        <v>0</v>
      </c>
      <c r="AY44" s="473">
        <f>COUNTIF(ParticipationMars1[[#This Row],[1]:[31]],Code16)</f>
        <v>0</v>
      </c>
      <c r="AZ44" s="473">
        <f>COUNTIF(ParticipationMars1[[#This Row],[1]:[31]],Code17)</f>
        <v>0</v>
      </c>
      <c r="BA44" s="473">
        <f>COUNTIF(ParticipationMars1[[#This Row],[1]:[31]],Code25)</f>
        <v>0</v>
      </c>
      <c r="BB44" s="473">
        <f>COUNTIF(ParticipationMars1[[#This Row],[1]:[31]],Code26)</f>
        <v>0</v>
      </c>
      <c r="BC44" s="473">
        <f>COUNTIF(ParticipationMars1[[#This Row],[1]:[31]],Code27)</f>
        <v>0</v>
      </c>
      <c r="BD44" s="473">
        <f>COUNTIF(ParticipationMars1[[#This Row],[1]:[31]],Code28)</f>
        <v>0</v>
      </c>
      <c r="BE44" s="473">
        <f>COUNTIF(ParticipationMars1[[#This Row],[1]:[31]],code30)</f>
        <v>0</v>
      </c>
      <c r="BF44" s="473">
        <f>COUNTIF(ParticipationMars1[[#This Row],[1]:[31]],Code31)</f>
        <v>0</v>
      </c>
      <c r="BG44" s="473">
        <f>COUNTIF(ParticipationMars1[[#This Row],[1]:[31]],code21)</f>
        <v>0</v>
      </c>
      <c r="BH44" s="473">
        <f>COUNTIF(ParticipationMars1[[#This Row],[1]:[31]],Code24)</f>
        <v>0</v>
      </c>
      <c r="BI44" s="473">
        <f>COUNTIF(ParticipationMars1[[#This Row],[1]:[31]],code18)</f>
        <v>0</v>
      </c>
      <c r="BJ44" s="473">
        <f>COUNTIF(ParticipationMars1[[#This Row],[1]:[31]],code19)</f>
        <v>0</v>
      </c>
      <c r="BK44" s="473">
        <f>COUNTIF(ParticipationMars1[[#This Row],[1]:[31]],code20)</f>
        <v>0</v>
      </c>
      <c r="BL44" s="516">
        <f>COUNTIF(ParticipationMars1[[#This Row],[1]:[31]],code29)</f>
        <v>0</v>
      </c>
      <c r="BM44" s="472"/>
      <c r="BN44" s="472"/>
      <c r="BO44" s="472"/>
      <c r="BP44" s="472"/>
      <c r="BQ44" s="472"/>
      <c r="BR44" s="472"/>
      <c r="BS44" s="472"/>
      <c r="BT44" s="472"/>
      <c r="BU44" s="472"/>
      <c r="BV44" s="472"/>
      <c r="BW44" s="472"/>
      <c r="BX44" s="472"/>
      <c r="BY44" s="472"/>
      <c r="BZ44" s="472"/>
      <c r="CA44" s="472"/>
      <c r="CB44" s="472"/>
      <c r="CC44" s="472"/>
      <c r="CD44" s="472"/>
      <c r="CE44" s="472"/>
      <c r="CF44" s="472"/>
      <c r="CG44" s="472"/>
      <c r="CH44" s="472"/>
      <c r="CI44" s="472"/>
      <c r="CJ44" s="472"/>
      <c r="CK44" s="472"/>
      <c r="CL44" s="472"/>
      <c r="CM44" s="472"/>
      <c r="CN44" s="472"/>
      <c r="CO44" s="472"/>
      <c r="CP44" s="472"/>
      <c r="CQ44" s="472"/>
      <c r="CR44" s="472"/>
      <c r="CS44" s="473"/>
      <c r="CT44" s="473"/>
      <c r="CU44" s="516"/>
      <c r="CV44" s="533">
        <f t="shared" si="0"/>
        <v>0</v>
      </c>
      <c r="CW44" s="533">
        <f t="shared" si="1"/>
        <v>0</v>
      </c>
      <c r="CX44" s="523">
        <f t="shared" si="2"/>
        <v>0</v>
      </c>
      <c r="CY44" s="512"/>
    </row>
    <row r="45" spans="1:103">
      <c r="A45" s="534" t="s">
        <v>386</v>
      </c>
      <c r="B45" s="162" t="str">
        <f>IFERROR(VLOOKUP(ParticipationMars1[[#This Row],[Référence]],ListeÉtudiants1[],18,FALSE),"")</f>
        <v>CLAUDIN LAURENE</v>
      </c>
      <c r="C45" s="19"/>
      <c r="D45" s="19"/>
      <c r="E45" s="19"/>
      <c r="F45" s="19"/>
      <c r="G45" s="19"/>
      <c r="H45" s="19"/>
      <c r="I45" s="19"/>
      <c r="J45" s="19"/>
      <c r="K45" s="19"/>
      <c r="L45" s="19"/>
      <c r="M45" s="19"/>
      <c r="N45" s="19"/>
      <c r="O45" s="19"/>
      <c r="P45" s="19"/>
      <c r="Q45" s="19"/>
      <c r="R45" s="19"/>
      <c r="S45" s="19"/>
      <c r="T45" s="19"/>
      <c r="U45" s="19"/>
      <c r="V45" s="19"/>
      <c r="W45" s="19"/>
      <c r="X45" s="19"/>
      <c r="Y45" s="19"/>
      <c r="Z45" s="81"/>
      <c r="AA45" s="19"/>
      <c r="AB45" s="19"/>
      <c r="AC45" s="19"/>
      <c r="AD45" s="19"/>
      <c r="AE45" s="19"/>
      <c r="AF45" s="19"/>
      <c r="AG45" s="340"/>
      <c r="AH45" s="6">
        <f>COUNTIF(ParticipationMars1[[#This Row],[1]:[31]],Code1)</f>
        <v>0</v>
      </c>
      <c r="AI45" s="475">
        <f>COUNTIF(ParticipationMars1[[#This Row],[1]:[31]],code22)</f>
        <v>0</v>
      </c>
      <c r="AJ45" s="30">
        <f>COUNTIF(ParticipationMars1[[#This Row],[1]:[31]],Code2)</f>
        <v>0</v>
      </c>
      <c r="AK45" s="30">
        <f>COUNTIF(ParticipationMars1[[#This Row],[1]:[31]],Code3)</f>
        <v>0</v>
      </c>
      <c r="AL45" s="30">
        <f>COUNTIF(ParticipationMars1[[#This Row],[1]:[31]],Code4)</f>
        <v>0</v>
      </c>
      <c r="AM45" s="473">
        <f>COUNTIF(ParticipationMars1[[#This Row],[1]:[31]],Code5)</f>
        <v>0</v>
      </c>
      <c r="AN45" s="473">
        <f>COUNTIF(ParticipationMars1[[#This Row],[1]:[31]],Code23)</f>
        <v>0</v>
      </c>
      <c r="AO45" s="473">
        <f>COUNTIF(ParticipationMars1[[#This Row],[1]:[31]],Code6)</f>
        <v>0</v>
      </c>
      <c r="AP45" s="473">
        <f>COUNTIF(ParticipationMars1[[#This Row],[1]:[31]],Code7)</f>
        <v>0</v>
      </c>
      <c r="AQ45" s="473">
        <f>COUNTIF(ParticipationMars1[[#This Row],[1]:[31]],Code8)</f>
        <v>0</v>
      </c>
      <c r="AR45" s="473">
        <f>COUNTIF(ParticipationMars1[[#This Row],[1]:[31]],Code9)</f>
        <v>0</v>
      </c>
      <c r="AS45" s="473">
        <f>COUNTIF(ParticipationMars1[[#This Row],[1]:[31]],Code10)</f>
        <v>0</v>
      </c>
      <c r="AT45" s="473">
        <f>COUNTIF(ParticipationMars1[[#This Row],[1]:[31]],Code11)</f>
        <v>0</v>
      </c>
      <c r="AU45" s="473">
        <f>COUNTIF(ParticipationMars1[[#This Row],[1]:[31]],Code12)</f>
        <v>0</v>
      </c>
      <c r="AV45" s="473">
        <f>COUNTIF(ParticipationMars1[[#This Row],[1]:[31]],Code13)</f>
        <v>0</v>
      </c>
      <c r="AW45" s="473">
        <f>COUNTIF(ParticipationMars1[[#This Row],[1]:[31]],Code14)</f>
        <v>0</v>
      </c>
      <c r="AX45" s="473">
        <f>COUNTIF(ParticipationMars1[[#This Row],[1]:[31]],Code15)</f>
        <v>0</v>
      </c>
      <c r="AY45" s="473">
        <f>COUNTIF(ParticipationMars1[[#This Row],[1]:[31]],Code16)</f>
        <v>0</v>
      </c>
      <c r="AZ45" s="473">
        <f>COUNTIF(ParticipationMars1[[#This Row],[1]:[31]],Code17)</f>
        <v>0</v>
      </c>
      <c r="BA45" s="473">
        <f>COUNTIF(ParticipationMars1[[#This Row],[1]:[31]],Code25)</f>
        <v>0</v>
      </c>
      <c r="BB45" s="473">
        <f>COUNTIF(ParticipationMars1[[#This Row],[1]:[31]],Code26)</f>
        <v>0</v>
      </c>
      <c r="BC45" s="473">
        <f>COUNTIF(ParticipationMars1[[#This Row],[1]:[31]],Code27)</f>
        <v>0</v>
      </c>
      <c r="BD45" s="473">
        <f>COUNTIF(ParticipationMars1[[#This Row],[1]:[31]],Code28)</f>
        <v>0</v>
      </c>
      <c r="BE45" s="473">
        <f>COUNTIF(ParticipationMars1[[#This Row],[1]:[31]],code30)</f>
        <v>0</v>
      </c>
      <c r="BF45" s="473">
        <f>COUNTIF(ParticipationMars1[[#This Row],[1]:[31]],Code31)</f>
        <v>0</v>
      </c>
      <c r="BG45" s="473">
        <f>COUNTIF(ParticipationMars1[[#This Row],[1]:[31]],code21)</f>
        <v>0</v>
      </c>
      <c r="BH45" s="473">
        <f>COUNTIF(ParticipationMars1[[#This Row],[1]:[31]],Code24)</f>
        <v>0</v>
      </c>
      <c r="BI45" s="473">
        <f>COUNTIF(ParticipationMars1[[#This Row],[1]:[31]],code18)</f>
        <v>0</v>
      </c>
      <c r="BJ45" s="473">
        <f>COUNTIF(ParticipationMars1[[#This Row],[1]:[31]],code19)</f>
        <v>0</v>
      </c>
      <c r="BK45" s="473">
        <f>COUNTIF(ParticipationMars1[[#This Row],[1]:[31]],code20)</f>
        <v>0</v>
      </c>
      <c r="BL45" s="516">
        <f>COUNTIF(ParticipationMars1[[#This Row],[1]:[31]],code29)</f>
        <v>0</v>
      </c>
      <c r="BM45" s="472"/>
      <c r="BN45" s="472"/>
      <c r="BO45" s="472"/>
      <c r="BP45" s="472"/>
      <c r="BQ45" s="472"/>
      <c r="BR45" s="472"/>
      <c r="BS45" s="472"/>
      <c r="BT45" s="472"/>
      <c r="BU45" s="472"/>
      <c r="BV45" s="472"/>
      <c r="BW45" s="472"/>
      <c r="BX45" s="472"/>
      <c r="BY45" s="472"/>
      <c r="BZ45" s="472"/>
      <c r="CA45" s="472"/>
      <c r="CB45" s="472"/>
      <c r="CC45" s="472"/>
      <c r="CD45" s="472"/>
      <c r="CE45" s="472"/>
      <c r="CF45" s="472"/>
      <c r="CG45" s="472"/>
      <c r="CH45" s="472"/>
      <c r="CI45" s="472"/>
      <c r="CJ45" s="472"/>
      <c r="CK45" s="472"/>
      <c r="CL45" s="472"/>
      <c r="CM45" s="472"/>
      <c r="CN45" s="472"/>
      <c r="CO45" s="472"/>
      <c r="CP45" s="472"/>
      <c r="CQ45" s="472"/>
      <c r="CR45" s="472"/>
      <c r="CS45" s="473"/>
      <c r="CT45" s="473"/>
      <c r="CU45" s="516"/>
      <c r="CV45" s="533">
        <f t="shared" si="0"/>
        <v>0</v>
      </c>
      <c r="CW45" s="533">
        <f t="shared" si="1"/>
        <v>0</v>
      </c>
      <c r="CX45" s="523">
        <f t="shared" si="2"/>
        <v>0</v>
      </c>
      <c r="CY45" s="512"/>
    </row>
    <row r="46" spans="1:103">
      <c r="A46" s="510" t="s">
        <v>387</v>
      </c>
      <c r="B46" s="162" t="str">
        <f>IFERROR(VLOOKUP(ParticipationMars1[[#This Row],[Référence]],ListeÉtudiants1[],18,FALSE),"")</f>
        <v>CORDEREIX MARIE</v>
      </c>
      <c r="C46" s="19"/>
      <c r="D46" s="19"/>
      <c r="E46" s="19"/>
      <c r="F46" s="19"/>
      <c r="G46" s="19"/>
      <c r="H46" s="19"/>
      <c r="I46" s="19"/>
      <c r="J46" s="19"/>
      <c r="K46" s="19"/>
      <c r="L46" s="19"/>
      <c r="M46" s="19"/>
      <c r="N46" s="19"/>
      <c r="O46" s="19"/>
      <c r="P46" s="19"/>
      <c r="Q46" s="19"/>
      <c r="R46" s="19"/>
      <c r="S46" s="19"/>
      <c r="T46" s="19"/>
      <c r="U46" s="19"/>
      <c r="V46" s="19"/>
      <c r="W46" s="19" t="s">
        <v>488</v>
      </c>
      <c r="X46" s="19" t="s">
        <v>109</v>
      </c>
      <c r="Y46" s="19"/>
      <c r="Z46" s="19"/>
      <c r="AA46" s="19" t="s">
        <v>529</v>
      </c>
      <c r="AB46" s="19"/>
      <c r="AC46" s="19" t="s">
        <v>486</v>
      </c>
      <c r="AD46" s="19" t="s">
        <v>35</v>
      </c>
      <c r="AE46" s="19"/>
      <c r="AF46" s="19"/>
      <c r="AG46" s="144"/>
      <c r="AH46" s="6">
        <f>COUNTIF(ParticipationMars1[[#This Row],[1]:[31]],Code1)</f>
        <v>0</v>
      </c>
      <c r="AI46" s="331">
        <f>COUNTIF(ParticipationMars1[[#This Row],[1]:[31]],code22)</f>
        <v>0</v>
      </c>
      <c r="AJ46" s="30">
        <f>COUNTIF(ParticipationMars1[[#This Row],[1]:[31]],Code2)</f>
        <v>0</v>
      </c>
      <c r="AK46" s="30">
        <f>COUNTIF(ParticipationMars1[[#This Row],[1]:[31]],Code3)</f>
        <v>0</v>
      </c>
      <c r="AL46" s="30">
        <f>COUNTIF(ParticipationMars1[[#This Row],[1]:[31]],Code4)</f>
        <v>0</v>
      </c>
      <c r="AM46" s="307">
        <f>COUNTIF(ParticipationMars1[[#This Row],[1]:[31]],Code5)</f>
        <v>1</v>
      </c>
      <c r="AN46" s="307">
        <f>COUNTIF(ParticipationMars1[[#This Row],[1]:[31]],Code23)</f>
        <v>1</v>
      </c>
      <c r="AO46" s="307">
        <f>COUNTIF(ParticipationMars1[[#This Row],[1]:[31]],Code6)</f>
        <v>0</v>
      </c>
      <c r="AP46" s="307">
        <f>COUNTIF(ParticipationMars1[[#This Row],[1]:[31]],Code7)</f>
        <v>1</v>
      </c>
      <c r="AQ46" s="307">
        <f>COUNTIF(ParticipationMars1[[#This Row],[1]:[31]],Code8)</f>
        <v>0</v>
      </c>
      <c r="AR46" s="307">
        <f>COUNTIF(ParticipationMars1[[#This Row],[1]:[31]],Code9)</f>
        <v>0</v>
      </c>
      <c r="AS46" s="307">
        <f>COUNTIF(ParticipationMars1[[#This Row],[1]:[31]],Code10)</f>
        <v>0</v>
      </c>
      <c r="AT46" s="307">
        <f>COUNTIF(ParticipationMars1[[#This Row],[1]:[31]],Code11)</f>
        <v>1</v>
      </c>
      <c r="AU46" s="307">
        <f>COUNTIF(ParticipationMars1[[#This Row],[1]:[31]],Code12)</f>
        <v>0</v>
      </c>
      <c r="AV46" s="307">
        <f>COUNTIF(ParticipationMars1[[#This Row],[1]:[31]],Code13)</f>
        <v>0</v>
      </c>
      <c r="AW46" s="307">
        <f>COUNTIF(ParticipationMars1[[#This Row],[1]:[31]],Code14)</f>
        <v>1</v>
      </c>
      <c r="AX46" s="307">
        <f>COUNTIF(ParticipationMars1[[#This Row],[1]:[31]],Code15)</f>
        <v>0</v>
      </c>
      <c r="AY46" s="307">
        <f>COUNTIF(ParticipationMars1[[#This Row],[1]:[31]],Code16)</f>
        <v>0</v>
      </c>
      <c r="AZ46" s="307">
        <f>COUNTIF(ParticipationMars1[[#This Row],[1]:[31]],Code17)</f>
        <v>0</v>
      </c>
      <c r="BA46" s="307">
        <f>COUNTIF(ParticipationMars1[[#This Row],[1]:[31]],Code25)</f>
        <v>0</v>
      </c>
      <c r="BB46" s="307">
        <f>COUNTIF(ParticipationMars1[[#This Row],[1]:[31]],Code26)</f>
        <v>0</v>
      </c>
      <c r="BC46" s="307">
        <f>COUNTIF(ParticipationMars1[[#This Row],[1]:[31]],Code27)</f>
        <v>0</v>
      </c>
      <c r="BD46" s="307">
        <f>COUNTIF(ParticipationMars1[[#This Row],[1]:[31]],Code28)</f>
        <v>0</v>
      </c>
      <c r="BE46" s="307">
        <f>COUNTIF(ParticipationMars1[[#This Row],[1]:[31]],code30)</f>
        <v>0</v>
      </c>
      <c r="BF46" s="307">
        <f>COUNTIF(ParticipationMars1[[#This Row],[1]:[31]],Code31)</f>
        <v>0</v>
      </c>
      <c r="BG46" s="307">
        <f>COUNTIF(ParticipationMars1[[#This Row],[1]:[31]],code21)</f>
        <v>0</v>
      </c>
      <c r="BH46" s="307">
        <f>COUNTIF(ParticipationMars1[[#This Row],[1]:[31]],Code24)</f>
        <v>0</v>
      </c>
      <c r="BI46" s="307">
        <f>COUNTIF(ParticipationMars1[[#This Row],[1]:[31]],code18)</f>
        <v>0</v>
      </c>
      <c r="BJ46" s="307">
        <f>COUNTIF(ParticipationMars1[[#This Row],[1]:[31]],code19)</f>
        <v>0</v>
      </c>
      <c r="BK46" s="307">
        <f>COUNTIF(ParticipationMars1[[#This Row],[1]:[31]],code20)</f>
        <v>0</v>
      </c>
      <c r="BL46" s="300">
        <f>COUNTIF(ParticipationMars1[[#This Row],[1]:[31]],code29)</f>
        <v>0</v>
      </c>
      <c r="BM46" s="297"/>
      <c r="BN46" s="297">
        <v>1</v>
      </c>
      <c r="BO46" s="297"/>
      <c r="BP46" s="297"/>
      <c r="BQ46" s="297"/>
      <c r="BR46" s="297"/>
      <c r="BS46" s="297"/>
      <c r="BT46" s="297">
        <v>2</v>
      </c>
      <c r="BU46" s="297"/>
      <c r="BV46" s="297"/>
      <c r="BW46" s="297">
        <v>5</v>
      </c>
      <c r="BX46" s="297"/>
      <c r="BY46" s="297"/>
      <c r="BZ46" s="297"/>
      <c r="CA46" s="297"/>
      <c r="CB46" s="297">
        <v>1</v>
      </c>
      <c r="CC46" s="297"/>
      <c r="CD46" s="297"/>
      <c r="CE46" s="297"/>
      <c r="CF46" s="297"/>
      <c r="CG46" s="297"/>
      <c r="CH46" s="297"/>
      <c r="CI46" s="297"/>
      <c r="CJ46" s="297"/>
      <c r="CK46" s="297"/>
      <c r="CL46" s="297"/>
      <c r="CM46" s="297"/>
      <c r="CN46" s="297"/>
      <c r="CO46" s="297"/>
      <c r="CP46" s="297"/>
      <c r="CQ46" s="297"/>
      <c r="CR46" s="297"/>
      <c r="CS46" s="307"/>
      <c r="CT46" s="307"/>
      <c r="CU46" s="300"/>
      <c r="CV46" s="501">
        <f t="shared" si="0"/>
        <v>5</v>
      </c>
      <c r="CW46" s="501">
        <f t="shared" si="1"/>
        <v>19</v>
      </c>
      <c r="CX46" s="341">
        <f t="shared" si="2"/>
        <v>0</v>
      </c>
      <c r="CY46" s="327"/>
    </row>
    <row r="47" spans="1:103">
      <c r="A47" s="510" t="s">
        <v>388</v>
      </c>
      <c r="B47" s="162" t="str">
        <f>IFERROR(VLOOKUP(ParticipationMars1[[#This Row],[Référence]],ListeÉtudiants1[],18,FALSE),"")</f>
        <v>CORNELIS  ESTELLE</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340"/>
      <c r="AH47" s="6">
        <f>COUNTIF(ParticipationMars1[[#This Row],[1]:[31]],Code1)</f>
        <v>0</v>
      </c>
      <c r="AI47" s="475">
        <f>COUNTIF(ParticipationMars1[[#This Row],[1]:[31]],code22)</f>
        <v>0</v>
      </c>
      <c r="AJ47" s="30">
        <f>COUNTIF(ParticipationMars1[[#This Row],[1]:[31]],Code2)</f>
        <v>0</v>
      </c>
      <c r="AK47" s="30">
        <f>COUNTIF(ParticipationMars1[[#This Row],[1]:[31]],Code3)</f>
        <v>0</v>
      </c>
      <c r="AL47" s="30">
        <f>COUNTIF(ParticipationMars1[[#This Row],[1]:[31]],Code4)</f>
        <v>0</v>
      </c>
      <c r="AM47" s="473">
        <f>COUNTIF(ParticipationMars1[[#This Row],[1]:[31]],Code5)</f>
        <v>0</v>
      </c>
      <c r="AN47" s="473">
        <f>COUNTIF(ParticipationMars1[[#This Row],[1]:[31]],Code23)</f>
        <v>0</v>
      </c>
      <c r="AO47" s="473">
        <f>COUNTIF(ParticipationMars1[[#This Row],[1]:[31]],Code6)</f>
        <v>0</v>
      </c>
      <c r="AP47" s="473">
        <f>COUNTIF(ParticipationMars1[[#This Row],[1]:[31]],Code7)</f>
        <v>0</v>
      </c>
      <c r="AQ47" s="473">
        <f>COUNTIF(ParticipationMars1[[#This Row],[1]:[31]],Code8)</f>
        <v>0</v>
      </c>
      <c r="AR47" s="473">
        <f>COUNTIF(ParticipationMars1[[#This Row],[1]:[31]],Code9)</f>
        <v>0</v>
      </c>
      <c r="AS47" s="473">
        <f>COUNTIF(ParticipationMars1[[#This Row],[1]:[31]],Code10)</f>
        <v>0</v>
      </c>
      <c r="AT47" s="473">
        <f>COUNTIF(ParticipationMars1[[#This Row],[1]:[31]],Code11)</f>
        <v>0</v>
      </c>
      <c r="AU47" s="473">
        <f>COUNTIF(ParticipationMars1[[#This Row],[1]:[31]],Code12)</f>
        <v>0</v>
      </c>
      <c r="AV47" s="473">
        <f>COUNTIF(ParticipationMars1[[#This Row],[1]:[31]],Code13)</f>
        <v>0</v>
      </c>
      <c r="AW47" s="473">
        <f>COUNTIF(ParticipationMars1[[#This Row],[1]:[31]],Code14)</f>
        <v>0</v>
      </c>
      <c r="AX47" s="473">
        <f>COUNTIF(ParticipationMars1[[#This Row],[1]:[31]],Code15)</f>
        <v>0</v>
      </c>
      <c r="AY47" s="473">
        <f>COUNTIF(ParticipationMars1[[#This Row],[1]:[31]],Code16)</f>
        <v>0</v>
      </c>
      <c r="AZ47" s="473">
        <f>COUNTIF(ParticipationMars1[[#This Row],[1]:[31]],Code17)</f>
        <v>0</v>
      </c>
      <c r="BA47" s="473">
        <f>COUNTIF(ParticipationMars1[[#This Row],[1]:[31]],Code25)</f>
        <v>0</v>
      </c>
      <c r="BB47" s="473">
        <f>COUNTIF(ParticipationMars1[[#This Row],[1]:[31]],Code26)</f>
        <v>0</v>
      </c>
      <c r="BC47" s="473">
        <f>COUNTIF(ParticipationMars1[[#This Row],[1]:[31]],Code27)</f>
        <v>0</v>
      </c>
      <c r="BD47" s="473">
        <f>COUNTIF(ParticipationMars1[[#This Row],[1]:[31]],Code28)</f>
        <v>0</v>
      </c>
      <c r="BE47" s="473">
        <f>COUNTIF(ParticipationMars1[[#This Row],[1]:[31]],code30)</f>
        <v>0</v>
      </c>
      <c r="BF47" s="473">
        <f>COUNTIF(ParticipationMars1[[#This Row],[1]:[31]],Code31)</f>
        <v>0</v>
      </c>
      <c r="BG47" s="473">
        <f>COUNTIF(ParticipationMars1[[#This Row],[1]:[31]],code21)</f>
        <v>0</v>
      </c>
      <c r="BH47" s="473">
        <f>COUNTIF(ParticipationMars1[[#This Row],[1]:[31]],Code24)</f>
        <v>0</v>
      </c>
      <c r="BI47" s="473">
        <f>COUNTIF(ParticipationMars1[[#This Row],[1]:[31]],code18)</f>
        <v>0</v>
      </c>
      <c r="BJ47" s="473">
        <f>COUNTIF(ParticipationMars1[[#This Row],[1]:[31]],code19)</f>
        <v>0</v>
      </c>
      <c r="BK47" s="473">
        <f>COUNTIF(ParticipationMars1[[#This Row],[1]:[31]],code20)</f>
        <v>0</v>
      </c>
      <c r="BL47" s="516">
        <f>COUNTIF(ParticipationMars1[[#This Row],[1]:[31]],code29)</f>
        <v>0</v>
      </c>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3"/>
      <c r="CT47" s="473"/>
      <c r="CU47" s="516"/>
      <c r="CV47" s="533">
        <f t="shared" si="0"/>
        <v>0</v>
      </c>
      <c r="CW47" s="533">
        <f t="shared" si="1"/>
        <v>0</v>
      </c>
      <c r="CX47" s="523">
        <f t="shared" si="2"/>
        <v>0</v>
      </c>
      <c r="CY47" s="512"/>
    </row>
    <row r="48" spans="1:103">
      <c r="A48" s="510" t="s">
        <v>389</v>
      </c>
      <c r="B48" s="162" t="str">
        <f>IFERROR(VLOOKUP(ParticipationMars1[[#This Row],[Référence]],ListeÉtudiants1[],18,FALSE),"")</f>
        <v>COULIBALY COLLO</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340"/>
      <c r="AH48" s="6">
        <f>COUNTIF(ParticipationMars1[[#This Row],[1]:[31]],Code1)</f>
        <v>0</v>
      </c>
      <c r="AI48" s="475">
        <f>COUNTIF(ParticipationMars1[[#This Row],[1]:[31]],code22)</f>
        <v>0</v>
      </c>
      <c r="AJ48" s="30">
        <f>COUNTIF(ParticipationMars1[[#This Row],[1]:[31]],Code2)</f>
        <v>0</v>
      </c>
      <c r="AK48" s="30">
        <f>COUNTIF(ParticipationMars1[[#This Row],[1]:[31]],Code3)</f>
        <v>0</v>
      </c>
      <c r="AL48" s="30">
        <f>COUNTIF(ParticipationMars1[[#This Row],[1]:[31]],Code4)</f>
        <v>0</v>
      </c>
      <c r="AM48" s="473">
        <f>COUNTIF(ParticipationMars1[[#This Row],[1]:[31]],Code5)</f>
        <v>0</v>
      </c>
      <c r="AN48" s="473">
        <f>COUNTIF(ParticipationMars1[[#This Row],[1]:[31]],Code23)</f>
        <v>0</v>
      </c>
      <c r="AO48" s="473">
        <f>COUNTIF(ParticipationMars1[[#This Row],[1]:[31]],Code6)</f>
        <v>0</v>
      </c>
      <c r="AP48" s="473">
        <f>COUNTIF(ParticipationMars1[[#This Row],[1]:[31]],Code7)</f>
        <v>0</v>
      </c>
      <c r="AQ48" s="473">
        <f>COUNTIF(ParticipationMars1[[#This Row],[1]:[31]],Code8)</f>
        <v>0</v>
      </c>
      <c r="AR48" s="473">
        <f>COUNTIF(ParticipationMars1[[#This Row],[1]:[31]],Code9)</f>
        <v>0</v>
      </c>
      <c r="AS48" s="473">
        <f>COUNTIF(ParticipationMars1[[#This Row],[1]:[31]],Code10)</f>
        <v>0</v>
      </c>
      <c r="AT48" s="473">
        <f>COUNTIF(ParticipationMars1[[#This Row],[1]:[31]],Code11)</f>
        <v>0</v>
      </c>
      <c r="AU48" s="473">
        <f>COUNTIF(ParticipationMars1[[#This Row],[1]:[31]],Code12)</f>
        <v>0</v>
      </c>
      <c r="AV48" s="473">
        <f>COUNTIF(ParticipationMars1[[#This Row],[1]:[31]],Code13)</f>
        <v>0</v>
      </c>
      <c r="AW48" s="473">
        <f>COUNTIF(ParticipationMars1[[#This Row],[1]:[31]],Code14)</f>
        <v>0</v>
      </c>
      <c r="AX48" s="473">
        <f>COUNTIF(ParticipationMars1[[#This Row],[1]:[31]],Code15)</f>
        <v>0</v>
      </c>
      <c r="AY48" s="473">
        <f>COUNTIF(ParticipationMars1[[#This Row],[1]:[31]],Code16)</f>
        <v>0</v>
      </c>
      <c r="AZ48" s="473">
        <f>COUNTIF(ParticipationMars1[[#This Row],[1]:[31]],Code17)</f>
        <v>0</v>
      </c>
      <c r="BA48" s="473">
        <f>COUNTIF(ParticipationMars1[[#This Row],[1]:[31]],Code25)</f>
        <v>0</v>
      </c>
      <c r="BB48" s="473">
        <f>COUNTIF(ParticipationMars1[[#This Row],[1]:[31]],Code26)</f>
        <v>0</v>
      </c>
      <c r="BC48" s="473">
        <f>COUNTIF(ParticipationMars1[[#This Row],[1]:[31]],Code27)</f>
        <v>0</v>
      </c>
      <c r="BD48" s="473">
        <f>COUNTIF(ParticipationMars1[[#This Row],[1]:[31]],Code28)</f>
        <v>0</v>
      </c>
      <c r="BE48" s="473">
        <f>COUNTIF(ParticipationMars1[[#This Row],[1]:[31]],code30)</f>
        <v>0</v>
      </c>
      <c r="BF48" s="473">
        <f>COUNTIF(ParticipationMars1[[#This Row],[1]:[31]],Code31)</f>
        <v>0</v>
      </c>
      <c r="BG48" s="473">
        <f>COUNTIF(ParticipationMars1[[#This Row],[1]:[31]],code21)</f>
        <v>0</v>
      </c>
      <c r="BH48" s="473">
        <f>COUNTIF(ParticipationMars1[[#This Row],[1]:[31]],Code24)</f>
        <v>0</v>
      </c>
      <c r="BI48" s="473">
        <f>COUNTIF(ParticipationMars1[[#This Row],[1]:[31]],code18)</f>
        <v>0</v>
      </c>
      <c r="BJ48" s="473">
        <f>COUNTIF(ParticipationMars1[[#This Row],[1]:[31]],code19)</f>
        <v>0</v>
      </c>
      <c r="BK48" s="473">
        <f>COUNTIF(ParticipationMars1[[#This Row],[1]:[31]],code20)</f>
        <v>0</v>
      </c>
      <c r="BL48" s="516">
        <f>COUNTIF(ParticipationMars1[[#This Row],[1]:[31]],code29)</f>
        <v>0</v>
      </c>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3"/>
      <c r="CT48" s="473"/>
      <c r="CU48" s="516"/>
      <c r="CV48" s="533">
        <f t="shared" si="0"/>
        <v>0</v>
      </c>
      <c r="CW48" s="533">
        <f t="shared" si="1"/>
        <v>0</v>
      </c>
      <c r="CX48" s="523">
        <f t="shared" si="2"/>
        <v>0</v>
      </c>
      <c r="CY48" s="512"/>
    </row>
    <row r="49" spans="1:103">
      <c r="A49" s="510" t="s">
        <v>390</v>
      </c>
      <c r="B49" s="162" t="str">
        <f>IFERROR(VLOOKUP(ParticipationMars1[[#This Row],[Référence]],ListeÉtudiants1[],18,FALSE),"")</f>
        <v>DAGNET ANNAH</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340"/>
      <c r="AH49" s="6">
        <f>COUNTIF(ParticipationMars1[[#This Row],[1]:[31]],Code1)</f>
        <v>0</v>
      </c>
      <c r="AI49" s="475">
        <f>COUNTIF(ParticipationMars1[[#This Row],[1]:[31]],code22)</f>
        <v>0</v>
      </c>
      <c r="AJ49" s="30">
        <f>COUNTIF(ParticipationMars1[[#This Row],[1]:[31]],Code2)</f>
        <v>0</v>
      </c>
      <c r="AK49" s="30">
        <f>COUNTIF(ParticipationMars1[[#This Row],[1]:[31]],Code3)</f>
        <v>0</v>
      </c>
      <c r="AL49" s="30">
        <f>COUNTIF(ParticipationMars1[[#This Row],[1]:[31]],Code4)</f>
        <v>0</v>
      </c>
      <c r="AM49" s="473">
        <f>COUNTIF(ParticipationMars1[[#This Row],[1]:[31]],Code5)</f>
        <v>0</v>
      </c>
      <c r="AN49" s="473">
        <f>COUNTIF(ParticipationMars1[[#This Row],[1]:[31]],Code23)</f>
        <v>0</v>
      </c>
      <c r="AO49" s="473">
        <f>COUNTIF(ParticipationMars1[[#This Row],[1]:[31]],Code6)</f>
        <v>0</v>
      </c>
      <c r="AP49" s="473">
        <f>COUNTIF(ParticipationMars1[[#This Row],[1]:[31]],Code7)</f>
        <v>0</v>
      </c>
      <c r="AQ49" s="473">
        <f>COUNTIF(ParticipationMars1[[#This Row],[1]:[31]],Code8)</f>
        <v>0</v>
      </c>
      <c r="AR49" s="473">
        <f>COUNTIF(ParticipationMars1[[#This Row],[1]:[31]],Code9)</f>
        <v>0</v>
      </c>
      <c r="AS49" s="473">
        <f>COUNTIF(ParticipationMars1[[#This Row],[1]:[31]],Code10)</f>
        <v>0</v>
      </c>
      <c r="AT49" s="473">
        <f>COUNTIF(ParticipationMars1[[#This Row],[1]:[31]],Code11)</f>
        <v>0</v>
      </c>
      <c r="AU49" s="473">
        <f>COUNTIF(ParticipationMars1[[#This Row],[1]:[31]],Code12)</f>
        <v>0</v>
      </c>
      <c r="AV49" s="473">
        <f>COUNTIF(ParticipationMars1[[#This Row],[1]:[31]],Code13)</f>
        <v>0</v>
      </c>
      <c r="AW49" s="473">
        <f>COUNTIF(ParticipationMars1[[#This Row],[1]:[31]],Code14)</f>
        <v>0</v>
      </c>
      <c r="AX49" s="473">
        <f>COUNTIF(ParticipationMars1[[#This Row],[1]:[31]],Code15)</f>
        <v>0</v>
      </c>
      <c r="AY49" s="473">
        <f>COUNTIF(ParticipationMars1[[#This Row],[1]:[31]],Code16)</f>
        <v>0</v>
      </c>
      <c r="AZ49" s="473">
        <f>COUNTIF(ParticipationMars1[[#This Row],[1]:[31]],Code17)</f>
        <v>0</v>
      </c>
      <c r="BA49" s="473">
        <f>COUNTIF(ParticipationMars1[[#This Row],[1]:[31]],Code25)</f>
        <v>0</v>
      </c>
      <c r="BB49" s="473">
        <f>COUNTIF(ParticipationMars1[[#This Row],[1]:[31]],Code26)</f>
        <v>0</v>
      </c>
      <c r="BC49" s="473">
        <f>COUNTIF(ParticipationMars1[[#This Row],[1]:[31]],Code27)</f>
        <v>0</v>
      </c>
      <c r="BD49" s="473">
        <f>COUNTIF(ParticipationMars1[[#This Row],[1]:[31]],Code28)</f>
        <v>0</v>
      </c>
      <c r="BE49" s="473">
        <f>COUNTIF(ParticipationMars1[[#This Row],[1]:[31]],code30)</f>
        <v>0</v>
      </c>
      <c r="BF49" s="473">
        <f>COUNTIF(ParticipationMars1[[#This Row],[1]:[31]],Code31)</f>
        <v>0</v>
      </c>
      <c r="BG49" s="473">
        <f>COUNTIF(ParticipationMars1[[#This Row],[1]:[31]],code21)</f>
        <v>0</v>
      </c>
      <c r="BH49" s="473">
        <f>COUNTIF(ParticipationMars1[[#This Row],[1]:[31]],Code24)</f>
        <v>0</v>
      </c>
      <c r="BI49" s="473">
        <f>COUNTIF(ParticipationMars1[[#This Row],[1]:[31]],code18)</f>
        <v>0</v>
      </c>
      <c r="BJ49" s="473">
        <f>COUNTIF(ParticipationMars1[[#This Row],[1]:[31]],code19)</f>
        <v>0</v>
      </c>
      <c r="BK49" s="473">
        <f>COUNTIF(ParticipationMars1[[#This Row],[1]:[31]],code20)</f>
        <v>0</v>
      </c>
      <c r="BL49" s="516">
        <f>COUNTIF(ParticipationMars1[[#This Row],[1]:[31]],code29)</f>
        <v>0</v>
      </c>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3"/>
      <c r="CT49" s="473"/>
      <c r="CU49" s="516"/>
      <c r="CV49" s="533">
        <f t="shared" si="0"/>
        <v>0</v>
      </c>
      <c r="CW49" s="533">
        <f t="shared" si="1"/>
        <v>0</v>
      </c>
      <c r="CX49" s="523">
        <f t="shared" si="2"/>
        <v>0</v>
      </c>
      <c r="CY49" s="512"/>
    </row>
    <row r="50" spans="1:103">
      <c r="A50" s="510" t="s">
        <v>391</v>
      </c>
      <c r="B50" s="162" t="str">
        <f>IFERROR(VLOOKUP(ParticipationMars1[[#This Row],[Référence]],ListeÉtudiants1[],18,FALSE),"")</f>
        <v>DAHMANI LUANA</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340"/>
      <c r="AH50" s="6">
        <f>COUNTIF(ParticipationMars1[[#This Row],[1]:[31]],Code1)</f>
        <v>0</v>
      </c>
      <c r="AI50" s="475">
        <f>COUNTIF(ParticipationMars1[[#This Row],[1]:[31]],code22)</f>
        <v>0</v>
      </c>
      <c r="AJ50" s="30">
        <f>COUNTIF(ParticipationMars1[[#This Row],[1]:[31]],Code2)</f>
        <v>0</v>
      </c>
      <c r="AK50" s="30">
        <f>COUNTIF(ParticipationMars1[[#This Row],[1]:[31]],Code3)</f>
        <v>0</v>
      </c>
      <c r="AL50" s="30">
        <f>COUNTIF(ParticipationMars1[[#This Row],[1]:[31]],Code4)</f>
        <v>0</v>
      </c>
      <c r="AM50" s="473">
        <f>COUNTIF(ParticipationMars1[[#This Row],[1]:[31]],Code5)</f>
        <v>0</v>
      </c>
      <c r="AN50" s="473">
        <f>COUNTIF(ParticipationMars1[[#This Row],[1]:[31]],Code23)</f>
        <v>0</v>
      </c>
      <c r="AO50" s="473">
        <f>COUNTIF(ParticipationMars1[[#This Row],[1]:[31]],Code6)</f>
        <v>0</v>
      </c>
      <c r="AP50" s="473">
        <f>COUNTIF(ParticipationMars1[[#This Row],[1]:[31]],Code7)</f>
        <v>0</v>
      </c>
      <c r="AQ50" s="473">
        <f>COUNTIF(ParticipationMars1[[#This Row],[1]:[31]],Code8)</f>
        <v>0</v>
      </c>
      <c r="AR50" s="473">
        <f>COUNTIF(ParticipationMars1[[#This Row],[1]:[31]],Code9)</f>
        <v>0</v>
      </c>
      <c r="AS50" s="473">
        <f>COUNTIF(ParticipationMars1[[#This Row],[1]:[31]],Code10)</f>
        <v>0</v>
      </c>
      <c r="AT50" s="473">
        <f>COUNTIF(ParticipationMars1[[#This Row],[1]:[31]],Code11)</f>
        <v>0</v>
      </c>
      <c r="AU50" s="473">
        <f>COUNTIF(ParticipationMars1[[#This Row],[1]:[31]],Code12)</f>
        <v>0</v>
      </c>
      <c r="AV50" s="473">
        <f>COUNTIF(ParticipationMars1[[#This Row],[1]:[31]],Code13)</f>
        <v>0</v>
      </c>
      <c r="AW50" s="473">
        <f>COUNTIF(ParticipationMars1[[#This Row],[1]:[31]],Code14)</f>
        <v>0</v>
      </c>
      <c r="AX50" s="473">
        <f>COUNTIF(ParticipationMars1[[#This Row],[1]:[31]],Code15)</f>
        <v>0</v>
      </c>
      <c r="AY50" s="473">
        <f>COUNTIF(ParticipationMars1[[#This Row],[1]:[31]],Code16)</f>
        <v>0</v>
      </c>
      <c r="AZ50" s="473">
        <f>COUNTIF(ParticipationMars1[[#This Row],[1]:[31]],Code17)</f>
        <v>0</v>
      </c>
      <c r="BA50" s="473">
        <f>COUNTIF(ParticipationMars1[[#This Row],[1]:[31]],Code25)</f>
        <v>0</v>
      </c>
      <c r="BB50" s="473">
        <f>COUNTIF(ParticipationMars1[[#This Row],[1]:[31]],Code26)</f>
        <v>0</v>
      </c>
      <c r="BC50" s="473">
        <f>COUNTIF(ParticipationMars1[[#This Row],[1]:[31]],Code27)</f>
        <v>0</v>
      </c>
      <c r="BD50" s="473">
        <f>COUNTIF(ParticipationMars1[[#This Row],[1]:[31]],Code28)</f>
        <v>0</v>
      </c>
      <c r="BE50" s="473">
        <f>COUNTIF(ParticipationMars1[[#This Row],[1]:[31]],code30)</f>
        <v>0</v>
      </c>
      <c r="BF50" s="473">
        <f>COUNTIF(ParticipationMars1[[#This Row],[1]:[31]],Code31)</f>
        <v>0</v>
      </c>
      <c r="BG50" s="473">
        <f>COUNTIF(ParticipationMars1[[#This Row],[1]:[31]],code21)</f>
        <v>0</v>
      </c>
      <c r="BH50" s="473">
        <f>COUNTIF(ParticipationMars1[[#This Row],[1]:[31]],Code24)</f>
        <v>0</v>
      </c>
      <c r="BI50" s="473">
        <f>COUNTIF(ParticipationMars1[[#This Row],[1]:[31]],code18)</f>
        <v>0</v>
      </c>
      <c r="BJ50" s="473">
        <f>COUNTIF(ParticipationMars1[[#This Row],[1]:[31]],code19)</f>
        <v>0</v>
      </c>
      <c r="BK50" s="473">
        <f>COUNTIF(ParticipationMars1[[#This Row],[1]:[31]],code20)</f>
        <v>0</v>
      </c>
      <c r="BL50" s="516">
        <f>COUNTIF(ParticipationMars1[[#This Row],[1]:[31]],code29)</f>
        <v>0</v>
      </c>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3"/>
      <c r="CT50" s="473"/>
      <c r="CU50" s="516"/>
      <c r="CV50" s="533">
        <f t="shared" si="0"/>
        <v>0</v>
      </c>
      <c r="CW50" s="533">
        <f t="shared" si="1"/>
        <v>0</v>
      </c>
      <c r="CX50" s="523">
        <f t="shared" si="2"/>
        <v>0</v>
      </c>
      <c r="CY50" s="512"/>
    </row>
    <row r="51" spans="1:103">
      <c r="A51" s="534" t="s">
        <v>392</v>
      </c>
      <c r="B51" s="162" t="str">
        <f>IFERROR(VLOOKUP(ParticipationMars1[[#This Row],[Référence]],ListeÉtudiants1[],18,FALSE),"")</f>
        <v>DALI SOUAD</v>
      </c>
      <c r="C51" s="19"/>
      <c r="D51" s="19"/>
      <c r="E51" s="19"/>
      <c r="F51" s="19"/>
      <c r="G51" s="19"/>
      <c r="H51" s="19"/>
      <c r="I51" s="19"/>
      <c r="J51" s="19"/>
      <c r="K51" s="19"/>
      <c r="L51" s="19"/>
      <c r="M51" s="19"/>
      <c r="N51" s="19"/>
      <c r="O51" s="19" t="s">
        <v>529</v>
      </c>
      <c r="P51" s="19"/>
      <c r="Q51" s="19"/>
      <c r="R51" s="19"/>
      <c r="S51" s="19"/>
      <c r="T51" s="19"/>
      <c r="U51" s="19"/>
      <c r="V51" s="19"/>
      <c r="W51" s="19"/>
      <c r="X51" s="19"/>
      <c r="Y51" s="19"/>
      <c r="Z51" s="19"/>
      <c r="AA51" s="19"/>
      <c r="AB51" s="19"/>
      <c r="AC51" s="19"/>
      <c r="AD51" s="19"/>
      <c r="AE51" s="19"/>
      <c r="AF51" s="19"/>
      <c r="AG51" s="144"/>
      <c r="AH51" s="6">
        <f>COUNTIF(ParticipationMars1[[#This Row],[1]:[31]],Code1)</f>
        <v>0</v>
      </c>
      <c r="AI51" s="331">
        <f>COUNTIF(ParticipationMars1[[#This Row],[1]:[31]],code22)</f>
        <v>0</v>
      </c>
      <c r="AJ51" s="30">
        <f>COUNTIF(ParticipationMars1[[#This Row],[1]:[31]],Code2)</f>
        <v>0</v>
      </c>
      <c r="AK51" s="30">
        <f>COUNTIF(ParticipationMars1[[#This Row],[1]:[31]],Code3)</f>
        <v>0</v>
      </c>
      <c r="AL51" s="30">
        <f>COUNTIF(ParticipationMars1[[#This Row],[1]:[31]],Code4)</f>
        <v>0</v>
      </c>
      <c r="AM51" s="307">
        <f>COUNTIF(ParticipationMars1[[#This Row],[1]:[31]],Code5)</f>
        <v>0</v>
      </c>
      <c r="AN51" s="307">
        <f>COUNTIF(ParticipationMars1[[#This Row],[1]:[31]],Code23)</f>
        <v>1</v>
      </c>
      <c r="AO51" s="307">
        <f>COUNTIF(ParticipationMars1[[#This Row],[1]:[31]],Code6)</f>
        <v>0</v>
      </c>
      <c r="AP51" s="307">
        <f>COUNTIF(ParticipationMars1[[#This Row],[1]:[31]],Code7)</f>
        <v>0</v>
      </c>
      <c r="AQ51" s="307">
        <f>COUNTIF(ParticipationMars1[[#This Row],[1]:[31]],Code8)</f>
        <v>0</v>
      </c>
      <c r="AR51" s="307">
        <f>COUNTIF(ParticipationMars1[[#This Row],[1]:[31]],Code9)</f>
        <v>0</v>
      </c>
      <c r="AS51" s="307">
        <f>COUNTIF(ParticipationMars1[[#This Row],[1]:[31]],Code10)</f>
        <v>0</v>
      </c>
      <c r="AT51" s="307">
        <f>COUNTIF(ParticipationMars1[[#This Row],[1]:[31]],Code11)</f>
        <v>0</v>
      </c>
      <c r="AU51" s="307">
        <f>COUNTIF(ParticipationMars1[[#This Row],[1]:[31]],Code12)</f>
        <v>0</v>
      </c>
      <c r="AV51" s="307">
        <f>COUNTIF(ParticipationMars1[[#This Row],[1]:[31]],Code13)</f>
        <v>0</v>
      </c>
      <c r="AW51" s="307">
        <f>COUNTIF(ParticipationMars1[[#This Row],[1]:[31]],Code14)</f>
        <v>0</v>
      </c>
      <c r="AX51" s="307">
        <f>COUNTIF(ParticipationMars1[[#This Row],[1]:[31]],Code15)</f>
        <v>0</v>
      </c>
      <c r="AY51" s="307">
        <f>COUNTIF(ParticipationMars1[[#This Row],[1]:[31]],Code16)</f>
        <v>0</v>
      </c>
      <c r="AZ51" s="307">
        <f>COUNTIF(ParticipationMars1[[#This Row],[1]:[31]],Code17)</f>
        <v>0</v>
      </c>
      <c r="BA51" s="30">
        <f>COUNTIF(ParticipationMars1[[#This Row],[1]:[31]],Code25)</f>
        <v>0</v>
      </c>
      <c r="BB51" s="307">
        <f>COUNTIF(ParticipationMars1[[#This Row],[1]:[31]],Code26)</f>
        <v>0</v>
      </c>
      <c r="BC51" s="307">
        <f>COUNTIF(ParticipationMars1[[#This Row],[1]:[31]],Code27)</f>
        <v>0</v>
      </c>
      <c r="BD51" s="30">
        <f>COUNTIF(ParticipationMars1[[#This Row],[1]:[31]],Code28)</f>
        <v>0</v>
      </c>
      <c r="BE51" s="30">
        <f>COUNTIF(ParticipationMars1[[#This Row],[1]:[31]],code30)</f>
        <v>0</v>
      </c>
      <c r="BF51" s="30">
        <f>COUNTIF(ParticipationMars1[[#This Row],[1]:[31]],Code31)</f>
        <v>0</v>
      </c>
      <c r="BG51" s="307">
        <f>COUNTIF(ParticipationMars1[[#This Row],[1]:[31]],code21)</f>
        <v>0</v>
      </c>
      <c r="BH51" s="307">
        <f>COUNTIF(ParticipationMars1[[#This Row],[1]:[31]],Code24)</f>
        <v>0</v>
      </c>
      <c r="BI51" s="307">
        <f>COUNTIF(ParticipationMars1[[#This Row],[1]:[31]],code18)</f>
        <v>0</v>
      </c>
      <c r="BJ51" s="307">
        <f>COUNTIF(ParticipationMars1[[#This Row],[1]:[31]],code19)</f>
        <v>0</v>
      </c>
      <c r="BK51" s="307">
        <f>COUNTIF(ParticipationMars1[[#This Row],[1]:[31]],code20)</f>
        <v>0</v>
      </c>
      <c r="BL51" s="300">
        <f>COUNTIF(ParticipationMars1[[#This Row],[1]:[31]],code29)</f>
        <v>0</v>
      </c>
      <c r="BM51" s="297"/>
      <c r="BN51" s="297"/>
      <c r="BO51" s="297"/>
      <c r="BP51" s="297"/>
      <c r="BQ51" s="297"/>
      <c r="BR51" s="297"/>
      <c r="BS51" s="297"/>
      <c r="BT51" s="297"/>
      <c r="BU51" s="297"/>
      <c r="BV51" s="297"/>
      <c r="BW51" s="297"/>
      <c r="BX51" s="297"/>
      <c r="BY51" s="297"/>
      <c r="BZ51" s="297"/>
      <c r="CA51" s="297"/>
      <c r="CB51" s="297"/>
      <c r="CC51" s="297"/>
      <c r="CD51" s="297"/>
      <c r="CE51" s="297"/>
      <c r="CF51" s="297"/>
      <c r="CG51" s="297"/>
      <c r="CH51" s="297"/>
      <c r="CI51" s="297"/>
      <c r="CJ51" s="297"/>
      <c r="CK51" s="297"/>
      <c r="CL51" s="297"/>
      <c r="CM51" s="297"/>
      <c r="CN51" s="297"/>
      <c r="CO51" s="297"/>
      <c r="CP51" s="297"/>
      <c r="CQ51" s="297"/>
      <c r="CR51" s="297"/>
      <c r="CS51" s="307"/>
      <c r="CT51" s="307"/>
      <c r="CU51" s="300"/>
      <c r="CV51" s="501">
        <f t="shared" si="0"/>
        <v>0</v>
      </c>
      <c r="CW51" s="501">
        <f t="shared" si="1"/>
        <v>1</v>
      </c>
      <c r="CX51" s="249">
        <f t="shared" si="2"/>
        <v>0</v>
      </c>
      <c r="CY51" s="327"/>
    </row>
    <row r="52" spans="1:103">
      <c r="A52" s="510" t="s">
        <v>393</v>
      </c>
      <c r="B52" s="162" t="str">
        <f>IFERROR(VLOOKUP(ParticipationMars1[[#This Row],[Référence]],ListeÉtudiants1[],18,FALSE),"")</f>
        <v>DANION LUCIE</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340"/>
      <c r="AH52" s="6">
        <f>COUNTIF(ParticipationMars1[[#This Row],[1]:[31]],Code1)</f>
        <v>0</v>
      </c>
      <c r="AI52" s="475">
        <f>COUNTIF(ParticipationMars1[[#This Row],[1]:[31]],code22)</f>
        <v>0</v>
      </c>
      <c r="AJ52" s="30">
        <f>COUNTIF(ParticipationMars1[[#This Row],[1]:[31]],Code2)</f>
        <v>0</v>
      </c>
      <c r="AK52" s="30">
        <f>COUNTIF(ParticipationMars1[[#This Row],[1]:[31]],Code3)</f>
        <v>0</v>
      </c>
      <c r="AL52" s="30">
        <f>COUNTIF(ParticipationMars1[[#This Row],[1]:[31]],Code4)</f>
        <v>0</v>
      </c>
      <c r="AM52" s="473">
        <f>COUNTIF(ParticipationMars1[[#This Row],[1]:[31]],Code5)</f>
        <v>0</v>
      </c>
      <c r="AN52" s="473">
        <f>COUNTIF(ParticipationMars1[[#This Row],[1]:[31]],Code23)</f>
        <v>0</v>
      </c>
      <c r="AO52" s="473">
        <f>COUNTIF(ParticipationMars1[[#This Row],[1]:[31]],Code6)</f>
        <v>0</v>
      </c>
      <c r="AP52" s="473">
        <f>COUNTIF(ParticipationMars1[[#This Row],[1]:[31]],Code7)</f>
        <v>0</v>
      </c>
      <c r="AQ52" s="473">
        <f>COUNTIF(ParticipationMars1[[#This Row],[1]:[31]],Code8)</f>
        <v>0</v>
      </c>
      <c r="AR52" s="473">
        <f>COUNTIF(ParticipationMars1[[#This Row],[1]:[31]],Code9)</f>
        <v>0</v>
      </c>
      <c r="AS52" s="473">
        <f>COUNTIF(ParticipationMars1[[#This Row],[1]:[31]],Code10)</f>
        <v>0</v>
      </c>
      <c r="AT52" s="473">
        <f>COUNTIF(ParticipationMars1[[#This Row],[1]:[31]],Code11)</f>
        <v>0</v>
      </c>
      <c r="AU52" s="473">
        <f>COUNTIF(ParticipationMars1[[#This Row],[1]:[31]],Code12)</f>
        <v>0</v>
      </c>
      <c r="AV52" s="473">
        <f>COUNTIF(ParticipationMars1[[#This Row],[1]:[31]],Code13)</f>
        <v>0</v>
      </c>
      <c r="AW52" s="473">
        <f>COUNTIF(ParticipationMars1[[#This Row],[1]:[31]],Code14)</f>
        <v>0</v>
      </c>
      <c r="AX52" s="473">
        <f>COUNTIF(ParticipationMars1[[#This Row],[1]:[31]],Code15)</f>
        <v>0</v>
      </c>
      <c r="AY52" s="473">
        <f>COUNTIF(ParticipationMars1[[#This Row],[1]:[31]],Code16)</f>
        <v>0</v>
      </c>
      <c r="AZ52" s="473">
        <f>COUNTIF(ParticipationMars1[[#This Row],[1]:[31]],Code17)</f>
        <v>0</v>
      </c>
      <c r="BA52" s="473">
        <f>COUNTIF(ParticipationMars1[[#This Row],[1]:[31]],Code25)</f>
        <v>0</v>
      </c>
      <c r="BB52" s="473">
        <f>COUNTIF(ParticipationMars1[[#This Row],[1]:[31]],Code26)</f>
        <v>0</v>
      </c>
      <c r="BC52" s="473">
        <f>COUNTIF(ParticipationMars1[[#This Row],[1]:[31]],Code27)</f>
        <v>0</v>
      </c>
      <c r="BD52" s="473">
        <f>COUNTIF(ParticipationMars1[[#This Row],[1]:[31]],Code28)</f>
        <v>0</v>
      </c>
      <c r="BE52" s="473">
        <f>COUNTIF(ParticipationMars1[[#This Row],[1]:[31]],code30)</f>
        <v>0</v>
      </c>
      <c r="BF52" s="473">
        <f>COUNTIF(ParticipationMars1[[#This Row],[1]:[31]],Code31)</f>
        <v>0</v>
      </c>
      <c r="BG52" s="473">
        <f>COUNTIF(ParticipationMars1[[#This Row],[1]:[31]],code21)</f>
        <v>0</v>
      </c>
      <c r="BH52" s="473">
        <f>COUNTIF(ParticipationMars1[[#This Row],[1]:[31]],Code24)</f>
        <v>0</v>
      </c>
      <c r="BI52" s="473">
        <f>COUNTIF(ParticipationMars1[[#This Row],[1]:[31]],code18)</f>
        <v>0</v>
      </c>
      <c r="BJ52" s="473">
        <f>COUNTIF(ParticipationMars1[[#This Row],[1]:[31]],code19)</f>
        <v>0</v>
      </c>
      <c r="BK52" s="473">
        <f>COUNTIF(ParticipationMars1[[#This Row],[1]:[31]],code20)</f>
        <v>0</v>
      </c>
      <c r="BL52" s="516">
        <f>COUNTIF(ParticipationMars1[[#This Row],[1]:[31]],code29)</f>
        <v>0</v>
      </c>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3"/>
      <c r="CT52" s="473"/>
      <c r="CU52" s="516"/>
      <c r="CV52" s="533">
        <f t="shared" si="0"/>
        <v>0</v>
      </c>
      <c r="CW52" s="533">
        <f t="shared" si="1"/>
        <v>0</v>
      </c>
      <c r="CX52" s="523">
        <f t="shared" si="2"/>
        <v>0</v>
      </c>
      <c r="CY52" s="512"/>
    </row>
    <row r="53" spans="1:103">
      <c r="A53" s="510" t="s">
        <v>394</v>
      </c>
      <c r="B53" s="162" t="str">
        <f>IFERROR(VLOOKUP(ParticipationMars1[[#This Row],[Référence]],ListeÉtudiants1[],18,FALSE),"")</f>
        <v>DE LUISE STELLA</v>
      </c>
    </row>
    <row r="54" spans="1:103">
      <c r="A54" s="534" t="s">
        <v>395</v>
      </c>
      <c r="B54" s="162" t="str">
        <f>IFERROR(VLOOKUP(ParticipationMars1[[#This Row],[Référence]],ListeÉtudiants1[],18,FALSE),"")</f>
        <v>DIAOUNE MAJULA</v>
      </c>
      <c r="C54" s="19"/>
      <c r="D54" s="19"/>
      <c r="E54" s="19"/>
      <c r="F54" s="19"/>
      <c r="G54" s="19"/>
      <c r="H54" s="19"/>
      <c r="I54" s="19"/>
      <c r="J54" s="19"/>
      <c r="K54" s="19"/>
      <c r="L54" s="19"/>
      <c r="M54" s="19"/>
      <c r="N54" s="19"/>
      <c r="O54" s="19"/>
      <c r="P54" s="19"/>
      <c r="Q54" s="19" t="s">
        <v>529</v>
      </c>
      <c r="R54" s="19"/>
      <c r="S54" s="19"/>
      <c r="T54" s="19"/>
      <c r="U54" s="19" t="s">
        <v>529</v>
      </c>
      <c r="V54" s="19"/>
      <c r="W54" s="19"/>
      <c r="X54" s="19"/>
      <c r="Y54" s="19"/>
      <c r="Z54" s="19"/>
      <c r="AA54" s="19"/>
      <c r="AB54" s="19"/>
      <c r="AC54" s="19"/>
      <c r="AD54" s="19"/>
      <c r="AE54" s="19"/>
      <c r="AF54" s="19"/>
      <c r="AG54" s="144"/>
      <c r="AH54" s="6">
        <f>COUNTIF(ParticipationMars1[[#This Row],[1]:[31]],Code1)</f>
        <v>0</v>
      </c>
      <c r="AI54" s="331">
        <f>COUNTIF(ParticipationMars1[[#This Row],[1]:[31]],code22)</f>
        <v>0</v>
      </c>
      <c r="AJ54" s="30">
        <f>COUNTIF(ParticipationMars1[[#This Row],[1]:[31]],Code2)</f>
        <v>0</v>
      </c>
      <c r="AK54" s="30">
        <f>COUNTIF(ParticipationMars1[[#This Row],[1]:[31]],Code3)</f>
        <v>0</v>
      </c>
      <c r="AL54" s="30">
        <f>COUNTIF(ParticipationMars1[[#This Row],[1]:[31]],Code4)</f>
        <v>0</v>
      </c>
      <c r="AM54" s="307">
        <f>COUNTIF(ParticipationMars1[[#This Row],[1]:[31]],Code5)</f>
        <v>0</v>
      </c>
      <c r="AN54" s="307">
        <f>COUNTIF(ParticipationMars1[[#This Row],[1]:[31]],Code23)</f>
        <v>2</v>
      </c>
      <c r="AO54" s="307">
        <f>COUNTIF(ParticipationMars1[[#This Row],[1]:[31]],Code6)</f>
        <v>0</v>
      </c>
      <c r="AP54" s="307">
        <f>COUNTIF(ParticipationMars1[[#This Row],[1]:[31]],Code7)</f>
        <v>0</v>
      </c>
      <c r="AQ54" s="307">
        <f>COUNTIF(ParticipationMars1[[#This Row],[1]:[31]],Code8)</f>
        <v>0</v>
      </c>
      <c r="AR54" s="307">
        <f>COUNTIF(ParticipationMars1[[#This Row],[1]:[31]],Code9)</f>
        <v>0</v>
      </c>
      <c r="AS54" s="307">
        <f>COUNTIF(ParticipationMars1[[#This Row],[1]:[31]],Code10)</f>
        <v>0</v>
      </c>
      <c r="AT54" s="307">
        <f>COUNTIF(ParticipationMars1[[#This Row],[1]:[31]],Code11)</f>
        <v>0</v>
      </c>
      <c r="AU54" s="307">
        <f>COUNTIF(ParticipationMars1[[#This Row],[1]:[31]],Code12)</f>
        <v>0</v>
      </c>
      <c r="AV54" s="307">
        <f>COUNTIF(ParticipationMars1[[#This Row],[1]:[31]],Code13)</f>
        <v>0</v>
      </c>
      <c r="AW54" s="307">
        <f>COUNTIF(ParticipationMars1[[#This Row],[1]:[31]],Code14)</f>
        <v>0</v>
      </c>
      <c r="AX54" s="307">
        <f>COUNTIF(ParticipationMars1[[#This Row],[1]:[31]],Code15)</f>
        <v>0</v>
      </c>
      <c r="AY54" s="307">
        <f>COUNTIF(ParticipationMars1[[#This Row],[1]:[31]],Code16)</f>
        <v>0</v>
      </c>
      <c r="AZ54" s="307">
        <f>COUNTIF(ParticipationMars1[[#This Row],[1]:[31]],Code17)</f>
        <v>0</v>
      </c>
      <c r="BA54" s="307">
        <f>COUNTIF(ParticipationMars1[[#This Row],[1]:[31]],Code25)</f>
        <v>0</v>
      </c>
      <c r="BB54" s="307">
        <f>COUNTIF(ParticipationMars1[[#This Row],[1]:[31]],Code26)</f>
        <v>0</v>
      </c>
      <c r="BC54" s="307">
        <f>COUNTIF(ParticipationMars1[[#This Row],[1]:[31]],Code27)</f>
        <v>0</v>
      </c>
      <c r="BD54" s="307">
        <f>COUNTIF(ParticipationMars1[[#This Row],[1]:[31]],Code28)</f>
        <v>0</v>
      </c>
      <c r="BE54" s="307">
        <f>COUNTIF(ParticipationMars1[[#This Row],[1]:[31]],code30)</f>
        <v>0</v>
      </c>
      <c r="BF54" s="307">
        <f>COUNTIF(ParticipationMars1[[#This Row],[1]:[31]],Code31)</f>
        <v>0</v>
      </c>
      <c r="BG54" s="307">
        <f>COUNTIF(ParticipationMars1[[#This Row],[1]:[31]],code21)</f>
        <v>0</v>
      </c>
      <c r="BH54" s="307">
        <f>COUNTIF(ParticipationMars1[[#This Row],[1]:[31]],Code24)</f>
        <v>0</v>
      </c>
      <c r="BI54" s="307">
        <f>COUNTIF(ParticipationMars1[[#This Row],[1]:[31]],code18)</f>
        <v>0</v>
      </c>
      <c r="BJ54" s="307">
        <f>COUNTIF(ParticipationMars1[[#This Row],[1]:[31]],code19)</f>
        <v>0</v>
      </c>
      <c r="BK54" s="307">
        <f>COUNTIF(ParticipationMars1[[#This Row],[1]:[31]],code20)</f>
        <v>0</v>
      </c>
      <c r="BL54" s="300">
        <f>COUNTIF(ParticipationMars1[[#This Row],[1]:[31]],code29)</f>
        <v>0</v>
      </c>
      <c r="BM54" s="297"/>
      <c r="BN54" s="297"/>
      <c r="BO54" s="297"/>
      <c r="BP54" s="297"/>
      <c r="BQ54" s="297"/>
      <c r="BR54" s="297"/>
      <c r="BS54" s="297"/>
      <c r="BT54" s="297"/>
      <c r="BU54" s="297"/>
      <c r="BV54" s="297"/>
      <c r="BW54" s="297">
        <v>1</v>
      </c>
      <c r="BX54" s="297"/>
      <c r="BY54" s="297"/>
      <c r="BZ54" s="297"/>
      <c r="CA54" s="297"/>
      <c r="CB54" s="297"/>
      <c r="CC54" s="297"/>
      <c r="CD54" s="297"/>
      <c r="CE54" s="297"/>
      <c r="CF54" s="297"/>
      <c r="CG54" s="297"/>
      <c r="CH54" s="297"/>
      <c r="CI54" s="297"/>
      <c r="CJ54" s="297"/>
      <c r="CK54" s="297"/>
      <c r="CL54" s="297"/>
      <c r="CM54" s="297"/>
      <c r="CN54" s="297"/>
      <c r="CO54" s="297"/>
      <c r="CP54" s="297"/>
      <c r="CQ54" s="297"/>
      <c r="CR54" s="297"/>
      <c r="CS54" s="307"/>
      <c r="CT54" s="307"/>
      <c r="CU54" s="300"/>
      <c r="CV54" s="501">
        <f t="shared" ref="CV54:CV85" si="3">SUM((AH54*1)+(AI54*1.5)+(AJ54*2)+(AK54*3)+(AP54*5)+(AQ54*6)+(AR54*7)+(AU54*2)+(AX54*3)+(AY54*4)+(AZ54*5)+(BB54*3)+(BA54*2)+(BG54*2)+(BC54*2)+(BD54*2)+(BE54*3)+(BF54*3))</f>
        <v>0</v>
      </c>
      <c r="CW54" s="501">
        <f t="shared" ref="CW54:CW85" si="4">SUM((AN54*1)+(AM54*2)+(AO54*3)+(AP54*4)+(AT54*5)+(AU54*6)+(AV54*7)+(AW54*7)+(AX54*4)+(AY54*3)+(AZ54*2)+(BA54*4)+(BB54*1)+(BG54*2)+(BC54*5)+(BD54*1)+(BE54*2)+(BF54*3))</f>
        <v>2</v>
      </c>
      <c r="CX54" s="341">
        <f t="shared" ref="CX54:CX85" si="5">BH54*1+BL54*3</f>
        <v>0</v>
      </c>
      <c r="CY54" s="327"/>
    </row>
    <row r="55" spans="1:103">
      <c r="A55" s="510" t="s">
        <v>396</v>
      </c>
      <c r="B55" s="162" t="str">
        <f>IFERROR(VLOOKUP(ParticipationMars1[[#This Row],[Référence]],ListeÉtudiants1[],18,FALSE),"")</f>
        <v>DOS SANTOS SILVA CELIA</v>
      </c>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340"/>
      <c r="AH55" s="6">
        <f>COUNTIF(ParticipationMars1[[#This Row],[1]:[31]],Code1)</f>
        <v>0</v>
      </c>
      <c r="AI55" s="475">
        <f>COUNTIF(ParticipationMars1[[#This Row],[1]:[31]],code22)</f>
        <v>0</v>
      </c>
      <c r="AJ55" s="30">
        <f>COUNTIF(ParticipationMars1[[#This Row],[1]:[31]],Code2)</f>
        <v>0</v>
      </c>
      <c r="AK55" s="30">
        <f>COUNTIF(ParticipationMars1[[#This Row],[1]:[31]],Code3)</f>
        <v>0</v>
      </c>
      <c r="AL55" s="30">
        <f>COUNTIF(ParticipationMars1[[#This Row],[1]:[31]],Code4)</f>
        <v>0</v>
      </c>
      <c r="AM55" s="473">
        <f>COUNTIF(ParticipationMars1[[#This Row],[1]:[31]],Code5)</f>
        <v>0</v>
      </c>
      <c r="AN55" s="473">
        <f>COUNTIF(ParticipationMars1[[#This Row],[1]:[31]],Code23)</f>
        <v>0</v>
      </c>
      <c r="AO55" s="473">
        <f>COUNTIF(ParticipationMars1[[#This Row],[1]:[31]],Code6)</f>
        <v>0</v>
      </c>
      <c r="AP55" s="473">
        <f>COUNTIF(ParticipationMars1[[#This Row],[1]:[31]],Code7)</f>
        <v>0</v>
      </c>
      <c r="AQ55" s="473">
        <f>COUNTIF(ParticipationMars1[[#This Row],[1]:[31]],Code8)</f>
        <v>0</v>
      </c>
      <c r="AR55" s="473">
        <f>COUNTIF(ParticipationMars1[[#This Row],[1]:[31]],Code9)</f>
        <v>0</v>
      </c>
      <c r="AS55" s="473">
        <f>COUNTIF(ParticipationMars1[[#This Row],[1]:[31]],Code10)</f>
        <v>0</v>
      </c>
      <c r="AT55" s="473">
        <f>COUNTIF(ParticipationMars1[[#This Row],[1]:[31]],Code11)</f>
        <v>0</v>
      </c>
      <c r="AU55" s="473">
        <f>COUNTIF(ParticipationMars1[[#This Row],[1]:[31]],Code12)</f>
        <v>0</v>
      </c>
      <c r="AV55" s="473">
        <f>COUNTIF(ParticipationMars1[[#This Row],[1]:[31]],Code13)</f>
        <v>0</v>
      </c>
      <c r="AW55" s="473">
        <f>COUNTIF(ParticipationMars1[[#This Row],[1]:[31]],Code14)</f>
        <v>0</v>
      </c>
      <c r="AX55" s="473">
        <f>COUNTIF(ParticipationMars1[[#This Row],[1]:[31]],Code15)</f>
        <v>0</v>
      </c>
      <c r="AY55" s="473">
        <f>COUNTIF(ParticipationMars1[[#This Row],[1]:[31]],Code16)</f>
        <v>0</v>
      </c>
      <c r="AZ55" s="473">
        <f>COUNTIF(ParticipationMars1[[#This Row],[1]:[31]],Code17)</f>
        <v>0</v>
      </c>
      <c r="BA55" s="473">
        <f>COUNTIF(ParticipationMars1[[#This Row],[1]:[31]],Code25)</f>
        <v>0</v>
      </c>
      <c r="BB55" s="473">
        <f>COUNTIF(ParticipationMars1[[#This Row],[1]:[31]],Code26)</f>
        <v>0</v>
      </c>
      <c r="BC55" s="473">
        <f>COUNTIF(ParticipationMars1[[#This Row],[1]:[31]],Code27)</f>
        <v>0</v>
      </c>
      <c r="BD55" s="473">
        <f>COUNTIF(ParticipationMars1[[#This Row],[1]:[31]],Code28)</f>
        <v>0</v>
      </c>
      <c r="BE55" s="473">
        <f>COUNTIF(ParticipationMars1[[#This Row],[1]:[31]],code30)</f>
        <v>0</v>
      </c>
      <c r="BF55" s="473">
        <f>COUNTIF(ParticipationMars1[[#This Row],[1]:[31]],Code31)</f>
        <v>0</v>
      </c>
      <c r="BG55" s="473">
        <f>COUNTIF(ParticipationMars1[[#This Row],[1]:[31]],code21)</f>
        <v>0</v>
      </c>
      <c r="BH55" s="473">
        <f>COUNTIF(ParticipationMars1[[#This Row],[1]:[31]],Code24)</f>
        <v>0</v>
      </c>
      <c r="BI55" s="473">
        <f>COUNTIF(ParticipationMars1[[#This Row],[1]:[31]],code18)</f>
        <v>0</v>
      </c>
      <c r="BJ55" s="473">
        <f>COUNTIF(ParticipationMars1[[#This Row],[1]:[31]],code19)</f>
        <v>0</v>
      </c>
      <c r="BK55" s="473">
        <f>COUNTIF(ParticipationMars1[[#This Row],[1]:[31]],code20)</f>
        <v>0</v>
      </c>
      <c r="BL55" s="516">
        <f>COUNTIF(ParticipationMars1[[#This Row],[1]:[31]],code29)</f>
        <v>0</v>
      </c>
      <c r="BM55" s="472"/>
      <c r="BN55" s="472"/>
      <c r="BO55" s="472"/>
      <c r="BP55" s="472"/>
      <c r="BQ55" s="472"/>
      <c r="BR55" s="472"/>
      <c r="BS55" s="472"/>
      <c r="BT55" s="472"/>
      <c r="BU55" s="472"/>
      <c r="BV55" s="472"/>
      <c r="BW55" s="472"/>
      <c r="BX55" s="472"/>
      <c r="BY55" s="472"/>
      <c r="BZ55" s="472"/>
      <c r="CA55" s="472"/>
      <c r="CB55" s="472"/>
      <c r="CC55" s="472"/>
      <c r="CD55" s="472"/>
      <c r="CE55" s="472"/>
      <c r="CF55" s="472"/>
      <c r="CG55" s="472"/>
      <c r="CH55" s="472"/>
      <c r="CI55" s="472"/>
      <c r="CJ55" s="472"/>
      <c r="CK55" s="472"/>
      <c r="CL55" s="472"/>
      <c r="CM55" s="472"/>
      <c r="CN55" s="472"/>
      <c r="CO55" s="472"/>
      <c r="CP55" s="472"/>
      <c r="CQ55" s="472"/>
      <c r="CR55" s="472"/>
      <c r="CS55" s="473"/>
      <c r="CT55" s="473"/>
      <c r="CU55" s="516"/>
      <c r="CV55" s="533">
        <f t="shared" si="3"/>
        <v>0</v>
      </c>
      <c r="CW55" s="533">
        <f t="shared" si="4"/>
        <v>0</v>
      </c>
      <c r="CX55" s="523">
        <f t="shared" si="5"/>
        <v>0</v>
      </c>
      <c r="CY55" s="512"/>
    </row>
    <row r="56" spans="1:103">
      <c r="A56" s="534" t="s">
        <v>397</v>
      </c>
      <c r="B56" s="162" t="str">
        <f>IFERROR(VLOOKUP(ParticipationMars1[[#This Row],[Référence]],ListeÉtudiants1[],18,FALSE),"")</f>
        <v>DOSSOU ESTELLE</v>
      </c>
      <c r="C56" s="19"/>
      <c r="D56" s="19"/>
      <c r="E56" s="19"/>
      <c r="F56" s="19"/>
      <c r="G56" s="19"/>
      <c r="H56" s="19"/>
      <c r="I56" s="19"/>
      <c r="J56" s="19"/>
      <c r="K56" s="19"/>
      <c r="L56" s="19"/>
      <c r="M56" s="19"/>
      <c r="N56" s="19"/>
      <c r="O56" s="19"/>
      <c r="P56" s="19"/>
      <c r="Q56" s="19"/>
      <c r="R56" s="19"/>
      <c r="S56" s="19"/>
      <c r="T56" s="19"/>
      <c r="U56" s="19"/>
      <c r="V56" s="19"/>
      <c r="W56" s="19" t="s">
        <v>108</v>
      </c>
      <c r="X56" s="19" t="s">
        <v>488</v>
      </c>
      <c r="Y56" s="19" t="s">
        <v>108</v>
      </c>
      <c r="Z56" s="19"/>
      <c r="AA56" s="19"/>
      <c r="AB56" s="19" t="s">
        <v>108</v>
      </c>
      <c r="AC56" s="19" t="s">
        <v>486</v>
      </c>
      <c r="AD56" s="19" t="s">
        <v>507</v>
      </c>
      <c r="AE56" s="19"/>
      <c r="AF56" s="19"/>
      <c r="AG56" s="144"/>
      <c r="AH56" s="6">
        <f>COUNTIF(ParticipationMars1[[#This Row],[1]:[31]],Code1)</f>
        <v>0</v>
      </c>
      <c r="AI56" s="331">
        <f>COUNTIF(ParticipationMars1[[#This Row],[1]:[31]],code22)</f>
        <v>0</v>
      </c>
      <c r="AJ56" s="30">
        <f>COUNTIF(ParticipationMars1[[#This Row],[1]:[31]],Code2)</f>
        <v>0</v>
      </c>
      <c r="AK56" s="30">
        <f>COUNTIF(ParticipationMars1[[#This Row],[1]:[31]],Code3)</f>
        <v>0</v>
      </c>
      <c r="AL56" s="30">
        <f>COUNTIF(ParticipationMars1[[#This Row],[1]:[31]],Code4)</f>
        <v>0</v>
      </c>
      <c r="AM56" s="307">
        <f>COUNTIF(ParticipationMars1[[#This Row],[1]:[31]],Code5)</f>
        <v>0</v>
      </c>
      <c r="AN56" s="307">
        <f>COUNTIF(ParticipationMars1[[#This Row],[1]:[31]],Code23)</f>
        <v>0</v>
      </c>
      <c r="AO56" s="307">
        <f>COUNTIF(ParticipationMars1[[#This Row],[1]:[31]],Code6)</f>
        <v>3</v>
      </c>
      <c r="AP56" s="307">
        <f>COUNTIF(ParticipationMars1[[#This Row],[1]:[31]],Code7)</f>
        <v>0</v>
      </c>
      <c r="AQ56" s="307">
        <f>COUNTIF(ParticipationMars1[[#This Row],[1]:[31]],Code8)</f>
        <v>0</v>
      </c>
      <c r="AR56" s="307">
        <f>COUNTIF(ParticipationMars1[[#This Row],[1]:[31]],Code9)</f>
        <v>0</v>
      </c>
      <c r="AS56" s="307">
        <f>COUNTIF(ParticipationMars1[[#This Row],[1]:[31]],Code10)</f>
        <v>0</v>
      </c>
      <c r="AT56" s="307">
        <f>COUNTIF(ParticipationMars1[[#This Row],[1]:[31]],Code11)</f>
        <v>1</v>
      </c>
      <c r="AU56" s="307">
        <f>COUNTIF(ParticipationMars1[[#This Row],[1]:[31]],Code12)</f>
        <v>0</v>
      </c>
      <c r="AV56" s="307">
        <f>COUNTIF(ParticipationMars1[[#This Row],[1]:[31]],Code13)</f>
        <v>0</v>
      </c>
      <c r="AW56" s="307">
        <f>COUNTIF(ParticipationMars1[[#This Row],[1]:[31]],Code14)</f>
        <v>1</v>
      </c>
      <c r="AX56" s="307">
        <f>COUNTIF(ParticipationMars1[[#This Row],[1]:[31]],Code15)</f>
        <v>0</v>
      </c>
      <c r="AY56" s="307">
        <f>COUNTIF(ParticipationMars1[[#This Row],[1]:[31]],Code16)</f>
        <v>0</v>
      </c>
      <c r="AZ56" s="307">
        <f>COUNTIF(ParticipationMars1[[#This Row],[1]:[31]],Code17)</f>
        <v>0</v>
      </c>
      <c r="BA56" s="307">
        <f>COUNTIF(ParticipationMars1[[#This Row],[1]:[31]],Code25)</f>
        <v>0</v>
      </c>
      <c r="BB56" s="307">
        <f>COUNTIF(ParticipationMars1[[#This Row],[1]:[31]],Code26)</f>
        <v>0</v>
      </c>
      <c r="BC56" s="307">
        <f>COUNTIF(ParticipationMars1[[#This Row],[1]:[31]],Code27)</f>
        <v>0</v>
      </c>
      <c r="BD56" s="307">
        <f>COUNTIF(ParticipationMars1[[#This Row],[1]:[31]],Code28)</f>
        <v>0</v>
      </c>
      <c r="BE56" s="307">
        <f>COUNTIF(ParticipationMars1[[#This Row],[1]:[31]],code30)</f>
        <v>0</v>
      </c>
      <c r="BF56" s="307">
        <f>COUNTIF(ParticipationMars1[[#This Row],[1]:[31]],Code31)</f>
        <v>0</v>
      </c>
      <c r="BG56" s="307">
        <f>COUNTIF(ParticipationMars1[[#This Row],[1]:[31]],code21)</f>
        <v>1</v>
      </c>
      <c r="BH56" s="307">
        <f>COUNTIF(ParticipationMars1[[#This Row],[1]:[31]],Code24)</f>
        <v>0</v>
      </c>
      <c r="BI56" s="307">
        <f>COUNTIF(ParticipationMars1[[#This Row],[1]:[31]],code18)</f>
        <v>0</v>
      </c>
      <c r="BJ56" s="307">
        <f>COUNTIF(ParticipationMars1[[#This Row],[1]:[31]],code19)</f>
        <v>0</v>
      </c>
      <c r="BK56" s="307">
        <f>COUNTIF(ParticipationMars1[[#This Row],[1]:[31]],code20)</f>
        <v>0</v>
      </c>
      <c r="BL56" s="300">
        <f>COUNTIF(ParticipationMars1[[#This Row],[1]:[31]],code29)</f>
        <v>0</v>
      </c>
      <c r="BM56" s="297"/>
      <c r="BN56" s="297">
        <v>1</v>
      </c>
      <c r="BO56" s="297"/>
      <c r="BP56" s="297"/>
      <c r="BQ56" s="297"/>
      <c r="BR56" s="297"/>
      <c r="BS56" s="297"/>
      <c r="BT56" s="297">
        <v>1</v>
      </c>
      <c r="BU56" s="297"/>
      <c r="BV56" s="297"/>
      <c r="BW56" s="297">
        <v>6</v>
      </c>
      <c r="BX56" s="297"/>
      <c r="BY56" s="297"/>
      <c r="BZ56" s="297"/>
      <c r="CA56" s="297"/>
      <c r="CB56" s="297">
        <v>1</v>
      </c>
      <c r="CC56" s="297"/>
      <c r="CD56" s="297"/>
      <c r="CE56" s="297"/>
      <c r="CF56" s="297"/>
      <c r="CG56" s="297">
        <v>2</v>
      </c>
      <c r="CH56" s="297"/>
      <c r="CI56" s="297"/>
      <c r="CJ56" s="297"/>
      <c r="CK56" s="297">
        <v>2</v>
      </c>
      <c r="CL56" s="297"/>
      <c r="CM56" s="297"/>
      <c r="CN56" s="297"/>
      <c r="CO56" s="297"/>
      <c r="CP56" s="297"/>
      <c r="CQ56" s="297"/>
      <c r="CR56" s="297"/>
      <c r="CS56" s="307"/>
      <c r="CT56" s="307"/>
      <c r="CU56" s="300"/>
      <c r="CV56" s="501">
        <f t="shared" si="3"/>
        <v>2</v>
      </c>
      <c r="CW56" s="501">
        <f t="shared" si="4"/>
        <v>23</v>
      </c>
      <c r="CX56" s="341">
        <f t="shared" si="5"/>
        <v>0</v>
      </c>
      <c r="CY56" s="327"/>
    </row>
    <row r="57" spans="1:103">
      <c r="A57" s="510" t="s">
        <v>398</v>
      </c>
      <c r="B57" s="162" t="str">
        <f>IFERROR(VLOOKUP(ParticipationMars1[[#This Row],[Référence]],ListeÉtudiants1[],18,FALSE),"")</f>
        <v>DUFFO FELIX</v>
      </c>
      <c r="C57" s="19"/>
      <c r="D57" s="19"/>
      <c r="E57" s="19"/>
      <c r="F57" s="19"/>
      <c r="G57" s="19"/>
      <c r="H57" s="19"/>
      <c r="I57" s="19"/>
      <c r="J57" s="19"/>
      <c r="K57" s="19"/>
      <c r="L57" s="19"/>
      <c r="M57" s="19"/>
      <c r="N57" s="19"/>
      <c r="O57" s="19"/>
      <c r="P57" s="19"/>
      <c r="Q57" s="19" t="s">
        <v>529</v>
      </c>
      <c r="R57" s="19"/>
      <c r="S57" s="19"/>
      <c r="T57" s="19"/>
      <c r="U57" s="19"/>
      <c r="V57" s="19"/>
      <c r="W57" s="19" t="s">
        <v>529</v>
      </c>
      <c r="X57" s="19"/>
      <c r="Y57" s="19" t="s">
        <v>108</v>
      </c>
      <c r="Z57" s="19"/>
      <c r="AA57" s="19"/>
      <c r="AB57" s="19"/>
      <c r="AC57" s="19" t="s">
        <v>108</v>
      </c>
      <c r="AD57" s="19"/>
      <c r="AE57" s="19"/>
      <c r="AF57" s="19"/>
      <c r="AG57" s="144"/>
      <c r="AH57" s="6">
        <f>COUNTIF(ParticipationMars1[[#This Row],[1]:[31]],Code1)</f>
        <v>0</v>
      </c>
      <c r="AI57" s="331">
        <f>COUNTIF(ParticipationMars1[[#This Row],[1]:[31]],code22)</f>
        <v>0</v>
      </c>
      <c r="AJ57" s="30">
        <f>COUNTIF(ParticipationMars1[[#This Row],[1]:[31]],Code2)</f>
        <v>0</v>
      </c>
      <c r="AK57" s="30">
        <f>COUNTIF(ParticipationMars1[[#This Row],[1]:[31]],Code3)</f>
        <v>0</v>
      </c>
      <c r="AL57" s="30">
        <f>COUNTIF(ParticipationMars1[[#This Row],[1]:[31]],Code4)</f>
        <v>0</v>
      </c>
      <c r="AM57" s="307">
        <f>COUNTIF(ParticipationMars1[[#This Row],[1]:[31]],Code5)</f>
        <v>0</v>
      </c>
      <c r="AN57" s="307">
        <f>COUNTIF(ParticipationMars1[[#This Row],[1]:[31]],Code23)</f>
        <v>2</v>
      </c>
      <c r="AO57" s="307">
        <f>COUNTIF(ParticipationMars1[[#This Row],[1]:[31]],Code6)</f>
        <v>2</v>
      </c>
      <c r="AP57" s="307">
        <f>COUNTIF(ParticipationMars1[[#This Row],[1]:[31]],Code7)</f>
        <v>0</v>
      </c>
      <c r="AQ57" s="307">
        <f>COUNTIF(ParticipationMars1[[#This Row],[1]:[31]],Code8)</f>
        <v>0</v>
      </c>
      <c r="AR57" s="307">
        <f>COUNTIF(ParticipationMars1[[#This Row],[1]:[31]],Code9)</f>
        <v>0</v>
      </c>
      <c r="AS57" s="307">
        <f>COUNTIF(ParticipationMars1[[#This Row],[1]:[31]],Code10)</f>
        <v>0</v>
      </c>
      <c r="AT57" s="307">
        <f>COUNTIF(ParticipationMars1[[#This Row],[1]:[31]],Code11)</f>
        <v>0</v>
      </c>
      <c r="AU57" s="307">
        <f>COUNTIF(ParticipationMars1[[#This Row],[1]:[31]],Code12)</f>
        <v>0</v>
      </c>
      <c r="AV57" s="307">
        <f>COUNTIF(ParticipationMars1[[#This Row],[1]:[31]],Code13)</f>
        <v>0</v>
      </c>
      <c r="AW57" s="307">
        <f>COUNTIF(ParticipationMars1[[#This Row],[1]:[31]],Code14)</f>
        <v>0</v>
      </c>
      <c r="AX57" s="307">
        <f>COUNTIF(ParticipationMars1[[#This Row],[1]:[31]],Code15)</f>
        <v>0</v>
      </c>
      <c r="AY57" s="307">
        <f>COUNTIF(ParticipationMars1[[#This Row],[1]:[31]],Code16)</f>
        <v>0</v>
      </c>
      <c r="AZ57" s="307">
        <f>COUNTIF(ParticipationMars1[[#This Row],[1]:[31]],Code17)</f>
        <v>0</v>
      </c>
      <c r="BA57" s="307">
        <f>COUNTIF(ParticipationMars1[[#This Row],[1]:[31]],Code25)</f>
        <v>0</v>
      </c>
      <c r="BB57" s="307">
        <f>COUNTIF(ParticipationMars1[[#This Row],[1]:[31]],Code26)</f>
        <v>0</v>
      </c>
      <c r="BC57" s="307">
        <f>COUNTIF(ParticipationMars1[[#This Row],[1]:[31]],Code27)</f>
        <v>0</v>
      </c>
      <c r="BD57" s="307">
        <f>COUNTIF(ParticipationMars1[[#This Row],[1]:[31]],Code28)</f>
        <v>0</v>
      </c>
      <c r="BE57" s="307">
        <f>COUNTIF(ParticipationMars1[[#This Row],[1]:[31]],code30)</f>
        <v>0</v>
      </c>
      <c r="BF57" s="307">
        <f>COUNTIF(ParticipationMars1[[#This Row],[1]:[31]],Code31)</f>
        <v>0</v>
      </c>
      <c r="BG57" s="307">
        <f>COUNTIF(ParticipationMars1[[#This Row],[1]:[31]],code21)</f>
        <v>0</v>
      </c>
      <c r="BH57" s="307">
        <f>COUNTIF(ParticipationMars1[[#This Row],[1]:[31]],Code24)</f>
        <v>0</v>
      </c>
      <c r="BI57" s="307">
        <f>COUNTIF(ParticipationMars1[[#This Row],[1]:[31]],code18)</f>
        <v>0</v>
      </c>
      <c r="BJ57" s="307">
        <f>COUNTIF(ParticipationMars1[[#This Row],[1]:[31]],code19)</f>
        <v>0</v>
      </c>
      <c r="BK57" s="307">
        <f>COUNTIF(ParticipationMars1[[#This Row],[1]:[31]],code20)</f>
        <v>0</v>
      </c>
      <c r="BL57" s="300">
        <f>COUNTIF(ParticipationMars1[[#This Row],[1]:[31]],code29)</f>
        <v>0</v>
      </c>
      <c r="BM57" s="297"/>
      <c r="BN57" s="297"/>
      <c r="BO57" s="297"/>
      <c r="BP57" s="297"/>
      <c r="BQ57" s="297"/>
      <c r="BR57" s="297"/>
      <c r="BS57" s="297"/>
      <c r="BT57" s="297"/>
      <c r="BU57" s="297"/>
      <c r="BV57" s="297"/>
      <c r="BW57" s="297">
        <v>3</v>
      </c>
      <c r="BX57" s="297"/>
      <c r="BY57" s="297"/>
      <c r="BZ57" s="297"/>
      <c r="CA57" s="297"/>
      <c r="CB57" s="297"/>
      <c r="CC57" s="297"/>
      <c r="CD57" s="297"/>
      <c r="CE57" s="297"/>
      <c r="CF57" s="297"/>
      <c r="CG57" s="297"/>
      <c r="CH57" s="297"/>
      <c r="CI57" s="297"/>
      <c r="CJ57" s="297"/>
      <c r="CK57" s="297">
        <v>1</v>
      </c>
      <c r="CL57" s="297"/>
      <c r="CM57" s="297"/>
      <c r="CN57" s="297"/>
      <c r="CO57" s="297"/>
      <c r="CP57" s="297"/>
      <c r="CQ57" s="297"/>
      <c r="CR57" s="297"/>
      <c r="CS57" s="307"/>
      <c r="CT57" s="307"/>
      <c r="CU57" s="300"/>
      <c r="CV57" s="501">
        <f t="shared" si="3"/>
        <v>0</v>
      </c>
      <c r="CW57" s="501">
        <f t="shared" si="4"/>
        <v>8</v>
      </c>
      <c r="CX57" s="341">
        <f t="shared" si="5"/>
        <v>0</v>
      </c>
      <c r="CY57" s="327"/>
    </row>
    <row r="58" spans="1:103">
      <c r="A58" s="510" t="s">
        <v>399</v>
      </c>
      <c r="B58" s="162" t="str">
        <f>IFERROR(VLOOKUP(ParticipationMars1[[#This Row],[Référence]],ListeÉtudiants1[],18,FALSE),"")</f>
        <v>DUPUY JULINE</v>
      </c>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340"/>
      <c r="AH58" s="6">
        <f>COUNTIF(ParticipationMars1[[#This Row],[1]:[31]],Code1)</f>
        <v>0</v>
      </c>
      <c r="AI58" s="475">
        <f>COUNTIF(ParticipationMars1[[#This Row],[1]:[31]],code22)</f>
        <v>0</v>
      </c>
      <c r="AJ58" s="30">
        <f>COUNTIF(ParticipationMars1[[#This Row],[1]:[31]],Code2)</f>
        <v>0</v>
      </c>
      <c r="AK58" s="30">
        <f>COUNTIF(ParticipationMars1[[#This Row],[1]:[31]],Code3)</f>
        <v>0</v>
      </c>
      <c r="AL58" s="30">
        <f>COUNTIF(ParticipationMars1[[#This Row],[1]:[31]],Code4)</f>
        <v>0</v>
      </c>
      <c r="AM58" s="473">
        <f>COUNTIF(ParticipationMars1[[#This Row],[1]:[31]],Code5)</f>
        <v>0</v>
      </c>
      <c r="AN58" s="473">
        <f>COUNTIF(ParticipationMars1[[#This Row],[1]:[31]],Code23)</f>
        <v>0</v>
      </c>
      <c r="AO58" s="473">
        <f>COUNTIF(ParticipationMars1[[#This Row],[1]:[31]],Code6)</f>
        <v>0</v>
      </c>
      <c r="AP58" s="473">
        <f>COUNTIF(ParticipationMars1[[#This Row],[1]:[31]],Code7)</f>
        <v>0</v>
      </c>
      <c r="AQ58" s="473">
        <f>COUNTIF(ParticipationMars1[[#This Row],[1]:[31]],Code8)</f>
        <v>0</v>
      </c>
      <c r="AR58" s="473">
        <f>COUNTIF(ParticipationMars1[[#This Row],[1]:[31]],Code9)</f>
        <v>0</v>
      </c>
      <c r="AS58" s="473">
        <f>COUNTIF(ParticipationMars1[[#This Row],[1]:[31]],Code10)</f>
        <v>0</v>
      </c>
      <c r="AT58" s="473">
        <f>COUNTIF(ParticipationMars1[[#This Row],[1]:[31]],Code11)</f>
        <v>0</v>
      </c>
      <c r="AU58" s="473">
        <f>COUNTIF(ParticipationMars1[[#This Row],[1]:[31]],Code12)</f>
        <v>0</v>
      </c>
      <c r="AV58" s="473">
        <f>COUNTIF(ParticipationMars1[[#This Row],[1]:[31]],Code13)</f>
        <v>0</v>
      </c>
      <c r="AW58" s="473">
        <f>COUNTIF(ParticipationMars1[[#This Row],[1]:[31]],Code14)</f>
        <v>0</v>
      </c>
      <c r="AX58" s="473">
        <f>COUNTIF(ParticipationMars1[[#This Row],[1]:[31]],Code15)</f>
        <v>0</v>
      </c>
      <c r="AY58" s="473">
        <f>COUNTIF(ParticipationMars1[[#This Row],[1]:[31]],Code16)</f>
        <v>0</v>
      </c>
      <c r="AZ58" s="473">
        <f>COUNTIF(ParticipationMars1[[#This Row],[1]:[31]],Code17)</f>
        <v>0</v>
      </c>
      <c r="BA58" s="473">
        <f>COUNTIF(ParticipationMars1[[#This Row],[1]:[31]],Code25)</f>
        <v>0</v>
      </c>
      <c r="BB58" s="473">
        <f>COUNTIF(ParticipationMars1[[#This Row],[1]:[31]],Code26)</f>
        <v>0</v>
      </c>
      <c r="BC58" s="473">
        <f>COUNTIF(ParticipationMars1[[#This Row],[1]:[31]],Code27)</f>
        <v>0</v>
      </c>
      <c r="BD58" s="473">
        <f>COUNTIF(ParticipationMars1[[#This Row],[1]:[31]],Code28)</f>
        <v>0</v>
      </c>
      <c r="BE58" s="473">
        <f>COUNTIF(ParticipationMars1[[#This Row],[1]:[31]],code30)</f>
        <v>0</v>
      </c>
      <c r="BF58" s="473">
        <f>COUNTIF(ParticipationMars1[[#This Row],[1]:[31]],Code31)</f>
        <v>0</v>
      </c>
      <c r="BG58" s="473">
        <f>COUNTIF(ParticipationMars1[[#This Row],[1]:[31]],code21)</f>
        <v>0</v>
      </c>
      <c r="BH58" s="473">
        <f>COUNTIF(ParticipationMars1[[#This Row],[1]:[31]],Code24)</f>
        <v>0</v>
      </c>
      <c r="BI58" s="473">
        <f>COUNTIF(ParticipationMars1[[#This Row],[1]:[31]],code18)</f>
        <v>0</v>
      </c>
      <c r="BJ58" s="473">
        <f>COUNTIF(ParticipationMars1[[#This Row],[1]:[31]],code19)</f>
        <v>0</v>
      </c>
      <c r="BK58" s="473">
        <f>COUNTIF(ParticipationMars1[[#This Row],[1]:[31]],code20)</f>
        <v>0</v>
      </c>
      <c r="BL58" s="516">
        <f>COUNTIF(ParticipationMars1[[#This Row],[1]:[31]],code29)</f>
        <v>0</v>
      </c>
      <c r="BM58" s="472"/>
      <c r="BN58" s="472"/>
      <c r="BO58" s="472"/>
      <c r="BP58" s="472"/>
      <c r="BQ58" s="472"/>
      <c r="BR58" s="472"/>
      <c r="BS58" s="472"/>
      <c r="BT58" s="472"/>
      <c r="BU58" s="472"/>
      <c r="BV58" s="472"/>
      <c r="BW58" s="472"/>
      <c r="BX58" s="472"/>
      <c r="BY58" s="472"/>
      <c r="BZ58" s="472"/>
      <c r="CA58" s="472"/>
      <c r="CB58" s="472"/>
      <c r="CC58" s="472"/>
      <c r="CD58" s="472"/>
      <c r="CE58" s="472"/>
      <c r="CF58" s="472"/>
      <c r="CG58" s="472"/>
      <c r="CH58" s="472"/>
      <c r="CI58" s="472"/>
      <c r="CJ58" s="472"/>
      <c r="CK58" s="472"/>
      <c r="CL58" s="472"/>
      <c r="CM58" s="472"/>
      <c r="CN58" s="472"/>
      <c r="CO58" s="472"/>
      <c r="CP58" s="472"/>
      <c r="CQ58" s="472"/>
      <c r="CR58" s="472"/>
      <c r="CS58" s="473"/>
      <c r="CT58" s="473"/>
      <c r="CU58" s="516"/>
      <c r="CV58" s="533">
        <f t="shared" si="3"/>
        <v>0</v>
      </c>
      <c r="CW58" s="533">
        <f t="shared" si="4"/>
        <v>0</v>
      </c>
      <c r="CX58" s="523">
        <f t="shared" si="5"/>
        <v>0</v>
      </c>
      <c r="CY58" s="512"/>
    </row>
    <row r="59" spans="1:103">
      <c r="A59" s="510" t="s">
        <v>400</v>
      </c>
      <c r="B59" s="162" t="str">
        <f>IFERROR(VLOOKUP(ParticipationMars1[[#This Row],[Référence]],ListeÉtudiants1[],18,FALSE),"")</f>
        <v>EDERY JEFFREY</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340"/>
      <c r="AH59" s="6">
        <f>COUNTIF(ParticipationMars1[[#This Row],[1]:[31]],Code1)</f>
        <v>0</v>
      </c>
      <c r="AI59" s="475">
        <f>COUNTIF(ParticipationMars1[[#This Row],[1]:[31]],code22)</f>
        <v>0</v>
      </c>
      <c r="AJ59" s="30">
        <f>COUNTIF(ParticipationMars1[[#This Row],[1]:[31]],Code2)</f>
        <v>0</v>
      </c>
      <c r="AK59" s="30">
        <f>COUNTIF(ParticipationMars1[[#This Row],[1]:[31]],Code3)</f>
        <v>0</v>
      </c>
      <c r="AL59" s="30">
        <f>COUNTIF(ParticipationMars1[[#This Row],[1]:[31]],Code4)</f>
        <v>0</v>
      </c>
      <c r="AM59" s="473">
        <f>COUNTIF(ParticipationMars1[[#This Row],[1]:[31]],Code5)</f>
        <v>0</v>
      </c>
      <c r="AN59" s="473">
        <f>COUNTIF(ParticipationMars1[[#This Row],[1]:[31]],Code23)</f>
        <v>0</v>
      </c>
      <c r="AO59" s="473">
        <f>COUNTIF(ParticipationMars1[[#This Row],[1]:[31]],Code6)</f>
        <v>0</v>
      </c>
      <c r="AP59" s="473">
        <f>COUNTIF(ParticipationMars1[[#This Row],[1]:[31]],Code7)</f>
        <v>0</v>
      </c>
      <c r="AQ59" s="473">
        <f>COUNTIF(ParticipationMars1[[#This Row],[1]:[31]],Code8)</f>
        <v>0</v>
      </c>
      <c r="AR59" s="473">
        <f>COUNTIF(ParticipationMars1[[#This Row],[1]:[31]],Code9)</f>
        <v>0</v>
      </c>
      <c r="AS59" s="473">
        <f>COUNTIF(ParticipationMars1[[#This Row],[1]:[31]],Code10)</f>
        <v>0</v>
      </c>
      <c r="AT59" s="473">
        <f>COUNTIF(ParticipationMars1[[#This Row],[1]:[31]],Code11)</f>
        <v>0</v>
      </c>
      <c r="AU59" s="473">
        <f>COUNTIF(ParticipationMars1[[#This Row],[1]:[31]],Code12)</f>
        <v>0</v>
      </c>
      <c r="AV59" s="473">
        <f>COUNTIF(ParticipationMars1[[#This Row],[1]:[31]],Code13)</f>
        <v>0</v>
      </c>
      <c r="AW59" s="473">
        <f>COUNTIF(ParticipationMars1[[#This Row],[1]:[31]],Code14)</f>
        <v>0</v>
      </c>
      <c r="AX59" s="473">
        <f>COUNTIF(ParticipationMars1[[#This Row],[1]:[31]],Code15)</f>
        <v>0</v>
      </c>
      <c r="AY59" s="473">
        <f>COUNTIF(ParticipationMars1[[#This Row],[1]:[31]],Code16)</f>
        <v>0</v>
      </c>
      <c r="AZ59" s="473">
        <f>COUNTIF(ParticipationMars1[[#This Row],[1]:[31]],Code17)</f>
        <v>0</v>
      </c>
      <c r="BA59" s="473">
        <f>COUNTIF(ParticipationMars1[[#This Row],[1]:[31]],Code25)</f>
        <v>0</v>
      </c>
      <c r="BB59" s="473">
        <f>COUNTIF(ParticipationMars1[[#This Row],[1]:[31]],Code26)</f>
        <v>0</v>
      </c>
      <c r="BC59" s="473">
        <f>COUNTIF(ParticipationMars1[[#This Row],[1]:[31]],Code27)</f>
        <v>0</v>
      </c>
      <c r="BD59" s="473">
        <f>COUNTIF(ParticipationMars1[[#This Row],[1]:[31]],Code28)</f>
        <v>0</v>
      </c>
      <c r="BE59" s="473">
        <f>COUNTIF(ParticipationMars1[[#This Row],[1]:[31]],code30)</f>
        <v>0</v>
      </c>
      <c r="BF59" s="473">
        <f>COUNTIF(ParticipationMars1[[#This Row],[1]:[31]],Code31)</f>
        <v>0</v>
      </c>
      <c r="BG59" s="473">
        <f>COUNTIF(ParticipationMars1[[#This Row],[1]:[31]],code21)</f>
        <v>0</v>
      </c>
      <c r="BH59" s="473">
        <f>COUNTIF(ParticipationMars1[[#This Row],[1]:[31]],Code24)</f>
        <v>0</v>
      </c>
      <c r="BI59" s="473">
        <f>COUNTIF(ParticipationMars1[[#This Row],[1]:[31]],code18)</f>
        <v>0</v>
      </c>
      <c r="BJ59" s="473">
        <f>COUNTIF(ParticipationMars1[[#This Row],[1]:[31]],code19)</f>
        <v>0</v>
      </c>
      <c r="BK59" s="473">
        <f>COUNTIF(ParticipationMars1[[#This Row],[1]:[31]],code20)</f>
        <v>0</v>
      </c>
      <c r="BL59" s="516">
        <f>COUNTIF(ParticipationMars1[[#This Row],[1]:[31]],code29)</f>
        <v>0</v>
      </c>
      <c r="BM59" s="472"/>
      <c r="BN59" s="472"/>
      <c r="BO59" s="472"/>
      <c r="BP59" s="472"/>
      <c r="BQ59" s="472"/>
      <c r="BR59" s="472"/>
      <c r="BS59" s="472"/>
      <c r="BT59" s="472"/>
      <c r="BU59" s="472"/>
      <c r="BV59" s="472"/>
      <c r="BW59" s="472"/>
      <c r="BX59" s="472"/>
      <c r="BY59" s="472"/>
      <c r="BZ59" s="472"/>
      <c r="CA59" s="472"/>
      <c r="CB59" s="472"/>
      <c r="CC59" s="472"/>
      <c r="CD59" s="472"/>
      <c r="CE59" s="472"/>
      <c r="CF59" s="472"/>
      <c r="CG59" s="472"/>
      <c r="CH59" s="472"/>
      <c r="CI59" s="472"/>
      <c r="CJ59" s="472"/>
      <c r="CK59" s="472"/>
      <c r="CL59" s="472"/>
      <c r="CM59" s="472"/>
      <c r="CN59" s="472"/>
      <c r="CO59" s="472"/>
      <c r="CP59" s="472"/>
      <c r="CQ59" s="472"/>
      <c r="CR59" s="472"/>
      <c r="CS59" s="473"/>
      <c r="CT59" s="473"/>
      <c r="CU59" s="516"/>
      <c r="CV59" s="533">
        <f t="shared" si="3"/>
        <v>0</v>
      </c>
      <c r="CW59" s="533">
        <f t="shared" si="4"/>
        <v>0</v>
      </c>
      <c r="CX59" s="523">
        <f t="shared" si="5"/>
        <v>0</v>
      </c>
      <c r="CY59" s="512"/>
    </row>
    <row r="60" spans="1:103">
      <c r="A60" s="510" t="s">
        <v>401</v>
      </c>
      <c r="B60" s="162" t="str">
        <f>IFERROR(VLOOKUP(ParticipationMars1[[#This Row],[Référence]],ListeÉtudiants1[],18,FALSE),"")</f>
        <v>EL MAZGHI GHITA</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340"/>
      <c r="AH60" s="6">
        <f>COUNTIF(ParticipationMars1[[#This Row],[1]:[31]],Code1)</f>
        <v>0</v>
      </c>
      <c r="AI60" s="475">
        <f>COUNTIF(ParticipationMars1[[#This Row],[1]:[31]],code22)</f>
        <v>0</v>
      </c>
      <c r="AJ60" s="30">
        <f>COUNTIF(ParticipationMars1[[#This Row],[1]:[31]],Code2)</f>
        <v>0</v>
      </c>
      <c r="AK60" s="30">
        <f>COUNTIF(ParticipationMars1[[#This Row],[1]:[31]],Code3)</f>
        <v>0</v>
      </c>
      <c r="AL60" s="30">
        <f>COUNTIF(ParticipationMars1[[#This Row],[1]:[31]],Code4)</f>
        <v>0</v>
      </c>
      <c r="AM60" s="473">
        <f>COUNTIF(ParticipationMars1[[#This Row],[1]:[31]],Code5)</f>
        <v>0</v>
      </c>
      <c r="AN60" s="473">
        <f>COUNTIF(ParticipationMars1[[#This Row],[1]:[31]],Code23)</f>
        <v>0</v>
      </c>
      <c r="AO60" s="473">
        <f>COUNTIF(ParticipationMars1[[#This Row],[1]:[31]],Code6)</f>
        <v>0</v>
      </c>
      <c r="AP60" s="473">
        <f>COUNTIF(ParticipationMars1[[#This Row],[1]:[31]],Code7)</f>
        <v>0</v>
      </c>
      <c r="AQ60" s="473">
        <f>COUNTIF(ParticipationMars1[[#This Row],[1]:[31]],Code8)</f>
        <v>0</v>
      </c>
      <c r="AR60" s="473">
        <f>COUNTIF(ParticipationMars1[[#This Row],[1]:[31]],Code9)</f>
        <v>0</v>
      </c>
      <c r="AS60" s="473">
        <f>COUNTIF(ParticipationMars1[[#This Row],[1]:[31]],Code10)</f>
        <v>0</v>
      </c>
      <c r="AT60" s="473">
        <f>COUNTIF(ParticipationMars1[[#This Row],[1]:[31]],Code11)</f>
        <v>0</v>
      </c>
      <c r="AU60" s="473">
        <f>COUNTIF(ParticipationMars1[[#This Row],[1]:[31]],Code12)</f>
        <v>0</v>
      </c>
      <c r="AV60" s="473">
        <f>COUNTIF(ParticipationMars1[[#This Row],[1]:[31]],Code13)</f>
        <v>0</v>
      </c>
      <c r="AW60" s="473">
        <f>COUNTIF(ParticipationMars1[[#This Row],[1]:[31]],Code14)</f>
        <v>0</v>
      </c>
      <c r="AX60" s="473">
        <f>COUNTIF(ParticipationMars1[[#This Row],[1]:[31]],Code15)</f>
        <v>0</v>
      </c>
      <c r="AY60" s="473">
        <f>COUNTIF(ParticipationMars1[[#This Row],[1]:[31]],Code16)</f>
        <v>0</v>
      </c>
      <c r="AZ60" s="473">
        <f>COUNTIF(ParticipationMars1[[#This Row],[1]:[31]],Code17)</f>
        <v>0</v>
      </c>
      <c r="BA60" s="473">
        <f>COUNTIF(ParticipationMars1[[#This Row],[1]:[31]],Code25)</f>
        <v>0</v>
      </c>
      <c r="BB60" s="473">
        <f>COUNTIF(ParticipationMars1[[#This Row],[1]:[31]],Code26)</f>
        <v>0</v>
      </c>
      <c r="BC60" s="473">
        <f>COUNTIF(ParticipationMars1[[#This Row],[1]:[31]],Code27)</f>
        <v>0</v>
      </c>
      <c r="BD60" s="473">
        <f>COUNTIF(ParticipationMars1[[#This Row],[1]:[31]],Code28)</f>
        <v>0</v>
      </c>
      <c r="BE60" s="473">
        <f>COUNTIF(ParticipationMars1[[#This Row],[1]:[31]],code30)</f>
        <v>0</v>
      </c>
      <c r="BF60" s="473">
        <f>COUNTIF(ParticipationMars1[[#This Row],[1]:[31]],Code31)</f>
        <v>0</v>
      </c>
      <c r="BG60" s="473">
        <f>COUNTIF(ParticipationMars1[[#This Row],[1]:[31]],code21)</f>
        <v>0</v>
      </c>
      <c r="BH60" s="473">
        <f>COUNTIF(ParticipationMars1[[#This Row],[1]:[31]],Code24)</f>
        <v>0</v>
      </c>
      <c r="BI60" s="473">
        <f>COUNTIF(ParticipationMars1[[#This Row],[1]:[31]],code18)</f>
        <v>0</v>
      </c>
      <c r="BJ60" s="473">
        <f>COUNTIF(ParticipationMars1[[#This Row],[1]:[31]],code19)</f>
        <v>0</v>
      </c>
      <c r="BK60" s="473">
        <f>COUNTIF(ParticipationMars1[[#This Row],[1]:[31]],code20)</f>
        <v>0</v>
      </c>
      <c r="BL60" s="516">
        <f>COUNTIF(ParticipationMars1[[#This Row],[1]:[31]],code29)</f>
        <v>0</v>
      </c>
      <c r="BM60" s="472"/>
      <c r="BN60" s="472"/>
      <c r="BO60" s="472"/>
      <c r="BP60" s="472"/>
      <c r="BQ60" s="472"/>
      <c r="BR60" s="472"/>
      <c r="BS60" s="472"/>
      <c r="BT60" s="472"/>
      <c r="BU60" s="472"/>
      <c r="BV60" s="472"/>
      <c r="BW60" s="472"/>
      <c r="BX60" s="472"/>
      <c r="BY60" s="472"/>
      <c r="BZ60" s="472"/>
      <c r="CA60" s="472"/>
      <c r="CB60" s="472"/>
      <c r="CC60" s="472"/>
      <c r="CD60" s="472"/>
      <c r="CE60" s="472"/>
      <c r="CF60" s="472"/>
      <c r="CG60" s="472"/>
      <c r="CH60" s="472"/>
      <c r="CI60" s="472"/>
      <c r="CJ60" s="472"/>
      <c r="CK60" s="472"/>
      <c r="CL60" s="472"/>
      <c r="CM60" s="472"/>
      <c r="CN60" s="472"/>
      <c r="CO60" s="472"/>
      <c r="CP60" s="472"/>
      <c r="CQ60" s="472"/>
      <c r="CR60" s="472"/>
      <c r="CS60" s="473"/>
      <c r="CT60" s="473"/>
      <c r="CU60" s="516"/>
      <c r="CV60" s="533">
        <f t="shared" si="3"/>
        <v>0</v>
      </c>
      <c r="CW60" s="533">
        <f t="shared" si="4"/>
        <v>0</v>
      </c>
      <c r="CX60" s="523">
        <f t="shared" si="5"/>
        <v>0</v>
      </c>
      <c r="CY60" s="512"/>
    </row>
    <row r="61" spans="1:103">
      <c r="A61" s="510" t="s">
        <v>402</v>
      </c>
      <c r="B61" s="162" t="str">
        <f>IFERROR(VLOOKUP(ParticipationMars1[[#This Row],[Référence]],ListeÉtudiants1[],18,FALSE),"")</f>
        <v>ELIE ODILE</v>
      </c>
      <c r="C61" s="19"/>
      <c r="D61" s="19"/>
      <c r="E61" s="19"/>
      <c r="F61" s="19"/>
      <c r="G61" s="19"/>
      <c r="H61" s="19"/>
      <c r="I61" s="19"/>
      <c r="J61" s="19"/>
      <c r="K61" s="19"/>
      <c r="L61" s="19"/>
      <c r="M61" s="19"/>
      <c r="N61" s="19"/>
      <c r="O61" s="19"/>
      <c r="P61" s="19"/>
      <c r="Q61" s="19"/>
      <c r="R61" s="19"/>
      <c r="S61" s="19"/>
      <c r="T61" s="19"/>
      <c r="U61" s="19"/>
      <c r="V61" s="19"/>
      <c r="W61" s="19" t="s">
        <v>488</v>
      </c>
      <c r="X61" s="19"/>
      <c r="Y61" s="19"/>
      <c r="Z61" s="19"/>
      <c r="AA61" s="19"/>
      <c r="AB61" s="19"/>
      <c r="AC61" s="19" t="s">
        <v>529</v>
      </c>
      <c r="AD61" s="19"/>
      <c r="AE61" s="19"/>
      <c r="AF61" s="19"/>
      <c r="AG61" s="144"/>
      <c r="AH61" s="6">
        <f>COUNTIF(ParticipationMars1[[#This Row],[1]:[31]],Code1)</f>
        <v>0</v>
      </c>
      <c r="AI61" s="331">
        <f>COUNTIF(ParticipationMars1[[#This Row],[1]:[31]],code22)</f>
        <v>0</v>
      </c>
      <c r="AJ61" s="30">
        <f>COUNTIF(ParticipationMars1[[#This Row],[1]:[31]],Code2)</f>
        <v>0</v>
      </c>
      <c r="AK61" s="30">
        <f>COUNTIF(ParticipationMars1[[#This Row],[1]:[31]],Code3)</f>
        <v>0</v>
      </c>
      <c r="AL61" s="30">
        <f>COUNTIF(ParticipationMars1[[#This Row],[1]:[31]],Code4)</f>
        <v>0</v>
      </c>
      <c r="AM61" s="307">
        <f>COUNTIF(ParticipationMars1[[#This Row],[1]:[31]],Code5)</f>
        <v>0</v>
      </c>
      <c r="AN61" s="307">
        <f>COUNTIF(ParticipationMars1[[#This Row],[1]:[31]],Code23)</f>
        <v>1</v>
      </c>
      <c r="AO61" s="307">
        <f>COUNTIF(ParticipationMars1[[#This Row],[1]:[31]],Code6)</f>
        <v>0</v>
      </c>
      <c r="AP61" s="307">
        <f>COUNTIF(ParticipationMars1[[#This Row],[1]:[31]],Code7)</f>
        <v>0</v>
      </c>
      <c r="AQ61" s="307">
        <f>COUNTIF(ParticipationMars1[[#This Row],[1]:[31]],Code8)</f>
        <v>0</v>
      </c>
      <c r="AR61" s="307">
        <f>COUNTIF(ParticipationMars1[[#This Row],[1]:[31]],Code9)</f>
        <v>0</v>
      </c>
      <c r="AS61" s="307">
        <f>COUNTIF(ParticipationMars1[[#This Row],[1]:[31]],Code10)</f>
        <v>0</v>
      </c>
      <c r="AT61" s="307">
        <f>COUNTIF(ParticipationMars1[[#This Row],[1]:[31]],Code11)</f>
        <v>0</v>
      </c>
      <c r="AU61" s="307">
        <f>COUNTIF(ParticipationMars1[[#This Row],[1]:[31]],Code12)</f>
        <v>0</v>
      </c>
      <c r="AV61" s="307">
        <f>COUNTIF(ParticipationMars1[[#This Row],[1]:[31]],Code13)</f>
        <v>0</v>
      </c>
      <c r="AW61" s="307">
        <f>COUNTIF(ParticipationMars1[[#This Row],[1]:[31]],Code14)</f>
        <v>1</v>
      </c>
      <c r="AX61" s="307">
        <f>COUNTIF(ParticipationMars1[[#This Row],[1]:[31]],Code15)</f>
        <v>0</v>
      </c>
      <c r="AY61" s="307">
        <f>COUNTIF(ParticipationMars1[[#This Row],[1]:[31]],Code16)</f>
        <v>0</v>
      </c>
      <c r="AZ61" s="307">
        <f>COUNTIF(ParticipationMars1[[#This Row],[1]:[31]],Code17)</f>
        <v>0</v>
      </c>
      <c r="BA61" s="307">
        <f>COUNTIF(ParticipationMars1[[#This Row],[1]:[31]],Code25)</f>
        <v>0</v>
      </c>
      <c r="BB61" s="307">
        <f>COUNTIF(ParticipationMars1[[#This Row],[1]:[31]],Code26)</f>
        <v>0</v>
      </c>
      <c r="BC61" s="307">
        <f>COUNTIF(ParticipationMars1[[#This Row],[1]:[31]],Code27)</f>
        <v>0</v>
      </c>
      <c r="BD61" s="307">
        <f>COUNTIF(ParticipationMars1[[#This Row],[1]:[31]],Code28)</f>
        <v>0</v>
      </c>
      <c r="BE61" s="307">
        <f>COUNTIF(ParticipationMars1[[#This Row],[1]:[31]],code30)</f>
        <v>0</v>
      </c>
      <c r="BF61" s="307">
        <f>COUNTIF(ParticipationMars1[[#This Row],[1]:[31]],Code31)</f>
        <v>0</v>
      </c>
      <c r="BG61" s="307">
        <f>COUNTIF(ParticipationMars1[[#This Row],[1]:[31]],code21)</f>
        <v>0</v>
      </c>
      <c r="BH61" s="307">
        <f>COUNTIF(ParticipationMars1[[#This Row],[1]:[31]],Code24)</f>
        <v>0</v>
      </c>
      <c r="BI61" s="307">
        <f>COUNTIF(ParticipationMars1[[#This Row],[1]:[31]],code18)</f>
        <v>0</v>
      </c>
      <c r="BJ61" s="307">
        <f>COUNTIF(ParticipationMars1[[#This Row],[1]:[31]],code19)</f>
        <v>0</v>
      </c>
      <c r="BK61" s="307">
        <f>COUNTIF(ParticipationMars1[[#This Row],[1]:[31]],code20)</f>
        <v>0</v>
      </c>
      <c r="BL61" s="300">
        <f>COUNTIF(ParticipationMars1[[#This Row],[1]:[31]],code29)</f>
        <v>0</v>
      </c>
      <c r="BM61" s="297"/>
      <c r="BN61" s="297"/>
      <c r="BO61" s="297"/>
      <c r="BP61" s="297"/>
      <c r="BQ61" s="297"/>
      <c r="BR61" s="297"/>
      <c r="BS61" s="297"/>
      <c r="BT61" s="297">
        <v>1</v>
      </c>
      <c r="BU61" s="297"/>
      <c r="BV61" s="297"/>
      <c r="BW61" s="297">
        <v>3</v>
      </c>
      <c r="BX61" s="297"/>
      <c r="BY61" s="297"/>
      <c r="BZ61" s="297"/>
      <c r="CA61" s="297"/>
      <c r="CB61" s="297"/>
      <c r="CC61" s="297"/>
      <c r="CD61" s="297"/>
      <c r="CE61" s="297"/>
      <c r="CF61" s="297"/>
      <c r="CG61" s="297"/>
      <c r="CH61" s="297"/>
      <c r="CI61" s="297"/>
      <c r="CJ61" s="297"/>
      <c r="CK61" s="297"/>
      <c r="CL61" s="297"/>
      <c r="CM61" s="297"/>
      <c r="CN61" s="297"/>
      <c r="CO61" s="297"/>
      <c r="CP61" s="297"/>
      <c r="CQ61" s="297"/>
      <c r="CR61" s="297"/>
      <c r="CS61" s="307"/>
      <c r="CT61" s="307"/>
      <c r="CU61" s="300"/>
      <c r="CV61" s="501">
        <f t="shared" si="3"/>
        <v>0</v>
      </c>
      <c r="CW61" s="501">
        <f t="shared" si="4"/>
        <v>8</v>
      </c>
      <c r="CX61" s="341">
        <f t="shared" si="5"/>
        <v>0</v>
      </c>
      <c r="CY61" s="327"/>
    </row>
    <row r="62" spans="1:103">
      <c r="A62" s="534" t="s">
        <v>403</v>
      </c>
      <c r="B62" s="162" t="str">
        <f>IFERROR(VLOOKUP(ParticipationMars1[[#This Row],[Référence]],ListeÉtudiants1[],18,FALSE),"")</f>
        <v>ETIENNE MYLENE</v>
      </c>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340"/>
      <c r="AH62" s="6">
        <f>COUNTIF(ParticipationMars1[[#This Row],[1]:[31]],Code1)</f>
        <v>0</v>
      </c>
      <c r="AI62" s="475">
        <f>COUNTIF(ParticipationMars1[[#This Row],[1]:[31]],code22)</f>
        <v>0</v>
      </c>
      <c r="AJ62" s="30">
        <f>COUNTIF(ParticipationMars1[[#This Row],[1]:[31]],Code2)</f>
        <v>0</v>
      </c>
      <c r="AK62" s="30">
        <f>COUNTIF(ParticipationMars1[[#This Row],[1]:[31]],Code3)</f>
        <v>0</v>
      </c>
      <c r="AL62" s="30">
        <f>COUNTIF(ParticipationMars1[[#This Row],[1]:[31]],Code4)</f>
        <v>0</v>
      </c>
      <c r="AM62" s="473">
        <f>COUNTIF(ParticipationMars1[[#This Row],[1]:[31]],Code5)</f>
        <v>0</v>
      </c>
      <c r="AN62" s="473">
        <f>COUNTIF(ParticipationMars1[[#This Row],[1]:[31]],Code23)</f>
        <v>0</v>
      </c>
      <c r="AO62" s="473">
        <f>COUNTIF(ParticipationMars1[[#This Row],[1]:[31]],Code6)</f>
        <v>0</v>
      </c>
      <c r="AP62" s="473">
        <f>COUNTIF(ParticipationMars1[[#This Row],[1]:[31]],Code7)</f>
        <v>0</v>
      </c>
      <c r="AQ62" s="473">
        <f>COUNTIF(ParticipationMars1[[#This Row],[1]:[31]],Code8)</f>
        <v>0</v>
      </c>
      <c r="AR62" s="473">
        <f>COUNTIF(ParticipationMars1[[#This Row],[1]:[31]],Code9)</f>
        <v>0</v>
      </c>
      <c r="AS62" s="473">
        <f>COUNTIF(ParticipationMars1[[#This Row],[1]:[31]],Code10)</f>
        <v>0</v>
      </c>
      <c r="AT62" s="473">
        <f>COUNTIF(ParticipationMars1[[#This Row],[1]:[31]],Code11)</f>
        <v>0</v>
      </c>
      <c r="AU62" s="473">
        <f>COUNTIF(ParticipationMars1[[#This Row],[1]:[31]],Code12)</f>
        <v>0</v>
      </c>
      <c r="AV62" s="473">
        <f>COUNTIF(ParticipationMars1[[#This Row],[1]:[31]],Code13)</f>
        <v>0</v>
      </c>
      <c r="AW62" s="473">
        <f>COUNTIF(ParticipationMars1[[#This Row],[1]:[31]],Code14)</f>
        <v>0</v>
      </c>
      <c r="AX62" s="473">
        <f>COUNTIF(ParticipationMars1[[#This Row],[1]:[31]],Code15)</f>
        <v>0</v>
      </c>
      <c r="AY62" s="473">
        <f>COUNTIF(ParticipationMars1[[#This Row],[1]:[31]],Code16)</f>
        <v>0</v>
      </c>
      <c r="AZ62" s="473">
        <f>COUNTIF(ParticipationMars1[[#This Row],[1]:[31]],Code17)</f>
        <v>0</v>
      </c>
      <c r="BA62" s="473">
        <f>COUNTIF(ParticipationMars1[[#This Row],[1]:[31]],Code25)</f>
        <v>0</v>
      </c>
      <c r="BB62" s="473">
        <f>COUNTIF(ParticipationMars1[[#This Row],[1]:[31]],Code26)</f>
        <v>0</v>
      </c>
      <c r="BC62" s="473">
        <f>COUNTIF(ParticipationMars1[[#This Row],[1]:[31]],Code27)</f>
        <v>0</v>
      </c>
      <c r="BD62" s="473">
        <f>COUNTIF(ParticipationMars1[[#This Row],[1]:[31]],Code28)</f>
        <v>0</v>
      </c>
      <c r="BE62" s="473">
        <f>COUNTIF(ParticipationMars1[[#This Row],[1]:[31]],code30)</f>
        <v>0</v>
      </c>
      <c r="BF62" s="473">
        <f>COUNTIF(ParticipationMars1[[#This Row],[1]:[31]],Code31)</f>
        <v>0</v>
      </c>
      <c r="BG62" s="473">
        <f>COUNTIF(ParticipationMars1[[#This Row],[1]:[31]],code21)</f>
        <v>0</v>
      </c>
      <c r="BH62" s="473">
        <f>COUNTIF(ParticipationMars1[[#This Row],[1]:[31]],Code24)</f>
        <v>0</v>
      </c>
      <c r="BI62" s="473">
        <f>COUNTIF(ParticipationMars1[[#This Row],[1]:[31]],code18)</f>
        <v>0</v>
      </c>
      <c r="BJ62" s="473">
        <f>COUNTIF(ParticipationMars1[[#This Row],[1]:[31]],code19)</f>
        <v>0</v>
      </c>
      <c r="BK62" s="473">
        <f>COUNTIF(ParticipationMars1[[#This Row],[1]:[31]],code20)</f>
        <v>0</v>
      </c>
      <c r="BL62" s="516">
        <f>COUNTIF(ParticipationMars1[[#This Row],[1]:[31]],code29)</f>
        <v>0</v>
      </c>
      <c r="BM62" s="472"/>
      <c r="BN62" s="472"/>
      <c r="BO62" s="472"/>
      <c r="BP62" s="472"/>
      <c r="BQ62" s="472"/>
      <c r="BR62" s="472"/>
      <c r="BS62" s="472"/>
      <c r="BT62" s="472"/>
      <c r="BU62" s="472"/>
      <c r="BV62" s="472"/>
      <c r="BW62" s="472"/>
      <c r="BX62" s="472"/>
      <c r="BY62" s="472"/>
      <c r="BZ62" s="472"/>
      <c r="CA62" s="472"/>
      <c r="CB62" s="472"/>
      <c r="CC62" s="472"/>
      <c r="CD62" s="472"/>
      <c r="CE62" s="472"/>
      <c r="CF62" s="472"/>
      <c r="CG62" s="472"/>
      <c r="CH62" s="472"/>
      <c r="CI62" s="472"/>
      <c r="CJ62" s="472"/>
      <c r="CK62" s="472"/>
      <c r="CL62" s="472"/>
      <c r="CM62" s="472"/>
      <c r="CN62" s="472"/>
      <c r="CO62" s="472"/>
      <c r="CP62" s="472"/>
      <c r="CQ62" s="472"/>
      <c r="CR62" s="472"/>
      <c r="CS62" s="473"/>
      <c r="CT62" s="473"/>
      <c r="CU62" s="516"/>
      <c r="CV62" s="533">
        <f t="shared" si="3"/>
        <v>0</v>
      </c>
      <c r="CW62" s="533">
        <f t="shared" si="4"/>
        <v>0</v>
      </c>
      <c r="CX62" s="523">
        <f t="shared" si="5"/>
        <v>0</v>
      </c>
      <c r="CY62" s="512"/>
    </row>
    <row r="63" spans="1:103">
      <c r="A63" s="534" t="s">
        <v>404</v>
      </c>
      <c r="B63" s="162" t="str">
        <f>IFERROR(VLOOKUP(ParticipationMars1[[#This Row],[Référence]],ListeÉtudiants1[],18,FALSE),"")</f>
        <v>FIRPION ALLISON</v>
      </c>
      <c r="C63" s="19"/>
      <c r="D63" s="19"/>
      <c r="E63" s="19"/>
      <c r="F63" s="19"/>
      <c r="G63" s="19"/>
      <c r="H63" s="19"/>
      <c r="I63" s="19"/>
      <c r="J63" s="19"/>
      <c r="K63" s="19"/>
      <c r="L63" s="19"/>
      <c r="M63" s="19"/>
      <c r="N63" s="19" t="s">
        <v>531</v>
      </c>
      <c r="O63" s="19"/>
      <c r="P63" s="19"/>
      <c r="Q63" s="19"/>
      <c r="R63" s="19"/>
      <c r="S63" s="19"/>
      <c r="T63" s="19"/>
      <c r="U63" s="19"/>
      <c r="V63" s="19"/>
      <c r="W63" s="19"/>
      <c r="X63" s="19"/>
      <c r="Y63" s="19"/>
      <c r="Z63" s="19"/>
      <c r="AA63" s="19"/>
      <c r="AB63" s="19"/>
      <c r="AC63" s="19" t="s">
        <v>529</v>
      </c>
      <c r="AD63" s="19"/>
      <c r="AE63" s="19"/>
      <c r="AF63" s="19"/>
      <c r="AG63" s="144"/>
      <c r="AH63" s="6">
        <f>COUNTIF(ParticipationMars1[[#This Row],[1]:[31]],Code1)</f>
        <v>0</v>
      </c>
      <c r="AI63" s="6">
        <f>COUNTIF(ParticipationMars1[[#This Row],[1]:[31]],code22)</f>
        <v>0</v>
      </c>
      <c r="AJ63" s="30">
        <f>COUNTIF(ParticipationMars1[[#This Row],[1]:[31]],Code2)</f>
        <v>0</v>
      </c>
      <c r="AK63" s="30">
        <f>COUNTIF(ParticipationMars1[[#This Row],[1]:[31]],Code3)</f>
        <v>0</v>
      </c>
      <c r="AL63" s="30">
        <f>COUNTIF(ParticipationMars1[[#This Row],[1]:[31]],Code4)</f>
        <v>0</v>
      </c>
      <c r="AM63" s="30">
        <f>COUNTIF(ParticipationMars1[[#This Row],[1]:[31]],Code5)</f>
        <v>0</v>
      </c>
      <c r="AN63" s="30">
        <f>COUNTIF(ParticipationMars1[[#This Row],[1]:[31]],Code23)</f>
        <v>1</v>
      </c>
      <c r="AO63" s="30">
        <f>COUNTIF(ParticipationMars1[[#This Row],[1]:[31]],Code6)</f>
        <v>0</v>
      </c>
      <c r="AP63" s="30">
        <f>COUNTIF(ParticipationMars1[[#This Row],[1]:[31]],Code7)</f>
        <v>0</v>
      </c>
      <c r="AQ63" s="30">
        <f>COUNTIF(ParticipationMars1[[#This Row],[1]:[31]],Code8)</f>
        <v>0</v>
      </c>
      <c r="AR63" s="30">
        <f>COUNTIF(ParticipationMars1[[#This Row],[1]:[31]],Code9)</f>
        <v>0</v>
      </c>
      <c r="AS63" s="30">
        <f>COUNTIF(ParticipationMars1[[#This Row],[1]:[31]],Code10)</f>
        <v>0</v>
      </c>
      <c r="AT63" s="30">
        <f>COUNTIF(ParticipationMars1[[#This Row],[1]:[31]],Code11)</f>
        <v>0</v>
      </c>
      <c r="AU63" s="30">
        <f>COUNTIF(ParticipationMars1[[#This Row],[1]:[31]],Code12)</f>
        <v>0</v>
      </c>
      <c r="AV63" s="30">
        <f>COUNTIF(ParticipationMars1[[#This Row],[1]:[31]],Code13)</f>
        <v>0</v>
      </c>
      <c r="AW63" s="30">
        <f>COUNTIF(ParticipationMars1[[#This Row],[1]:[31]],Code14)</f>
        <v>0</v>
      </c>
      <c r="AX63" s="30">
        <f>COUNTIF(ParticipationMars1[[#This Row],[1]:[31]],Code15)</f>
        <v>0</v>
      </c>
      <c r="AY63" s="30">
        <f>COUNTIF(ParticipationMars1[[#This Row],[1]:[31]],Code16)</f>
        <v>0</v>
      </c>
      <c r="AZ63" s="30">
        <f>COUNTIF(ParticipationMars1[[#This Row],[1]:[31]],Code17)</f>
        <v>0</v>
      </c>
      <c r="BA63" s="30">
        <f>COUNTIF(ParticipationMars1[[#This Row],[1]:[31]],Code25)</f>
        <v>0</v>
      </c>
      <c r="BB63" s="307">
        <f>COUNTIF(ParticipationMars1[[#This Row],[1]:[31]],Code26)</f>
        <v>0</v>
      </c>
      <c r="BC63" s="30">
        <f>COUNTIF(ParticipationMars1[[#This Row],[1]:[31]],Code27)</f>
        <v>0</v>
      </c>
      <c r="BD63" s="30">
        <f>COUNTIF(ParticipationMars1[[#This Row],[1]:[31]],Code28)</f>
        <v>0</v>
      </c>
      <c r="BE63" s="30">
        <f>COUNTIF(ParticipationMars1[[#This Row],[1]:[31]],code30)</f>
        <v>0</v>
      </c>
      <c r="BF63" s="30">
        <f>COUNTIF(ParticipationMars1[[#This Row],[1]:[31]],Code31)</f>
        <v>0</v>
      </c>
      <c r="BG63" s="30">
        <f>COUNTIF(ParticipationMars1[[#This Row],[1]:[31]],code21)</f>
        <v>0</v>
      </c>
      <c r="BH63" s="30">
        <f>COUNTIF(ParticipationMars1[[#This Row],[1]:[31]],Code24)</f>
        <v>1</v>
      </c>
      <c r="BI63" s="30">
        <f>COUNTIF(ParticipationMars1[[#This Row],[1]:[31]],code18)</f>
        <v>0</v>
      </c>
      <c r="BJ63" s="30">
        <f>COUNTIF(ParticipationMars1[[#This Row],[1]:[31]],code19)</f>
        <v>0</v>
      </c>
      <c r="BK63" s="30">
        <f>COUNTIF(ParticipationMars1[[#This Row],[1]:[31]],code20)</f>
        <v>0</v>
      </c>
      <c r="BL63" s="164">
        <f>COUNTIF(ParticipationMars1[[#This Row],[1]:[31]],code29)</f>
        <v>0</v>
      </c>
      <c r="BM63" s="297"/>
      <c r="BN63" s="297"/>
      <c r="BO63" s="297"/>
      <c r="BP63" s="297"/>
      <c r="BQ63" s="297"/>
      <c r="BR63" s="297"/>
      <c r="BS63" s="297"/>
      <c r="BT63" s="297">
        <v>1</v>
      </c>
      <c r="BU63" s="297"/>
      <c r="BV63" s="297"/>
      <c r="BW63" s="297"/>
      <c r="BX63" s="297"/>
      <c r="BY63" s="297"/>
      <c r="BZ63" s="297"/>
      <c r="CA63" s="297"/>
      <c r="CB63" s="297"/>
      <c r="CC63" s="297"/>
      <c r="CD63" s="297"/>
      <c r="CE63" s="297"/>
      <c r="CF63" s="297"/>
      <c r="CG63" s="297"/>
      <c r="CH63" s="297"/>
      <c r="CI63" s="297"/>
      <c r="CJ63" s="297"/>
      <c r="CK63" s="297"/>
      <c r="CL63" s="297"/>
      <c r="CM63" s="297"/>
      <c r="CN63" s="297"/>
      <c r="CO63" s="297"/>
      <c r="CP63" s="297"/>
      <c r="CQ63" s="297"/>
      <c r="CR63" s="297"/>
      <c r="CS63" s="307"/>
      <c r="CT63" s="307"/>
      <c r="CU63" s="300"/>
      <c r="CV63" s="501">
        <f t="shared" si="3"/>
        <v>0</v>
      </c>
      <c r="CW63" s="501">
        <f t="shared" si="4"/>
        <v>1</v>
      </c>
      <c r="CX63" s="249">
        <f t="shared" si="5"/>
        <v>1</v>
      </c>
      <c r="CY63" s="170">
        <f>SUM((BI63*7)+(BJ63*10)+(BK63*12))</f>
        <v>0</v>
      </c>
    </row>
    <row r="64" spans="1:103">
      <c r="A64" s="510" t="s">
        <v>405</v>
      </c>
      <c r="B64" s="162" t="str">
        <f>IFERROR(VLOOKUP(ParticipationMars1[[#This Row],[Référence]],ListeÉtudiants1[],18,FALSE),"")</f>
        <v>GARGIULO  LUCIE</v>
      </c>
      <c r="C64" s="19"/>
      <c r="D64" s="19"/>
      <c r="E64" s="19"/>
      <c r="F64" s="19"/>
      <c r="G64" s="19"/>
      <c r="H64" s="19"/>
      <c r="I64" s="19"/>
      <c r="J64" s="19"/>
      <c r="K64" s="19"/>
      <c r="L64" s="19"/>
      <c r="M64" s="19"/>
      <c r="N64" s="19" t="s">
        <v>107</v>
      </c>
      <c r="O64" s="19"/>
      <c r="P64" s="19"/>
      <c r="Q64" s="19"/>
      <c r="R64" s="19"/>
      <c r="S64" s="19"/>
      <c r="T64" s="19"/>
      <c r="U64" s="19"/>
      <c r="V64" s="19"/>
      <c r="W64" s="19"/>
      <c r="X64" s="19"/>
      <c r="Y64" s="19"/>
      <c r="Z64" s="19"/>
      <c r="AA64" s="19" t="s">
        <v>529</v>
      </c>
      <c r="AB64" s="19" t="s">
        <v>529</v>
      </c>
      <c r="AC64" s="19" t="s">
        <v>529</v>
      </c>
      <c r="AD64" s="19"/>
      <c r="AE64" s="19"/>
      <c r="AF64" s="19"/>
      <c r="AG64" s="144"/>
      <c r="AH64" s="6">
        <f>COUNTIF(ParticipationMars1[[#This Row],[1]:[31]],Code1)</f>
        <v>0</v>
      </c>
      <c r="AI64" s="6">
        <f>COUNTIF(ParticipationMars1[[#This Row],[1]:[31]],code22)</f>
        <v>0</v>
      </c>
      <c r="AJ64" s="30">
        <f>COUNTIF(ParticipationMars1[[#This Row],[1]:[31]],Code2)</f>
        <v>0</v>
      </c>
      <c r="AK64" s="30">
        <f>COUNTIF(ParticipationMars1[[#This Row],[1]:[31]],Code3)</f>
        <v>0</v>
      </c>
      <c r="AL64" s="30">
        <f>COUNTIF(ParticipationMars1[[#This Row],[1]:[31]],Code4)</f>
        <v>1</v>
      </c>
      <c r="AM64" s="30">
        <f>COUNTIF(ParticipationMars1[[#This Row],[1]:[31]],Code5)</f>
        <v>0</v>
      </c>
      <c r="AN64" s="30">
        <f>COUNTIF(ParticipationMars1[[#This Row],[1]:[31]],Code23)</f>
        <v>3</v>
      </c>
      <c r="AO64" s="30">
        <f>COUNTIF(ParticipationMars1[[#This Row],[1]:[31]],Code6)</f>
        <v>0</v>
      </c>
      <c r="AP64" s="30">
        <f>COUNTIF(ParticipationMars1[[#This Row],[1]:[31]],Code7)</f>
        <v>0</v>
      </c>
      <c r="AQ64" s="30">
        <f>COUNTIF(ParticipationMars1[[#This Row],[1]:[31]],Code8)</f>
        <v>0</v>
      </c>
      <c r="AR64" s="30">
        <f>COUNTIF(ParticipationMars1[[#This Row],[1]:[31]],Code9)</f>
        <v>0</v>
      </c>
      <c r="AS64" s="30">
        <f>COUNTIF(ParticipationMars1[[#This Row],[1]:[31]],Code10)</f>
        <v>0</v>
      </c>
      <c r="AT64" s="30">
        <f>COUNTIF(ParticipationMars1[[#This Row],[1]:[31]],Code11)</f>
        <v>0</v>
      </c>
      <c r="AU64" s="30">
        <f>COUNTIF(ParticipationMars1[[#This Row],[1]:[31]],Code12)</f>
        <v>0</v>
      </c>
      <c r="AV64" s="30">
        <f>COUNTIF(ParticipationMars1[[#This Row],[1]:[31]],Code13)</f>
        <v>0</v>
      </c>
      <c r="AW64" s="30">
        <f>COUNTIF(ParticipationMars1[[#This Row],[1]:[31]],Code14)</f>
        <v>0</v>
      </c>
      <c r="AX64" s="30">
        <f>COUNTIF(ParticipationMars1[[#This Row],[1]:[31]],Code15)</f>
        <v>0</v>
      </c>
      <c r="AY64" s="30">
        <f>COUNTIF(ParticipationMars1[[#This Row],[1]:[31]],Code16)</f>
        <v>0</v>
      </c>
      <c r="AZ64" s="30">
        <f>COUNTIF(ParticipationMars1[[#This Row],[1]:[31]],Code17)</f>
        <v>0</v>
      </c>
      <c r="BA64" s="30">
        <f>COUNTIF(ParticipationMars1[[#This Row],[1]:[31]],Code25)</f>
        <v>0</v>
      </c>
      <c r="BB64" s="307">
        <f>COUNTIF(ParticipationMars1[[#This Row],[1]:[31]],Code26)</f>
        <v>0</v>
      </c>
      <c r="BC64" s="30">
        <f>COUNTIF(ParticipationMars1[[#This Row],[1]:[31]],Code27)</f>
        <v>0</v>
      </c>
      <c r="BD64" s="30">
        <f>COUNTIF(ParticipationMars1[[#This Row],[1]:[31]],Code28)</f>
        <v>0</v>
      </c>
      <c r="BE64" s="30">
        <f>COUNTIF(ParticipationMars1[[#This Row],[1]:[31]],code30)</f>
        <v>0</v>
      </c>
      <c r="BF64" s="30">
        <f>COUNTIF(ParticipationMars1[[#This Row],[1]:[31]],Code31)</f>
        <v>0</v>
      </c>
      <c r="BG64" s="30">
        <f>COUNTIF(ParticipationMars1[[#This Row],[1]:[31]],code21)</f>
        <v>0</v>
      </c>
      <c r="BH64" s="30">
        <f>COUNTIF(ParticipationMars1[[#This Row],[1]:[31]],Code24)</f>
        <v>0</v>
      </c>
      <c r="BI64" s="30">
        <f>COUNTIF(ParticipationMars1[[#This Row],[1]:[31]],code18)</f>
        <v>0</v>
      </c>
      <c r="BJ64" s="30">
        <f>COUNTIF(ParticipationMars1[[#This Row],[1]:[31]],code19)</f>
        <v>0</v>
      </c>
      <c r="BK64" s="30">
        <f>COUNTIF(ParticipationMars1[[#This Row],[1]:[31]],code20)</f>
        <v>0</v>
      </c>
      <c r="BL64" s="164">
        <f>COUNTIF(ParticipationMars1[[#This Row],[1]:[31]],code29)</f>
        <v>0</v>
      </c>
      <c r="BM64" s="297"/>
      <c r="BN64" s="297"/>
      <c r="BO64" s="297"/>
      <c r="BP64" s="297"/>
      <c r="BQ64" s="297"/>
      <c r="BR64" s="297"/>
      <c r="BS64" s="297"/>
      <c r="BT64" s="297">
        <v>2</v>
      </c>
      <c r="BU64" s="297"/>
      <c r="BV64" s="297"/>
      <c r="BW64" s="297"/>
      <c r="BX64" s="297"/>
      <c r="BY64" s="297"/>
      <c r="BZ64" s="297">
        <v>1</v>
      </c>
      <c r="CA64" s="297"/>
      <c r="CB64" s="297"/>
      <c r="CC64" s="297"/>
      <c r="CD64" s="297"/>
      <c r="CE64" s="297"/>
      <c r="CF64" s="297"/>
      <c r="CG64" s="297"/>
      <c r="CH64" s="297"/>
      <c r="CI64" s="297"/>
      <c r="CJ64" s="297"/>
      <c r="CK64" s="297"/>
      <c r="CL64" s="297"/>
      <c r="CM64" s="297"/>
      <c r="CN64" s="297"/>
      <c r="CO64" s="297"/>
      <c r="CP64" s="297"/>
      <c r="CQ64" s="297"/>
      <c r="CR64" s="297"/>
      <c r="CS64" s="307"/>
      <c r="CT64" s="307"/>
      <c r="CU64" s="300"/>
      <c r="CV64" s="501">
        <f t="shared" si="3"/>
        <v>0</v>
      </c>
      <c r="CW64" s="501">
        <f t="shared" si="4"/>
        <v>3</v>
      </c>
      <c r="CX64" s="249">
        <f t="shared" si="5"/>
        <v>0</v>
      </c>
      <c r="CY64" s="170">
        <f>SUM((BI64*7)+(BJ64*10)+(BK64*12))</f>
        <v>0</v>
      </c>
    </row>
    <row r="65" spans="1:103">
      <c r="A65" s="510" t="s">
        <v>406</v>
      </c>
      <c r="B65" s="162" t="str">
        <f>IFERROR(VLOOKUP(ParticipationMars1[[#This Row],[Référence]],ListeÉtudiants1[],18,FALSE),"")</f>
        <v>GASQUET ANTOINE</v>
      </c>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340"/>
      <c r="AH65" s="6">
        <f>COUNTIF(ParticipationMars1[[#This Row],[1]:[31]],Code1)</f>
        <v>0</v>
      </c>
      <c r="AI65" s="475">
        <f>COUNTIF(ParticipationMars1[[#This Row],[1]:[31]],code22)</f>
        <v>0</v>
      </c>
      <c r="AJ65" s="30">
        <f>COUNTIF(ParticipationMars1[[#This Row],[1]:[31]],Code2)</f>
        <v>0</v>
      </c>
      <c r="AK65" s="30">
        <f>COUNTIF(ParticipationMars1[[#This Row],[1]:[31]],Code3)</f>
        <v>0</v>
      </c>
      <c r="AL65" s="30">
        <f>COUNTIF(ParticipationMars1[[#This Row],[1]:[31]],Code4)</f>
        <v>0</v>
      </c>
      <c r="AM65" s="473">
        <f>COUNTIF(ParticipationMars1[[#This Row],[1]:[31]],Code5)</f>
        <v>0</v>
      </c>
      <c r="AN65" s="473">
        <f>COUNTIF(ParticipationMars1[[#This Row],[1]:[31]],Code23)</f>
        <v>0</v>
      </c>
      <c r="AO65" s="473">
        <f>COUNTIF(ParticipationMars1[[#This Row],[1]:[31]],Code6)</f>
        <v>0</v>
      </c>
      <c r="AP65" s="473">
        <f>COUNTIF(ParticipationMars1[[#This Row],[1]:[31]],Code7)</f>
        <v>0</v>
      </c>
      <c r="AQ65" s="473">
        <f>COUNTIF(ParticipationMars1[[#This Row],[1]:[31]],Code8)</f>
        <v>0</v>
      </c>
      <c r="AR65" s="473">
        <f>COUNTIF(ParticipationMars1[[#This Row],[1]:[31]],Code9)</f>
        <v>0</v>
      </c>
      <c r="AS65" s="473">
        <f>COUNTIF(ParticipationMars1[[#This Row],[1]:[31]],Code10)</f>
        <v>0</v>
      </c>
      <c r="AT65" s="473">
        <f>COUNTIF(ParticipationMars1[[#This Row],[1]:[31]],Code11)</f>
        <v>0</v>
      </c>
      <c r="AU65" s="473">
        <f>COUNTIF(ParticipationMars1[[#This Row],[1]:[31]],Code12)</f>
        <v>0</v>
      </c>
      <c r="AV65" s="473">
        <f>COUNTIF(ParticipationMars1[[#This Row],[1]:[31]],Code13)</f>
        <v>0</v>
      </c>
      <c r="AW65" s="473">
        <f>COUNTIF(ParticipationMars1[[#This Row],[1]:[31]],Code14)</f>
        <v>0</v>
      </c>
      <c r="AX65" s="473">
        <f>COUNTIF(ParticipationMars1[[#This Row],[1]:[31]],Code15)</f>
        <v>0</v>
      </c>
      <c r="AY65" s="473">
        <f>COUNTIF(ParticipationMars1[[#This Row],[1]:[31]],Code16)</f>
        <v>0</v>
      </c>
      <c r="AZ65" s="473">
        <f>COUNTIF(ParticipationMars1[[#This Row],[1]:[31]],Code17)</f>
        <v>0</v>
      </c>
      <c r="BA65" s="473">
        <f>COUNTIF(ParticipationMars1[[#This Row],[1]:[31]],Code25)</f>
        <v>0</v>
      </c>
      <c r="BB65" s="473">
        <f>COUNTIF(ParticipationMars1[[#This Row],[1]:[31]],Code26)</f>
        <v>0</v>
      </c>
      <c r="BC65" s="473">
        <f>COUNTIF(ParticipationMars1[[#This Row],[1]:[31]],Code27)</f>
        <v>0</v>
      </c>
      <c r="BD65" s="473">
        <f>COUNTIF(ParticipationMars1[[#This Row],[1]:[31]],Code28)</f>
        <v>0</v>
      </c>
      <c r="BE65" s="473">
        <f>COUNTIF(ParticipationMars1[[#This Row],[1]:[31]],code30)</f>
        <v>0</v>
      </c>
      <c r="BF65" s="473">
        <f>COUNTIF(ParticipationMars1[[#This Row],[1]:[31]],Code31)</f>
        <v>0</v>
      </c>
      <c r="BG65" s="473">
        <f>COUNTIF(ParticipationMars1[[#This Row],[1]:[31]],code21)</f>
        <v>0</v>
      </c>
      <c r="BH65" s="473">
        <f>COUNTIF(ParticipationMars1[[#This Row],[1]:[31]],Code24)</f>
        <v>0</v>
      </c>
      <c r="BI65" s="473">
        <f>COUNTIF(ParticipationMars1[[#This Row],[1]:[31]],code18)</f>
        <v>0</v>
      </c>
      <c r="BJ65" s="473">
        <f>COUNTIF(ParticipationMars1[[#This Row],[1]:[31]],code19)</f>
        <v>0</v>
      </c>
      <c r="BK65" s="473">
        <f>COUNTIF(ParticipationMars1[[#This Row],[1]:[31]],code20)</f>
        <v>0</v>
      </c>
      <c r="BL65" s="516">
        <f>COUNTIF(ParticipationMars1[[#This Row],[1]:[31]],code29)</f>
        <v>0</v>
      </c>
      <c r="BM65" s="472"/>
      <c r="BN65" s="472"/>
      <c r="BO65" s="472"/>
      <c r="BP65" s="472"/>
      <c r="BQ65" s="472"/>
      <c r="BR65" s="472"/>
      <c r="BS65" s="472"/>
      <c r="BT65" s="472"/>
      <c r="BU65" s="472"/>
      <c r="BV65" s="472"/>
      <c r="BW65" s="472"/>
      <c r="BX65" s="472"/>
      <c r="BY65" s="472"/>
      <c r="BZ65" s="472"/>
      <c r="CA65" s="472"/>
      <c r="CB65" s="472"/>
      <c r="CC65" s="472"/>
      <c r="CD65" s="472"/>
      <c r="CE65" s="472"/>
      <c r="CF65" s="472"/>
      <c r="CG65" s="472"/>
      <c r="CH65" s="472"/>
      <c r="CI65" s="472"/>
      <c r="CJ65" s="472"/>
      <c r="CK65" s="472"/>
      <c r="CL65" s="472"/>
      <c r="CM65" s="472"/>
      <c r="CN65" s="472"/>
      <c r="CO65" s="472"/>
      <c r="CP65" s="472"/>
      <c r="CQ65" s="472"/>
      <c r="CR65" s="472"/>
      <c r="CS65" s="473"/>
      <c r="CT65" s="473"/>
      <c r="CU65" s="516"/>
      <c r="CV65" s="533">
        <f t="shared" si="3"/>
        <v>0</v>
      </c>
      <c r="CW65" s="533">
        <f t="shared" si="4"/>
        <v>0</v>
      </c>
      <c r="CX65" s="523">
        <f t="shared" si="5"/>
        <v>0</v>
      </c>
      <c r="CY65" s="512"/>
    </row>
    <row r="66" spans="1:103">
      <c r="A66" s="534" t="s">
        <v>407</v>
      </c>
      <c r="B66" s="162" t="str">
        <f>IFERROR(VLOOKUP(ParticipationMars1[[#This Row],[Référence]],ListeÉtudiants1[],18,FALSE),"")</f>
        <v>GATIBELZA LESLEY</v>
      </c>
      <c r="C66" s="19"/>
      <c r="D66" s="19"/>
      <c r="E66" s="19"/>
      <c r="F66" s="19"/>
      <c r="G66" s="19"/>
      <c r="H66" s="19"/>
      <c r="I66" s="19"/>
      <c r="J66" s="19"/>
      <c r="K66" s="19"/>
      <c r="L66" s="19"/>
      <c r="M66" s="19"/>
      <c r="N66" s="19"/>
      <c r="O66" s="19"/>
      <c r="P66" s="19"/>
      <c r="Q66" s="19"/>
      <c r="R66" s="19"/>
      <c r="S66" s="19"/>
      <c r="T66" s="19"/>
      <c r="U66" s="19"/>
      <c r="V66" s="19"/>
      <c r="W66" s="19"/>
      <c r="X66" s="19"/>
      <c r="Y66" s="19"/>
      <c r="Z66" s="19"/>
      <c r="AA66" s="19" t="s">
        <v>529</v>
      </c>
      <c r="AB66" s="19" t="s">
        <v>487</v>
      </c>
      <c r="AC66" s="19"/>
      <c r="AD66" s="19"/>
      <c r="AE66" s="19"/>
      <c r="AF66" s="19"/>
      <c r="AG66" s="144"/>
      <c r="AH66" s="6">
        <f>COUNTIF(ParticipationMars1[[#This Row],[1]:[31]],Code1)</f>
        <v>0</v>
      </c>
      <c r="AI66" s="331">
        <f>COUNTIF(ParticipationMars1[[#This Row],[1]:[31]],code22)</f>
        <v>0</v>
      </c>
      <c r="AJ66" s="30">
        <f>COUNTIF(ParticipationMars1[[#This Row],[1]:[31]],Code2)</f>
        <v>0</v>
      </c>
      <c r="AK66" s="30">
        <f>COUNTIF(ParticipationMars1[[#This Row],[1]:[31]],Code3)</f>
        <v>0</v>
      </c>
      <c r="AL66" s="30">
        <f>COUNTIF(ParticipationMars1[[#This Row],[1]:[31]],Code4)</f>
        <v>0</v>
      </c>
      <c r="AM66" s="307">
        <f>COUNTIF(ParticipationMars1[[#This Row],[1]:[31]],Code5)</f>
        <v>0</v>
      </c>
      <c r="AN66" s="307">
        <f>COUNTIF(ParticipationMars1[[#This Row],[1]:[31]],Code23)</f>
        <v>1</v>
      </c>
      <c r="AO66" s="307">
        <f>COUNTIF(ParticipationMars1[[#This Row],[1]:[31]],Code6)</f>
        <v>0</v>
      </c>
      <c r="AP66" s="307">
        <f>COUNTIF(ParticipationMars1[[#This Row],[1]:[31]],Code7)</f>
        <v>0</v>
      </c>
      <c r="AQ66" s="307">
        <f>COUNTIF(ParticipationMars1[[#This Row],[1]:[31]],Code8)</f>
        <v>0</v>
      </c>
      <c r="AR66" s="307">
        <f>COUNTIF(ParticipationMars1[[#This Row],[1]:[31]],Code9)</f>
        <v>0</v>
      </c>
      <c r="AS66" s="307">
        <f>COUNTIF(ParticipationMars1[[#This Row],[1]:[31]],Code10)</f>
        <v>0</v>
      </c>
      <c r="AT66" s="307">
        <f>COUNTIF(ParticipationMars1[[#This Row],[1]:[31]],Code11)</f>
        <v>0</v>
      </c>
      <c r="AU66" s="30">
        <f>COUNTIF(ParticipationMars1[[#This Row],[1]:[31]],Code12)</f>
        <v>1</v>
      </c>
      <c r="AV66" s="307">
        <f>COUNTIF(ParticipationMars1[[#This Row],[1]:[31]],Code13)</f>
        <v>0</v>
      </c>
      <c r="AW66" s="307">
        <f>COUNTIF(ParticipationMars1[[#This Row],[1]:[31]],Code14)</f>
        <v>0</v>
      </c>
      <c r="AX66" s="307">
        <f>COUNTIF(ParticipationMars1[[#This Row],[1]:[31]],Code15)</f>
        <v>0</v>
      </c>
      <c r="AY66" s="307">
        <f>COUNTIF(ParticipationMars1[[#This Row],[1]:[31]],Code16)</f>
        <v>0</v>
      </c>
      <c r="AZ66" s="307">
        <f>COUNTIF(ParticipationMars1[[#This Row],[1]:[31]],Code17)</f>
        <v>0</v>
      </c>
      <c r="BA66" s="307">
        <f>COUNTIF(ParticipationMars1[[#This Row],[1]:[31]],Code25)</f>
        <v>0</v>
      </c>
      <c r="BB66" s="307">
        <f>COUNTIF(ParticipationMars1[[#This Row],[1]:[31]],Code26)</f>
        <v>0</v>
      </c>
      <c r="BC66" s="307">
        <f>COUNTIF(ParticipationMars1[[#This Row],[1]:[31]],Code27)</f>
        <v>0</v>
      </c>
      <c r="BD66" s="307">
        <f>COUNTIF(ParticipationMars1[[#This Row],[1]:[31]],Code28)</f>
        <v>0</v>
      </c>
      <c r="BE66" s="307">
        <f>COUNTIF(ParticipationMars1[[#This Row],[1]:[31]],code30)</f>
        <v>0</v>
      </c>
      <c r="BF66" s="307">
        <f>COUNTIF(ParticipationMars1[[#This Row],[1]:[31]],Code31)</f>
        <v>0</v>
      </c>
      <c r="BG66" s="307">
        <f>COUNTIF(ParticipationMars1[[#This Row],[1]:[31]],code21)</f>
        <v>0</v>
      </c>
      <c r="BH66" s="307">
        <f>COUNTIF(ParticipationMars1[[#This Row],[1]:[31]],Code24)</f>
        <v>0</v>
      </c>
      <c r="BI66" s="307">
        <f>COUNTIF(ParticipationMars1[[#This Row],[1]:[31]],code18)</f>
        <v>0</v>
      </c>
      <c r="BJ66" s="307">
        <f>COUNTIF(ParticipationMars1[[#This Row],[1]:[31]],code19)</f>
        <v>0</v>
      </c>
      <c r="BK66" s="307">
        <f>COUNTIF(ParticipationMars1[[#This Row],[1]:[31]],code20)</f>
        <v>0</v>
      </c>
      <c r="BL66" s="300">
        <f>COUNTIF(ParticipationMars1[[#This Row],[1]:[31]],code29)</f>
        <v>0</v>
      </c>
      <c r="BM66" s="297"/>
      <c r="BN66" s="297"/>
      <c r="BO66" s="297"/>
      <c r="BP66" s="297"/>
      <c r="BQ66" s="297"/>
      <c r="BR66" s="297"/>
      <c r="BS66" s="297"/>
      <c r="BT66" s="297">
        <v>1</v>
      </c>
      <c r="BU66" s="297"/>
      <c r="BV66" s="297"/>
      <c r="BW66" s="297">
        <v>1</v>
      </c>
      <c r="BX66" s="297"/>
      <c r="BY66" s="297"/>
      <c r="BZ66" s="297">
        <v>1</v>
      </c>
      <c r="CA66" s="297"/>
      <c r="CB66" s="297"/>
      <c r="CC66" s="297"/>
      <c r="CD66" s="297"/>
      <c r="CE66" s="297"/>
      <c r="CF66" s="297"/>
      <c r="CG66" s="297"/>
      <c r="CH66" s="297"/>
      <c r="CI66" s="297"/>
      <c r="CJ66" s="297"/>
      <c r="CK66" s="297">
        <v>1</v>
      </c>
      <c r="CL66" s="297"/>
      <c r="CM66" s="297"/>
      <c r="CN66" s="297"/>
      <c r="CO66" s="297"/>
      <c r="CP66" s="297"/>
      <c r="CQ66" s="297"/>
      <c r="CR66" s="297"/>
      <c r="CS66" s="307"/>
      <c r="CT66" s="307"/>
      <c r="CU66" s="300"/>
      <c r="CV66" s="501">
        <f t="shared" si="3"/>
        <v>2</v>
      </c>
      <c r="CW66" s="501">
        <f t="shared" si="4"/>
        <v>7</v>
      </c>
      <c r="CX66" s="341">
        <f t="shared" si="5"/>
        <v>0</v>
      </c>
      <c r="CY66" s="327"/>
    </row>
    <row r="67" spans="1:103">
      <c r="A67" s="534" t="s">
        <v>408</v>
      </c>
      <c r="B67" s="162" t="str">
        <f>IFERROR(VLOOKUP(ParticipationMars1[[#This Row],[Référence]],ListeÉtudiants1[],18,FALSE),"")</f>
        <v>GOMES SEMEDO LUCY</v>
      </c>
      <c r="C67" s="19"/>
      <c r="D67" s="19"/>
      <c r="E67" s="19"/>
      <c r="F67" s="19"/>
      <c r="G67" s="19"/>
      <c r="H67" s="19"/>
      <c r="I67" s="19"/>
      <c r="J67" s="19"/>
      <c r="K67" s="19"/>
      <c r="L67" s="19"/>
      <c r="M67" s="19"/>
      <c r="N67" s="19"/>
      <c r="O67" s="19"/>
      <c r="P67" s="19"/>
      <c r="Q67" s="19" t="s">
        <v>529</v>
      </c>
      <c r="R67" s="19"/>
      <c r="S67" s="19"/>
      <c r="T67" s="19"/>
      <c r="U67" s="19"/>
      <c r="V67" s="19"/>
      <c r="W67" s="19"/>
      <c r="X67" s="19"/>
      <c r="Y67" s="19"/>
      <c r="Z67" s="19"/>
      <c r="AA67" s="19"/>
      <c r="AB67" s="19" t="s">
        <v>108</v>
      </c>
      <c r="AC67" s="19"/>
      <c r="AD67" s="19"/>
      <c r="AE67" s="19"/>
      <c r="AF67" s="19"/>
      <c r="AG67" s="144"/>
      <c r="AH67" s="6">
        <f>COUNTIF(ParticipationMars1[[#This Row],[1]:[31]],Code1)</f>
        <v>0</v>
      </c>
      <c r="AI67" s="331">
        <f>COUNTIF(ParticipationMars1[[#This Row],[1]:[31]],code22)</f>
        <v>0</v>
      </c>
      <c r="AJ67" s="30">
        <f>COUNTIF(ParticipationMars1[[#This Row],[1]:[31]],Code2)</f>
        <v>0</v>
      </c>
      <c r="AK67" s="30">
        <f>COUNTIF(ParticipationMars1[[#This Row],[1]:[31]],Code3)</f>
        <v>0</v>
      </c>
      <c r="AL67" s="30">
        <f>COUNTIF(ParticipationMars1[[#This Row],[1]:[31]],Code4)</f>
        <v>0</v>
      </c>
      <c r="AM67" s="307">
        <f>COUNTIF(ParticipationMars1[[#This Row],[1]:[31]],Code5)</f>
        <v>0</v>
      </c>
      <c r="AN67" s="307">
        <f>COUNTIF(ParticipationMars1[[#This Row],[1]:[31]],Code23)</f>
        <v>1</v>
      </c>
      <c r="AO67" s="307">
        <f>COUNTIF(ParticipationMars1[[#This Row],[1]:[31]],Code6)</f>
        <v>1</v>
      </c>
      <c r="AP67" s="307">
        <f>COUNTIF(ParticipationMars1[[#This Row],[1]:[31]],Code7)</f>
        <v>0</v>
      </c>
      <c r="AQ67" s="307">
        <f>COUNTIF(ParticipationMars1[[#This Row],[1]:[31]],Code8)</f>
        <v>0</v>
      </c>
      <c r="AR67" s="307">
        <f>COUNTIF(ParticipationMars1[[#This Row],[1]:[31]],Code9)</f>
        <v>0</v>
      </c>
      <c r="AS67" s="307">
        <f>COUNTIF(ParticipationMars1[[#This Row],[1]:[31]],Code10)</f>
        <v>0</v>
      </c>
      <c r="AT67" s="307">
        <f>COUNTIF(ParticipationMars1[[#This Row],[1]:[31]],Code11)</f>
        <v>0</v>
      </c>
      <c r="AU67" s="30">
        <f>COUNTIF(ParticipationMars1[[#This Row],[1]:[31]],Code12)</f>
        <v>0</v>
      </c>
      <c r="AV67" s="307">
        <f>COUNTIF(ParticipationMars1[[#This Row],[1]:[31]],Code13)</f>
        <v>0</v>
      </c>
      <c r="AW67" s="307">
        <f>COUNTIF(ParticipationMars1[[#This Row],[1]:[31]],Code14)</f>
        <v>0</v>
      </c>
      <c r="AX67" s="307">
        <f>COUNTIF(ParticipationMars1[[#This Row],[1]:[31]],Code15)</f>
        <v>0</v>
      </c>
      <c r="AY67" s="307">
        <f>COUNTIF(ParticipationMars1[[#This Row],[1]:[31]],Code16)</f>
        <v>0</v>
      </c>
      <c r="AZ67" s="307">
        <f>COUNTIF(ParticipationMars1[[#This Row],[1]:[31]],Code17)</f>
        <v>0</v>
      </c>
      <c r="BA67" s="307">
        <f>COUNTIF(ParticipationMars1[[#This Row],[1]:[31]],Code25)</f>
        <v>0</v>
      </c>
      <c r="BB67" s="307">
        <f>COUNTIF(ParticipationMars1[[#This Row],[1]:[31]],Code26)</f>
        <v>0</v>
      </c>
      <c r="BC67" s="307">
        <f>COUNTIF(ParticipationMars1[[#This Row],[1]:[31]],Code27)</f>
        <v>0</v>
      </c>
      <c r="BD67" s="307">
        <f>COUNTIF(ParticipationMars1[[#This Row],[1]:[31]],Code28)</f>
        <v>0</v>
      </c>
      <c r="BE67" s="307">
        <f>COUNTIF(ParticipationMars1[[#This Row],[1]:[31]],code30)</f>
        <v>0</v>
      </c>
      <c r="BF67" s="307">
        <f>COUNTIF(ParticipationMars1[[#This Row],[1]:[31]],Code31)</f>
        <v>0</v>
      </c>
      <c r="BG67" s="307">
        <f>COUNTIF(ParticipationMars1[[#This Row],[1]:[31]],code21)</f>
        <v>0</v>
      </c>
      <c r="BH67" s="307">
        <f>COUNTIF(ParticipationMars1[[#This Row],[1]:[31]],Code24)</f>
        <v>0</v>
      </c>
      <c r="BI67" s="307">
        <f>COUNTIF(ParticipationMars1[[#This Row],[1]:[31]],code18)</f>
        <v>0</v>
      </c>
      <c r="BJ67" s="307">
        <f>COUNTIF(ParticipationMars1[[#This Row],[1]:[31]],code19)</f>
        <v>0</v>
      </c>
      <c r="BK67" s="307">
        <f>COUNTIF(ParticipationMars1[[#This Row],[1]:[31]],code20)</f>
        <v>0</v>
      </c>
      <c r="BL67" s="300">
        <f>COUNTIF(ParticipationMars1[[#This Row],[1]:[31]],code29)</f>
        <v>0</v>
      </c>
      <c r="BM67" s="297"/>
      <c r="BN67" s="297"/>
      <c r="BO67" s="297"/>
      <c r="BP67" s="297"/>
      <c r="BQ67" s="297"/>
      <c r="BR67" s="297"/>
      <c r="BS67" s="297"/>
      <c r="BT67" s="297"/>
      <c r="BU67" s="297"/>
      <c r="BV67" s="297"/>
      <c r="BW67" s="297">
        <v>2</v>
      </c>
      <c r="BX67" s="297"/>
      <c r="BY67" s="297"/>
      <c r="BZ67" s="297"/>
      <c r="CA67" s="297"/>
      <c r="CB67" s="297"/>
      <c r="CC67" s="297"/>
      <c r="CD67" s="297"/>
      <c r="CE67" s="297"/>
      <c r="CF67" s="297"/>
      <c r="CG67" s="297"/>
      <c r="CH67" s="297"/>
      <c r="CI67" s="297"/>
      <c r="CJ67" s="297"/>
      <c r="CK67" s="297">
        <v>1</v>
      </c>
      <c r="CL67" s="297"/>
      <c r="CM67" s="297"/>
      <c r="CN67" s="297"/>
      <c r="CO67" s="297"/>
      <c r="CP67" s="297"/>
      <c r="CQ67" s="297"/>
      <c r="CR67" s="297"/>
      <c r="CS67" s="307"/>
      <c r="CT67" s="307"/>
      <c r="CU67" s="300"/>
      <c r="CV67" s="501">
        <f t="shared" si="3"/>
        <v>0</v>
      </c>
      <c r="CW67" s="501">
        <f t="shared" si="4"/>
        <v>4</v>
      </c>
      <c r="CX67" s="341">
        <f t="shared" si="5"/>
        <v>0</v>
      </c>
      <c r="CY67" s="327"/>
    </row>
    <row r="68" spans="1:103">
      <c r="A68" s="534" t="s">
        <v>409</v>
      </c>
      <c r="B68" s="162" t="str">
        <f>IFERROR(VLOOKUP(ParticipationMars1[[#This Row],[Référence]],ListeÉtudiants1[],18,FALSE),"")</f>
        <v>GORDON  MAIVA</v>
      </c>
      <c r="C68" s="19"/>
      <c r="D68" s="19"/>
      <c r="E68" s="19"/>
      <c r="F68" s="19"/>
      <c r="G68" s="19"/>
      <c r="H68" s="19"/>
      <c r="I68" s="19"/>
      <c r="J68" s="19"/>
      <c r="K68" s="19"/>
      <c r="L68" s="19"/>
      <c r="M68" s="19"/>
      <c r="N68" s="19" t="s">
        <v>531</v>
      </c>
      <c r="O68" s="19"/>
      <c r="P68" s="19" t="s">
        <v>507</v>
      </c>
      <c r="Q68" s="19" t="s">
        <v>109</v>
      </c>
      <c r="R68" s="19"/>
      <c r="S68" s="19"/>
      <c r="T68" s="19"/>
      <c r="U68" s="19"/>
      <c r="V68" s="19"/>
      <c r="W68" s="19" t="s">
        <v>488</v>
      </c>
      <c r="X68" s="19" t="s">
        <v>488</v>
      </c>
      <c r="Y68" s="19" t="s">
        <v>627</v>
      </c>
      <c r="Z68" s="19"/>
      <c r="AA68" s="19"/>
      <c r="AB68" s="19"/>
      <c r="AC68" s="19"/>
      <c r="AD68" s="19" t="s">
        <v>35</v>
      </c>
      <c r="AE68" s="19"/>
      <c r="AF68" s="19" t="s">
        <v>106</v>
      </c>
      <c r="AG68" s="144"/>
      <c r="AH68" s="6">
        <f>COUNTIF(ParticipationMars1[[#This Row],[1]:[31]],Code1)</f>
        <v>0</v>
      </c>
      <c r="AI68" s="6">
        <f>COUNTIF(ParticipationMars1[[#This Row],[1]:[31]],code22)</f>
        <v>0</v>
      </c>
      <c r="AJ68" s="30">
        <f>COUNTIF(ParticipationMars1[[#This Row],[1]:[31]],Code2)</f>
        <v>0</v>
      </c>
      <c r="AK68" s="30">
        <f>COUNTIF(ParticipationMars1[[#This Row],[1]:[31]],Code3)</f>
        <v>1</v>
      </c>
      <c r="AL68" s="30">
        <f>COUNTIF(ParticipationMars1[[#This Row],[1]:[31]],Code4)</f>
        <v>0</v>
      </c>
      <c r="AM68" s="30">
        <f>COUNTIF(ParticipationMars1[[#This Row],[1]:[31]],Code5)</f>
        <v>1</v>
      </c>
      <c r="AN68" s="30">
        <f>COUNTIF(ParticipationMars1[[#This Row],[1]:[31]],Code23)</f>
        <v>0</v>
      </c>
      <c r="AO68" s="30">
        <f>COUNTIF(ParticipationMars1[[#This Row],[1]:[31]],Code6)</f>
        <v>0</v>
      </c>
      <c r="AP68" s="30">
        <f>COUNTIF(ParticipationMars1[[#This Row],[1]:[31]],Code7)</f>
        <v>1</v>
      </c>
      <c r="AQ68" s="30">
        <f>COUNTIF(ParticipationMars1[[#This Row],[1]:[31]],Code8)</f>
        <v>0</v>
      </c>
      <c r="AR68" s="30">
        <f>COUNTIF(ParticipationMars1[[#This Row],[1]:[31]],Code9)</f>
        <v>0</v>
      </c>
      <c r="AS68" s="30">
        <f>COUNTIF(ParticipationMars1[[#This Row],[1]:[31]],Code10)</f>
        <v>0</v>
      </c>
      <c r="AT68" s="30">
        <f>COUNTIF(ParticipationMars1[[#This Row],[1]:[31]],Code11)</f>
        <v>0</v>
      </c>
      <c r="AU68" s="30">
        <f>COUNTIF(ParticipationMars1[[#This Row],[1]:[31]],Code12)</f>
        <v>0</v>
      </c>
      <c r="AV68" s="30">
        <f>COUNTIF(ParticipationMars1[[#This Row],[1]:[31]],Code13)</f>
        <v>0</v>
      </c>
      <c r="AW68" s="30">
        <f>COUNTIF(ParticipationMars1[[#This Row],[1]:[31]],Code14)</f>
        <v>2</v>
      </c>
      <c r="AX68" s="30">
        <f>COUNTIF(ParticipationMars1[[#This Row],[1]:[31]],Code15)</f>
        <v>0</v>
      </c>
      <c r="AY68" s="30">
        <f>COUNTIF(ParticipationMars1[[#This Row],[1]:[31]],Code16)</f>
        <v>0</v>
      </c>
      <c r="AZ68" s="30">
        <f>COUNTIF(ParticipationMars1[[#This Row],[1]:[31]],Code17)</f>
        <v>0</v>
      </c>
      <c r="BA68" s="30">
        <f>COUNTIF(ParticipationMars1[[#This Row],[1]:[31]],Code25)</f>
        <v>0</v>
      </c>
      <c r="BB68" s="307">
        <f>COUNTIF(ParticipationMars1[[#This Row],[1]:[31]],Code26)</f>
        <v>0</v>
      </c>
      <c r="BC68" s="30">
        <f>COUNTIF(ParticipationMars1[[#This Row],[1]:[31]],Code27)</f>
        <v>1</v>
      </c>
      <c r="BD68" s="30">
        <f>COUNTIF(ParticipationMars1[[#This Row],[1]:[31]],Code28)</f>
        <v>0</v>
      </c>
      <c r="BE68" s="30">
        <f>COUNTIF(ParticipationMars1[[#This Row],[1]:[31]],code30)</f>
        <v>0</v>
      </c>
      <c r="BF68" s="30">
        <f>COUNTIF(ParticipationMars1[[#This Row],[1]:[31]],Code31)</f>
        <v>0</v>
      </c>
      <c r="BG68" s="30">
        <f>COUNTIF(ParticipationMars1[[#This Row],[1]:[31]],code21)</f>
        <v>1</v>
      </c>
      <c r="BH68" s="30">
        <f>COUNTIF(ParticipationMars1[[#This Row],[1]:[31]],Code24)</f>
        <v>1</v>
      </c>
      <c r="BI68" s="30">
        <f>COUNTIF(ParticipationMars1[[#This Row],[1]:[31]],code18)</f>
        <v>0</v>
      </c>
      <c r="BJ68" s="30">
        <f>COUNTIF(ParticipationMars1[[#This Row],[1]:[31]],code19)</f>
        <v>0</v>
      </c>
      <c r="BK68" s="30">
        <f>COUNTIF(ParticipationMars1[[#This Row],[1]:[31]],code20)</f>
        <v>0</v>
      </c>
      <c r="BL68" s="164">
        <f>COUNTIF(ParticipationMars1[[#This Row],[1]:[31]],code29)</f>
        <v>0</v>
      </c>
      <c r="BM68" s="297"/>
      <c r="BN68" s="297">
        <v>1</v>
      </c>
      <c r="BO68" s="297"/>
      <c r="BP68" s="297"/>
      <c r="BQ68" s="297"/>
      <c r="BR68" s="297"/>
      <c r="BS68" s="297"/>
      <c r="BT68" s="297">
        <v>2</v>
      </c>
      <c r="BU68" s="297"/>
      <c r="BV68" s="297"/>
      <c r="BW68" s="297">
        <v>5</v>
      </c>
      <c r="BX68" s="297"/>
      <c r="BY68" s="297"/>
      <c r="BZ68" s="297"/>
      <c r="CA68" s="297"/>
      <c r="CB68" s="297"/>
      <c r="CC68" s="297"/>
      <c r="CD68" s="297"/>
      <c r="CE68" s="297"/>
      <c r="CF68" s="297"/>
      <c r="CG68" s="297">
        <v>3</v>
      </c>
      <c r="CH68" s="297"/>
      <c r="CI68" s="297"/>
      <c r="CJ68" s="297"/>
      <c r="CK68" s="297">
        <v>1</v>
      </c>
      <c r="CL68" s="297"/>
      <c r="CM68" s="297"/>
      <c r="CN68" s="297"/>
      <c r="CO68" s="297"/>
      <c r="CP68" s="297"/>
      <c r="CQ68" s="297"/>
      <c r="CR68" s="297"/>
      <c r="CS68" s="307"/>
      <c r="CT68" s="307"/>
      <c r="CU68" s="300"/>
      <c r="CV68" s="501">
        <f t="shared" si="3"/>
        <v>12</v>
      </c>
      <c r="CW68" s="501">
        <f t="shared" si="4"/>
        <v>27</v>
      </c>
      <c r="CX68" s="249">
        <f t="shared" si="5"/>
        <v>1</v>
      </c>
      <c r="CY68" s="170">
        <f>SUM((BI68*7)+(BJ68*10)+(BK68*12))</f>
        <v>0</v>
      </c>
    </row>
    <row r="69" spans="1:103">
      <c r="A69" s="510" t="s">
        <v>410</v>
      </c>
      <c r="B69" s="162" t="str">
        <f>IFERROR(VLOOKUP(ParticipationMars1[[#This Row],[Référence]],ListeÉtudiants1[],18,FALSE),"")</f>
        <v>GRANCHON-RIOLZIR DOROTHEE</v>
      </c>
      <c r="C69" s="19"/>
      <c r="D69" s="19"/>
      <c r="E69" s="19"/>
      <c r="F69" s="19"/>
      <c r="G69" s="19"/>
      <c r="H69" s="19"/>
      <c r="I69" s="19"/>
      <c r="J69" s="19"/>
      <c r="K69" s="19"/>
      <c r="L69" s="19"/>
      <c r="M69" s="19"/>
      <c r="N69" s="19"/>
      <c r="O69" s="19"/>
      <c r="P69" s="19"/>
      <c r="Q69" s="19" t="s">
        <v>529</v>
      </c>
      <c r="R69" s="19"/>
      <c r="S69" s="19"/>
      <c r="T69" s="19"/>
      <c r="U69" s="19"/>
      <c r="V69" s="19" t="s">
        <v>529</v>
      </c>
      <c r="W69" s="19"/>
      <c r="X69" s="19" t="s">
        <v>488</v>
      </c>
      <c r="Y69" s="19"/>
      <c r="Z69" s="19"/>
      <c r="AA69" s="19" t="s">
        <v>529</v>
      </c>
      <c r="AB69" s="19" t="s">
        <v>487</v>
      </c>
      <c r="AC69" s="19" t="s">
        <v>486</v>
      </c>
      <c r="AD69" s="19"/>
      <c r="AE69" s="19" t="s">
        <v>529</v>
      </c>
      <c r="AF69" s="19"/>
      <c r="AG69" s="144"/>
      <c r="AH69" s="6">
        <f>COUNTIF(ParticipationMars1[[#This Row],[1]:[31]],Code1)</f>
        <v>0</v>
      </c>
      <c r="AI69" s="331">
        <f>COUNTIF(ParticipationMars1[[#This Row],[1]:[31]],code22)</f>
        <v>0</v>
      </c>
      <c r="AJ69" s="30">
        <f>COUNTIF(ParticipationMars1[[#This Row],[1]:[31]],Code2)</f>
        <v>0</v>
      </c>
      <c r="AK69" s="30">
        <f>COUNTIF(ParticipationMars1[[#This Row],[1]:[31]],Code3)</f>
        <v>0</v>
      </c>
      <c r="AL69" s="30">
        <f>COUNTIF(ParticipationMars1[[#This Row],[1]:[31]],Code4)</f>
        <v>0</v>
      </c>
      <c r="AM69" s="307">
        <f>COUNTIF(ParticipationMars1[[#This Row],[1]:[31]],Code5)</f>
        <v>0</v>
      </c>
      <c r="AN69" s="307">
        <f>COUNTIF(ParticipationMars1[[#This Row],[1]:[31]],Code23)</f>
        <v>4</v>
      </c>
      <c r="AO69" s="307">
        <f>COUNTIF(ParticipationMars1[[#This Row],[1]:[31]],Code6)</f>
        <v>0</v>
      </c>
      <c r="AP69" s="307">
        <f>COUNTIF(ParticipationMars1[[#This Row],[1]:[31]],Code7)</f>
        <v>0</v>
      </c>
      <c r="AQ69" s="307">
        <f>COUNTIF(ParticipationMars1[[#This Row],[1]:[31]],Code8)</f>
        <v>0</v>
      </c>
      <c r="AR69" s="307">
        <f>COUNTIF(ParticipationMars1[[#This Row],[1]:[31]],Code9)</f>
        <v>0</v>
      </c>
      <c r="AS69" s="307">
        <f>COUNTIF(ParticipationMars1[[#This Row],[1]:[31]],Code10)</f>
        <v>0</v>
      </c>
      <c r="AT69" s="307">
        <f>COUNTIF(ParticipationMars1[[#This Row],[1]:[31]],Code11)</f>
        <v>1</v>
      </c>
      <c r="AU69" s="30">
        <f>COUNTIF(ParticipationMars1[[#This Row],[1]:[31]],Code12)</f>
        <v>1</v>
      </c>
      <c r="AV69" s="307">
        <f>COUNTIF(ParticipationMars1[[#This Row],[1]:[31]],Code13)</f>
        <v>0</v>
      </c>
      <c r="AW69" s="307">
        <f>COUNTIF(ParticipationMars1[[#This Row],[1]:[31]],Code14)</f>
        <v>1</v>
      </c>
      <c r="AX69" s="307">
        <f>COUNTIF(ParticipationMars1[[#This Row],[1]:[31]],Code15)</f>
        <v>0</v>
      </c>
      <c r="AY69" s="307">
        <f>COUNTIF(ParticipationMars1[[#This Row],[1]:[31]],Code16)</f>
        <v>0</v>
      </c>
      <c r="AZ69" s="307">
        <f>COUNTIF(ParticipationMars1[[#This Row],[1]:[31]],Code17)</f>
        <v>0</v>
      </c>
      <c r="BA69" s="307">
        <f>COUNTIF(ParticipationMars1[[#This Row],[1]:[31]],Code25)</f>
        <v>0</v>
      </c>
      <c r="BB69" s="307">
        <f>COUNTIF(ParticipationMars1[[#This Row],[1]:[31]],Code26)</f>
        <v>0</v>
      </c>
      <c r="BC69" s="307">
        <f>COUNTIF(ParticipationMars1[[#This Row],[1]:[31]],Code27)</f>
        <v>0</v>
      </c>
      <c r="BD69" s="307">
        <f>COUNTIF(ParticipationMars1[[#This Row],[1]:[31]],Code28)</f>
        <v>0</v>
      </c>
      <c r="BE69" s="307">
        <f>COUNTIF(ParticipationMars1[[#This Row],[1]:[31]],code30)</f>
        <v>0</v>
      </c>
      <c r="BF69" s="307">
        <f>COUNTIF(ParticipationMars1[[#This Row],[1]:[31]],Code31)</f>
        <v>0</v>
      </c>
      <c r="BG69" s="307">
        <f>COUNTIF(ParticipationMars1[[#This Row],[1]:[31]],code21)</f>
        <v>0</v>
      </c>
      <c r="BH69" s="307">
        <f>COUNTIF(ParticipationMars1[[#This Row],[1]:[31]],Code24)</f>
        <v>0</v>
      </c>
      <c r="BI69" s="307">
        <f>COUNTIF(ParticipationMars1[[#This Row],[1]:[31]],code18)</f>
        <v>0</v>
      </c>
      <c r="BJ69" s="307">
        <f>COUNTIF(ParticipationMars1[[#This Row],[1]:[31]],code19)</f>
        <v>0</v>
      </c>
      <c r="BK69" s="307">
        <f>COUNTIF(ParticipationMars1[[#This Row],[1]:[31]],code20)</f>
        <v>0</v>
      </c>
      <c r="BL69" s="300">
        <f>COUNTIF(ParticipationMars1[[#This Row],[1]:[31]],code29)</f>
        <v>0</v>
      </c>
      <c r="BM69" s="297"/>
      <c r="BN69" s="297">
        <v>1</v>
      </c>
      <c r="BO69" s="297"/>
      <c r="BP69" s="297"/>
      <c r="BQ69" s="297"/>
      <c r="BR69" s="297"/>
      <c r="BS69" s="297"/>
      <c r="BT69" s="297">
        <v>2</v>
      </c>
      <c r="BU69" s="297"/>
      <c r="BV69" s="297"/>
      <c r="BW69" s="297">
        <v>4</v>
      </c>
      <c r="BX69" s="297"/>
      <c r="BY69" s="297"/>
      <c r="BZ69" s="297">
        <v>1</v>
      </c>
      <c r="CA69" s="297"/>
      <c r="CB69" s="297">
        <v>1</v>
      </c>
      <c r="CC69" s="297"/>
      <c r="CD69" s="297"/>
      <c r="CE69" s="297"/>
      <c r="CF69" s="297"/>
      <c r="CG69" s="297">
        <v>1</v>
      </c>
      <c r="CH69" s="297"/>
      <c r="CI69" s="297"/>
      <c r="CJ69" s="297"/>
      <c r="CK69" s="297">
        <v>1</v>
      </c>
      <c r="CL69" s="297"/>
      <c r="CM69" s="297"/>
      <c r="CN69" s="297"/>
      <c r="CO69" s="297"/>
      <c r="CP69" s="297"/>
      <c r="CQ69" s="297"/>
      <c r="CR69" s="297"/>
      <c r="CS69" s="307"/>
      <c r="CT69" s="307"/>
      <c r="CU69" s="300"/>
      <c r="CV69" s="501">
        <f t="shared" si="3"/>
        <v>2</v>
      </c>
      <c r="CW69" s="501">
        <f t="shared" si="4"/>
        <v>22</v>
      </c>
      <c r="CX69" s="341">
        <f t="shared" si="5"/>
        <v>0</v>
      </c>
      <c r="CY69" s="327"/>
    </row>
    <row r="70" spans="1:103">
      <c r="A70" s="510" t="s">
        <v>411</v>
      </c>
      <c r="B70" s="162" t="str">
        <f>IFERROR(VLOOKUP(ParticipationMars1[[#This Row],[Référence]],ListeÉtudiants1[],18,FALSE),"")</f>
        <v>GROEVIUS EMILIE</v>
      </c>
      <c r="C70" s="19"/>
      <c r="D70" s="19"/>
      <c r="E70" s="19"/>
      <c r="F70" s="19"/>
      <c r="G70" s="19"/>
      <c r="H70" s="19"/>
      <c r="I70" s="19"/>
      <c r="J70" s="19"/>
      <c r="K70" s="19"/>
      <c r="L70" s="19"/>
      <c r="M70" s="19"/>
      <c r="N70" s="19"/>
      <c r="O70" s="19"/>
      <c r="P70" s="19" t="s">
        <v>35</v>
      </c>
      <c r="Q70" s="19" t="s">
        <v>109</v>
      </c>
      <c r="R70" s="19"/>
      <c r="S70" s="19"/>
      <c r="T70" s="19"/>
      <c r="U70" s="19" t="s">
        <v>108</v>
      </c>
      <c r="V70" s="19"/>
      <c r="W70" s="19" t="s">
        <v>488</v>
      </c>
      <c r="X70" s="19" t="s">
        <v>488</v>
      </c>
      <c r="Y70" s="19" t="s">
        <v>108</v>
      </c>
      <c r="Z70" s="19"/>
      <c r="AA70" s="19" t="s">
        <v>529</v>
      </c>
      <c r="AB70" s="19" t="s">
        <v>109</v>
      </c>
      <c r="AC70" s="19" t="s">
        <v>486</v>
      </c>
      <c r="AD70" s="19" t="s">
        <v>35</v>
      </c>
      <c r="AE70" s="19"/>
      <c r="AF70" s="19"/>
      <c r="AG70" s="144"/>
      <c r="AH70" s="6">
        <f>COUNTIF(ParticipationMars1[[#This Row],[1]:[31]],Code1)</f>
        <v>0</v>
      </c>
      <c r="AI70" s="331">
        <f>COUNTIF(ParticipationMars1[[#This Row],[1]:[31]],code22)</f>
        <v>0</v>
      </c>
      <c r="AJ70" s="30">
        <f>COUNTIF(ParticipationMars1[[#This Row],[1]:[31]],Code2)</f>
        <v>0</v>
      </c>
      <c r="AK70" s="30">
        <f>COUNTIF(ParticipationMars1[[#This Row],[1]:[31]],Code3)</f>
        <v>0</v>
      </c>
      <c r="AL70" s="30">
        <f>COUNTIF(ParticipationMars1[[#This Row],[1]:[31]],Code4)</f>
        <v>0</v>
      </c>
      <c r="AM70" s="307">
        <f>COUNTIF(ParticipationMars1[[#This Row],[1]:[31]],Code5)</f>
        <v>2</v>
      </c>
      <c r="AN70" s="307">
        <f>COUNTIF(ParticipationMars1[[#This Row],[1]:[31]],Code23)</f>
        <v>1</v>
      </c>
      <c r="AO70" s="307">
        <f>COUNTIF(ParticipationMars1[[#This Row],[1]:[31]],Code6)</f>
        <v>2</v>
      </c>
      <c r="AP70" s="307">
        <f>COUNTIF(ParticipationMars1[[#This Row],[1]:[31]],Code7)</f>
        <v>2</v>
      </c>
      <c r="AQ70" s="307">
        <f>COUNTIF(ParticipationMars1[[#This Row],[1]:[31]],Code8)</f>
        <v>0</v>
      </c>
      <c r="AR70" s="307">
        <f>COUNTIF(ParticipationMars1[[#This Row],[1]:[31]],Code9)</f>
        <v>0</v>
      </c>
      <c r="AS70" s="307">
        <f>COUNTIF(ParticipationMars1[[#This Row],[1]:[31]],Code10)</f>
        <v>0</v>
      </c>
      <c r="AT70" s="307">
        <f>COUNTIF(ParticipationMars1[[#This Row],[1]:[31]],Code11)</f>
        <v>1</v>
      </c>
      <c r="AU70" s="30">
        <f>COUNTIF(ParticipationMars1[[#This Row],[1]:[31]],Code12)</f>
        <v>0</v>
      </c>
      <c r="AV70" s="307">
        <f>COUNTIF(ParticipationMars1[[#This Row],[1]:[31]],Code13)</f>
        <v>0</v>
      </c>
      <c r="AW70" s="307">
        <f>COUNTIF(ParticipationMars1[[#This Row],[1]:[31]],Code14)</f>
        <v>2</v>
      </c>
      <c r="AX70" s="307">
        <f>COUNTIF(ParticipationMars1[[#This Row],[1]:[31]],Code15)</f>
        <v>0</v>
      </c>
      <c r="AY70" s="307">
        <f>COUNTIF(ParticipationMars1[[#This Row],[1]:[31]],Code16)</f>
        <v>0</v>
      </c>
      <c r="AZ70" s="307">
        <f>COUNTIF(ParticipationMars1[[#This Row],[1]:[31]],Code17)</f>
        <v>0</v>
      </c>
      <c r="BA70" s="30">
        <f>COUNTIF(ParticipationMars1[[#This Row],[1]:[31]],Code25)</f>
        <v>0</v>
      </c>
      <c r="BB70" s="307">
        <f>COUNTIF(ParticipationMars1[[#This Row],[1]:[31]],Code26)</f>
        <v>0</v>
      </c>
      <c r="BC70" s="307">
        <f>COUNTIF(ParticipationMars1[[#This Row],[1]:[31]],Code27)</f>
        <v>0</v>
      </c>
      <c r="BD70" s="30">
        <f>COUNTIF(ParticipationMars1[[#This Row],[1]:[31]],Code28)</f>
        <v>0</v>
      </c>
      <c r="BE70" s="30">
        <f>COUNTIF(ParticipationMars1[[#This Row],[1]:[31]],code30)</f>
        <v>0</v>
      </c>
      <c r="BF70" s="30">
        <f>COUNTIF(ParticipationMars1[[#This Row],[1]:[31]],Code31)</f>
        <v>0</v>
      </c>
      <c r="BG70" s="307">
        <f>COUNTIF(ParticipationMars1[[#This Row],[1]:[31]],code21)</f>
        <v>0</v>
      </c>
      <c r="BH70" s="307">
        <f>COUNTIF(ParticipationMars1[[#This Row],[1]:[31]],Code24)</f>
        <v>0</v>
      </c>
      <c r="BI70" s="307">
        <f>COUNTIF(ParticipationMars1[[#This Row],[1]:[31]],code18)</f>
        <v>0</v>
      </c>
      <c r="BJ70" s="307">
        <f>COUNTIF(ParticipationMars1[[#This Row],[1]:[31]],code19)</f>
        <v>0</v>
      </c>
      <c r="BK70" s="307">
        <f>COUNTIF(ParticipationMars1[[#This Row],[1]:[31]],code20)</f>
        <v>0</v>
      </c>
      <c r="BL70" s="300">
        <f>COUNTIF(ParticipationMars1[[#This Row],[1]:[31]],code29)</f>
        <v>0</v>
      </c>
      <c r="BM70" s="297"/>
      <c r="BN70" s="297">
        <v>1</v>
      </c>
      <c r="BO70" s="297"/>
      <c r="BP70" s="297"/>
      <c r="BQ70" s="297"/>
      <c r="BR70" s="297"/>
      <c r="BS70" s="297"/>
      <c r="BT70" s="297">
        <v>3</v>
      </c>
      <c r="BU70" s="297"/>
      <c r="BV70" s="297"/>
      <c r="BW70" s="297">
        <v>6</v>
      </c>
      <c r="BX70" s="297"/>
      <c r="BY70" s="297"/>
      <c r="BZ70" s="297"/>
      <c r="CA70" s="297"/>
      <c r="CB70" s="297">
        <v>1</v>
      </c>
      <c r="CC70" s="297"/>
      <c r="CD70" s="297"/>
      <c r="CE70" s="297"/>
      <c r="CF70" s="297"/>
      <c r="CG70" s="297">
        <v>2</v>
      </c>
      <c r="CH70" s="297"/>
      <c r="CI70" s="297"/>
      <c r="CJ70" s="297"/>
      <c r="CK70" s="297">
        <v>2</v>
      </c>
      <c r="CL70" s="297"/>
      <c r="CM70" s="297"/>
      <c r="CN70" s="297"/>
      <c r="CO70" s="297"/>
      <c r="CP70" s="297"/>
      <c r="CQ70" s="297"/>
      <c r="CR70" s="297"/>
      <c r="CS70" s="307"/>
      <c r="CT70" s="307"/>
      <c r="CU70" s="300"/>
      <c r="CV70" s="501">
        <f t="shared" si="3"/>
        <v>10</v>
      </c>
      <c r="CW70" s="501">
        <f t="shared" si="4"/>
        <v>38</v>
      </c>
      <c r="CX70" s="249">
        <f t="shared" si="5"/>
        <v>0</v>
      </c>
      <c r="CY70" s="327"/>
    </row>
    <row r="71" spans="1:103">
      <c r="A71" s="534" t="s">
        <v>412</v>
      </c>
      <c r="B71" s="162" t="str">
        <f>IFERROR(VLOOKUP(ParticipationMars1[[#This Row],[Référence]],ListeÉtudiants1[],18,FALSE),"")</f>
        <v>GUECHI DOUNIA</v>
      </c>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340"/>
      <c r="AH71" s="6">
        <f>COUNTIF(ParticipationMars1[[#This Row],[1]:[31]],Code1)</f>
        <v>0</v>
      </c>
      <c r="AI71" s="475">
        <f>COUNTIF(ParticipationMars1[[#This Row],[1]:[31]],code22)</f>
        <v>0</v>
      </c>
      <c r="AJ71" s="30">
        <f>COUNTIF(ParticipationMars1[[#This Row],[1]:[31]],Code2)</f>
        <v>0</v>
      </c>
      <c r="AK71" s="30">
        <f>COUNTIF(ParticipationMars1[[#This Row],[1]:[31]],Code3)</f>
        <v>0</v>
      </c>
      <c r="AL71" s="30">
        <f>COUNTIF(ParticipationMars1[[#This Row],[1]:[31]],Code4)</f>
        <v>0</v>
      </c>
      <c r="AM71" s="473">
        <f>COUNTIF(ParticipationMars1[[#This Row],[1]:[31]],Code5)</f>
        <v>0</v>
      </c>
      <c r="AN71" s="473">
        <f>COUNTIF(ParticipationMars1[[#This Row],[1]:[31]],Code23)</f>
        <v>0</v>
      </c>
      <c r="AO71" s="473">
        <f>COUNTIF(ParticipationMars1[[#This Row],[1]:[31]],Code6)</f>
        <v>0</v>
      </c>
      <c r="AP71" s="473">
        <f>COUNTIF(ParticipationMars1[[#This Row],[1]:[31]],Code7)</f>
        <v>0</v>
      </c>
      <c r="AQ71" s="473">
        <f>COUNTIF(ParticipationMars1[[#This Row],[1]:[31]],Code8)</f>
        <v>0</v>
      </c>
      <c r="AR71" s="473">
        <f>COUNTIF(ParticipationMars1[[#This Row],[1]:[31]],Code9)</f>
        <v>0</v>
      </c>
      <c r="AS71" s="473">
        <f>COUNTIF(ParticipationMars1[[#This Row],[1]:[31]],Code10)</f>
        <v>0</v>
      </c>
      <c r="AT71" s="473">
        <f>COUNTIF(ParticipationMars1[[#This Row],[1]:[31]],Code11)</f>
        <v>0</v>
      </c>
      <c r="AU71" s="473">
        <f>COUNTIF(ParticipationMars1[[#This Row],[1]:[31]],Code12)</f>
        <v>0</v>
      </c>
      <c r="AV71" s="473">
        <f>COUNTIF(ParticipationMars1[[#This Row],[1]:[31]],Code13)</f>
        <v>0</v>
      </c>
      <c r="AW71" s="473">
        <f>COUNTIF(ParticipationMars1[[#This Row],[1]:[31]],Code14)</f>
        <v>0</v>
      </c>
      <c r="AX71" s="473">
        <f>COUNTIF(ParticipationMars1[[#This Row],[1]:[31]],Code15)</f>
        <v>0</v>
      </c>
      <c r="AY71" s="473">
        <f>COUNTIF(ParticipationMars1[[#This Row],[1]:[31]],Code16)</f>
        <v>0</v>
      </c>
      <c r="AZ71" s="473">
        <f>COUNTIF(ParticipationMars1[[#This Row],[1]:[31]],Code17)</f>
        <v>0</v>
      </c>
      <c r="BA71" s="473">
        <f>COUNTIF(ParticipationMars1[[#This Row],[1]:[31]],Code25)</f>
        <v>0</v>
      </c>
      <c r="BB71" s="473">
        <f>COUNTIF(ParticipationMars1[[#This Row],[1]:[31]],Code26)</f>
        <v>0</v>
      </c>
      <c r="BC71" s="473">
        <f>COUNTIF(ParticipationMars1[[#This Row],[1]:[31]],Code27)</f>
        <v>0</v>
      </c>
      <c r="BD71" s="473">
        <f>COUNTIF(ParticipationMars1[[#This Row],[1]:[31]],Code28)</f>
        <v>0</v>
      </c>
      <c r="BE71" s="473">
        <f>COUNTIF(ParticipationMars1[[#This Row],[1]:[31]],code30)</f>
        <v>0</v>
      </c>
      <c r="BF71" s="473">
        <f>COUNTIF(ParticipationMars1[[#This Row],[1]:[31]],Code31)</f>
        <v>0</v>
      </c>
      <c r="BG71" s="473">
        <f>COUNTIF(ParticipationMars1[[#This Row],[1]:[31]],code21)</f>
        <v>0</v>
      </c>
      <c r="BH71" s="473">
        <f>COUNTIF(ParticipationMars1[[#This Row],[1]:[31]],Code24)</f>
        <v>0</v>
      </c>
      <c r="BI71" s="473">
        <f>COUNTIF(ParticipationMars1[[#This Row],[1]:[31]],code18)</f>
        <v>0</v>
      </c>
      <c r="BJ71" s="473">
        <f>COUNTIF(ParticipationMars1[[#This Row],[1]:[31]],code19)</f>
        <v>0</v>
      </c>
      <c r="BK71" s="473">
        <f>COUNTIF(ParticipationMars1[[#This Row],[1]:[31]],code20)</f>
        <v>0</v>
      </c>
      <c r="BL71" s="516">
        <f>COUNTIF(ParticipationMars1[[#This Row],[1]:[31]],code29)</f>
        <v>0</v>
      </c>
      <c r="BM71" s="472"/>
      <c r="BN71" s="472"/>
      <c r="BO71" s="472"/>
      <c r="BP71" s="472"/>
      <c r="BQ71" s="472"/>
      <c r="BR71" s="472"/>
      <c r="BS71" s="472"/>
      <c r="BT71" s="472"/>
      <c r="BU71" s="472"/>
      <c r="BV71" s="472"/>
      <c r="BW71" s="472"/>
      <c r="BX71" s="472"/>
      <c r="BY71" s="472"/>
      <c r="BZ71" s="472"/>
      <c r="CA71" s="472"/>
      <c r="CB71" s="472"/>
      <c r="CC71" s="472"/>
      <c r="CD71" s="472"/>
      <c r="CE71" s="472"/>
      <c r="CF71" s="472"/>
      <c r="CG71" s="472"/>
      <c r="CH71" s="472"/>
      <c r="CI71" s="472"/>
      <c r="CJ71" s="472"/>
      <c r="CK71" s="472"/>
      <c r="CL71" s="472"/>
      <c r="CM71" s="472"/>
      <c r="CN71" s="472"/>
      <c r="CO71" s="472"/>
      <c r="CP71" s="472"/>
      <c r="CQ71" s="472"/>
      <c r="CR71" s="472"/>
      <c r="CS71" s="473"/>
      <c r="CT71" s="473"/>
      <c r="CU71" s="516"/>
      <c r="CV71" s="533">
        <f t="shared" si="3"/>
        <v>0</v>
      </c>
      <c r="CW71" s="533">
        <f t="shared" si="4"/>
        <v>0</v>
      </c>
      <c r="CX71" s="523">
        <f t="shared" si="5"/>
        <v>0</v>
      </c>
      <c r="CY71" s="512"/>
    </row>
    <row r="72" spans="1:103">
      <c r="A72" s="534" t="s">
        <v>413</v>
      </c>
      <c r="B72" s="162" t="str">
        <f>IFERROR(VLOOKUP(ParticipationMars1[[#This Row],[Référence]],ListeÉtudiants1[],18,FALSE),"")</f>
        <v>HASSANI CHERINE</v>
      </c>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340"/>
      <c r="AH72" s="6">
        <f>COUNTIF(ParticipationMars1[[#This Row],[1]:[31]],Code1)</f>
        <v>0</v>
      </c>
      <c r="AI72" s="475">
        <f>COUNTIF(ParticipationMars1[[#This Row],[1]:[31]],code22)</f>
        <v>0</v>
      </c>
      <c r="AJ72" s="30">
        <f>COUNTIF(ParticipationMars1[[#This Row],[1]:[31]],Code2)</f>
        <v>0</v>
      </c>
      <c r="AK72" s="30">
        <f>COUNTIF(ParticipationMars1[[#This Row],[1]:[31]],Code3)</f>
        <v>0</v>
      </c>
      <c r="AL72" s="30">
        <f>COUNTIF(ParticipationMars1[[#This Row],[1]:[31]],Code4)</f>
        <v>0</v>
      </c>
      <c r="AM72" s="473">
        <f>COUNTIF(ParticipationMars1[[#This Row],[1]:[31]],Code5)</f>
        <v>0</v>
      </c>
      <c r="AN72" s="473">
        <f>COUNTIF(ParticipationMars1[[#This Row],[1]:[31]],Code23)</f>
        <v>0</v>
      </c>
      <c r="AO72" s="473">
        <f>COUNTIF(ParticipationMars1[[#This Row],[1]:[31]],Code6)</f>
        <v>0</v>
      </c>
      <c r="AP72" s="473">
        <f>COUNTIF(ParticipationMars1[[#This Row],[1]:[31]],Code7)</f>
        <v>0</v>
      </c>
      <c r="AQ72" s="473">
        <f>COUNTIF(ParticipationMars1[[#This Row],[1]:[31]],Code8)</f>
        <v>0</v>
      </c>
      <c r="AR72" s="473">
        <f>COUNTIF(ParticipationMars1[[#This Row],[1]:[31]],Code9)</f>
        <v>0</v>
      </c>
      <c r="AS72" s="473">
        <f>COUNTIF(ParticipationMars1[[#This Row],[1]:[31]],Code10)</f>
        <v>0</v>
      </c>
      <c r="AT72" s="473">
        <f>COUNTIF(ParticipationMars1[[#This Row],[1]:[31]],Code11)</f>
        <v>0</v>
      </c>
      <c r="AU72" s="473">
        <f>COUNTIF(ParticipationMars1[[#This Row],[1]:[31]],Code12)</f>
        <v>0</v>
      </c>
      <c r="AV72" s="473">
        <f>COUNTIF(ParticipationMars1[[#This Row],[1]:[31]],Code13)</f>
        <v>0</v>
      </c>
      <c r="AW72" s="473">
        <f>COUNTIF(ParticipationMars1[[#This Row],[1]:[31]],Code14)</f>
        <v>0</v>
      </c>
      <c r="AX72" s="473">
        <f>COUNTIF(ParticipationMars1[[#This Row],[1]:[31]],Code15)</f>
        <v>0</v>
      </c>
      <c r="AY72" s="473">
        <f>COUNTIF(ParticipationMars1[[#This Row],[1]:[31]],Code16)</f>
        <v>0</v>
      </c>
      <c r="AZ72" s="473">
        <f>COUNTIF(ParticipationMars1[[#This Row],[1]:[31]],Code17)</f>
        <v>0</v>
      </c>
      <c r="BA72" s="473">
        <f>COUNTIF(ParticipationMars1[[#This Row],[1]:[31]],Code25)</f>
        <v>0</v>
      </c>
      <c r="BB72" s="473">
        <f>COUNTIF(ParticipationMars1[[#This Row],[1]:[31]],Code26)</f>
        <v>0</v>
      </c>
      <c r="BC72" s="473">
        <f>COUNTIF(ParticipationMars1[[#This Row],[1]:[31]],Code27)</f>
        <v>0</v>
      </c>
      <c r="BD72" s="473">
        <f>COUNTIF(ParticipationMars1[[#This Row],[1]:[31]],Code28)</f>
        <v>0</v>
      </c>
      <c r="BE72" s="473">
        <f>COUNTIF(ParticipationMars1[[#This Row],[1]:[31]],code30)</f>
        <v>0</v>
      </c>
      <c r="BF72" s="473">
        <f>COUNTIF(ParticipationMars1[[#This Row],[1]:[31]],Code31)</f>
        <v>0</v>
      </c>
      <c r="BG72" s="473">
        <f>COUNTIF(ParticipationMars1[[#This Row],[1]:[31]],code21)</f>
        <v>0</v>
      </c>
      <c r="BH72" s="473">
        <f>COUNTIF(ParticipationMars1[[#This Row],[1]:[31]],Code24)</f>
        <v>0</v>
      </c>
      <c r="BI72" s="473">
        <f>COUNTIF(ParticipationMars1[[#This Row],[1]:[31]],code18)</f>
        <v>0</v>
      </c>
      <c r="BJ72" s="473">
        <f>COUNTIF(ParticipationMars1[[#This Row],[1]:[31]],code19)</f>
        <v>0</v>
      </c>
      <c r="BK72" s="473">
        <f>COUNTIF(ParticipationMars1[[#This Row],[1]:[31]],code20)</f>
        <v>0</v>
      </c>
      <c r="BL72" s="516">
        <f>COUNTIF(ParticipationMars1[[#This Row],[1]:[31]],code29)</f>
        <v>0</v>
      </c>
      <c r="BM72" s="472"/>
      <c r="BN72" s="472"/>
      <c r="BO72" s="472"/>
      <c r="BP72" s="472"/>
      <c r="BQ72" s="472"/>
      <c r="BR72" s="472"/>
      <c r="BS72" s="472"/>
      <c r="BT72" s="472"/>
      <c r="BU72" s="472"/>
      <c r="BV72" s="472"/>
      <c r="BW72" s="472"/>
      <c r="BX72" s="472"/>
      <c r="BY72" s="472"/>
      <c r="BZ72" s="472"/>
      <c r="CA72" s="472"/>
      <c r="CB72" s="472"/>
      <c r="CC72" s="472"/>
      <c r="CD72" s="472"/>
      <c r="CE72" s="472"/>
      <c r="CF72" s="472"/>
      <c r="CG72" s="472"/>
      <c r="CH72" s="472"/>
      <c r="CI72" s="472"/>
      <c r="CJ72" s="472"/>
      <c r="CK72" s="472"/>
      <c r="CL72" s="472"/>
      <c r="CM72" s="472"/>
      <c r="CN72" s="472"/>
      <c r="CO72" s="472"/>
      <c r="CP72" s="472"/>
      <c r="CQ72" s="472"/>
      <c r="CR72" s="472"/>
      <c r="CS72" s="473"/>
      <c r="CT72" s="473"/>
      <c r="CU72" s="516"/>
      <c r="CV72" s="533">
        <f t="shared" si="3"/>
        <v>0</v>
      </c>
      <c r="CW72" s="533">
        <f t="shared" si="4"/>
        <v>0</v>
      </c>
      <c r="CX72" s="523">
        <f t="shared" si="5"/>
        <v>0</v>
      </c>
      <c r="CY72" s="512"/>
    </row>
    <row r="73" spans="1:103">
      <c r="A73" s="510" t="s">
        <v>414</v>
      </c>
      <c r="B73" s="162" t="str">
        <f>IFERROR(VLOOKUP(ParticipationMars1[[#This Row],[Référence]],ListeÉtudiants1[],18,FALSE),"")</f>
        <v>HERMANN-MANETTE  CORALIE</v>
      </c>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340"/>
      <c r="AH73" s="6">
        <f>COUNTIF(ParticipationMars1[[#This Row],[1]:[31]],Code1)</f>
        <v>0</v>
      </c>
      <c r="AI73" s="475">
        <f>COUNTIF(ParticipationMars1[[#This Row],[1]:[31]],code22)</f>
        <v>0</v>
      </c>
      <c r="AJ73" s="30">
        <f>COUNTIF(ParticipationMars1[[#This Row],[1]:[31]],Code2)</f>
        <v>0</v>
      </c>
      <c r="AK73" s="30">
        <f>COUNTIF(ParticipationMars1[[#This Row],[1]:[31]],Code3)</f>
        <v>0</v>
      </c>
      <c r="AL73" s="30">
        <f>COUNTIF(ParticipationMars1[[#This Row],[1]:[31]],Code4)</f>
        <v>0</v>
      </c>
      <c r="AM73" s="473">
        <f>COUNTIF(ParticipationMars1[[#This Row],[1]:[31]],Code5)</f>
        <v>0</v>
      </c>
      <c r="AN73" s="473">
        <f>COUNTIF(ParticipationMars1[[#This Row],[1]:[31]],Code23)</f>
        <v>0</v>
      </c>
      <c r="AO73" s="473">
        <f>COUNTIF(ParticipationMars1[[#This Row],[1]:[31]],Code6)</f>
        <v>0</v>
      </c>
      <c r="AP73" s="473">
        <f>COUNTIF(ParticipationMars1[[#This Row],[1]:[31]],Code7)</f>
        <v>0</v>
      </c>
      <c r="AQ73" s="473">
        <f>COUNTIF(ParticipationMars1[[#This Row],[1]:[31]],Code8)</f>
        <v>0</v>
      </c>
      <c r="AR73" s="473">
        <f>COUNTIF(ParticipationMars1[[#This Row],[1]:[31]],Code9)</f>
        <v>0</v>
      </c>
      <c r="AS73" s="473">
        <f>COUNTIF(ParticipationMars1[[#This Row],[1]:[31]],Code10)</f>
        <v>0</v>
      </c>
      <c r="AT73" s="473">
        <f>COUNTIF(ParticipationMars1[[#This Row],[1]:[31]],Code11)</f>
        <v>0</v>
      </c>
      <c r="AU73" s="473">
        <f>COUNTIF(ParticipationMars1[[#This Row],[1]:[31]],Code12)</f>
        <v>0</v>
      </c>
      <c r="AV73" s="473">
        <f>COUNTIF(ParticipationMars1[[#This Row],[1]:[31]],Code13)</f>
        <v>0</v>
      </c>
      <c r="AW73" s="473">
        <f>COUNTIF(ParticipationMars1[[#This Row],[1]:[31]],Code14)</f>
        <v>0</v>
      </c>
      <c r="AX73" s="473">
        <f>COUNTIF(ParticipationMars1[[#This Row],[1]:[31]],Code15)</f>
        <v>0</v>
      </c>
      <c r="AY73" s="473">
        <f>COUNTIF(ParticipationMars1[[#This Row],[1]:[31]],Code16)</f>
        <v>0</v>
      </c>
      <c r="AZ73" s="473">
        <f>COUNTIF(ParticipationMars1[[#This Row],[1]:[31]],Code17)</f>
        <v>0</v>
      </c>
      <c r="BA73" s="473">
        <f>COUNTIF(ParticipationMars1[[#This Row],[1]:[31]],Code25)</f>
        <v>0</v>
      </c>
      <c r="BB73" s="473">
        <f>COUNTIF(ParticipationMars1[[#This Row],[1]:[31]],Code26)</f>
        <v>0</v>
      </c>
      <c r="BC73" s="473">
        <f>COUNTIF(ParticipationMars1[[#This Row],[1]:[31]],Code27)</f>
        <v>0</v>
      </c>
      <c r="BD73" s="473">
        <f>COUNTIF(ParticipationMars1[[#This Row],[1]:[31]],Code28)</f>
        <v>0</v>
      </c>
      <c r="BE73" s="473">
        <f>COUNTIF(ParticipationMars1[[#This Row],[1]:[31]],code30)</f>
        <v>0</v>
      </c>
      <c r="BF73" s="473">
        <f>COUNTIF(ParticipationMars1[[#This Row],[1]:[31]],Code31)</f>
        <v>0</v>
      </c>
      <c r="BG73" s="473">
        <f>COUNTIF(ParticipationMars1[[#This Row],[1]:[31]],code21)</f>
        <v>0</v>
      </c>
      <c r="BH73" s="473">
        <f>COUNTIF(ParticipationMars1[[#This Row],[1]:[31]],Code24)</f>
        <v>0</v>
      </c>
      <c r="BI73" s="473">
        <f>COUNTIF(ParticipationMars1[[#This Row],[1]:[31]],code18)</f>
        <v>0</v>
      </c>
      <c r="BJ73" s="473">
        <f>COUNTIF(ParticipationMars1[[#This Row],[1]:[31]],code19)</f>
        <v>0</v>
      </c>
      <c r="BK73" s="473">
        <f>COUNTIF(ParticipationMars1[[#This Row],[1]:[31]],code20)</f>
        <v>0</v>
      </c>
      <c r="BL73" s="516">
        <f>COUNTIF(ParticipationMars1[[#This Row],[1]:[31]],code29)</f>
        <v>0</v>
      </c>
      <c r="BM73" s="472"/>
      <c r="BN73" s="472"/>
      <c r="BO73" s="472"/>
      <c r="BP73" s="472"/>
      <c r="BQ73" s="472"/>
      <c r="BR73" s="472"/>
      <c r="BS73" s="472"/>
      <c r="BT73" s="472"/>
      <c r="BU73" s="472"/>
      <c r="BV73" s="472"/>
      <c r="BW73" s="472"/>
      <c r="BX73" s="472"/>
      <c r="BY73" s="472"/>
      <c r="BZ73" s="472"/>
      <c r="CA73" s="472"/>
      <c r="CB73" s="472"/>
      <c r="CC73" s="472"/>
      <c r="CD73" s="472"/>
      <c r="CE73" s="472"/>
      <c r="CF73" s="472"/>
      <c r="CG73" s="472"/>
      <c r="CH73" s="472"/>
      <c r="CI73" s="472"/>
      <c r="CJ73" s="472"/>
      <c r="CK73" s="472"/>
      <c r="CL73" s="472"/>
      <c r="CM73" s="472"/>
      <c r="CN73" s="472"/>
      <c r="CO73" s="472"/>
      <c r="CP73" s="472"/>
      <c r="CQ73" s="472"/>
      <c r="CR73" s="472"/>
      <c r="CS73" s="473"/>
      <c r="CT73" s="473"/>
      <c r="CU73" s="516"/>
      <c r="CV73" s="533">
        <f t="shared" si="3"/>
        <v>0</v>
      </c>
      <c r="CW73" s="533">
        <f t="shared" si="4"/>
        <v>0</v>
      </c>
      <c r="CX73" s="523">
        <f t="shared" si="5"/>
        <v>0</v>
      </c>
      <c r="CY73" s="512"/>
    </row>
    <row r="74" spans="1:103">
      <c r="A74" s="534" t="s">
        <v>415</v>
      </c>
      <c r="B74" s="162" t="str">
        <f>IFERROR(VLOOKUP(ParticipationMars1[[#This Row],[Référence]],ListeÉtudiants1[],18,FALSE),"")</f>
        <v>HOSTI MATHIAS</v>
      </c>
      <c r="C74" s="19"/>
      <c r="D74" s="19"/>
      <c r="E74" s="19"/>
      <c r="F74" s="19"/>
      <c r="G74" s="19"/>
      <c r="H74" s="19"/>
      <c r="I74" s="19"/>
      <c r="J74" s="19"/>
      <c r="K74" s="19"/>
      <c r="L74" s="19"/>
      <c r="M74" s="19"/>
      <c r="N74" s="19"/>
      <c r="O74" s="19"/>
      <c r="P74" s="19"/>
      <c r="Q74" s="19" t="s">
        <v>529</v>
      </c>
      <c r="R74" s="19"/>
      <c r="S74" s="19"/>
      <c r="T74" s="19"/>
      <c r="U74" s="19"/>
      <c r="V74" s="19" t="s">
        <v>529</v>
      </c>
      <c r="W74" s="19"/>
      <c r="X74" s="19" t="s">
        <v>488</v>
      </c>
      <c r="Y74" s="19"/>
      <c r="Z74" s="19"/>
      <c r="AA74" s="19" t="s">
        <v>529</v>
      </c>
      <c r="AB74" s="19"/>
      <c r="AC74" s="19" t="s">
        <v>35</v>
      </c>
      <c r="AD74" s="19"/>
      <c r="AE74" s="19" t="s">
        <v>105</v>
      </c>
      <c r="AF74" s="19" t="s">
        <v>106</v>
      </c>
      <c r="AG74" s="144"/>
      <c r="AH74" s="6">
        <f>COUNTIF(ParticipationMars1[[#This Row],[1]:[31]],Code1)</f>
        <v>0</v>
      </c>
      <c r="AI74" s="331">
        <f>COUNTIF(ParticipationMars1[[#This Row],[1]:[31]],code22)</f>
        <v>0</v>
      </c>
      <c r="AJ74" s="30">
        <f>COUNTIF(ParticipationMars1[[#This Row],[1]:[31]],Code2)</f>
        <v>1</v>
      </c>
      <c r="AK74" s="30">
        <f>COUNTIF(ParticipationMars1[[#This Row],[1]:[31]],Code3)</f>
        <v>1</v>
      </c>
      <c r="AL74" s="30">
        <f>COUNTIF(ParticipationMars1[[#This Row],[1]:[31]],Code4)</f>
        <v>0</v>
      </c>
      <c r="AM74" s="307">
        <f>COUNTIF(ParticipationMars1[[#This Row],[1]:[31]],Code5)</f>
        <v>1</v>
      </c>
      <c r="AN74" s="307">
        <f>COUNTIF(ParticipationMars1[[#This Row],[1]:[31]],Code23)</f>
        <v>3</v>
      </c>
      <c r="AO74" s="307">
        <f>COUNTIF(ParticipationMars1[[#This Row],[1]:[31]],Code6)</f>
        <v>0</v>
      </c>
      <c r="AP74" s="307">
        <f>COUNTIF(ParticipationMars1[[#This Row],[1]:[31]],Code7)</f>
        <v>0</v>
      </c>
      <c r="AQ74" s="307">
        <f>COUNTIF(ParticipationMars1[[#This Row],[1]:[31]],Code8)</f>
        <v>0</v>
      </c>
      <c r="AR74" s="307">
        <f>COUNTIF(ParticipationMars1[[#This Row],[1]:[31]],Code9)</f>
        <v>0</v>
      </c>
      <c r="AS74" s="307">
        <f>COUNTIF(ParticipationMars1[[#This Row],[1]:[31]],Code10)</f>
        <v>0</v>
      </c>
      <c r="AT74" s="307">
        <f>COUNTIF(ParticipationMars1[[#This Row],[1]:[31]],Code11)</f>
        <v>0</v>
      </c>
      <c r="AU74" s="30">
        <f>COUNTIF(ParticipationMars1[[#This Row],[1]:[31]],Code12)</f>
        <v>0</v>
      </c>
      <c r="AV74" s="307">
        <f>COUNTIF(ParticipationMars1[[#This Row],[1]:[31]],Code13)</f>
        <v>0</v>
      </c>
      <c r="AW74" s="307">
        <f>COUNTIF(ParticipationMars1[[#This Row],[1]:[31]],Code14)</f>
        <v>1</v>
      </c>
      <c r="AX74" s="307">
        <f>COUNTIF(ParticipationMars1[[#This Row],[1]:[31]],Code15)</f>
        <v>0</v>
      </c>
      <c r="AY74" s="307">
        <f>COUNTIF(ParticipationMars1[[#This Row],[1]:[31]],Code16)</f>
        <v>0</v>
      </c>
      <c r="AZ74" s="307">
        <f>COUNTIF(ParticipationMars1[[#This Row],[1]:[31]],Code17)</f>
        <v>0</v>
      </c>
      <c r="BA74" s="307">
        <f>COUNTIF(ParticipationMars1[[#This Row],[1]:[31]],Code25)</f>
        <v>0</v>
      </c>
      <c r="BB74" s="307">
        <f>COUNTIF(ParticipationMars1[[#This Row],[1]:[31]],Code26)</f>
        <v>0</v>
      </c>
      <c r="BC74" s="307">
        <f>COUNTIF(ParticipationMars1[[#This Row],[1]:[31]],Code27)</f>
        <v>0</v>
      </c>
      <c r="BD74" s="307">
        <f>COUNTIF(ParticipationMars1[[#This Row],[1]:[31]],Code28)</f>
        <v>0</v>
      </c>
      <c r="BE74" s="307">
        <f>COUNTIF(ParticipationMars1[[#This Row],[1]:[31]],code30)</f>
        <v>0</v>
      </c>
      <c r="BF74" s="307">
        <f>COUNTIF(ParticipationMars1[[#This Row],[1]:[31]],Code31)</f>
        <v>0</v>
      </c>
      <c r="BG74" s="307">
        <f>COUNTIF(ParticipationMars1[[#This Row],[1]:[31]],code21)</f>
        <v>0</v>
      </c>
      <c r="BH74" s="307">
        <f>COUNTIF(ParticipationMars1[[#This Row],[1]:[31]],Code24)</f>
        <v>0</v>
      </c>
      <c r="BI74" s="307">
        <f>COUNTIF(ParticipationMars1[[#This Row],[1]:[31]],code18)</f>
        <v>0</v>
      </c>
      <c r="BJ74" s="307">
        <f>COUNTIF(ParticipationMars1[[#This Row],[1]:[31]],code19)</f>
        <v>0</v>
      </c>
      <c r="BK74" s="307">
        <f>COUNTIF(ParticipationMars1[[#This Row],[1]:[31]],code20)</f>
        <v>0</v>
      </c>
      <c r="BL74" s="300">
        <f>COUNTIF(ParticipationMars1[[#This Row],[1]:[31]],code29)</f>
        <v>0</v>
      </c>
      <c r="BM74" s="297"/>
      <c r="BN74" s="297">
        <v>1</v>
      </c>
      <c r="BO74" s="297"/>
      <c r="BP74" s="297"/>
      <c r="BQ74" s="297"/>
      <c r="BR74" s="297"/>
      <c r="BS74" s="297"/>
      <c r="BT74" s="297">
        <v>2</v>
      </c>
      <c r="BU74" s="297"/>
      <c r="BV74" s="297"/>
      <c r="BW74" s="297">
        <v>1</v>
      </c>
      <c r="BX74" s="297"/>
      <c r="BY74" s="297"/>
      <c r="BZ74" s="297"/>
      <c r="CA74" s="297"/>
      <c r="CB74" s="297">
        <v>1</v>
      </c>
      <c r="CC74" s="297"/>
      <c r="CD74" s="297"/>
      <c r="CE74" s="297"/>
      <c r="CF74" s="297"/>
      <c r="CG74" s="297">
        <v>3</v>
      </c>
      <c r="CH74" s="297"/>
      <c r="CI74" s="297"/>
      <c r="CJ74" s="297"/>
      <c r="CK74" s="297"/>
      <c r="CL74" s="297"/>
      <c r="CM74" s="297"/>
      <c r="CN74" s="297"/>
      <c r="CO74" s="297"/>
      <c r="CP74" s="297"/>
      <c r="CQ74" s="297"/>
      <c r="CR74" s="297"/>
      <c r="CS74" s="307"/>
      <c r="CT74" s="307"/>
      <c r="CU74" s="300"/>
      <c r="CV74" s="501">
        <f t="shared" si="3"/>
        <v>5</v>
      </c>
      <c r="CW74" s="501">
        <f t="shared" si="4"/>
        <v>12</v>
      </c>
      <c r="CX74" s="341">
        <f t="shared" si="5"/>
        <v>0</v>
      </c>
      <c r="CY74" s="327"/>
    </row>
    <row r="75" spans="1:103">
      <c r="A75" s="534" t="s">
        <v>416</v>
      </c>
      <c r="B75" s="162" t="str">
        <f>IFERROR(VLOOKUP(ParticipationMars1[[#This Row],[Référence]],ListeÉtudiants1[],18,FALSE),"")</f>
        <v>ITSOTSO MEGGIE</v>
      </c>
      <c r="C75" s="19"/>
      <c r="D75" s="19"/>
      <c r="E75" s="19"/>
      <c r="F75" s="19"/>
      <c r="G75" s="19"/>
      <c r="H75" s="19"/>
      <c r="I75" s="19"/>
      <c r="J75" s="19"/>
      <c r="K75" s="19"/>
      <c r="L75" s="19"/>
      <c r="M75" s="19"/>
      <c r="N75" s="19"/>
      <c r="O75" s="19"/>
      <c r="P75" s="19"/>
      <c r="Q75" s="19" t="s">
        <v>109</v>
      </c>
      <c r="R75" s="19"/>
      <c r="S75" s="19"/>
      <c r="T75" s="19"/>
      <c r="U75" s="19"/>
      <c r="V75" s="19"/>
      <c r="W75" s="19" t="s">
        <v>529</v>
      </c>
      <c r="X75" s="19"/>
      <c r="Y75" s="19" t="s">
        <v>35</v>
      </c>
      <c r="Z75" s="19"/>
      <c r="AA75" s="19"/>
      <c r="AB75" s="19"/>
      <c r="AC75" s="19" t="s">
        <v>486</v>
      </c>
      <c r="AD75" s="19"/>
      <c r="AE75" s="19"/>
      <c r="AF75" s="19"/>
      <c r="AG75" s="144"/>
      <c r="AH75" s="6">
        <f>COUNTIF(ParticipationMars1[[#This Row],[1]:[31]],Code1)</f>
        <v>0</v>
      </c>
      <c r="AI75" s="331">
        <f>COUNTIF(ParticipationMars1[[#This Row],[1]:[31]],code22)</f>
        <v>0</v>
      </c>
      <c r="AJ75" s="30">
        <f>COUNTIF(ParticipationMars1[[#This Row],[1]:[31]],Code2)</f>
        <v>0</v>
      </c>
      <c r="AK75" s="30">
        <f>COUNTIF(ParticipationMars1[[#This Row],[1]:[31]],Code3)</f>
        <v>0</v>
      </c>
      <c r="AL75" s="30">
        <f>COUNTIF(ParticipationMars1[[#This Row],[1]:[31]],Code4)</f>
        <v>0</v>
      </c>
      <c r="AM75" s="307">
        <f>COUNTIF(ParticipationMars1[[#This Row],[1]:[31]],Code5)</f>
        <v>1</v>
      </c>
      <c r="AN75" s="307">
        <f>COUNTIF(ParticipationMars1[[#This Row],[1]:[31]],Code23)</f>
        <v>1</v>
      </c>
      <c r="AO75" s="307">
        <f>COUNTIF(ParticipationMars1[[#This Row],[1]:[31]],Code6)</f>
        <v>0</v>
      </c>
      <c r="AP75" s="307">
        <f>COUNTIF(ParticipationMars1[[#This Row],[1]:[31]],Code7)</f>
        <v>1</v>
      </c>
      <c r="AQ75" s="307">
        <f>COUNTIF(ParticipationMars1[[#This Row],[1]:[31]],Code8)</f>
        <v>0</v>
      </c>
      <c r="AR75" s="307">
        <f>COUNTIF(ParticipationMars1[[#This Row],[1]:[31]],Code9)</f>
        <v>0</v>
      </c>
      <c r="AS75" s="307">
        <f>COUNTIF(ParticipationMars1[[#This Row],[1]:[31]],Code10)</f>
        <v>0</v>
      </c>
      <c r="AT75" s="307">
        <f>COUNTIF(ParticipationMars1[[#This Row],[1]:[31]],Code11)</f>
        <v>1</v>
      </c>
      <c r="AU75" s="30">
        <f>COUNTIF(ParticipationMars1[[#This Row],[1]:[31]],Code12)</f>
        <v>0</v>
      </c>
      <c r="AV75" s="307">
        <f>COUNTIF(ParticipationMars1[[#This Row],[1]:[31]],Code13)</f>
        <v>0</v>
      </c>
      <c r="AW75" s="307">
        <f>COUNTIF(ParticipationMars1[[#This Row],[1]:[31]],Code14)</f>
        <v>0</v>
      </c>
      <c r="AX75" s="307">
        <f>COUNTIF(ParticipationMars1[[#This Row],[1]:[31]],Code15)</f>
        <v>0</v>
      </c>
      <c r="AY75" s="307">
        <f>COUNTIF(ParticipationMars1[[#This Row],[1]:[31]],Code16)</f>
        <v>0</v>
      </c>
      <c r="AZ75" s="307">
        <f>COUNTIF(ParticipationMars1[[#This Row],[1]:[31]],Code17)</f>
        <v>0</v>
      </c>
      <c r="BA75" s="307">
        <f>COUNTIF(ParticipationMars1[[#This Row],[1]:[31]],Code25)</f>
        <v>0</v>
      </c>
      <c r="BB75" s="307">
        <f>COUNTIF(ParticipationMars1[[#This Row],[1]:[31]],Code26)</f>
        <v>0</v>
      </c>
      <c r="BC75" s="307">
        <f>COUNTIF(ParticipationMars1[[#This Row],[1]:[31]],Code27)</f>
        <v>0</v>
      </c>
      <c r="BD75" s="307">
        <f>COUNTIF(ParticipationMars1[[#This Row],[1]:[31]],Code28)</f>
        <v>0</v>
      </c>
      <c r="BE75" s="307">
        <f>COUNTIF(ParticipationMars1[[#This Row],[1]:[31]],code30)</f>
        <v>0</v>
      </c>
      <c r="BF75" s="307">
        <f>COUNTIF(ParticipationMars1[[#This Row],[1]:[31]],Code31)</f>
        <v>0</v>
      </c>
      <c r="BG75" s="307">
        <f>COUNTIF(ParticipationMars1[[#This Row],[1]:[31]],code21)</f>
        <v>0</v>
      </c>
      <c r="BH75" s="307">
        <f>COUNTIF(ParticipationMars1[[#This Row],[1]:[31]],Code24)</f>
        <v>0</v>
      </c>
      <c r="BI75" s="307">
        <f>COUNTIF(ParticipationMars1[[#This Row],[1]:[31]],code18)</f>
        <v>0</v>
      </c>
      <c r="BJ75" s="307">
        <f>COUNTIF(ParticipationMars1[[#This Row],[1]:[31]],code19)</f>
        <v>0</v>
      </c>
      <c r="BK75" s="307">
        <f>COUNTIF(ParticipationMars1[[#This Row],[1]:[31]],code20)</f>
        <v>0</v>
      </c>
      <c r="BL75" s="300">
        <f>COUNTIF(ParticipationMars1[[#This Row],[1]:[31]],code29)</f>
        <v>0</v>
      </c>
      <c r="BM75" s="297"/>
      <c r="BN75" s="297"/>
      <c r="BO75" s="297"/>
      <c r="BP75" s="297"/>
      <c r="BQ75" s="297"/>
      <c r="BR75" s="297"/>
      <c r="BS75" s="297"/>
      <c r="BT75" s="297">
        <v>2</v>
      </c>
      <c r="BU75" s="297"/>
      <c r="BV75" s="297"/>
      <c r="BW75" s="297">
        <v>4</v>
      </c>
      <c r="BX75" s="297"/>
      <c r="BY75" s="297"/>
      <c r="BZ75" s="297"/>
      <c r="CA75" s="297"/>
      <c r="CB75" s="297">
        <v>1</v>
      </c>
      <c r="CC75" s="297"/>
      <c r="CD75" s="297"/>
      <c r="CE75" s="297"/>
      <c r="CF75" s="297"/>
      <c r="CG75" s="297"/>
      <c r="CH75" s="297"/>
      <c r="CI75" s="297"/>
      <c r="CJ75" s="297"/>
      <c r="CK75" s="297"/>
      <c r="CL75" s="297"/>
      <c r="CM75" s="297"/>
      <c r="CN75" s="297"/>
      <c r="CO75" s="297"/>
      <c r="CP75" s="297"/>
      <c r="CQ75" s="297"/>
      <c r="CR75" s="297"/>
      <c r="CS75" s="307"/>
      <c r="CT75" s="307"/>
      <c r="CU75" s="300"/>
      <c r="CV75" s="501">
        <f t="shared" si="3"/>
        <v>5</v>
      </c>
      <c r="CW75" s="501">
        <f t="shared" si="4"/>
        <v>12</v>
      </c>
      <c r="CX75" s="341">
        <f t="shared" si="5"/>
        <v>0</v>
      </c>
      <c r="CY75" s="327"/>
    </row>
    <row r="76" spans="1:103">
      <c r="A76" s="510" t="s">
        <v>417</v>
      </c>
      <c r="B76" s="162" t="str">
        <f>IFERROR(VLOOKUP(ParticipationMars1[[#This Row],[Référence]],ListeÉtudiants1[],18,FALSE),"")</f>
        <v>JACQUIN  LAURENE</v>
      </c>
      <c r="C76" s="19"/>
      <c r="D76" s="19"/>
      <c r="E76" s="19"/>
      <c r="F76" s="19"/>
      <c r="G76" s="19"/>
      <c r="H76" s="19"/>
      <c r="I76" s="19"/>
      <c r="J76" s="19"/>
      <c r="K76" s="19"/>
      <c r="L76" s="19"/>
      <c r="M76" s="19"/>
      <c r="N76" s="19"/>
      <c r="O76" s="19"/>
      <c r="P76" s="19" t="s">
        <v>35</v>
      </c>
      <c r="Q76" s="19" t="s">
        <v>109</v>
      </c>
      <c r="R76" s="19"/>
      <c r="S76" s="19"/>
      <c r="T76" s="19"/>
      <c r="U76" s="19"/>
      <c r="V76" s="19"/>
      <c r="W76" s="19"/>
      <c r="X76" s="19"/>
      <c r="Y76" s="19" t="s">
        <v>627</v>
      </c>
      <c r="Z76" s="19"/>
      <c r="AA76" s="19" t="s">
        <v>529</v>
      </c>
      <c r="AB76" s="19" t="s">
        <v>529</v>
      </c>
      <c r="AC76" s="19"/>
      <c r="AD76" s="19"/>
      <c r="AE76" s="19"/>
      <c r="AF76" s="19"/>
      <c r="AG76" s="144"/>
      <c r="AH76" s="6">
        <f>COUNTIF(ParticipationMars1[[#This Row],[1]:[31]],Code1)</f>
        <v>0</v>
      </c>
      <c r="AI76" s="331">
        <f>COUNTIF(ParticipationMars1[[#This Row],[1]:[31]],code22)</f>
        <v>0</v>
      </c>
      <c r="AJ76" s="30">
        <f>COUNTIF(ParticipationMars1[[#This Row],[1]:[31]],Code2)</f>
        <v>0</v>
      </c>
      <c r="AK76" s="30">
        <f>COUNTIF(ParticipationMars1[[#This Row],[1]:[31]],Code3)</f>
        <v>0</v>
      </c>
      <c r="AL76" s="30">
        <f>COUNTIF(ParticipationMars1[[#This Row],[1]:[31]],Code4)</f>
        <v>0</v>
      </c>
      <c r="AM76" s="307">
        <f>COUNTIF(ParticipationMars1[[#This Row],[1]:[31]],Code5)</f>
        <v>1</v>
      </c>
      <c r="AN76" s="307">
        <f>COUNTIF(ParticipationMars1[[#This Row],[1]:[31]],Code23)</f>
        <v>2</v>
      </c>
      <c r="AO76" s="307">
        <f>COUNTIF(ParticipationMars1[[#This Row],[1]:[31]],Code6)</f>
        <v>0</v>
      </c>
      <c r="AP76" s="307">
        <f>COUNTIF(ParticipationMars1[[#This Row],[1]:[31]],Code7)</f>
        <v>1</v>
      </c>
      <c r="AQ76" s="307">
        <f>COUNTIF(ParticipationMars1[[#This Row],[1]:[31]],Code8)</f>
        <v>0</v>
      </c>
      <c r="AR76" s="307">
        <f>COUNTIF(ParticipationMars1[[#This Row],[1]:[31]],Code9)</f>
        <v>0</v>
      </c>
      <c r="AS76" s="307">
        <f>COUNTIF(ParticipationMars1[[#This Row],[1]:[31]],Code10)</f>
        <v>0</v>
      </c>
      <c r="AT76" s="307">
        <f>COUNTIF(ParticipationMars1[[#This Row],[1]:[31]],Code11)</f>
        <v>0</v>
      </c>
      <c r="AU76" s="30">
        <f>COUNTIF(ParticipationMars1[[#This Row],[1]:[31]],Code12)</f>
        <v>0</v>
      </c>
      <c r="AV76" s="307">
        <f>COUNTIF(ParticipationMars1[[#This Row],[1]:[31]],Code13)</f>
        <v>0</v>
      </c>
      <c r="AW76" s="307">
        <f>COUNTIF(ParticipationMars1[[#This Row],[1]:[31]],Code14)</f>
        <v>0</v>
      </c>
      <c r="AX76" s="307">
        <f>COUNTIF(ParticipationMars1[[#This Row],[1]:[31]],Code15)</f>
        <v>0</v>
      </c>
      <c r="AY76" s="307">
        <f>COUNTIF(ParticipationMars1[[#This Row],[1]:[31]],Code16)</f>
        <v>0</v>
      </c>
      <c r="AZ76" s="307">
        <f>COUNTIF(ParticipationMars1[[#This Row],[1]:[31]],Code17)</f>
        <v>0</v>
      </c>
      <c r="BA76" s="30">
        <f>COUNTIF(ParticipationMars1[[#This Row],[1]:[31]],Code25)</f>
        <v>0</v>
      </c>
      <c r="BB76" s="307">
        <f>COUNTIF(ParticipationMars1[[#This Row],[1]:[31]],Code26)</f>
        <v>0</v>
      </c>
      <c r="BC76" s="307">
        <f>COUNTIF(ParticipationMars1[[#This Row],[1]:[31]],Code27)</f>
        <v>1</v>
      </c>
      <c r="BD76" s="30">
        <f>COUNTIF(ParticipationMars1[[#This Row],[1]:[31]],Code28)</f>
        <v>0</v>
      </c>
      <c r="BE76" s="30">
        <f>COUNTIF(ParticipationMars1[[#This Row],[1]:[31]],code30)</f>
        <v>0</v>
      </c>
      <c r="BF76" s="30">
        <f>COUNTIF(ParticipationMars1[[#This Row],[1]:[31]],Code31)</f>
        <v>0</v>
      </c>
      <c r="BG76" s="307">
        <f>COUNTIF(ParticipationMars1[[#This Row],[1]:[31]],code21)</f>
        <v>0</v>
      </c>
      <c r="BH76" s="307">
        <f>COUNTIF(ParticipationMars1[[#This Row],[1]:[31]],Code24)</f>
        <v>0</v>
      </c>
      <c r="BI76" s="307">
        <f>COUNTIF(ParticipationMars1[[#This Row],[1]:[31]],code18)</f>
        <v>0</v>
      </c>
      <c r="BJ76" s="307">
        <f>COUNTIF(ParticipationMars1[[#This Row],[1]:[31]],code19)</f>
        <v>0</v>
      </c>
      <c r="BK76" s="307">
        <f>COUNTIF(ParticipationMars1[[#This Row],[1]:[31]],code20)</f>
        <v>0</v>
      </c>
      <c r="BL76" s="300">
        <f>COUNTIF(ParticipationMars1[[#This Row],[1]:[31]],code29)</f>
        <v>0</v>
      </c>
      <c r="BM76" s="297"/>
      <c r="BN76" s="297"/>
      <c r="BO76" s="297"/>
      <c r="BP76" s="297"/>
      <c r="BQ76" s="297"/>
      <c r="BR76" s="297"/>
      <c r="BS76" s="297"/>
      <c r="BT76" s="297">
        <v>1</v>
      </c>
      <c r="BU76" s="297"/>
      <c r="BV76" s="297"/>
      <c r="BW76" s="297">
        <v>4</v>
      </c>
      <c r="BX76" s="297"/>
      <c r="BY76" s="297"/>
      <c r="BZ76" s="297"/>
      <c r="CA76" s="297"/>
      <c r="CB76" s="297"/>
      <c r="CC76" s="297"/>
      <c r="CD76" s="297"/>
      <c r="CE76" s="297"/>
      <c r="CF76" s="297"/>
      <c r="CG76" s="297">
        <v>1</v>
      </c>
      <c r="CH76" s="297"/>
      <c r="CI76" s="297"/>
      <c r="CJ76" s="297"/>
      <c r="CK76" s="297">
        <v>1</v>
      </c>
      <c r="CL76" s="297"/>
      <c r="CM76" s="297"/>
      <c r="CN76" s="297"/>
      <c r="CO76" s="297"/>
      <c r="CP76" s="297"/>
      <c r="CQ76" s="297"/>
      <c r="CR76" s="297"/>
      <c r="CS76" s="307"/>
      <c r="CT76" s="307"/>
      <c r="CU76" s="300"/>
      <c r="CV76" s="501">
        <f t="shared" si="3"/>
        <v>7</v>
      </c>
      <c r="CW76" s="501">
        <f t="shared" si="4"/>
        <v>13</v>
      </c>
      <c r="CX76" s="249">
        <f t="shared" si="5"/>
        <v>0</v>
      </c>
      <c r="CY76" s="327"/>
    </row>
    <row r="77" spans="1:103">
      <c r="A77" s="534" t="s">
        <v>418</v>
      </c>
      <c r="B77" s="162" t="str">
        <f>IFERROR(VLOOKUP(ParticipationMars1[[#This Row],[Référence]],ListeÉtudiants1[],18,FALSE),"")</f>
        <v>JOSEPH PALOUNA</v>
      </c>
      <c r="C77" s="19"/>
      <c r="D77" s="19"/>
      <c r="E77" s="19"/>
      <c r="F77" s="19"/>
      <c r="G77" s="19"/>
      <c r="H77" s="19"/>
      <c r="I77" s="19"/>
      <c r="J77" s="19"/>
      <c r="K77" s="19"/>
      <c r="L77" s="19"/>
      <c r="M77" s="19"/>
      <c r="N77" s="19"/>
      <c r="O77" s="19"/>
      <c r="P77" s="19"/>
      <c r="Q77" s="19" t="s">
        <v>529</v>
      </c>
      <c r="R77" s="19"/>
      <c r="S77" s="19"/>
      <c r="T77" s="19"/>
      <c r="U77" s="19"/>
      <c r="V77" s="19" t="s">
        <v>529</v>
      </c>
      <c r="W77" s="19"/>
      <c r="X77" s="19" t="s">
        <v>109</v>
      </c>
      <c r="Y77" s="19"/>
      <c r="Z77" s="19"/>
      <c r="AA77" s="19" t="s">
        <v>529</v>
      </c>
      <c r="AB77" s="19"/>
      <c r="AC77" s="19"/>
      <c r="AD77" s="19"/>
      <c r="AE77" s="19"/>
      <c r="AF77" s="19"/>
      <c r="AG77" s="144"/>
      <c r="AH77" s="6">
        <f>COUNTIF(ParticipationMars1[[#This Row],[1]:[31]],Code1)</f>
        <v>0</v>
      </c>
      <c r="AI77" s="331">
        <f>COUNTIF(ParticipationMars1[[#This Row],[1]:[31]],code22)</f>
        <v>0</v>
      </c>
      <c r="AJ77" s="30">
        <f>COUNTIF(ParticipationMars1[[#This Row],[1]:[31]],Code2)</f>
        <v>0</v>
      </c>
      <c r="AK77" s="30">
        <f>COUNTIF(ParticipationMars1[[#This Row],[1]:[31]],Code3)</f>
        <v>0</v>
      </c>
      <c r="AL77" s="30">
        <f>COUNTIF(ParticipationMars1[[#This Row],[1]:[31]],Code4)</f>
        <v>0</v>
      </c>
      <c r="AM77" s="307">
        <f>COUNTIF(ParticipationMars1[[#This Row],[1]:[31]],Code5)</f>
        <v>0</v>
      </c>
      <c r="AN77" s="307">
        <f>COUNTIF(ParticipationMars1[[#This Row],[1]:[31]],Code23)</f>
        <v>3</v>
      </c>
      <c r="AO77" s="307">
        <f>COUNTIF(ParticipationMars1[[#This Row],[1]:[31]],Code6)</f>
        <v>0</v>
      </c>
      <c r="AP77" s="307">
        <f>COUNTIF(ParticipationMars1[[#This Row],[1]:[31]],Code7)</f>
        <v>1</v>
      </c>
      <c r="AQ77" s="307">
        <f>COUNTIF(ParticipationMars1[[#This Row],[1]:[31]],Code8)</f>
        <v>0</v>
      </c>
      <c r="AR77" s="307">
        <f>COUNTIF(ParticipationMars1[[#This Row],[1]:[31]],Code9)</f>
        <v>0</v>
      </c>
      <c r="AS77" s="307">
        <f>COUNTIF(ParticipationMars1[[#This Row],[1]:[31]],Code10)</f>
        <v>0</v>
      </c>
      <c r="AT77" s="307">
        <f>COUNTIF(ParticipationMars1[[#This Row],[1]:[31]],Code11)</f>
        <v>0</v>
      </c>
      <c r="AU77" s="30">
        <f>COUNTIF(ParticipationMars1[[#This Row],[1]:[31]],Code12)</f>
        <v>0</v>
      </c>
      <c r="AV77" s="307">
        <f>COUNTIF(ParticipationMars1[[#This Row],[1]:[31]],Code13)</f>
        <v>0</v>
      </c>
      <c r="AW77" s="307">
        <f>COUNTIF(ParticipationMars1[[#This Row],[1]:[31]],Code14)</f>
        <v>0</v>
      </c>
      <c r="AX77" s="307">
        <f>COUNTIF(ParticipationMars1[[#This Row],[1]:[31]],Code15)</f>
        <v>0</v>
      </c>
      <c r="AY77" s="307">
        <f>COUNTIF(ParticipationMars1[[#This Row],[1]:[31]],Code16)</f>
        <v>0</v>
      </c>
      <c r="AZ77" s="307">
        <f>COUNTIF(ParticipationMars1[[#This Row],[1]:[31]],Code17)</f>
        <v>0</v>
      </c>
      <c r="BA77" s="307">
        <f>COUNTIF(ParticipationMars1[[#This Row],[1]:[31]],Code25)</f>
        <v>0</v>
      </c>
      <c r="BB77" s="307">
        <f>COUNTIF(ParticipationMars1[[#This Row],[1]:[31]],Code26)</f>
        <v>0</v>
      </c>
      <c r="BC77" s="307">
        <f>COUNTIF(ParticipationMars1[[#This Row],[1]:[31]],Code27)</f>
        <v>0</v>
      </c>
      <c r="BD77" s="307">
        <f>COUNTIF(ParticipationMars1[[#This Row],[1]:[31]],Code28)</f>
        <v>0</v>
      </c>
      <c r="BE77" s="307">
        <f>COUNTIF(ParticipationMars1[[#This Row],[1]:[31]],code30)</f>
        <v>0</v>
      </c>
      <c r="BF77" s="307">
        <f>COUNTIF(ParticipationMars1[[#This Row],[1]:[31]],Code31)</f>
        <v>0</v>
      </c>
      <c r="BG77" s="307">
        <f>COUNTIF(ParticipationMars1[[#This Row],[1]:[31]],code21)</f>
        <v>0</v>
      </c>
      <c r="BH77" s="307">
        <f>COUNTIF(ParticipationMars1[[#This Row],[1]:[31]],Code24)</f>
        <v>0</v>
      </c>
      <c r="BI77" s="307">
        <f>COUNTIF(ParticipationMars1[[#This Row],[1]:[31]],code18)</f>
        <v>0</v>
      </c>
      <c r="BJ77" s="307">
        <f>COUNTIF(ParticipationMars1[[#This Row],[1]:[31]],code19)</f>
        <v>0</v>
      </c>
      <c r="BK77" s="307">
        <f>COUNTIF(ParticipationMars1[[#This Row],[1]:[31]],code20)</f>
        <v>0</v>
      </c>
      <c r="BL77" s="300">
        <f>COUNTIF(ParticipationMars1[[#This Row],[1]:[31]],code29)</f>
        <v>0</v>
      </c>
      <c r="BM77" s="297"/>
      <c r="BN77" s="297">
        <v>1</v>
      </c>
      <c r="BO77" s="297"/>
      <c r="BP77" s="297"/>
      <c r="BQ77" s="297"/>
      <c r="BR77" s="297"/>
      <c r="BS77" s="297"/>
      <c r="BT77" s="297"/>
      <c r="BU77" s="297"/>
      <c r="BV77" s="297"/>
      <c r="BW77" s="297">
        <v>2</v>
      </c>
      <c r="BX77" s="297"/>
      <c r="BY77" s="297"/>
      <c r="BZ77" s="297"/>
      <c r="CA77" s="297"/>
      <c r="CB77" s="297"/>
      <c r="CC77" s="297"/>
      <c r="CD77" s="297"/>
      <c r="CE77" s="297"/>
      <c r="CF77" s="297"/>
      <c r="CG77" s="297"/>
      <c r="CH77" s="297"/>
      <c r="CI77" s="297"/>
      <c r="CJ77" s="297"/>
      <c r="CK77" s="297"/>
      <c r="CL77" s="297"/>
      <c r="CM77" s="297"/>
      <c r="CN77" s="297"/>
      <c r="CO77" s="297"/>
      <c r="CP77" s="297"/>
      <c r="CQ77" s="297"/>
      <c r="CR77" s="297"/>
      <c r="CS77" s="307"/>
      <c r="CT77" s="307"/>
      <c r="CU77" s="300"/>
      <c r="CV77" s="501">
        <f t="shared" si="3"/>
        <v>5</v>
      </c>
      <c r="CW77" s="501">
        <f t="shared" si="4"/>
        <v>7</v>
      </c>
      <c r="CX77" s="341">
        <f t="shared" si="5"/>
        <v>0</v>
      </c>
      <c r="CY77" s="327"/>
    </row>
    <row r="78" spans="1:103">
      <c r="A78" s="510" t="s">
        <v>419</v>
      </c>
      <c r="B78" s="162" t="str">
        <f>IFERROR(VLOOKUP(ParticipationMars1[[#This Row],[Référence]],ListeÉtudiants1[],18,FALSE),"")</f>
        <v>JUAN DORINE</v>
      </c>
      <c r="C78" s="19"/>
      <c r="D78" s="19"/>
      <c r="E78" s="19"/>
      <c r="F78" s="19"/>
      <c r="G78" s="19"/>
      <c r="H78" s="19"/>
      <c r="I78" s="19"/>
      <c r="J78" s="19"/>
      <c r="K78" s="19"/>
      <c r="L78" s="19"/>
      <c r="M78" s="19"/>
      <c r="N78" s="19"/>
      <c r="O78" s="19"/>
      <c r="P78" s="19"/>
      <c r="Q78" s="19" t="s">
        <v>108</v>
      </c>
      <c r="R78" s="19"/>
      <c r="S78" s="19"/>
      <c r="T78" s="19"/>
      <c r="U78" s="19"/>
      <c r="V78" s="19"/>
      <c r="W78" s="19"/>
      <c r="X78" s="19"/>
      <c r="Y78" s="19"/>
      <c r="Z78" s="19"/>
      <c r="AA78" s="19"/>
      <c r="AB78" s="19" t="s">
        <v>529</v>
      </c>
      <c r="AC78" s="19"/>
      <c r="AD78" s="19"/>
      <c r="AE78" s="19"/>
      <c r="AF78" s="19"/>
      <c r="AG78" s="144"/>
      <c r="AH78" s="6">
        <f>COUNTIF(ParticipationMars1[[#This Row],[1]:[31]],Code1)</f>
        <v>0</v>
      </c>
      <c r="AI78" s="331">
        <f>COUNTIF(ParticipationMars1[[#This Row],[1]:[31]],code22)</f>
        <v>0</v>
      </c>
      <c r="AJ78" s="30">
        <f>COUNTIF(ParticipationMars1[[#This Row],[1]:[31]],Code2)</f>
        <v>0</v>
      </c>
      <c r="AK78" s="30">
        <f>COUNTIF(ParticipationMars1[[#This Row],[1]:[31]],Code3)</f>
        <v>0</v>
      </c>
      <c r="AL78" s="30">
        <f>COUNTIF(ParticipationMars1[[#This Row],[1]:[31]],Code4)</f>
        <v>0</v>
      </c>
      <c r="AM78" s="307">
        <f>COUNTIF(ParticipationMars1[[#This Row],[1]:[31]],Code5)</f>
        <v>0</v>
      </c>
      <c r="AN78" s="307">
        <f>COUNTIF(ParticipationMars1[[#This Row],[1]:[31]],Code23)</f>
        <v>1</v>
      </c>
      <c r="AO78" s="307">
        <f>COUNTIF(ParticipationMars1[[#This Row],[1]:[31]],Code6)</f>
        <v>1</v>
      </c>
      <c r="AP78" s="307">
        <f>COUNTIF(ParticipationMars1[[#This Row],[1]:[31]],Code7)</f>
        <v>0</v>
      </c>
      <c r="AQ78" s="307">
        <f>COUNTIF(ParticipationMars1[[#This Row],[1]:[31]],Code8)</f>
        <v>0</v>
      </c>
      <c r="AR78" s="307">
        <f>COUNTIF(ParticipationMars1[[#This Row],[1]:[31]],Code9)</f>
        <v>0</v>
      </c>
      <c r="AS78" s="307">
        <f>COUNTIF(ParticipationMars1[[#This Row],[1]:[31]],Code10)</f>
        <v>0</v>
      </c>
      <c r="AT78" s="307">
        <f>COUNTIF(ParticipationMars1[[#This Row],[1]:[31]],Code11)</f>
        <v>0</v>
      </c>
      <c r="AU78" s="30">
        <f>COUNTIF(ParticipationMars1[[#This Row],[1]:[31]],Code12)</f>
        <v>0</v>
      </c>
      <c r="AV78" s="307">
        <f>COUNTIF(ParticipationMars1[[#This Row],[1]:[31]],Code13)</f>
        <v>0</v>
      </c>
      <c r="AW78" s="307">
        <f>COUNTIF(ParticipationMars1[[#This Row],[1]:[31]],Code14)</f>
        <v>0</v>
      </c>
      <c r="AX78" s="307">
        <f>COUNTIF(ParticipationMars1[[#This Row],[1]:[31]],Code15)</f>
        <v>0</v>
      </c>
      <c r="AY78" s="307">
        <f>COUNTIF(ParticipationMars1[[#This Row],[1]:[31]],Code16)</f>
        <v>0</v>
      </c>
      <c r="AZ78" s="307">
        <f>COUNTIF(ParticipationMars1[[#This Row],[1]:[31]],Code17)</f>
        <v>0</v>
      </c>
      <c r="BA78" s="307">
        <f>COUNTIF(ParticipationMars1[[#This Row],[1]:[31]],Code25)</f>
        <v>0</v>
      </c>
      <c r="BB78" s="307">
        <f>COUNTIF(ParticipationMars1[[#This Row],[1]:[31]],Code26)</f>
        <v>0</v>
      </c>
      <c r="BC78" s="307">
        <f>COUNTIF(ParticipationMars1[[#This Row],[1]:[31]],Code27)</f>
        <v>0</v>
      </c>
      <c r="BD78" s="307">
        <f>COUNTIF(ParticipationMars1[[#This Row],[1]:[31]],Code28)</f>
        <v>0</v>
      </c>
      <c r="BE78" s="307">
        <f>COUNTIF(ParticipationMars1[[#This Row],[1]:[31]],code30)</f>
        <v>0</v>
      </c>
      <c r="BF78" s="307">
        <f>COUNTIF(ParticipationMars1[[#This Row],[1]:[31]],Code31)</f>
        <v>0</v>
      </c>
      <c r="BG78" s="307">
        <f>COUNTIF(ParticipationMars1[[#This Row],[1]:[31]],code21)</f>
        <v>0</v>
      </c>
      <c r="BH78" s="307">
        <f>COUNTIF(ParticipationMars1[[#This Row],[1]:[31]],Code24)</f>
        <v>0</v>
      </c>
      <c r="BI78" s="307">
        <f>COUNTIF(ParticipationMars1[[#This Row],[1]:[31]],code18)</f>
        <v>0</v>
      </c>
      <c r="BJ78" s="307">
        <f>COUNTIF(ParticipationMars1[[#This Row],[1]:[31]],code19)</f>
        <v>0</v>
      </c>
      <c r="BK78" s="307">
        <f>COUNTIF(ParticipationMars1[[#This Row],[1]:[31]],code20)</f>
        <v>0</v>
      </c>
      <c r="BL78" s="300">
        <f>COUNTIF(ParticipationMars1[[#This Row],[1]:[31]],code29)</f>
        <v>0</v>
      </c>
      <c r="BM78" s="297"/>
      <c r="BN78" s="297"/>
      <c r="BO78" s="297"/>
      <c r="BP78" s="297"/>
      <c r="BQ78" s="297"/>
      <c r="BR78" s="297"/>
      <c r="BS78" s="297"/>
      <c r="BT78" s="297"/>
      <c r="BU78" s="297"/>
      <c r="BV78" s="297"/>
      <c r="BW78" s="297">
        <v>1</v>
      </c>
      <c r="BX78" s="297"/>
      <c r="BY78" s="297"/>
      <c r="BZ78" s="297"/>
      <c r="CA78" s="297"/>
      <c r="CB78" s="297"/>
      <c r="CC78" s="297"/>
      <c r="CD78" s="297"/>
      <c r="CE78" s="297"/>
      <c r="CF78" s="297"/>
      <c r="CG78" s="297"/>
      <c r="CH78" s="297"/>
      <c r="CI78" s="297"/>
      <c r="CJ78" s="297"/>
      <c r="CK78" s="297"/>
      <c r="CL78" s="297"/>
      <c r="CM78" s="297"/>
      <c r="CN78" s="297"/>
      <c r="CO78" s="297"/>
      <c r="CP78" s="297"/>
      <c r="CQ78" s="297"/>
      <c r="CR78" s="297"/>
      <c r="CS78" s="307"/>
      <c r="CT78" s="307"/>
      <c r="CU78" s="300"/>
      <c r="CV78" s="501">
        <f t="shared" si="3"/>
        <v>0</v>
      </c>
      <c r="CW78" s="501">
        <f t="shared" si="4"/>
        <v>4</v>
      </c>
      <c r="CX78" s="341">
        <f t="shared" si="5"/>
        <v>0</v>
      </c>
      <c r="CY78" s="327"/>
    </row>
    <row r="79" spans="1:103">
      <c r="A79" s="534" t="s">
        <v>420</v>
      </c>
      <c r="B79" s="162" t="str">
        <f>IFERROR(VLOOKUP(ParticipationMars1[[#This Row],[Référence]],ListeÉtudiants1[],18,FALSE),"")</f>
        <v>KABOL HELENA</v>
      </c>
      <c r="C79" s="19"/>
      <c r="D79" s="19"/>
      <c r="E79" s="19"/>
      <c r="F79" s="19"/>
      <c r="G79" s="19"/>
      <c r="H79" s="19"/>
      <c r="I79" s="19"/>
      <c r="J79" s="19"/>
      <c r="K79" s="19"/>
      <c r="L79" s="19"/>
      <c r="M79" s="19"/>
      <c r="N79" s="19"/>
      <c r="O79" s="19"/>
      <c r="P79" s="19"/>
      <c r="Q79" s="19" t="s">
        <v>109</v>
      </c>
      <c r="R79" s="19"/>
      <c r="S79" s="19"/>
      <c r="T79" s="19"/>
      <c r="U79" s="19"/>
      <c r="V79" s="19"/>
      <c r="W79" s="19"/>
      <c r="X79" s="19" t="s">
        <v>488</v>
      </c>
      <c r="Y79" s="19"/>
      <c r="Z79" s="19"/>
      <c r="AA79" s="19"/>
      <c r="AB79" s="19"/>
      <c r="AC79" s="19"/>
      <c r="AD79" s="19" t="s">
        <v>35</v>
      </c>
      <c r="AE79" s="19"/>
      <c r="AF79" s="19"/>
      <c r="AG79" s="144"/>
      <c r="AH79" s="6">
        <f>COUNTIF(ParticipationMars1[[#This Row],[1]:[31]],Code1)</f>
        <v>0</v>
      </c>
      <c r="AI79" s="331">
        <f>COUNTIF(ParticipationMars1[[#This Row],[1]:[31]],code22)</f>
        <v>0</v>
      </c>
      <c r="AJ79" s="30">
        <f>COUNTIF(ParticipationMars1[[#This Row],[1]:[31]],Code2)</f>
        <v>0</v>
      </c>
      <c r="AK79" s="30">
        <f>COUNTIF(ParticipationMars1[[#This Row],[1]:[31]],Code3)</f>
        <v>0</v>
      </c>
      <c r="AL79" s="30">
        <f>COUNTIF(ParticipationMars1[[#This Row],[1]:[31]],Code4)</f>
        <v>0</v>
      </c>
      <c r="AM79" s="307">
        <f>COUNTIF(ParticipationMars1[[#This Row],[1]:[31]],Code5)</f>
        <v>1</v>
      </c>
      <c r="AN79" s="307">
        <f>COUNTIF(ParticipationMars1[[#This Row],[1]:[31]],Code23)</f>
        <v>0</v>
      </c>
      <c r="AO79" s="307">
        <f>COUNTIF(ParticipationMars1[[#This Row],[1]:[31]],Code6)</f>
        <v>0</v>
      </c>
      <c r="AP79" s="307">
        <f>COUNTIF(ParticipationMars1[[#This Row],[1]:[31]],Code7)</f>
        <v>1</v>
      </c>
      <c r="AQ79" s="307">
        <f>COUNTIF(ParticipationMars1[[#This Row],[1]:[31]],Code8)</f>
        <v>0</v>
      </c>
      <c r="AR79" s="307">
        <f>COUNTIF(ParticipationMars1[[#This Row],[1]:[31]],Code9)</f>
        <v>0</v>
      </c>
      <c r="AS79" s="307">
        <f>COUNTIF(ParticipationMars1[[#This Row],[1]:[31]],Code10)</f>
        <v>0</v>
      </c>
      <c r="AT79" s="307">
        <f>COUNTIF(ParticipationMars1[[#This Row],[1]:[31]],Code11)</f>
        <v>0</v>
      </c>
      <c r="AU79" s="30">
        <f>COUNTIF(ParticipationMars1[[#This Row],[1]:[31]],Code12)</f>
        <v>0</v>
      </c>
      <c r="AV79" s="307">
        <f>COUNTIF(ParticipationMars1[[#This Row],[1]:[31]],Code13)</f>
        <v>0</v>
      </c>
      <c r="AW79" s="307">
        <f>COUNTIF(ParticipationMars1[[#This Row],[1]:[31]],Code14)</f>
        <v>1</v>
      </c>
      <c r="AX79" s="307">
        <f>COUNTIF(ParticipationMars1[[#This Row],[1]:[31]],Code15)</f>
        <v>0</v>
      </c>
      <c r="AY79" s="307">
        <f>COUNTIF(ParticipationMars1[[#This Row],[1]:[31]],Code16)</f>
        <v>0</v>
      </c>
      <c r="AZ79" s="307">
        <f>COUNTIF(ParticipationMars1[[#This Row],[1]:[31]],Code17)</f>
        <v>0</v>
      </c>
      <c r="BA79" s="307">
        <f>COUNTIF(ParticipationMars1[[#This Row],[1]:[31]],Code25)</f>
        <v>0</v>
      </c>
      <c r="BB79" s="307">
        <f>COUNTIF(ParticipationMars1[[#This Row],[1]:[31]],Code26)</f>
        <v>0</v>
      </c>
      <c r="BC79" s="307">
        <f>COUNTIF(ParticipationMars1[[#This Row],[1]:[31]],Code27)</f>
        <v>0</v>
      </c>
      <c r="BD79" s="307">
        <f>COUNTIF(ParticipationMars1[[#This Row],[1]:[31]],Code28)</f>
        <v>0</v>
      </c>
      <c r="BE79" s="307">
        <f>COUNTIF(ParticipationMars1[[#This Row],[1]:[31]],code30)</f>
        <v>0</v>
      </c>
      <c r="BF79" s="307">
        <f>COUNTIF(ParticipationMars1[[#This Row],[1]:[31]],Code31)</f>
        <v>0</v>
      </c>
      <c r="BG79" s="307">
        <f>COUNTIF(ParticipationMars1[[#This Row],[1]:[31]],code21)</f>
        <v>0</v>
      </c>
      <c r="BH79" s="307">
        <f>COUNTIF(ParticipationMars1[[#This Row],[1]:[31]],Code24)</f>
        <v>0</v>
      </c>
      <c r="BI79" s="307">
        <f>COUNTIF(ParticipationMars1[[#This Row],[1]:[31]],code18)</f>
        <v>0</v>
      </c>
      <c r="BJ79" s="307">
        <f>COUNTIF(ParticipationMars1[[#This Row],[1]:[31]],code19)</f>
        <v>0</v>
      </c>
      <c r="BK79" s="307">
        <f>COUNTIF(ParticipationMars1[[#This Row],[1]:[31]],code20)</f>
        <v>0</v>
      </c>
      <c r="BL79" s="300">
        <f>COUNTIF(ParticipationMars1[[#This Row],[1]:[31]],code29)</f>
        <v>0</v>
      </c>
      <c r="BM79" s="297"/>
      <c r="BN79" s="297">
        <v>1</v>
      </c>
      <c r="BO79" s="297"/>
      <c r="BP79" s="297"/>
      <c r="BQ79" s="297"/>
      <c r="BR79" s="297"/>
      <c r="BS79" s="297"/>
      <c r="BT79" s="297">
        <v>1</v>
      </c>
      <c r="BU79" s="297"/>
      <c r="BV79" s="297"/>
      <c r="BW79" s="297">
        <v>2</v>
      </c>
      <c r="BX79" s="297"/>
      <c r="BY79" s="297"/>
      <c r="BZ79" s="297"/>
      <c r="CA79" s="297"/>
      <c r="CB79" s="297"/>
      <c r="CC79" s="297"/>
      <c r="CD79" s="297"/>
      <c r="CE79" s="297"/>
      <c r="CF79" s="297"/>
      <c r="CG79" s="297">
        <v>1</v>
      </c>
      <c r="CH79" s="297"/>
      <c r="CI79" s="297"/>
      <c r="CJ79" s="297"/>
      <c r="CK79" s="297"/>
      <c r="CL79" s="297"/>
      <c r="CM79" s="297"/>
      <c r="CN79" s="297"/>
      <c r="CO79" s="297"/>
      <c r="CP79" s="297"/>
      <c r="CQ79" s="297"/>
      <c r="CR79" s="297"/>
      <c r="CS79" s="307"/>
      <c r="CT79" s="307"/>
      <c r="CU79" s="300"/>
      <c r="CV79" s="501">
        <f t="shared" si="3"/>
        <v>5</v>
      </c>
      <c r="CW79" s="501">
        <f t="shared" si="4"/>
        <v>13</v>
      </c>
      <c r="CX79" s="341">
        <f t="shared" si="5"/>
        <v>0</v>
      </c>
      <c r="CY79" s="327"/>
    </row>
    <row r="80" spans="1:103">
      <c r="A80" s="534" t="s">
        <v>421</v>
      </c>
      <c r="B80" s="162" t="str">
        <f>IFERROR(VLOOKUP(ParticipationMars1[[#This Row],[Référence]],ListeÉtudiants1[],18,FALSE),"")</f>
        <v>KANTE TIGUIDA</v>
      </c>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340"/>
      <c r="AH80" s="6">
        <f>COUNTIF(ParticipationMars1[[#This Row],[1]:[31]],Code1)</f>
        <v>0</v>
      </c>
      <c r="AI80" s="475">
        <f>COUNTIF(ParticipationMars1[[#This Row],[1]:[31]],code22)</f>
        <v>0</v>
      </c>
      <c r="AJ80" s="30">
        <f>COUNTIF(ParticipationMars1[[#This Row],[1]:[31]],Code2)</f>
        <v>0</v>
      </c>
      <c r="AK80" s="30">
        <f>COUNTIF(ParticipationMars1[[#This Row],[1]:[31]],Code3)</f>
        <v>0</v>
      </c>
      <c r="AL80" s="30">
        <f>COUNTIF(ParticipationMars1[[#This Row],[1]:[31]],Code4)</f>
        <v>0</v>
      </c>
      <c r="AM80" s="473">
        <f>COUNTIF(ParticipationMars1[[#This Row],[1]:[31]],Code5)</f>
        <v>0</v>
      </c>
      <c r="AN80" s="473">
        <f>COUNTIF(ParticipationMars1[[#This Row],[1]:[31]],Code23)</f>
        <v>0</v>
      </c>
      <c r="AO80" s="473">
        <f>COUNTIF(ParticipationMars1[[#This Row],[1]:[31]],Code6)</f>
        <v>0</v>
      </c>
      <c r="AP80" s="473">
        <f>COUNTIF(ParticipationMars1[[#This Row],[1]:[31]],Code7)</f>
        <v>0</v>
      </c>
      <c r="AQ80" s="473">
        <f>COUNTIF(ParticipationMars1[[#This Row],[1]:[31]],Code8)</f>
        <v>0</v>
      </c>
      <c r="AR80" s="473">
        <f>COUNTIF(ParticipationMars1[[#This Row],[1]:[31]],Code9)</f>
        <v>0</v>
      </c>
      <c r="AS80" s="473">
        <f>COUNTIF(ParticipationMars1[[#This Row],[1]:[31]],Code10)</f>
        <v>0</v>
      </c>
      <c r="AT80" s="473">
        <f>COUNTIF(ParticipationMars1[[#This Row],[1]:[31]],Code11)</f>
        <v>0</v>
      </c>
      <c r="AU80" s="473">
        <f>COUNTIF(ParticipationMars1[[#This Row],[1]:[31]],Code12)</f>
        <v>0</v>
      </c>
      <c r="AV80" s="473">
        <f>COUNTIF(ParticipationMars1[[#This Row],[1]:[31]],Code13)</f>
        <v>0</v>
      </c>
      <c r="AW80" s="473">
        <f>COUNTIF(ParticipationMars1[[#This Row],[1]:[31]],Code14)</f>
        <v>0</v>
      </c>
      <c r="AX80" s="473">
        <f>COUNTIF(ParticipationMars1[[#This Row],[1]:[31]],Code15)</f>
        <v>0</v>
      </c>
      <c r="AY80" s="473">
        <f>COUNTIF(ParticipationMars1[[#This Row],[1]:[31]],Code16)</f>
        <v>0</v>
      </c>
      <c r="AZ80" s="473">
        <f>COUNTIF(ParticipationMars1[[#This Row],[1]:[31]],Code17)</f>
        <v>0</v>
      </c>
      <c r="BA80" s="473">
        <f>COUNTIF(ParticipationMars1[[#This Row],[1]:[31]],Code25)</f>
        <v>0</v>
      </c>
      <c r="BB80" s="473">
        <f>COUNTIF(ParticipationMars1[[#This Row],[1]:[31]],Code26)</f>
        <v>0</v>
      </c>
      <c r="BC80" s="473">
        <f>COUNTIF(ParticipationMars1[[#This Row],[1]:[31]],Code27)</f>
        <v>0</v>
      </c>
      <c r="BD80" s="473">
        <f>COUNTIF(ParticipationMars1[[#This Row],[1]:[31]],Code28)</f>
        <v>0</v>
      </c>
      <c r="BE80" s="473">
        <f>COUNTIF(ParticipationMars1[[#This Row],[1]:[31]],code30)</f>
        <v>0</v>
      </c>
      <c r="BF80" s="473">
        <f>COUNTIF(ParticipationMars1[[#This Row],[1]:[31]],Code31)</f>
        <v>0</v>
      </c>
      <c r="BG80" s="473">
        <f>COUNTIF(ParticipationMars1[[#This Row],[1]:[31]],code21)</f>
        <v>0</v>
      </c>
      <c r="BH80" s="473">
        <f>COUNTIF(ParticipationMars1[[#This Row],[1]:[31]],Code24)</f>
        <v>0</v>
      </c>
      <c r="BI80" s="473">
        <f>COUNTIF(ParticipationMars1[[#This Row],[1]:[31]],code18)</f>
        <v>0</v>
      </c>
      <c r="BJ80" s="473">
        <f>COUNTIF(ParticipationMars1[[#This Row],[1]:[31]],code19)</f>
        <v>0</v>
      </c>
      <c r="BK80" s="473">
        <f>COUNTIF(ParticipationMars1[[#This Row],[1]:[31]],code20)</f>
        <v>0</v>
      </c>
      <c r="BL80" s="516">
        <f>COUNTIF(ParticipationMars1[[#This Row],[1]:[31]],code29)</f>
        <v>0</v>
      </c>
      <c r="BM80" s="472"/>
      <c r="BN80" s="472"/>
      <c r="BO80" s="472"/>
      <c r="BP80" s="472"/>
      <c r="BQ80" s="472"/>
      <c r="BR80" s="472"/>
      <c r="BS80" s="472"/>
      <c r="BT80" s="472"/>
      <c r="BU80" s="472"/>
      <c r="BV80" s="472"/>
      <c r="BW80" s="472"/>
      <c r="BX80" s="472"/>
      <c r="BY80" s="472"/>
      <c r="BZ80" s="472"/>
      <c r="CA80" s="472"/>
      <c r="CB80" s="472"/>
      <c r="CC80" s="472"/>
      <c r="CD80" s="472"/>
      <c r="CE80" s="472"/>
      <c r="CF80" s="472"/>
      <c r="CG80" s="472"/>
      <c r="CH80" s="472"/>
      <c r="CI80" s="472"/>
      <c r="CJ80" s="472"/>
      <c r="CK80" s="472"/>
      <c r="CL80" s="472"/>
      <c r="CM80" s="472"/>
      <c r="CN80" s="472"/>
      <c r="CO80" s="472"/>
      <c r="CP80" s="472"/>
      <c r="CQ80" s="472"/>
      <c r="CR80" s="472"/>
      <c r="CS80" s="473"/>
      <c r="CT80" s="473"/>
      <c r="CU80" s="516"/>
      <c r="CV80" s="533">
        <f t="shared" si="3"/>
        <v>0</v>
      </c>
      <c r="CW80" s="533">
        <f t="shared" si="4"/>
        <v>0</v>
      </c>
      <c r="CX80" s="523">
        <f t="shared" si="5"/>
        <v>0</v>
      </c>
      <c r="CY80" s="512"/>
    </row>
    <row r="81" spans="1:103">
      <c r="A81" s="510" t="s">
        <v>422</v>
      </c>
      <c r="B81" s="162" t="str">
        <f>IFERROR(VLOOKUP(ParticipationMars1[[#This Row],[Référence]],ListeÉtudiants1[],18,FALSE),"")</f>
        <v>KERMESH NELLY</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t="s">
        <v>108</v>
      </c>
      <c r="AC81" s="19"/>
      <c r="AD81" s="19"/>
      <c r="AE81" s="19"/>
      <c r="AF81" s="19"/>
      <c r="AG81" s="144"/>
      <c r="AH81" s="6">
        <f>COUNTIF(ParticipationMars1[[#This Row],[1]:[31]],Code1)</f>
        <v>0</v>
      </c>
      <c r="AI81" s="331">
        <f>COUNTIF(ParticipationMars1[[#This Row],[1]:[31]],code22)</f>
        <v>0</v>
      </c>
      <c r="AJ81" s="30">
        <f>COUNTIF(ParticipationMars1[[#This Row],[1]:[31]],Code2)</f>
        <v>0</v>
      </c>
      <c r="AK81" s="30">
        <f>COUNTIF(ParticipationMars1[[#This Row],[1]:[31]],Code3)</f>
        <v>0</v>
      </c>
      <c r="AL81" s="30">
        <f>COUNTIF(ParticipationMars1[[#This Row],[1]:[31]],Code4)</f>
        <v>0</v>
      </c>
      <c r="AM81" s="307">
        <f>COUNTIF(ParticipationMars1[[#This Row],[1]:[31]],Code5)</f>
        <v>0</v>
      </c>
      <c r="AN81" s="307">
        <f>COUNTIF(ParticipationMars1[[#This Row],[1]:[31]],Code23)</f>
        <v>0</v>
      </c>
      <c r="AO81" s="307">
        <f>COUNTIF(ParticipationMars1[[#This Row],[1]:[31]],Code6)</f>
        <v>1</v>
      </c>
      <c r="AP81" s="307">
        <f>COUNTIF(ParticipationMars1[[#This Row],[1]:[31]],Code7)</f>
        <v>0</v>
      </c>
      <c r="AQ81" s="307">
        <f>COUNTIF(ParticipationMars1[[#This Row],[1]:[31]],Code8)</f>
        <v>0</v>
      </c>
      <c r="AR81" s="307">
        <f>COUNTIF(ParticipationMars1[[#This Row],[1]:[31]],Code9)</f>
        <v>0</v>
      </c>
      <c r="AS81" s="307">
        <f>COUNTIF(ParticipationMars1[[#This Row],[1]:[31]],Code10)</f>
        <v>0</v>
      </c>
      <c r="AT81" s="307">
        <f>COUNTIF(ParticipationMars1[[#This Row],[1]:[31]],Code11)</f>
        <v>0</v>
      </c>
      <c r="AU81" s="30">
        <f>COUNTIF(ParticipationMars1[[#This Row],[1]:[31]],Code12)</f>
        <v>0</v>
      </c>
      <c r="AV81" s="307">
        <f>COUNTIF(ParticipationMars1[[#This Row],[1]:[31]],Code13)</f>
        <v>0</v>
      </c>
      <c r="AW81" s="307">
        <f>COUNTIF(ParticipationMars1[[#This Row],[1]:[31]],Code14)</f>
        <v>0</v>
      </c>
      <c r="AX81" s="307">
        <f>COUNTIF(ParticipationMars1[[#This Row],[1]:[31]],Code15)</f>
        <v>0</v>
      </c>
      <c r="AY81" s="307">
        <f>COUNTIF(ParticipationMars1[[#This Row],[1]:[31]],Code16)</f>
        <v>0</v>
      </c>
      <c r="AZ81" s="307">
        <f>COUNTIF(ParticipationMars1[[#This Row],[1]:[31]],Code17)</f>
        <v>0</v>
      </c>
      <c r="BA81" s="307">
        <f>COUNTIF(ParticipationMars1[[#This Row],[1]:[31]],Code25)</f>
        <v>0</v>
      </c>
      <c r="BB81" s="307">
        <f>COUNTIF(ParticipationMars1[[#This Row],[1]:[31]],Code26)</f>
        <v>0</v>
      </c>
      <c r="BC81" s="307">
        <f>COUNTIF(ParticipationMars1[[#This Row],[1]:[31]],Code27)</f>
        <v>0</v>
      </c>
      <c r="BD81" s="307">
        <f>COUNTIF(ParticipationMars1[[#This Row],[1]:[31]],Code28)</f>
        <v>0</v>
      </c>
      <c r="BE81" s="307">
        <f>COUNTIF(ParticipationMars1[[#This Row],[1]:[31]],code30)</f>
        <v>0</v>
      </c>
      <c r="BF81" s="307">
        <f>COUNTIF(ParticipationMars1[[#This Row],[1]:[31]],Code31)</f>
        <v>0</v>
      </c>
      <c r="BG81" s="307">
        <f>COUNTIF(ParticipationMars1[[#This Row],[1]:[31]],code21)</f>
        <v>0</v>
      </c>
      <c r="BH81" s="307">
        <f>COUNTIF(ParticipationMars1[[#This Row],[1]:[31]],Code24)</f>
        <v>0</v>
      </c>
      <c r="BI81" s="307">
        <f>COUNTIF(ParticipationMars1[[#This Row],[1]:[31]],code18)</f>
        <v>0</v>
      </c>
      <c r="BJ81" s="307">
        <f>COUNTIF(ParticipationMars1[[#This Row],[1]:[31]],code19)</f>
        <v>0</v>
      </c>
      <c r="BK81" s="307">
        <f>COUNTIF(ParticipationMars1[[#This Row],[1]:[31]],code20)</f>
        <v>0</v>
      </c>
      <c r="BL81" s="300">
        <f>COUNTIF(ParticipationMars1[[#This Row],[1]:[31]],code29)</f>
        <v>0</v>
      </c>
      <c r="BM81" s="297"/>
      <c r="BN81" s="297"/>
      <c r="BO81" s="297"/>
      <c r="BP81" s="297"/>
      <c r="BQ81" s="297"/>
      <c r="BR81" s="297"/>
      <c r="BS81" s="297"/>
      <c r="BT81" s="297"/>
      <c r="BU81" s="297"/>
      <c r="BV81" s="297"/>
      <c r="BW81" s="297">
        <v>1</v>
      </c>
      <c r="BX81" s="297"/>
      <c r="BY81" s="297"/>
      <c r="BZ81" s="297"/>
      <c r="CA81" s="297"/>
      <c r="CB81" s="297"/>
      <c r="CC81" s="297"/>
      <c r="CD81" s="297"/>
      <c r="CE81" s="297"/>
      <c r="CF81" s="297"/>
      <c r="CG81" s="297"/>
      <c r="CH81" s="297"/>
      <c r="CI81" s="297"/>
      <c r="CJ81" s="297"/>
      <c r="CK81" s="297">
        <v>1</v>
      </c>
      <c r="CL81" s="297"/>
      <c r="CM81" s="297"/>
      <c r="CN81" s="297"/>
      <c r="CO81" s="297"/>
      <c r="CP81" s="297"/>
      <c r="CQ81" s="297"/>
      <c r="CR81" s="297"/>
      <c r="CS81" s="307"/>
      <c r="CT81" s="307"/>
      <c r="CU81" s="300"/>
      <c r="CV81" s="501">
        <f t="shared" si="3"/>
        <v>0</v>
      </c>
      <c r="CW81" s="501">
        <f t="shared" si="4"/>
        <v>3</v>
      </c>
      <c r="CX81" s="341">
        <f t="shared" si="5"/>
        <v>0</v>
      </c>
      <c r="CY81" s="327"/>
    </row>
    <row r="82" spans="1:103">
      <c r="A82" s="534" t="s">
        <v>423</v>
      </c>
      <c r="B82" s="162" t="str">
        <f>IFERROR(VLOOKUP(ParticipationMars1[[#This Row],[Référence]],ListeÉtudiants1[],18,FALSE),"")</f>
        <v>KESSIE INES</v>
      </c>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340"/>
      <c r="AH82" s="6">
        <f>COUNTIF(ParticipationMars1[[#This Row],[1]:[31]],Code1)</f>
        <v>0</v>
      </c>
      <c r="AI82" s="475">
        <f>COUNTIF(ParticipationMars1[[#This Row],[1]:[31]],code22)</f>
        <v>0</v>
      </c>
      <c r="AJ82" s="30">
        <f>COUNTIF(ParticipationMars1[[#This Row],[1]:[31]],Code2)</f>
        <v>0</v>
      </c>
      <c r="AK82" s="30">
        <f>COUNTIF(ParticipationMars1[[#This Row],[1]:[31]],Code3)</f>
        <v>0</v>
      </c>
      <c r="AL82" s="30">
        <f>COUNTIF(ParticipationMars1[[#This Row],[1]:[31]],Code4)</f>
        <v>0</v>
      </c>
      <c r="AM82" s="473">
        <f>COUNTIF(ParticipationMars1[[#This Row],[1]:[31]],Code5)</f>
        <v>0</v>
      </c>
      <c r="AN82" s="473">
        <f>COUNTIF(ParticipationMars1[[#This Row],[1]:[31]],Code23)</f>
        <v>0</v>
      </c>
      <c r="AO82" s="473">
        <f>COUNTIF(ParticipationMars1[[#This Row],[1]:[31]],Code6)</f>
        <v>0</v>
      </c>
      <c r="AP82" s="473">
        <f>COUNTIF(ParticipationMars1[[#This Row],[1]:[31]],Code7)</f>
        <v>0</v>
      </c>
      <c r="AQ82" s="473">
        <f>COUNTIF(ParticipationMars1[[#This Row],[1]:[31]],Code8)</f>
        <v>0</v>
      </c>
      <c r="AR82" s="473">
        <f>COUNTIF(ParticipationMars1[[#This Row],[1]:[31]],Code9)</f>
        <v>0</v>
      </c>
      <c r="AS82" s="473">
        <f>COUNTIF(ParticipationMars1[[#This Row],[1]:[31]],Code10)</f>
        <v>0</v>
      </c>
      <c r="AT82" s="473">
        <f>COUNTIF(ParticipationMars1[[#This Row],[1]:[31]],Code11)</f>
        <v>0</v>
      </c>
      <c r="AU82" s="473">
        <f>COUNTIF(ParticipationMars1[[#This Row],[1]:[31]],Code12)</f>
        <v>0</v>
      </c>
      <c r="AV82" s="473">
        <f>COUNTIF(ParticipationMars1[[#This Row],[1]:[31]],Code13)</f>
        <v>0</v>
      </c>
      <c r="AW82" s="473">
        <f>COUNTIF(ParticipationMars1[[#This Row],[1]:[31]],Code14)</f>
        <v>0</v>
      </c>
      <c r="AX82" s="473">
        <f>COUNTIF(ParticipationMars1[[#This Row],[1]:[31]],Code15)</f>
        <v>0</v>
      </c>
      <c r="AY82" s="473">
        <f>COUNTIF(ParticipationMars1[[#This Row],[1]:[31]],Code16)</f>
        <v>0</v>
      </c>
      <c r="AZ82" s="473">
        <f>COUNTIF(ParticipationMars1[[#This Row],[1]:[31]],Code17)</f>
        <v>0</v>
      </c>
      <c r="BA82" s="473">
        <f>COUNTIF(ParticipationMars1[[#This Row],[1]:[31]],Code25)</f>
        <v>0</v>
      </c>
      <c r="BB82" s="473">
        <f>COUNTIF(ParticipationMars1[[#This Row],[1]:[31]],Code26)</f>
        <v>0</v>
      </c>
      <c r="BC82" s="473">
        <f>COUNTIF(ParticipationMars1[[#This Row],[1]:[31]],Code27)</f>
        <v>0</v>
      </c>
      <c r="BD82" s="473">
        <f>COUNTIF(ParticipationMars1[[#This Row],[1]:[31]],Code28)</f>
        <v>0</v>
      </c>
      <c r="BE82" s="473">
        <f>COUNTIF(ParticipationMars1[[#This Row],[1]:[31]],code30)</f>
        <v>0</v>
      </c>
      <c r="BF82" s="473">
        <f>COUNTIF(ParticipationMars1[[#This Row],[1]:[31]],Code31)</f>
        <v>0</v>
      </c>
      <c r="BG82" s="473">
        <f>COUNTIF(ParticipationMars1[[#This Row],[1]:[31]],code21)</f>
        <v>0</v>
      </c>
      <c r="BH82" s="473">
        <f>COUNTIF(ParticipationMars1[[#This Row],[1]:[31]],Code24)</f>
        <v>0</v>
      </c>
      <c r="BI82" s="473">
        <f>COUNTIF(ParticipationMars1[[#This Row],[1]:[31]],code18)</f>
        <v>0</v>
      </c>
      <c r="BJ82" s="473">
        <f>COUNTIF(ParticipationMars1[[#This Row],[1]:[31]],code19)</f>
        <v>0</v>
      </c>
      <c r="BK82" s="473">
        <f>COUNTIF(ParticipationMars1[[#This Row],[1]:[31]],code20)</f>
        <v>0</v>
      </c>
      <c r="BL82" s="516">
        <f>COUNTIF(ParticipationMars1[[#This Row],[1]:[31]],code29)</f>
        <v>0</v>
      </c>
      <c r="BM82" s="472"/>
      <c r="BN82" s="472"/>
      <c r="BO82" s="472"/>
      <c r="BP82" s="472"/>
      <c r="BQ82" s="472"/>
      <c r="BR82" s="472"/>
      <c r="BS82" s="472"/>
      <c r="BT82" s="472"/>
      <c r="BU82" s="472"/>
      <c r="BV82" s="472"/>
      <c r="BW82" s="472"/>
      <c r="BX82" s="472"/>
      <c r="BY82" s="472"/>
      <c r="BZ82" s="472"/>
      <c r="CA82" s="472"/>
      <c r="CB82" s="472"/>
      <c r="CC82" s="472"/>
      <c r="CD82" s="472"/>
      <c r="CE82" s="472"/>
      <c r="CF82" s="472"/>
      <c r="CG82" s="472"/>
      <c r="CH82" s="472"/>
      <c r="CI82" s="472"/>
      <c r="CJ82" s="472"/>
      <c r="CK82" s="472"/>
      <c r="CL82" s="472"/>
      <c r="CM82" s="472"/>
      <c r="CN82" s="472"/>
      <c r="CO82" s="472"/>
      <c r="CP82" s="472"/>
      <c r="CQ82" s="472"/>
      <c r="CR82" s="472"/>
      <c r="CS82" s="473"/>
      <c r="CT82" s="473"/>
      <c r="CU82" s="516"/>
      <c r="CV82" s="533">
        <f t="shared" si="3"/>
        <v>0</v>
      </c>
      <c r="CW82" s="533">
        <f t="shared" si="4"/>
        <v>0</v>
      </c>
      <c r="CX82" s="523">
        <f t="shared" si="5"/>
        <v>0</v>
      </c>
      <c r="CY82" s="512"/>
    </row>
    <row r="83" spans="1:103">
      <c r="A83" s="534" t="s">
        <v>424</v>
      </c>
      <c r="B83" s="162" t="str">
        <f>IFERROR(VLOOKUP(ParticipationMars1[[#This Row],[Référence]],ListeÉtudiants1[],18,FALSE),"")</f>
        <v>KIFIA ALI HILDA</v>
      </c>
      <c r="C83" s="19"/>
      <c r="D83" s="19"/>
      <c r="E83" s="19"/>
      <c r="F83" s="19"/>
      <c r="G83" s="19"/>
      <c r="H83" s="19"/>
      <c r="I83" s="19"/>
      <c r="J83" s="19"/>
      <c r="K83" s="19"/>
      <c r="L83" s="19"/>
      <c r="M83" s="19"/>
      <c r="N83" s="19"/>
      <c r="O83" s="19"/>
      <c r="P83" s="19"/>
      <c r="Q83" s="19"/>
      <c r="R83" s="19"/>
      <c r="S83" s="19"/>
      <c r="T83" s="19"/>
      <c r="U83" s="19"/>
      <c r="V83" s="19"/>
      <c r="W83" s="19"/>
      <c r="X83" s="19"/>
      <c r="Y83" s="19"/>
      <c r="Z83" s="19"/>
      <c r="AA83" s="19" t="s">
        <v>529</v>
      </c>
      <c r="AB83" s="19"/>
      <c r="AC83" s="19"/>
      <c r="AD83" s="19" t="s">
        <v>35</v>
      </c>
      <c r="AE83" s="19"/>
      <c r="AF83" s="19"/>
      <c r="AG83" s="144"/>
      <c r="AH83" s="6">
        <f>COUNTIF(ParticipationMars1[[#This Row],[1]:[31]],Code1)</f>
        <v>0</v>
      </c>
      <c r="AI83" s="331">
        <f>COUNTIF(ParticipationMars1[[#This Row],[1]:[31]],code22)</f>
        <v>0</v>
      </c>
      <c r="AJ83" s="30">
        <f>COUNTIF(ParticipationMars1[[#This Row],[1]:[31]],Code2)</f>
        <v>0</v>
      </c>
      <c r="AK83" s="30">
        <f>COUNTIF(ParticipationMars1[[#This Row],[1]:[31]],Code3)</f>
        <v>0</v>
      </c>
      <c r="AL83" s="30">
        <f>COUNTIF(ParticipationMars1[[#This Row],[1]:[31]],Code4)</f>
        <v>0</v>
      </c>
      <c r="AM83" s="307">
        <f>COUNTIF(ParticipationMars1[[#This Row],[1]:[31]],Code5)</f>
        <v>1</v>
      </c>
      <c r="AN83" s="307">
        <f>COUNTIF(ParticipationMars1[[#This Row],[1]:[31]],Code23)</f>
        <v>1</v>
      </c>
      <c r="AO83" s="307">
        <f>COUNTIF(ParticipationMars1[[#This Row],[1]:[31]],Code6)</f>
        <v>0</v>
      </c>
      <c r="AP83" s="307">
        <f>COUNTIF(ParticipationMars1[[#This Row],[1]:[31]],Code7)</f>
        <v>0</v>
      </c>
      <c r="AQ83" s="307">
        <f>COUNTIF(ParticipationMars1[[#This Row],[1]:[31]],Code8)</f>
        <v>0</v>
      </c>
      <c r="AR83" s="307">
        <f>COUNTIF(ParticipationMars1[[#This Row],[1]:[31]],Code9)</f>
        <v>0</v>
      </c>
      <c r="AS83" s="307">
        <f>COUNTIF(ParticipationMars1[[#This Row],[1]:[31]],Code10)</f>
        <v>0</v>
      </c>
      <c r="AT83" s="307">
        <f>COUNTIF(ParticipationMars1[[#This Row],[1]:[31]],Code11)</f>
        <v>0</v>
      </c>
      <c r="AU83" s="30">
        <f>COUNTIF(ParticipationMars1[[#This Row],[1]:[31]],Code12)</f>
        <v>0</v>
      </c>
      <c r="AV83" s="307">
        <f>COUNTIF(ParticipationMars1[[#This Row],[1]:[31]],Code13)</f>
        <v>0</v>
      </c>
      <c r="AW83" s="307">
        <f>COUNTIF(ParticipationMars1[[#This Row],[1]:[31]],Code14)</f>
        <v>0</v>
      </c>
      <c r="AX83" s="307">
        <f>COUNTIF(ParticipationMars1[[#This Row],[1]:[31]],Code15)</f>
        <v>0</v>
      </c>
      <c r="AY83" s="307">
        <f>COUNTIF(ParticipationMars1[[#This Row],[1]:[31]],Code16)</f>
        <v>0</v>
      </c>
      <c r="AZ83" s="307">
        <f>COUNTIF(ParticipationMars1[[#This Row],[1]:[31]],Code17)</f>
        <v>0</v>
      </c>
      <c r="BA83" s="307">
        <f>COUNTIF(ParticipationMars1[[#This Row],[1]:[31]],Code25)</f>
        <v>0</v>
      </c>
      <c r="BB83" s="307">
        <f>COUNTIF(ParticipationMars1[[#This Row],[1]:[31]],Code26)</f>
        <v>0</v>
      </c>
      <c r="BC83" s="307">
        <f>COUNTIF(ParticipationMars1[[#This Row],[1]:[31]],Code27)</f>
        <v>0</v>
      </c>
      <c r="BD83" s="307">
        <f>COUNTIF(ParticipationMars1[[#This Row],[1]:[31]],Code28)</f>
        <v>0</v>
      </c>
      <c r="BE83" s="307">
        <f>COUNTIF(ParticipationMars1[[#This Row],[1]:[31]],code30)</f>
        <v>0</v>
      </c>
      <c r="BF83" s="307">
        <f>COUNTIF(ParticipationMars1[[#This Row],[1]:[31]],Code31)</f>
        <v>0</v>
      </c>
      <c r="BG83" s="307">
        <f>COUNTIF(ParticipationMars1[[#This Row],[1]:[31]],code21)</f>
        <v>0</v>
      </c>
      <c r="BH83" s="307">
        <f>COUNTIF(ParticipationMars1[[#This Row],[1]:[31]],Code24)</f>
        <v>0</v>
      </c>
      <c r="BI83" s="307">
        <f>COUNTIF(ParticipationMars1[[#This Row],[1]:[31]],code18)</f>
        <v>0</v>
      </c>
      <c r="BJ83" s="307">
        <f>COUNTIF(ParticipationMars1[[#This Row],[1]:[31]],code19)</f>
        <v>0</v>
      </c>
      <c r="BK83" s="307">
        <f>COUNTIF(ParticipationMars1[[#This Row],[1]:[31]],code20)</f>
        <v>0</v>
      </c>
      <c r="BL83" s="300">
        <f>COUNTIF(ParticipationMars1[[#This Row],[1]:[31]],code29)</f>
        <v>0</v>
      </c>
      <c r="BM83" s="297"/>
      <c r="BN83" s="297"/>
      <c r="BO83" s="297"/>
      <c r="BP83" s="297"/>
      <c r="BQ83" s="297"/>
      <c r="BR83" s="297"/>
      <c r="BS83" s="297"/>
      <c r="BT83" s="297"/>
      <c r="BU83" s="297">
        <v>1</v>
      </c>
      <c r="BV83" s="297"/>
      <c r="BW83" s="297">
        <v>1</v>
      </c>
      <c r="BX83" s="297"/>
      <c r="BY83" s="297"/>
      <c r="BZ83" s="297"/>
      <c r="CA83" s="297"/>
      <c r="CB83" s="297"/>
      <c r="CC83" s="297"/>
      <c r="CD83" s="297"/>
      <c r="CE83" s="297"/>
      <c r="CF83" s="297"/>
      <c r="CG83" s="297"/>
      <c r="CH83" s="297"/>
      <c r="CI83" s="297"/>
      <c r="CJ83" s="297"/>
      <c r="CK83" s="297"/>
      <c r="CL83" s="297"/>
      <c r="CM83" s="297"/>
      <c r="CN83" s="297"/>
      <c r="CO83" s="297"/>
      <c r="CP83" s="297"/>
      <c r="CQ83" s="297"/>
      <c r="CR83" s="297"/>
      <c r="CS83" s="307"/>
      <c r="CT83" s="307"/>
      <c r="CU83" s="300"/>
      <c r="CV83" s="501">
        <f t="shared" si="3"/>
        <v>0</v>
      </c>
      <c r="CW83" s="501">
        <f t="shared" si="4"/>
        <v>3</v>
      </c>
      <c r="CX83" s="341">
        <f t="shared" si="5"/>
        <v>0</v>
      </c>
      <c r="CY83" s="327"/>
    </row>
    <row r="84" spans="1:103">
      <c r="A84" s="534" t="s">
        <v>425</v>
      </c>
      <c r="B84" s="162" t="str">
        <f>IFERROR(VLOOKUP(ParticipationMars1[[#This Row],[Référence]],ListeÉtudiants1[],18,FALSE),"")</f>
        <v>KONATE FATOUMATA</v>
      </c>
      <c r="C84" s="19"/>
      <c r="D84" s="19"/>
      <c r="E84" s="19"/>
      <c r="F84" s="19"/>
      <c r="G84" s="19"/>
      <c r="H84" s="19"/>
      <c r="I84" s="19"/>
      <c r="J84" s="19"/>
      <c r="K84" s="19"/>
      <c r="L84" s="19"/>
      <c r="M84" s="19"/>
      <c r="N84" s="19"/>
      <c r="O84" s="19"/>
      <c r="P84" s="19"/>
      <c r="Q84" s="19" t="s">
        <v>529</v>
      </c>
      <c r="R84" s="19"/>
      <c r="S84" s="19"/>
      <c r="T84" s="19"/>
      <c r="U84" s="19"/>
      <c r="V84" s="19"/>
      <c r="W84" s="19"/>
      <c r="X84" s="19"/>
      <c r="Y84" s="19"/>
      <c r="Z84" s="19"/>
      <c r="AA84" s="19"/>
      <c r="AB84" s="19"/>
      <c r="AC84" s="19"/>
      <c r="AD84" s="19"/>
      <c r="AE84" s="19"/>
      <c r="AF84" s="19"/>
      <c r="AG84" s="144"/>
      <c r="AH84" s="6">
        <f>COUNTIF(ParticipationMars1[[#This Row],[1]:[31]],Code1)</f>
        <v>0</v>
      </c>
      <c r="AI84" s="331">
        <f>COUNTIF(ParticipationMars1[[#This Row],[1]:[31]],code22)</f>
        <v>0</v>
      </c>
      <c r="AJ84" s="30">
        <f>COUNTIF(ParticipationMars1[[#This Row],[1]:[31]],Code2)</f>
        <v>0</v>
      </c>
      <c r="AK84" s="30">
        <f>COUNTIF(ParticipationMars1[[#This Row],[1]:[31]],Code3)</f>
        <v>0</v>
      </c>
      <c r="AL84" s="30">
        <f>COUNTIF(ParticipationMars1[[#This Row],[1]:[31]],Code4)</f>
        <v>0</v>
      </c>
      <c r="AM84" s="307">
        <f>COUNTIF(ParticipationMars1[[#This Row],[1]:[31]],Code5)</f>
        <v>0</v>
      </c>
      <c r="AN84" s="307">
        <f>COUNTIF(ParticipationMars1[[#This Row],[1]:[31]],Code23)</f>
        <v>1</v>
      </c>
      <c r="AO84" s="307">
        <f>COUNTIF(ParticipationMars1[[#This Row],[1]:[31]],Code6)</f>
        <v>0</v>
      </c>
      <c r="AP84" s="307">
        <f>COUNTIF(ParticipationMars1[[#This Row],[1]:[31]],Code7)</f>
        <v>0</v>
      </c>
      <c r="AQ84" s="307">
        <f>COUNTIF(ParticipationMars1[[#This Row],[1]:[31]],Code8)</f>
        <v>0</v>
      </c>
      <c r="AR84" s="307">
        <f>COUNTIF(ParticipationMars1[[#This Row],[1]:[31]],Code9)</f>
        <v>0</v>
      </c>
      <c r="AS84" s="307">
        <f>COUNTIF(ParticipationMars1[[#This Row],[1]:[31]],Code10)</f>
        <v>0</v>
      </c>
      <c r="AT84" s="307">
        <f>COUNTIF(ParticipationMars1[[#This Row],[1]:[31]],Code11)</f>
        <v>0</v>
      </c>
      <c r="AU84" s="30">
        <f>COUNTIF(ParticipationMars1[[#This Row],[1]:[31]],Code12)</f>
        <v>0</v>
      </c>
      <c r="AV84" s="307">
        <f>COUNTIF(ParticipationMars1[[#This Row],[1]:[31]],Code13)</f>
        <v>0</v>
      </c>
      <c r="AW84" s="307">
        <f>COUNTIF(ParticipationMars1[[#This Row],[1]:[31]],Code14)</f>
        <v>0</v>
      </c>
      <c r="AX84" s="307">
        <f>COUNTIF(ParticipationMars1[[#This Row],[1]:[31]],Code15)</f>
        <v>0</v>
      </c>
      <c r="AY84" s="307">
        <f>COUNTIF(ParticipationMars1[[#This Row],[1]:[31]],Code16)</f>
        <v>0</v>
      </c>
      <c r="AZ84" s="307">
        <f>COUNTIF(ParticipationMars1[[#This Row],[1]:[31]],Code17)</f>
        <v>0</v>
      </c>
      <c r="BA84" s="307">
        <f>COUNTIF(ParticipationMars1[[#This Row],[1]:[31]],Code25)</f>
        <v>0</v>
      </c>
      <c r="BB84" s="307">
        <f>COUNTIF(ParticipationMars1[[#This Row],[1]:[31]],Code26)</f>
        <v>0</v>
      </c>
      <c r="BC84" s="307">
        <f>COUNTIF(ParticipationMars1[[#This Row],[1]:[31]],Code27)</f>
        <v>0</v>
      </c>
      <c r="BD84" s="307">
        <f>COUNTIF(ParticipationMars1[[#This Row],[1]:[31]],Code28)</f>
        <v>0</v>
      </c>
      <c r="BE84" s="307">
        <f>COUNTIF(ParticipationMars1[[#This Row],[1]:[31]],code30)</f>
        <v>0</v>
      </c>
      <c r="BF84" s="307">
        <f>COUNTIF(ParticipationMars1[[#This Row],[1]:[31]],Code31)</f>
        <v>0</v>
      </c>
      <c r="BG84" s="307">
        <f>COUNTIF(ParticipationMars1[[#This Row],[1]:[31]],code21)</f>
        <v>0</v>
      </c>
      <c r="BH84" s="307">
        <f>COUNTIF(ParticipationMars1[[#This Row],[1]:[31]],Code24)</f>
        <v>0</v>
      </c>
      <c r="BI84" s="307">
        <f>COUNTIF(ParticipationMars1[[#This Row],[1]:[31]],code18)</f>
        <v>0</v>
      </c>
      <c r="BJ84" s="307">
        <f>COUNTIF(ParticipationMars1[[#This Row],[1]:[31]],code19)</f>
        <v>0</v>
      </c>
      <c r="BK84" s="307">
        <f>COUNTIF(ParticipationMars1[[#This Row],[1]:[31]],code20)</f>
        <v>0</v>
      </c>
      <c r="BL84" s="300">
        <f>COUNTIF(ParticipationMars1[[#This Row],[1]:[31]],code29)</f>
        <v>0</v>
      </c>
      <c r="BM84" s="297"/>
      <c r="BN84" s="297"/>
      <c r="BO84" s="297"/>
      <c r="BP84" s="297"/>
      <c r="BQ84" s="297"/>
      <c r="BR84" s="297"/>
      <c r="BS84" s="297"/>
      <c r="BT84" s="297"/>
      <c r="BU84" s="297"/>
      <c r="BV84" s="297"/>
      <c r="BW84" s="297">
        <v>1</v>
      </c>
      <c r="BX84" s="297"/>
      <c r="BY84" s="297"/>
      <c r="BZ84" s="297"/>
      <c r="CA84" s="297"/>
      <c r="CB84" s="297"/>
      <c r="CC84" s="297"/>
      <c r="CD84" s="297"/>
      <c r="CE84" s="297"/>
      <c r="CF84" s="297"/>
      <c r="CG84" s="297"/>
      <c r="CH84" s="297"/>
      <c r="CI84" s="297"/>
      <c r="CJ84" s="297"/>
      <c r="CK84" s="297"/>
      <c r="CL84" s="297"/>
      <c r="CM84" s="297"/>
      <c r="CN84" s="297"/>
      <c r="CO84" s="297"/>
      <c r="CP84" s="297"/>
      <c r="CQ84" s="297"/>
      <c r="CR84" s="297"/>
      <c r="CS84" s="307"/>
      <c r="CT84" s="307"/>
      <c r="CU84" s="300"/>
      <c r="CV84" s="501">
        <f t="shared" si="3"/>
        <v>0</v>
      </c>
      <c r="CW84" s="501">
        <f t="shared" si="4"/>
        <v>1</v>
      </c>
      <c r="CX84" s="341">
        <f t="shared" si="5"/>
        <v>0</v>
      </c>
      <c r="CY84" s="327"/>
    </row>
    <row r="85" spans="1:103">
      <c r="A85" s="510" t="s">
        <v>426</v>
      </c>
      <c r="B85" s="162" t="str">
        <f>IFERROR(VLOOKUP(ParticipationMars1[[#This Row],[Référence]],ListeÉtudiants1[],18,FALSE),"")</f>
        <v>KRIR DINA</v>
      </c>
      <c r="C85" s="19"/>
      <c r="D85" s="19"/>
      <c r="E85" s="19"/>
      <c r="F85" s="19"/>
      <c r="G85" s="19"/>
      <c r="H85" s="19"/>
      <c r="I85" s="19"/>
      <c r="J85" s="19"/>
      <c r="K85" s="19"/>
      <c r="L85" s="19"/>
      <c r="M85" s="19"/>
      <c r="N85" s="19"/>
      <c r="O85" s="19" t="s">
        <v>108</v>
      </c>
      <c r="P85" s="19"/>
      <c r="Q85" s="19" t="s">
        <v>108</v>
      </c>
      <c r="R85" s="19"/>
      <c r="S85" s="19"/>
      <c r="T85" s="19"/>
      <c r="U85" s="19"/>
      <c r="V85" s="19"/>
      <c r="W85" s="19"/>
      <c r="X85" s="19"/>
      <c r="Y85" s="19"/>
      <c r="Z85" s="19"/>
      <c r="AA85" s="19"/>
      <c r="AB85" s="19" t="s">
        <v>529</v>
      </c>
      <c r="AC85" s="19" t="s">
        <v>529</v>
      </c>
      <c r="AD85" s="19"/>
      <c r="AE85" s="19"/>
      <c r="AF85" s="19"/>
      <c r="AG85" s="144"/>
      <c r="AH85" s="6">
        <f>COUNTIF(ParticipationMars1[[#This Row],[1]:[31]],Code1)</f>
        <v>0</v>
      </c>
      <c r="AI85" s="6">
        <f>COUNTIF(ParticipationMars1[[#This Row],[1]:[31]],code22)</f>
        <v>0</v>
      </c>
      <c r="AJ85" s="30">
        <f>COUNTIF(ParticipationMars1[[#This Row],[1]:[31]],Code2)</f>
        <v>0</v>
      </c>
      <c r="AK85" s="30">
        <f>COUNTIF(ParticipationMars1[[#This Row],[1]:[31]],Code3)</f>
        <v>0</v>
      </c>
      <c r="AL85" s="30">
        <f>COUNTIF(ParticipationMars1[[#This Row],[1]:[31]],Code4)</f>
        <v>0</v>
      </c>
      <c r="AM85" s="30">
        <f>COUNTIF(ParticipationMars1[[#This Row],[1]:[31]],Code5)</f>
        <v>0</v>
      </c>
      <c r="AN85" s="30">
        <f>COUNTIF(ParticipationMars1[[#This Row],[1]:[31]],Code23)</f>
        <v>2</v>
      </c>
      <c r="AO85" s="30">
        <f>COUNTIF(ParticipationMars1[[#This Row],[1]:[31]],Code6)</f>
        <v>2</v>
      </c>
      <c r="AP85" s="30">
        <f>COUNTIF(ParticipationMars1[[#This Row],[1]:[31]],Code7)</f>
        <v>0</v>
      </c>
      <c r="AQ85" s="30">
        <f>COUNTIF(ParticipationMars1[[#This Row],[1]:[31]],Code8)</f>
        <v>0</v>
      </c>
      <c r="AR85" s="30">
        <f>COUNTIF(ParticipationMars1[[#This Row],[1]:[31]],Code9)</f>
        <v>0</v>
      </c>
      <c r="AS85" s="30">
        <f>COUNTIF(ParticipationMars1[[#This Row],[1]:[31]],Code10)</f>
        <v>0</v>
      </c>
      <c r="AT85" s="30">
        <f>COUNTIF(ParticipationMars1[[#This Row],[1]:[31]],Code11)</f>
        <v>0</v>
      </c>
      <c r="AU85" s="30">
        <f>COUNTIF(ParticipationMars1[[#This Row],[1]:[31]],Code12)</f>
        <v>0</v>
      </c>
      <c r="AV85" s="30">
        <f>COUNTIF(ParticipationMars1[[#This Row],[1]:[31]],Code13)</f>
        <v>0</v>
      </c>
      <c r="AW85" s="30">
        <f>COUNTIF(ParticipationMars1[[#This Row],[1]:[31]],Code14)</f>
        <v>0</v>
      </c>
      <c r="AX85" s="30">
        <f>COUNTIF(ParticipationMars1[[#This Row],[1]:[31]],Code15)</f>
        <v>0</v>
      </c>
      <c r="AY85" s="30">
        <f>COUNTIF(ParticipationMars1[[#This Row],[1]:[31]],Code16)</f>
        <v>0</v>
      </c>
      <c r="AZ85" s="30">
        <f>COUNTIF(ParticipationMars1[[#This Row],[1]:[31]],Code17)</f>
        <v>0</v>
      </c>
      <c r="BA85" s="30">
        <f>COUNTIF(ParticipationMars1[[#This Row],[1]:[31]],Code25)</f>
        <v>0</v>
      </c>
      <c r="BB85" s="307">
        <f>COUNTIF(ParticipationMars1[[#This Row],[1]:[31]],Code26)</f>
        <v>0</v>
      </c>
      <c r="BC85" s="30">
        <f>COUNTIF(ParticipationMars1[[#This Row],[1]:[31]],Code27)</f>
        <v>0</v>
      </c>
      <c r="BD85" s="30">
        <f>COUNTIF(ParticipationMars1[[#This Row],[1]:[31]],Code28)</f>
        <v>0</v>
      </c>
      <c r="BE85" s="30">
        <f>COUNTIF(ParticipationMars1[[#This Row],[1]:[31]],code30)</f>
        <v>0</v>
      </c>
      <c r="BF85" s="30">
        <f>COUNTIF(ParticipationMars1[[#This Row],[1]:[31]],Code31)</f>
        <v>0</v>
      </c>
      <c r="BG85" s="30">
        <f>COUNTIF(ParticipationMars1[[#This Row],[1]:[31]],code21)</f>
        <v>0</v>
      </c>
      <c r="BH85" s="30">
        <f>COUNTIF(ParticipationMars1[[#This Row],[1]:[31]],Code24)</f>
        <v>0</v>
      </c>
      <c r="BI85" s="30">
        <f>COUNTIF(ParticipationMars1[[#This Row],[1]:[31]],code18)</f>
        <v>0</v>
      </c>
      <c r="BJ85" s="30">
        <f>COUNTIF(ParticipationMars1[[#This Row],[1]:[31]],code19)</f>
        <v>0</v>
      </c>
      <c r="BK85" s="30">
        <f>COUNTIF(ParticipationMars1[[#This Row],[1]:[31]],code20)</f>
        <v>0</v>
      </c>
      <c r="BL85" s="164">
        <f>COUNTIF(ParticipationMars1[[#This Row],[1]:[31]],code29)</f>
        <v>0</v>
      </c>
      <c r="BM85" s="297"/>
      <c r="BN85" s="297"/>
      <c r="BO85" s="297"/>
      <c r="BP85" s="297"/>
      <c r="BQ85" s="297"/>
      <c r="BR85" s="297"/>
      <c r="BS85" s="297"/>
      <c r="BT85" s="297">
        <v>2</v>
      </c>
      <c r="BU85" s="297"/>
      <c r="BV85" s="297"/>
      <c r="BW85" s="297"/>
      <c r="BX85" s="297"/>
      <c r="BY85" s="297"/>
      <c r="BZ85" s="297">
        <v>1</v>
      </c>
      <c r="CA85" s="297"/>
      <c r="CB85" s="297"/>
      <c r="CC85" s="297"/>
      <c r="CD85" s="297"/>
      <c r="CE85" s="297"/>
      <c r="CF85" s="297"/>
      <c r="CG85" s="297"/>
      <c r="CH85" s="297"/>
      <c r="CI85" s="297"/>
      <c r="CJ85" s="297"/>
      <c r="CK85" s="297"/>
      <c r="CL85" s="297"/>
      <c r="CM85" s="297"/>
      <c r="CN85" s="297"/>
      <c r="CO85" s="297"/>
      <c r="CP85" s="297"/>
      <c r="CQ85" s="297"/>
      <c r="CR85" s="297"/>
      <c r="CS85" s="307"/>
      <c r="CT85" s="307"/>
      <c r="CU85" s="300"/>
      <c r="CV85" s="501">
        <f t="shared" si="3"/>
        <v>0</v>
      </c>
      <c r="CW85" s="501">
        <f t="shared" si="4"/>
        <v>8</v>
      </c>
      <c r="CX85" s="249">
        <f t="shared" si="5"/>
        <v>0</v>
      </c>
      <c r="CY85" s="170">
        <f>SUM((BI85*7)+(BJ85*10)+(BK85*12))</f>
        <v>0</v>
      </c>
    </row>
    <row r="86" spans="1:103">
      <c r="A86" s="510" t="s">
        <v>427</v>
      </c>
      <c r="B86" s="162" t="str">
        <f>IFERROR(VLOOKUP(ParticipationMars1[[#This Row],[Référence]],ListeÉtudiants1[],18,FALSE),"")</f>
        <v>LACROIX LORRY</v>
      </c>
      <c r="C86" s="19"/>
      <c r="D86" s="19"/>
      <c r="E86" s="19"/>
      <c r="F86" s="19"/>
      <c r="G86" s="19"/>
      <c r="H86" s="19"/>
      <c r="I86" s="19"/>
      <c r="J86" s="19"/>
      <c r="K86" s="19"/>
      <c r="L86" s="19"/>
      <c r="M86" s="19"/>
      <c r="N86" s="19"/>
      <c r="O86" s="19"/>
      <c r="P86" s="19" t="s">
        <v>35</v>
      </c>
      <c r="Q86" s="19" t="s">
        <v>109</v>
      </c>
      <c r="R86" s="19"/>
      <c r="S86" s="19"/>
      <c r="T86" s="19"/>
      <c r="U86" s="19"/>
      <c r="V86" s="19"/>
      <c r="W86" s="19" t="s">
        <v>108</v>
      </c>
      <c r="X86" s="19"/>
      <c r="Y86" s="19"/>
      <c r="Z86" s="19"/>
      <c r="AA86" s="19"/>
      <c r="AB86" s="19" t="s">
        <v>35</v>
      </c>
      <c r="AC86" s="19" t="s">
        <v>109</v>
      </c>
      <c r="AD86" s="19" t="s">
        <v>35</v>
      </c>
      <c r="AE86" s="19"/>
      <c r="AF86" s="19"/>
      <c r="AG86" s="144"/>
      <c r="AH86" s="6">
        <f>COUNTIF(ParticipationMars1[[#This Row],[1]:[31]],Code1)</f>
        <v>0</v>
      </c>
      <c r="AI86" s="331">
        <f>COUNTIF(ParticipationMars1[[#This Row],[1]:[31]],code22)</f>
        <v>0</v>
      </c>
      <c r="AJ86" s="30">
        <f>COUNTIF(ParticipationMars1[[#This Row],[1]:[31]],Code2)</f>
        <v>0</v>
      </c>
      <c r="AK86" s="30">
        <f>COUNTIF(ParticipationMars1[[#This Row],[1]:[31]],Code3)</f>
        <v>0</v>
      </c>
      <c r="AL86" s="30">
        <f>COUNTIF(ParticipationMars1[[#This Row],[1]:[31]],Code4)</f>
        <v>0</v>
      </c>
      <c r="AM86" s="307">
        <f>COUNTIF(ParticipationMars1[[#This Row],[1]:[31]],Code5)</f>
        <v>3</v>
      </c>
      <c r="AN86" s="307">
        <f>COUNTIF(ParticipationMars1[[#This Row],[1]:[31]],Code23)</f>
        <v>0</v>
      </c>
      <c r="AO86" s="307">
        <f>COUNTIF(ParticipationMars1[[#This Row],[1]:[31]],Code6)</f>
        <v>1</v>
      </c>
      <c r="AP86" s="307">
        <f>COUNTIF(ParticipationMars1[[#This Row],[1]:[31]],Code7)</f>
        <v>2</v>
      </c>
      <c r="AQ86" s="307">
        <f>COUNTIF(ParticipationMars1[[#This Row],[1]:[31]],Code8)</f>
        <v>0</v>
      </c>
      <c r="AR86" s="307">
        <f>COUNTIF(ParticipationMars1[[#This Row],[1]:[31]],Code9)</f>
        <v>0</v>
      </c>
      <c r="AS86" s="307">
        <f>COUNTIF(ParticipationMars1[[#This Row],[1]:[31]],Code10)</f>
        <v>0</v>
      </c>
      <c r="AT86" s="307">
        <f>COUNTIF(ParticipationMars1[[#This Row],[1]:[31]],Code11)</f>
        <v>0</v>
      </c>
      <c r="AU86" s="30">
        <f>COUNTIF(ParticipationMars1[[#This Row],[1]:[31]],Code12)</f>
        <v>0</v>
      </c>
      <c r="AV86" s="307">
        <f>COUNTIF(ParticipationMars1[[#This Row],[1]:[31]],Code13)</f>
        <v>0</v>
      </c>
      <c r="AW86" s="307">
        <f>COUNTIF(ParticipationMars1[[#This Row],[1]:[31]],Code14)</f>
        <v>0</v>
      </c>
      <c r="AX86" s="307">
        <f>COUNTIF(ParticipationMars1[[#This Row],[1]:[31]],Code15)</f>
        <v>0</v>
      </c>
      <c r="AY86" s="307">
        <f>COUNTIF(ParticipationMars1[[#This Row],[1]:[31]],Code16)</f>
        <v>0</v>
      </c>
      <c r="AZ86" s="307">
        <f>COUNTIF(ParticipationMars1[[#This Row],[1]:[31]],Code17)</f>
        <v>0</v>
      </c>
      <c r="BA86" s="30">
        <f>COUNTIF(ParticipationMars1[[#This Row],[1]:[31]],Code25)</f>
        <v>0</v>
      </c>
      <c r="BB86" s="307">
        <f>COUNTIF(ParticipationMars1[[#This Row],[1]:[31]],Code26)</f>
        <v>0</v>
      </c>
      <c r="BC86" s="307">
        <f>COUNTIF(ParticipationMars1[[#This Row],[1]:[31]],Code27)</f>
        <v>0</v>
      </c>
      <c r="BD86" s="30">
        <f>COUNTIF(ParticipationMars1[[#This Row],[1]:[31]],Code28)</f>
        <v>0</v>
      </c>
      <c r="BE86" s="30">
        <f>COUNTIF(ParticipationMars1[[#This Row],[1]:[31]],code30)</f>
        <v>0</v>
      </c>
      <c r="BF86" s="30">
        <f>COUNTIF(ParticipationMars1[[#This Row],[1]:[31]],Code31)</f>
        <v>0</v>
      </c>
      <c r="BG86" s="307">
        <f>COUNTIF(ParticipationMars1[[#This Row],[1]:[31]],code21)</f>
        <v>0</v>
      </c>
      <c r="BH86" s="307">
        <f>COUNTIF(ParticipationMars1[[#This Row],[1]:[31]],Code24)</f>
        <v>0</v>
      </c>
      <c r="BI86" s="307">
        <f>COUNTIF(ParticipationMars1[[#This Row],[1]:[31]],code18)</f>
        <v>0</v>
      </c>
      <c r="BJ86" s="307">
        <f>COUNTIF(ParticipationMars1[[#This Row],[1]:[31]],code19)</f>
        <v>0</v>
      </c>
      <c r="BK86" s="307">
        <f>COUNTIF(ParticipationMars1[[#This Row],[1]:[31]],code20)</f>
        <v>0</v>
      </c>
      <c r="BL86" s="300">
        <f>COUNTIF(ParticipationMars1[[#This Row],[1]:[31]],code29)</f>
        <v>0</v>
      </c>
      <c r="BM86" s="297"/>
      <c r="BN86" s="297"/>
      <c r="BO86" s="297"/>
      <c r="BP86" s="297"/>
      <c r="BQ86" s="297"/>
      <c r="BR86" s="297"/>
      <c r="BS86" s="297"/>
      <c r="BT86" s="297">
        <v>4</v>
      </c>
      <c r="BU86" s="297"/>
      <c r="BV86" s="297"/>
      <c r="BW86" s="297">
        <v>4</v>
      </c>
      <c r="BX86" s="297"/>
      <c r="BY86" s="297"/>
      <c r="BZ86" s="297"/>
      <c r="CA86" s="297">
        <v>1</v>
      </c>
      <c r="CB86" s="297"/>
      <c r="CC86" s="297"/>
      <c r="CD86" s="297"/>
      <c r="CE86" s="297"/>
      <c r="CF86" s="297"/>
      <c r="CG86" s="297"/>
      <c r="CH86" s="297"/>
      <c r="CI86" s="297"/>
      <c r="CJ86" s="297"/>
      <c r="CK86" s="297"/>
      <c r="CL86" s="297"/>
      <c r="CM86" s="297"/>
      <c r="CN86" s="297"/>
      <c r="CO86" s="297"/>
      <c r="CP86" s="297"/>
      <c r="CQ86" s="297"/>
      <c r="CR86" s="297"/>
      <c r="CS86" s="307"/>
      <c r="CT86" s="307"/>
      <c r="CU86" s="300"/>
      <c r="CV86" s="501">
        <f t="shared" ref="CV86:CV123" si="6">SUM((AH86*1)+(AI86*1.5)+(AJ86*2)+(AK86*3)+(AP86*5)+(AQ86*6)+(AR86*7)+(AU86*2)+(AX86*3)+(AY86*4)+(AZ86*5)+(BB86*3)+(BA86*2)+(BG86*2)+(BC86*2)+(BD86*2)+(BE86*3)+(BF86*3))</f>
        <v>10</v>
      </c>
      <c r="CW86" s="501">
        <f t="shared" ref="CW86:CW123" si="7">SUM((AN86*1)+(AM86*2)+(AO86*3)+(AP86*4)+(AT86*5)+(AU86*6)+(AV86*7)+(AW86*7)+(AX86*4)+(AY86*3)+(AZ86*2)+(BA86*4)+(BB86*1)+(BG86*2)+(BC86*5)+(BD86*1)+(BE86*2)+(BF86*3))</f>
        <v>17</v>
      </c>
      <c r="CX86" s="249">
        <f t="shared" ref="CX86:CX123" si="8">BH86*1+BL86*3</f>
        <v>0</v>
      </c>
      <c r="CY86" s="327"/>
    </row>
    <row r="87" spans="1:103">
      <c r="A87" s="534" t="s">
        <v>428</v>
      </c>
      <c r="B87" s="162" t="str">
        <f>IFERROR(VLOOKUP(ParticipationMars1[[#This Row],[Référence]],ListeÉtudiants1[],18,FALSE),"")</f>
        <v>LADERVAL TATIANA</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340"/>
      <c r="AH87" s="6">
        <f>COUNTIF(ParticipationMars1[[#This Row],[1]:[31]],Code1)</f>
        <v>0</v>
      </c>
      <c r="AI87" s="475">
        <f>COUNTIF(ParticipationMars1[[#This Row],[1]:[31]],code22)</f>
        <v>0</v>
      </c>
      <c r="AJ87" s="30">
        <f>COUNTIF(ParticipationMars1[[#This Row],[1]:[31]],Code2)</f>
        <v>0</v>
      </c>
      <c r="AK87" s="30">
        <f>COUNTIF(ParticipationMars1[[#This Row],[1]:[31]],Code3)</f>
        <v>0</v>
      </c>
      <c r="AL87" s="30">
        <f>COUNTIF(ParticipationMars1[[#This Row],[1]:[31]],Code4)</f>
        <v>0</v>
      </c>
      <c r="AM87" s="473">
        <f>COUNTIF(ParticipationMars1[[#This Row],[1]:[31]],Code5)</f>
        <v>0</v>
      </c>
      <c r="AN87" s="473">
        <f>COUNTIF(ParticipationMars1[[#This Row],[1]:[31]],Code23)</f>
        <v>0</v>
      </c>
      <c r="AO87" s="473">
        <f>COUNTIF(ParticipationMars1[[#This Row],[1]:[31]],Code6)</f>
        <v>0</v>
      </c>
      <c r="AP87" s="473">
        <f>COUNTIF(ParticipationMars1[[#This Row],[1]:[31]],Code7)</f>
        <v>0</v>
      </c>
      <c r="AQ87" s="473">
        <f>COUNTIF(ParticipationMars1[[#This Row],[1]:[31]],Code8)</f>
        <v>0</v>
      </c>
      <c r="AR87" s="473">
        <f>COUNTIF(ParticipationMars1[[#This Row],[1]:[31]],Code9)</f>
        <v>0</v>
      </c>
      <c r="AS87" s="473">
        <f>COUNTIF(ParticipationMars1[[#This Row],[1]:[31]],Code10)</f>
        <v>0</v>
      </c>
      <c r="AT87" s="473">
        <f>COUNTIF(ParticipationMars1[[#This Row],[1]:[31]],Code11)</f>
        <v>0</v>
      </c>
      <c r="AU87" s="473">
        <f>COUNTIF(ParticipationMars1[[#This Row],[1]:[31]],Code12)</f>
        <v>0</v>
      </c>
      <c r="AV87" s="473">
        <f>COUNTIF(ParticipationMars1[[#This Row],[1]:[31]],Code13)</f>
        <v>0</v>
      </c>
      <c r="AW87" s="473">
        <f>COUNTIF(ParticipationMars1[[#This Row],[1]:[31]],Code14)</f>
        <v>0</v>
      </c>
      <c r="AX87" s="473">
        <f>COUNTIF(ParticipationMars1[[#This Row],[1]:[31]],Code15)</f>
        <v>0</v>
      </c>
      <c r="AY87" s="473">
        <f>COUNTIF(ParticipationMars1[[#This Row],[1]:[31]],Code16)</f>
        <v>0</v>
      </c>
      <c r="AZ87" s="473">
        <f>COUNTIF(ParticipationMars1[[#This Row],[1]:[31]],Code17)</f>
        <v>0</v>
      </c>
      <c r="BA87" s="473">
        <f>COUNTIF(ParticipationMars1[[#This Row],[1]:[31]],Code25)</f>
        <v>0</v>
      </c>
      <c r="BB87" s="473">
        <f>COUNTIF(ParticipationMars1[[#This Row],[1]:[31]],Code26)</f>
        <v>0</v>
      </c>
      <c r="BC87" s="473">
        <f>COUNTIF(ParticipationMars1[[#This Row],[1]:[31]],Code27)</f>
        <v>0</v>
      </c>
      <c r="BD87" s="473">
        <f>COUNTIF(ParticipationMars1[[#This Row],[1]:[31]],Code28)</f>
        <v>0</v>
      </c>
      <c r="BE87" s="473">
        <f>COUNTIF(ParticipationMars1[[#This Row],[1]:[31]],code30)</f>
        <v>0</v>
      </c>
      <c r="BF87" s="473">
        <f>COUNTIF(ParticipationMars1[[#This Row],[1]:[31]],Code31)</f>
        <v>0</v>
      </c>
      <c r="BG87" s="473">
        <f>COUNTIF(ParticipationMars1[[#This Row],[1]:[31]],code21)</f>
        <v>0</v>
      </c>
      <c r="BH87" s="473">
        <f>COUNTIF(ParticipationMars1[[#This Row],[1]:[31]],Code24)</f>
        <v>0</v>
      </c>
      <c r="BI87" s="473">
        <f>COUNTIF(ParticipationMars1[[#This Row],[1]:[31]],code18)</f>
        <v>0</v>
      </c>
      <c r="BJ87" s="473">
        <f>COUNTIF(ParticipationMars1[[#This Row],[1]:[31]],code19)</f>
        <v>0</v>
      </c>
      <c r="BK87" s="473">
        <f>COUNTIF(ParticipationMars1[[#This Row],[1]:[31]],code20)</f>
        <v>0</v>
      </c>
      <c r="BL87" s="516">
        <f>COUNTIF(ParticipationMars1[[#This Row],[1]:[31]],code29)</f>
        <v>0</v>
      </c>
      <c r="BM87" s="472"/>
      <c r="BN87" s="472"/>
      <c r="BO87" s="472"/>
      <c r="BP87" s="472"/>
      <c r="BQ87" s="472"/>
      <c r="BR87" s="472"/>
      <c r="BS87" s="472"/>
      <c r="BT87" s="472"/>
      <c r="BU87" s="472"/>
      <c r="BV87" s="472"/>
      <c r="BW87" s="472"/>
      <c r="BX87" s="472"/>
      <c r="BY87" s="472"/>
      <c r="BZ87" s="472"/>
      <c r="CA87" s="472"/>
      <c r="CB87" s="472"/>
      <c r="CC87" s="472"/>
      <c r="CD87" s="472"/>
      <c r="CE87" s="472"/>
      <c r="CF87" s="472"/>
      <c r="CG87" s="472"/>
      <c r="CH87" s="472"/>
      <c r="CI87" s="472"/>
      <c r="CJ87" s="472"/>
      <c r="CK87" s="472"/>
      <c r="CL87" s="472"/>
      <c r="CM87" s="472"/>
      <c r="CN87" s="472"/>
      <c r="CO87" s="472"/>
      <c r="CP87" s="472"/>
      <c r="CQ87" s="472"/>
      <c r="CR87" s="472"/>
      <c r="CS87" s="473"/>
      <c r="CT87" s="473"/>
      <c r="CU87" s="516"/>
      <c r="CV87" s="533">
        <f t="shared" si="6"/>
        <v>0</v>
      </c>
      <c r="CW87" s="533">
        <f t="shared" si="7"/>
        <v>0</v>
      </c>
      <c r="CX87" s="523">
        <f t="shared" si="8"/>
        <v>0</v>
      </c>
      <c r="CY87" s="512"/>
    </row>
    <row r="88" spans="1:103">
      <c r="A88" s="510" t="s">
        <v>429</v>
      </c>
      <c r="B88" s="162" t="str">
        <f>IFERROR(VLOOKUP(ParticipationMars1[[#This Row],[Référence]],ListeÉtudiants1[],18,FALSE),"")</f>
        <v>LALARDIE EMMANUELLE</v>
      </c>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t="s">
        <v>35</v>
      </c>
      <c r="AE88" s="19"/>
      <c r="AF88" s="19"/>
      <c r="AG88" s="144"/>
      <c r="AH88" s="6">
        <f>COUNTIF(ParticipationMars1[[#This Row],[1]:[31]],Code1)</f>
        <v>0</v>
      </c>
      <c r="AI88" s="6">
        <f>COUNTIF(ParticipationMars1[[#This Row],[1]:[31]],code22)</f>
        <v>0</v>
      </c>
      <c r="AJ88" s="30">
        <f>COUNTIF(ParticipationMars1[[#This Row],[1]:[31]],Code2)</f>
        <v>0</v>
      </c>
      <c r="AK88" s="30">
        <f>COUNTIF(ParticipationMars1[[#This Row],[1]:[31]],Code3)</f>
        <v>0</v>
      </c>
      <c r="AL88" s="30">
        <f>COUNTIF(ParticipationMars1[[#This Row],[1]:[31]],Code4)</f>
        <v>0</v>
      </c>
      <c r="AM88" s="30">
        <f>COUNTIF(ParticipationMars1[[#This Row],[1]:[31]],Code5)</f>
        <v>1</v>
      </c>
      <c r="AN88" s="30">
        <f>COUNTIF(ParticipationMars1[[#This Row],[1]:[31]],Code23)</f>
        <v>0</v>
      </c>
      <c r="AO88" s="30">
        <f>COUNTIF(ParticipationMars1[[#This Row],[1]:[31]],Code6)</f>
        <v>0</v>
      </c>
      <c r="AP88" s="30">
        <f>COUNTIF(ParticipationMars1[[#This Row],[1]:[31]],Code7)</f>
        <v>0</v>
      </c>
      <c r="AQ88" s="30">
        <f>COUNTIF(ParticipationMars1[[#This Row],[1]:[31]],Code8)</f>
        <v>0</v>
      </c>
      <c r="AR88" s="30">
        <f>COUNTIF(ParticipationMars1[[#This Row],[1]:[31]],Code9)</f>
        <v>0</v>
      </c>
      <c r="AS88" s="30">
        <f>COUNTIF(ParticipationMars1[[#This Row],[1]:[31]],Code10)</f>
        <v>0</v>
      </c>
      <c r="AT88" s="30">
        <f>COUNTIF(ParticipationMars1[[#This Row],[1]:[31]],Code11)</f>
        <v>0</v>
      </c>
      <c r="AU88" s="30">
        <f>COUNTIF(ParticipationMars1[[#This Row],[1]:[31]],Code12)</f>
        <v>0</v>
      </c>
      <c r="AV88" s="30">
        <f>COUNTIF(ParticipationMars1[[#This Row],[1]:[31]],Code13)</f>
        <v>0</v>
      </c>
      <c r="AW88" s="30">
        <f>COUNTIF(ParticipationMars1[[#This Row],[1]:[31]],Code14)</f>
        <v>0</v>
      </c>
      <c r="AX88" s="30">
        <f>COUNTIF(ParticipationMars1[[#This Row],[1]:[31]],Code15)</f>
        <v>0</v>
      </c>
      <c r="AY88" s="30">
        <f>COUNTIF(ParticipationMars1[[#This Row],[1]:[31]],Code16)</f>
        <v>0</v>
      </c>
      <c r="AZ88" s="30">
        <f>COUNTIF(ParticipationMars1[[#This Row],[1]:[31]],Code17)</f>
        <v>0</v>
      </c>
      <c r="BA88" s="30">
        <f>COUNTIF(ParticipationMars1[[#This Row],[1]:[31]],Code25)</f>
        <v>0</v>
      </c>
      <c r="BB88" s="30">
        <f>COUNTIF(ParticipationMars1[[#This Row],[1]:[31]],Code26)</f>
        <v>0</v>
      </c>
      <c r="BC88" s="30">
        <f>COUNTIF(ParticipationMars1[[#This Row],[1]:[31]],Code27)</f>
        <v>0</v>
      </c>
      <c r="BD88" s="30">
        <f>COUNTIF(ParticipationMars1[[#This Row],[1]:[31]],Code28)</f>
        <v>0</v>
      </c>
      <c r="BE88" s="30">
        <f>COUNTIF(ParticipationMars1[[#This Row],[1]:[31]],code30)</f>
        <v>0</v>
      </c>
      <c r="BF88" s="30">
        <f>COUNTIF(ParticipationMars1[[#This Row],[1]:[31]],Code31)</f>
        <v>0</v>
      </c>
      <c r="BG88" s="30">
        <f>COUNTIF(ParticipationMars1[[#This Row],[1]:[31]],code21)</f>
        <v>0</v>
      </c>
      <c r="BH88" s="30">
        <f>COUNTIF(ParticipationMars1[[#This Row],[1]:[31]],Code24)</f>
        <v>0</v>
      </c>
      <c r="BI88" s="30">
        <f>COUNTIF(ParticipationMars1[[#This Row],[1]:[31]],code18)</f>
        <v>0</v>
      </c>
      <c r="BJ88" s="30">
        <f>COUNTIF(ParticipationMars1[[#This Row],[1]:[31]],code19)</f>
        <v>0</v>
      </c>
      <c r="BK88" s="30">
        <f>COUNTIF(ParticipationMars1[[#This Row],[1]:[31]],code20)</f>
        <v>0</v>
      </c>
      <c r="BL88" s="164">
        <f>COUNTIF(ParticipationMars1[[#This Row],[1]:[31]],code29)</f>
        <v>0</v>
      </c>
      <c r="BM88" s="139"/>
      <c r="BN88" s="139"/>
      <c r="BO88" s="139"/>
      <c r="BP88" s="139"/>
      <c r="BQ88" s="139"/>
      <c r="BR88" s="139"/>
      <c r="BS88" s="139"/>
      <c r="BT88" s="139"/>
      <c r="BU88" s="139"/>
      <c r="BV88" s="139"/>
      <c r="BW88" s="139">
        <v>1</v>
      </c>
      <c r="BX88" s="139"/>
      <c r="BY88" s="139"/>
      <c r="BZ88" s="139"/>
      <c r="CA88" s="139"/>
      <c r="CB88" s="139"/>
      <c r="CC88" s="139"/>
      <c r="CD88" s="139"/>
      <c r="CE88" s="139"/>
      <c r="CF88" s="139"/>
      <c r="CG88" s="139"/>
      <c r="CH88" s="139"/>
      <c r="CI88" s="139"/>
      <c r="CJ88" s="139"/>
      <c r="CK88" s="139"/>
      <c r="CL88" s="139"/>
      <c r="CM88" s="139"/>
      <c r="CN88" s="139"/>
      <c r="CO88" s="139"/>
      <c r="CP88" s="139"/>
      <c r="CQ88" s="139"/>
      <c r="CR88" s="139"/>
      <c r="CS88" s="30"/>
      <c r="CT88" s="30"/>
      <c r="CU88" s="164"/>
      <c r="CV88" s="501">
        <f t="shared" si="6"/>
        <v>0</v>
      </c>
      <c r="CW88" s="501">
        <f t="shared" si="7"/>
        <v>2</v>
      </c>
      <c r="CX88" s="249">
        <f t="shared" si="8"/>
        <v>0</v>
      </c>
      <c r="CY88" s="170"/>
    </row>
    <row r="89" spans="1:103">
      <c r="A89" s="535" t="s">
        <v>430</v>
      </c>
      <c r="B89" s="162" t="s">
        <v>645</v>
      </c>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340"/>
      <c r="AH89" s="6">
        <f>COUNTIF(ParticipationMars1[[#This Row],[1]:[31]],Code1)</f>
        <v>0</v>
      </c>
      <c r="AI89" s="475">
        <f>COUNTIF(ParticipationMars1[[#This Row],[1]:[31]],code22)</f>
        <v>0</v>
      </c>
      <c r="AJ89" s="30">
        <f>COUNTIF(ParticipationMars1[[#This Row],[1]:[31]],Code2)</f>
        <v>0</v>
      </c>
      <c r="AK89" s="30">
        <f>COUNTIF(ParticipationMars1[[#This Row],[1]:[31]],Code3)</f>
        <v>0</v>
      </c>
      <c r="AL89" s="30">
        <f>COUNTIF(ParticipationMars1[[#This Row],[1]:[31]],Code4)</f>
        <v>0</v>
      </c>
      <c r="AM89" s="473">
        <f>COUNTIF(ParticipationMars1[[#This Row],[1]:[31]],Code5)</f>
        <v>0</v>
      </c>
      <c r="AN89" s="473">
        <f>COUNTIF(ParticipationMars1[[#This Row],[1]:[31]],Code23)</f>
        <v>0</v>
      </c>
      <c r="AO89" s="473">
        <f>COUNTIF(ParticipationMars1[[#This Row],[1]:[31]],Code6)</f>
        <v>0</v>
      </c>
      <c r="AP89" s="473">
        <f>COUNTIF(ParticipationMars1[[#This Row],[1]:[31]],Code7)</f>
        <v>0</v>
      </c>
      <c r="AQ89" s="473">
        <f>COUNTIF(ParticipationMars1[[#This Row],[1]:[31]],Code8)</f>
        <v>0</v>
      </c>
      <c r="AR89" s="473">
        <f>COUNTIF(ParticipationMars1[[#This Row],[1]:[31]],Code9)</f>
        <v>0</v>
      </c>
      <c r="AS89" s="473">
        <f>COUNTIF(ParticipationMars1[[#This Row],[1]:[31]],Code10)</f>
        <v>0</v>
      </c>
      <c r="AT89" s="473">
        <f>COUNTIF(ParticipationMars1[[#This Row],[1]:[31]],Code11)</f>
        <v>0</v>
      </c>
      <c r="AU89" s="473">
        <f>COUNTIF(ParticipationMars1[[#This Row],[1]:[31]],Code12)</f>
        <v>0</v>
      </c>
      <c r="AV89" s="473">
        <f>COUNTIF(ParticipationMars1[[#This Row],[1]:[31]],Code13)</f>
        <v>0</v>
      </c>
      <c r="AW89" s="473">
        <f>COUNTIF(ParticipationMars1[[#This Row],[1]:[31]],Code14)</f>
        <v>0</v>
      </c>
      <c r="AX89" s="473">
        <f>COUNTIF(ParticipationMars1[[#This Row],[1]:[31]],Code15)</f>
        <v>0</v>
      </c>
      <c r="AY89" s="473">
        <f>COUNTIF(ParticipationMars1[[#This Row],[1]:[31]],Code16)</f>
        <v>0</v>
      </c>
      <c r="AZ89" s="473">
        <f>COUNTIF(ParticipationMars1[[#This Row],[1]:[31]],Code17)</f>
        <v>0</v>
      </c>
      <c r="BA89" s="473">
        <f>COUNTIF(ParticipationMars1[[#This Row],[1]:[31]],Code25)</f>
        <v>0</v>
      </c>
      <c r="BB89" s="473">
        <f>COUNTIF(ParticipationMars1[[#This Row],[1]:[31]],Code26)</f>
        <v>0</v>
      </c>
      <c r="BC89" s="473">
        <f>COUNTIF(ParticipationMars1[[#This Row],[1]:[31]],Code27)</f>
        <v>0</v>
      </c>
      <c r="BD89" s="473">
        <f>COUNTIF(ParticipationMars1[[#This Row],[1]:[31]],Code28)</f>
        <v>0</v>
      </c>
      <c r="BE89" s="473">
        <f>COUNTIF(ParticipationMars1[[#This Row],[1]:[31]],code30)</f>
        <v>0</v>
      </c>
      <c r="BF89" s="473">
        <f>COUNTIF(ParticipationMars1[[#This Row],[1]:[31]],Code31)</f>
        <v>0</v>
      </c>
      <c r="BG89" s="473">
        <f>COUNTIF(ParticipationMars1[[#This Row],[1]:[31]],code21)</f>
        <v>0</v>
      </c>
      <c r="BH89" s="473">
        <f>COUNTIF(ParticipationMars1[[#This Row],[1]:[31]],Code24)</f>
        <v>0</v>
      </c>
      <c r="BI89" s="473">
        <f>COUNTIF(ParticipationMars1[[#This Row],[1]:[31]],code18)</f>
        <v>0</v>
      </c>
      <c r="BJ89" s="473">
        <f>COUNTIF(ParticipationMars1[[#This Row],[1]:[31]],code19)</f>
        <v>0</v>
      </c>
      <c r="BK89" s="473">
        <f>COUNTIF(ParticipationMars1[[#This Row],[1]:[31]],code20)</f>
        <v>0</v>
      </c>
      <c r="BL89" s="516">
        <f>COUNTIF(ParticipationMars1[[#This Row],[1]:[31]],code29)</f>
        <v>0</v>
      </c>
      <c r="BM89" s="472"/>
      <c r="BN89" s="472"/>
      <c r="BO89" s="472"/>
      <c r="BP89" s="472"/>
      <c r="BQ89" s="472"/>
      <c r="BR89" s="472"/>
      <c r="BS89" s="472"/>
      <c r="BT89" s="472"/>
      <c r="BU89" s="472"/>
      <c r="BV89" s="472"/>
      <c r="BW89" s="472"/>
      <c r="BX89" s="472"/>
      <c r="BY89" s="472"/>
      <c r="BZ89" s="472"/>
      <c r="CA89" s="472"/>
      <c r="CB89" s="472"/>
      <c r="CC89" s="472"/>
      <c r="CD89" s="472"/>
      <c r="CE89" s="472"/>
      <c r="CF89" s="472"/>
      <c r="CG89" s="472"/>
      <c r="CH89" s="472"/>
      <c r="CI89" s="472"/>
      <c r="CJ89" s="472"/>
      <c r="CK89" s="472"/>
      <c r="CL89" s="472"/>
      <c r="CM89" s="472"/>
      <c r="CN89" s="472"/>
      <c r="CO89" s="472"/>
      <c r="CP89" s="472"/>
      <c r="CQ89" s="472"/>
      <c r="CR89" s="472"/>
      <c r="CS89" s="473"/>
      <c r="CT89" s="473"/>
      <c r="CU89" s="516"/>
      <c r="CV89" s="533">
        <f t="shared" si="6"/>
        <v>0</v>
      </c>
      <c r="CW89" s="533">
        <f t="shared" si="7"/>
        <v>0</v>
      </c>
      <c r="CX89" s="523">
        <f t="shared" si="8"/>
        <v>0</v>
      </c>
      <c r="CY89" s="512"/>
    </row>
    <row r="90" spans="1:103">
      <c r="A90" s="510" t="s">
        <v>431</v>
      </c>
      <c r="B90" s="162" t="str">
        <f>IFERROR(VLOOKUP(ParticipationMars1[[#This Row],[Référence]],ListeÉtudiants1[],18,FALSE),"")</f>
        <v>LAMETTE JENNYFER</v>
      </c>
      <c r="C90" s="19"/>
      <c r="D90" s="19"/>
      <c r="E90" s="19"/>
      <c r="F90" s="19"/>
      <c r="G90" s="19"/>
      <c r="H90" s="19"/>
      <c r="I90" s="19"/>
      <c r="J90" s="19"/>
      <c r="K90" s="19"/>
      <c r="L90" s="19"/>
      <c r="M90" s="19"/>
      <c r="N90" s="19"/>
      <c r="O90" s="19"/>
      <c r="P90" s="19"/>
      <c r="Q90" s="19" t="s">
        <v>529</v>
      </c>
      <c r="R90" s="19"/>
      <c r="S90" s="19"/>
      <c r="T90" s="19"/>
      <c r="U90" s="19"/>
      <c r="V90" s="19"/>
      <c r="W90" s="19"/>
      <c r="X90" s="19"/>
      <c r="Y90" s="19"/>
      <c r="Z90" s="19"/>
      <c r="AA90" s="19"/>
      <c r="AB90" s="19" t="s">
        <v>109</v>
      </c>
      <c r="AC90" s="19" t="s">
        <v>108</v>
      </c>
      <c r="AD90" s="19"/>
      <c r="AE90" s="19"/>
      <c r="AF90" s="19"/>
      <c r="AG90" s="144"/>
      <c r="AH90" s="6">
        <f>COUNTIF(ParticipationMars1[[#This Row],[1]:[31]],Code1)</f>
        <v>0</v>
      </c>
      <c r="AI90" s="331">
        <f>COUNTIF(ParticipationMars1[[#This Row],[1]:[31]],code22)</f>
        <v>0</v>
      </c>
      <c r="AJ90" s="30">
        <f>COUNTIF(ParticipationMars1[[#This Row],[1]:[31]],Code2)</f>
        <v>0</v>
      </c>
      <c r="AK90" s="30">
        <f>COUNTIF(ParticipationMars1[[#This Row],[1]:[31]],Code3)</f>
        <v>0</v>
      </c>
      <c r="AL90" s="30">
        <f>COUNTIF(ParticipationMars1[[#This Row],[1]:[31]],Code4)</f>
        <v>0</v>
      </c>
      <c r="AM90" s="307">
        <f>COUNTIF(ParticipationMars1[[#This Row],[1]:[31]],Code5)</f>
        <v>0</v>
      </c>
      <c r="AN90" s="307">
        <f>COUNTIF(ParticipationMars1[[#This Row],[1]:[31]],Code23)</f>
        <v>1</v>
      </c>
      <c r="AO90" s="307">
        <f>COUNTIF(ParticipationMars1[[#This Row],[1]:[31]],Code6)</f>
        <v>1</v>
      </c>
      <c r="AP90" s="307">
        <f>COUNTIF(ParticipationMars1[[#This Row],[1]:[31]],Code7)</f>
        <v>1</v>
      </c>
      <c r="AQ90" s="307">
        <f>COUNTIF(ParticipationMars1[[#This Row],[1]:[31]],Code8)</f>
        <v>0</v>
      </c>
      <c r="AR90" s="307">
        <f>COUNTIF(ParticipationMars1[[#This Row],[1]:[31]],Code9)</f>
        <v>0</v>
      </c>
      <c r="AS90" s="307">
        <f>COUNTIF(ParticipationMars1[[#This Row],[1]:[31]],Code10)</f>
        <v>0</v>
      </c>
      <c r="AT90" s="307">
        <f>COUNTIF(ParticipationMars1[[#This Row],[1]:[31]],Code11)</f>
        <v>0</v>
      </c>
      <c r="AU90" s="30">
        <f>COUNTIF(ParticipationMars1[[#This Row],[1]:[31]],Code12)</f>
        <v>0</v>
      </c>
      <c r="AV90" s="307">
        <f>COUNTIF(ParticipationMars1[[#This Row],[1]:[31]],Code13)</f>
        <v>0</v>
      </c>
      <c r="AW90" s="307">
        <f>COUNTIF(ParticipationMars1[[#This Row],[1]:[31]],Code14)</f>
        <v>0</v>
      </c>
      <c r="AX90" s="307">
        <f>COUNTIF(ParticipationMars1[[#This Row],[1]:[31]],Code15)</f>
        <v>0</v>
      </c>
      <c r="AY90" s="307">
        <f>COUNTIF(ParticipationMars1[[#This Row],[1]:[31]],Code16)</f>
        <v>0</v>
      </c>
      <c r="AZ90" s="307">
        <f>COUNTIF(ParticipationMars1[[#This Row],[1]:[31]],Code17)</f>
        <v>0</v>
      </c>
      <c r="BA90" s="307">
        <f>COUNTIF(ParticipationMars1[[#This Row],[1]:[31]],Code25)</f>
        <v>0</v>
      </c>
      <c r="BB90" s="307">
        <f>COUNTIF(ParticipationMars1[[#This Row],[1]:[31]],Code26)</f>
        <v>0</v>
      </c>
      <c r="BC90" s="307">
        <f>COUNTIF(ParticipationMars1[[#This Row],[1]:[31]],Code27)</f>
        <v>0</v>
      </c>
      <c r="BD90" s="307">
        <f>COUNTIF(ParticipationMars1[[#This Row],[1]:[31]],Code28)</f>
        <v>0</v>
      </c>
      <c r="BE90" s="307">
        <f>COUNTIF(ParticipationMars1[[#This Row],[1]:[31]],code30)</f>
        <v>0</v>
      </c>
      <c r="BF90" s="307">
        <f>COUNTIF(ParticipationMars1[[#This Row],[1]:[31]],Code31)</f>
        <v>0</v>
      </c>
      <c r="BG90" s="307">
        <f>COUNTIF(ParticipationMars1[[#This Row],[1]:[31]],code21)</f>
        <v>0</v>
      </c>
      <c r="BH90" s="307">
        <f>COUNTIF(ParticipationMars1[[#This Row],[1]:[31]],Code24)</f>
        <v>0</v>
      </c>
      <c r="BI90" s="307">
        <f>COUNTIF(ParticipationMars1[[#This Row],[1]:[31]],code18)</f>
        <v>0</v>
      </c>
      <c r="BJ90" s="307">
        <f>COUNTIF(ParticipationMars1[[#This Row],[1]:[31]],code19)</f>
        <v>0</v>
      </c>
      <c r="BK90" s="307">
        <f>COUNTIF(ParticipationMars1[[#This Row],[1]:[31]],code20)</f>
        <v>0</v>
      </c>
      <c r="BL90" s="300">
        <f>COUNTIF(ParticipationMars1[[#This Row],[1]:[31]],code29)</f>
        <v>0</v>
      </c>
      <c r="BM90" s="297"/>
      <c r="BN90" s="297"/>
      <c r="BO90" s="297"/>
      <c r="BP90" s="297"/>
      <c r="BQ90" s="297"/>
      <c r="BR90" s="297"/>
      <c r="BS90" s="297"/>
      <c r="BT90" s="297"/>
      <c r="BU90" s="297"/>
      <c r="BV90" s="297"/>
      <c r="BW90" s="297">
        <v>2</v>
      </c>
      <c r="BX90" s="297"/>
      <c r="BY90" s="297"/>
      <c r="BZ90" s="297"/>
      <c r="CA90" s="297"/>
      <c r="CB90" s="297"/>
      <c r="CC90" s="297"/>
      <c r="CD90" s="297"/>
      <c r="CE90" s="297"/>
      <c r="CF90" s="297"/>
      <c r="CG90" s="297"/>
      <c r="CH90" s="297"/>
      <c r="CI90" s="297"/>
      <c r="CJ90" s="297"/>
      <c r="CK90" s="297">
        <v>1</v>
      </c>
      <c r="CL90" s="297"/>
      <c r="CM90" s="297"/>
      <c r="CN90" s="297"/>
      <c r="CO90" s="297"/>
      <c r="CP90" s="297"/>
      <c r="CQ90" s="297"/>
      <c r="CR90" s="297"/>
      <c r="CS90" s="307"/>
      <c r="CT90" s="307"/>
      <c r="CU90" s="300"/>
      <c r="CV90" s="501">
        <f t="shared" si="6"/>
        <v>5</v>
      </c>
      <c r="CW90" s="501">
        <f t="shared" si="7"/>
        <v>8</v>
      </c>
      <c r="CX90" s="341">
        <f t="shared" si="8"/>
        <v>0</v>
      </c>
      <c r="CY90" s="327"/>
    </row>
    <row r="91" spans="1:103">
      <c r="A91" s="534" t="s">
        <v>432</v>
      </c>
      <c r="B91" s="162" t="str">
        <f>IFERROR(VLOOKUP(ParticipationMars1[[#This Row],[Référence]],ListeÉtudiants1[],18,FALSE),"")</f>
        <v>LAMGHARI / DAHAN BOUCHRA</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340"/>
      <c r="AH91" s="6">
        <f>COUNTIF(ParticipationMars1[[#This Row],[1]:[31]],Code1)</f>
        <v>0</v>
      </c>
      <c r="AI91" s="475">
        <f>COUNTIF(ParticipationMars1[[#This Row],[1]:[31]],code22)</f>
        <v>0</v>
      </c>
      <c r="AJ91" s="30">
        <f>COUNTIF(ParticipationMars1[[#This Row],[1]:[31]],Code2)</f>
        <v>0</v>
      </c>
      <c r="AK91" s="30">
        <f>COUNTIF(ParticipationMars1[[#This Row],[1]:[31]],Code3)</f>
        <v>0</v>
      </c>
      <c r="AL91" s="30">
        <f>COUNTIF(ParticipationMars1[[#This Row],[1]:[31]],Code4)</f>
        <v>0</v>
      </c>
      <c r="AM91" s="473">
        <f>COUNTIF(ParticipationMars1[[#This Row],[1]:[31]],Code5)</f>
        <v>0</v>
      </c>
      <c r="AN91" s="473">
        <f>COUNTIF(ParticipationMars1[[#This Row],[1]:[31]],Code23)</f>
        <v>0</v>
      </c>
      <c r="AO91" s="473">
        <f>COUNTIF(ParticipationMars1[[#This Row],[1]:[31]],Code6)</f>
        <v>0</v>
      </c>
      <c r="AP91" s="473">
        <f>COUNTIF(ParticipationMars1[[#This Row],[1]:[31]],Code7)</f>
        <v>0</v>
      </c>
      <c r="AQ91" s="473">
        <f>COUNTIF(ParticipationMars1[[#This Row],[1]:[31]],Code8)</f>
        <v>0</v>
      </c>
      <c r="AR91" s="473">
        <f>COUNTIF(ParticipationMars1[[#This Row],[1]:[31]],Code9)</f>
        <v>0</v>
      </c>
      <c r="AS91" s="473">
        <f>COUNTIF(ParticipationMars1[[#This Row],[1]:[31]],Code10)</f>
        <v>0</v>
      </c>
      <c r="AT91" s="473">
        <f>COUNTIF(ParticipationMars1[[#This Row],[1]:[31]],Code11)</f>
        <v>0</v>
      </c>
      <c r="AU91" s="473">
        <f>COUNTIF(ParticipationMars1[[#This Row],[1]:[31]],Code12)</f>
        <v>0</v>
      </c>
      <c r="AV91" s="473">
        <f>COUNTIF(ParticipationMars1[[#This Row],[1]:[31]],Code13)</f>
        <v>0</v>
      </c>
      <c r="AW91" s="473">
        <f>COUNTIF(ParticipationMars1[[#This Row],[1]:[31]],Code14)</f>
        <v>0</v>
      </c>
      <c r="AX91" s="473">
        <f>COUNTIF(ParticipationMars1[[#This Row],[1]:[31]],Code15)</f>
        <v>0</v>
      </c>
      <c r="AY91" s="473">
        <f>COUNTIF(ParticipationMars1[[#This Row],[1]:[31]],Code16)</f>
        <v>0</v>
      </c>
      <c r="AZ91" s="473">
        <f>COUNTIF(ParticipationMars1[[#This Row],[1]:[31]],Code17)</f>
        <v>0</v>
      </c>
      <c r="BA91" s="473">
        <f>COUNTIF(ParticipationMars1[[#This Row],[1]:[31]],Code25)</f>
        <v>0</v>
      </c>
      <c r="BB91" s="473">
        <f>COUNTIF(ParticipationMars1[[#This Row],[1]:[31]],Code26)</f>
        <v>0</v>
      </c>
      <c r="BC91" s="473">
        <f>COUNTIF(ParticipationMars1[[#This Row],[1]:[31]],Code27)</f>
        <v>0</v>
      </c>
      <c r="BD91" s="473">
        <f>COUNTIF(ParticipationMars1[[#This Row],[1]:[31]],Code28)</f>
        <v>0</v>
      </c>
      <c r="BE91" s="473">
        <f>COUNTIF(ParticipationMars1[[#This Row],[1]:[31]],code30)</f>
        <v>0</v>
      </c>
      <c r="BF91" s="473">
        <f>COUNTIF(ParticipationMars1[[#This Row],[1]:[31]],Code31)</f>
        <v>0</v>
      </c>
      <c r="BG91" s="473">
        <f>COUNTIF(ParticipationMars1[[#This Row],[1]:[31]],code21)</f>
        <v>0</v>
      </c>
      <c r="BH91" s="473">
        <f>COUNTIF(ParticipationMars1[[#This Row],[1]:[31]],Code24)</f>
        <v>0</v>
      </c>
      <c r="BI91" s="473">
        <f>COUNTIF(ParticipationMars1[[#This Row],[1]:[31]],code18)</f>
        <v>0</v>
      </c>
      <c r="BJ91" s="473">
        <f>COUNTIF(ParticipationMars1[[#This Row],[1]:[31]],code19)</f>
        <v>0</v>
      </c>
      <c r="BK91" s="473">
        <f>COUNTIF(ParticipationMars1[[#This Row],[1]:[31]],code20)</f>
        <v>0</v>
      </c>
      <c r="BL91" s="516">
        <f>COUNTIF(ParticipationMars1[[#This Row],[1]:[31]],code29)</f>
        <v>0</v>
      </c>
      <c r="BM91" s="472"/>
      <c r="BN91" s="472"/>
      <c r="BO91" s="472"/>
      <c r="BP91" s="472"/>
      <c r="BQ91" s="472"/>
      <c r="BR91" s="472"/>
      <c r="BS91" s="472"/>
      <c r="BT91" s="472"/>
      <c r="BU91" s="472"/>
      <c r="BV91" s="472"/>
      <c r="BW91" s="472"/>
      <c r="BX91" s="472"/>
      <c r="BY91" s="472"/>
      <c r="BZ91" s="472"/>
      <c r="CA91" s="472"/>
      <c r="CB91" s="472"/>
      <c r="CC91" s="472"/>
      <c r="CD91" s="472"/>
      <c r="CE91" s="472"/>
      <c r="CF91" s="472"/>
      <c r="CG91" s="472"/>
      <c r="CH91" s="472"/>
      <c r="CI91" s="472"/>
      <c r="CJ91" s="472"/>
      <c r="CK91" s="472"/>
      <c r="CL91" s="472"/>
      <c r="CM91" s="472"/>
      <c r="CN91" s="472"/>
      <c r="CO91" s="472"/>
      <c r="CP91" s="472"/>
      <c r="CQ91" s="472"/>
      <c r="CR91" s="472"/>
      <c r="CS91" s="473"/>
      <c r="CT91" s="473"/>
      <c r="CU91" s="516"/>
      <c r="CV91" s="533">
        <f>SUM((AH91*1)+(AI91*1.5)+(AJ91*2)+(AK91*3)+(AP91*5)+(AQ91*6)+(AR91*7)+(AU91*2)+(AX91*3)+(AY91*4)+(AZ91*5)+(BB91*3)+(BA91*2)+(BG91*2)+(BC91*2)+(BD91*2)+(BE91*3)+(BF91*3))</f>
        <v>0</v>
      </c>
      <c r="CW91" s="533">
        <f>SUM((AN91*1)+(AM91*2)+(AO91*3)+(AP91*4)+(AT91*5)+(AU91*6)+(AV91*7)+(AW91*7)+(AX91*4)+(AY91*3)+(AZ91*2)+(BA91*4)+(BB91*1)+(BG91*2)+(BC91*5)+(BD91*1)+(BE91*2)+(BF91*3))</f>
        <v>0</v>
      </c>
      <c r="CX91" s="523">
        <f>BH91*1+BL91*3</f>
        <v>0</v>
      </c>
      <c r="CY91" s="512"/>
    </row>
    <row r="92" spans="1:103">
      <c r="A92" s="510" t="s">
        <v>433</v>
      </c>
      <c r="B92" s="162" t="str">
        <f>IFERROR(VLOOKUP(ParticipationMars1[[#This Row],[Référence]],ListeÉtudiants1[],18,FALSE),"")</f>
        <v>LAURENT GUILLAUME</v>
      </c>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340"/>
      <c r="AH92" s="6">
        <f>COUNTIF(ParticipationMars1[[#This Row],[1]:[31]],Code1)</f>
        <v>0</v>
      </c>
      <c r="AI92" s="475">
        <f>COUNTIF(ParticipationMars1[[#This Row],[1]:[31]],code22)</f>
        <v>0</v>
      </c>
      <c r="AJ92" s="30">
        <f>COUNTIF(ParticipationMars1[[#This Row],[1]:[31]],Code2)</f>
        <v>0</v>
      </c>
      <c r="AK92" s="30">
        <f>COUNTIF(ParticipationMars1[[#This Row],[1]:[31]],Code3)</f>
        <v>0</v>
      </c>
      <c r="AL92" s="30">
        <f>COUNTIF(ParticipationMars1[[#This Row],[1]:[31]],Code4)</f>
        <v>0</v>
      </c>
      <c r="AM92" s="473">
        <f>COUNTIF(ParticipationMars1[[#This Row],[1]:[31]],Code5)</f>
        <v>0</v>
      </c>
      <c r="AN92" s="473">
        <f>COUNTIF(ParticipationMars1[[#This Row],[1]:[31]],Code23)</f>
        <v>0</v>
      </c>
      <c r="AO92" s="473">
        <f>COUNTIF(ParticipationMars1[[#This Row],[1]:[31]],Code6)</f>
        <v>0</v>
      </c>
      <c r="AP92" s="473">
        <f>COUNTIF(ParticipationMars1[[#This Row],[1]:[31]],Code7)</f>
        <v>0</v>
      </c>
      <c r="AQ92" s="473">
        <f>COUNTIF(ParticipationMars1[[#This Row],[1]:[31]],Code8)</f>
        <v>0</v>
      </c>
      <c r="AR92" s="473">
        <f>COUNTIF(ParticipationMars1[[#This Row],[1]:[31]],Code9)</f>
        <v>0</v>
      </c>
      <c r="AS92" s="473">
        <f>COUNTIF(ParticipationMars1[[#This Row],[1]:[31]],Code10)</f>
        <v>0</v>
      </c>
      <c r="AT92" s="473">
        <f>COUNTIF(ParticipationMars1[[#This Row],[1]:[31]],Code11)</f>
        <v>0</v>
      </c>
      <c r="AU92" s="473">
        <f>COUNTIF(ParticipationMars1[[#This Row],[1]:[31]],Code12)</f>
        <v>0</v>
      </c>
      <c r="AV92" s="473">
        <f>COUNTIF(ParticipationMars1[[#This Row],[1]:[31]],Code13)</f>
        <v>0</v>
      </c>
      <c r="AW92" s="473">
        <f>COUNTIF(ParticipationMars1[[#This Row],[1]:[31]],Code14)</f>
        <v>0</v>
      </c>
      <c r="AX92" s="473">
        <f>COUNTIF(ParticipationMars1[[#This Row],[1]:[31]],Code15)</f>
        <v>0</v>
      </c>
      <c r="AY92" s="473">
        <f>COUNTIF(ParticipationMars1[[#This Row],[1]:[31]],Code16)</f>
        <v>0</v>
      </c>
      <c r="AZ92" s="473">
        <f>COUNTIF(ParticipationMars1[[#This Row],[1]:[31]],Code17)</f>
        <v>0</v>
      </c>
      <c r="BA92" s="473">
        <f>COUNTIF(ParticipationMars1[[#This Row],[1]:[31]],Code25)</f>
        <v>0</v>
      </c>
      <c r="BB92" s="473">
        <f>COUNTIF(ParticipationMars1[[#This Row],[1]:[31]],Code26)</f>
        <v>0</v>
      </c>
      <c r="BC92" s="473">
        <f>COUNTIF(ParticipationMars1[[#This Row],[1]:[31]],Code27)</f>
        <v>0</v>
      </c>
      <c r="BD92" s="473">
        <f>COUNTIF(ParticipationMars1[[#This Row],[1]:[31]],Code28)</f>
        <v>0</v>
      </c>
      <c r="BE92" s="473">
        <f>COUNTIF(ParticipationMars1[[#This Row],[1]:[31]],code30)</f>
        <v>0</v>
      </c>
      <c r="BF92" s="473">
        <f>COUNTIF(ParticipationMars1[[#This Row],[1]:[31]],Code31)</f>
        <v>0</v>
      </c>
      <c r="BG92" s="473">
        <f>COUNTIF(ParticipationMars1[[#This Row],[1]:[31]],code21)</f>
        <v>0</v>
      </c>
      <c r="BH92" s="473">
        <f>COUNTIF(ParticipationMars1[[#This Row],[1]:[31]],Code24)</f>
        <v>0</v>
      </c>
      <c r="BI92" s="473">
        <f>COUNTIF(ParticipationMars1[[#This Row],[1]:[31]],code18)</f>
        <v>0</v>
      </c>
      <c r="BJ92" s="473">
        <f>COUNTIF(ParticipationMars1[[#This Row],[1]:[31]],code19)</f>
        <v>0</v>
      </c>
      <c r="BK92" s="473">
        <f>COUNTIF(ParticipationMars1[[#This Row],[1]:[31]],code20)</f>
        <v>0</v>
      </c>
      <c r="BL92" s="516">
        <f>COUNTIF(ParticipationMars1[[#This Row],[1]:[31]],code29)</f>
        <v>0</v>
      </c>
      <c r="BM92" s="472"/>
      <c r="BN92" s="472"/>
      <c r="BO92" s="472"/>
      <c r="BP92" s="472"/>
      <c r="BQ92" s="472"/>
      <c r="BR92" s="472"/>
      <c r="BS92" s="472"/>
      <c r="BT92" s="472"/>
      <c r="BU92" s="472"/>
      <c r="BV92" s="472"/>
      <c r="BW92" s="472"/>
      <c r="BX92" s="472"/>
      <c r="BY92" s="472"/>
      <c r="BZ92" s="472"/>
      <c r="CA92" s="472"/>
      <c r="CB92" s="472"/>
      <c r="CC92" s="472"/>
      <c r="CD92" s="472"/>
      <c r="CE92" s="472"/>
      <c r="CF92" s="472"/>
      <c r="CG92" s="472"/>
      <c r="CH92" s="472"/>
      <c r="CI92" s="472"/>
      <c r="CJ92" s="472"/>
      <c r="CK92" s="472"/>
      <c r="CL92" s="472"/>
      <c r="CM92" s="472"/>
      <c r="CN92" s="472"/>
      <c r="CO92" s="472"/>
      <c r="CP92" s="472"/>
      <c r="CQ92" s="472"/>
      <c r="CR92" s="472"/>
      <c r="CS92" s="473"/>
      <c r="CT92" s="473"/>
      <c r="CU92" s="516"/>
      <c r="CV92" s="533">
        <f>SUM((AH92*1)+(AI92*1.5)+(AJ92*2)+(AK92*3)+(AP92*5)+(AQ92*6)+(AR92*7)+(AU92*2)+(AX92*3)+(AY92*4)+(AZ92*5)+(BB92*3)+(BA92*2)+(BG92*2)+(BC92*2)+(BD92*2)+(BE92*3)+(BF92*3))</f>
        <v>0</v>
      </c>
      <c r="CW92" s="533">
        <f>SUM((AN92*1)+(AM92*2)+(AO92*3)+(AP92*4)+(AT92*5)+(AU92*6)+(AV92*7)+(AW92*7)+(AX92*4)+(AY92*3)+(AZ92*2)+(BA92*4)+(BB92*1)+(BG92*2)+(BC92*5)+(BD92*1)+(BE92*2)+(BF92*3))</f>
        <v>0</v>
      </c>
      <c r="CX92" s="523">
        <f>BH92*1+BL92*3</f>
        <v>0</v>
      </c>
      <c r="CY92" s="512"/>
    </row>
    <row r="93" spans="1:103">
      <c r="A93" s="510" t="s">
        <v>434</v>
      </c>
      <c r="B93" s="162" t="str">
        <f>IFERROR(VLOOKUP(ParticipationMars1[[#This Row],[Référence]],ListeÉtudiants1[],18,FALSE),"")</f>
        <v>LEMAIRE SHANONE</v>
      </c>
      <c r="C93" s="19"/>
      <c r="D93" s="19"/>
      <c r="E93" s="19"/>
      <c r="F93" s="19"/>
      <c r="G93" s="19"/>
      <c r="H93" s="19"/>
      <c r="I93" s="19"/>
      <c r="J93" s="19"/>
      <c r="K93" s="19"/>
      <c r="L93" s="19"/>
      <c r="M93" s="19"/>
      <c r="N93" s="19"/>
      <c r="O93" s="19"/>
      <c r="P93" s="19"/>
      <c r="Q93" s="19" t="s">
        <v>529</v>
      </c>
      <c r="R93" s="19"/>
      <c r="S93" s="19"/>
      <c r="T93" s="19"/>
      <c r="U93" s="19"/>
      <c r="V93" s="19"/>
      <c r="W93" s="19"/>
      <c r="X93" s="19"/>
      <c r="Y93" s="19"/>
      <c r="Z93" s="19"/>
      <c r="AA93" s="19"/>
      <c r="AB93" s="19"/>
      <c r="AC93" s="19" t="s">
        <v>486</v>
      </c>
      <c r="AD93" s="19"/>
      <c r="AE93" s="19" t="s">
        <v>529</v>
      </c>
      <c r="AF93" s="19"/>
      <c r="AG93" s="144"/>
      <c r="AH93" s="6">
        <f>COUNTIF(ParticipationMars1[[#This Row],[1]:[31]],Code1)</f>
        <v>0</v>
      </c>
      <c r="AI93" s="331">
        <f>COUNTIF(ParticipationMars1[[#This Row],[1]:[31]],code22)</f>
        <v>0</v>
      </c>
      <c r="AJ93" s="30">
        <f>COUNTIF(ParticipationMars1[[#This Row],[1]:[31]],Code2)</f>
        <v>0</v>
      </c>
      <c r="AK93" s="30">
        <f>COUNTIF(ParticipationMars1[[#This Row],[1]:[31]],Code3)</f>
        <v>0</v>
      </c>
      <c r="AL93" s="30">
        <f>COUNTIF(ParticipationMars1[[#This Row],[1]:[31]],Code4)</f>
        <v>0</v>
      </c>
      <c r="AM93" s="307">
        <f>COUNTIF(ParticipationMars1[[#This Row],[1]:[31]],Code5)</f>
        <v>0</v>
      </c>
      <c r="AN93" s="307">
        <f>COUNTIF(ParticipationMars1[[#This Row],[1]:[31]],Code23)</f>
        <v>2</v>
      </c>
      <c r="AO93" s="307">
        <f>COUNTIF(ParticipationMars1[[#This Row],[1]:[31]],Code6)</f>
        <v>0</v>
      </c>
      <c r="AP93" s="307">
        <f>COUNTIF(ParticipationMars1[[#This Row],[1]:[31]],Code7)</f>
        <v>0</v>
      </c>
      <c r="AQ93" s="307">
        <f>COUNTIF(ParticipationMars1[[#This Row],[1]:[31]],Code8)</f>
        <v>0</v>
      </c>
      <c r="AR93" s="307">
        <f>COUNTIF(ParticipationMars1[[#This Row],[1]:[31]],Code9)</f>
        <v>0</v>
      </c>
      <c r="AS93" s="307">
        <f>COUNTIF(ParticipationMars1[[#This Row],[1]:[31]],Code10)</f>
        <v>0</v>
      </c>
      <c r="AT93" s="307">
        <f>COUNTIF(ParticipationMars1[[#This Row],[1]:[31]],Code11)</f>
        <v>1</v>
      </c>
      <c r="AU93" s="30">
        <f>COUNTIF(ParticipationMars1[[#This Row],[1]:[31]],Code12)</f>
        <v>0</v>
      </c>
      <c r="AV93" s="307">
        <f>COUNTIF(ParticipationMars1[[#This Row],[1]:[31]],Code13)</f>
        <v>0</v>
      </c>
      <c r="AW93" s="307">
        <f>COUNTIF(ParticipationMars1[[#This Row],[1]:[31]],Code14)</f>
        <v>0</v>
      </c>
      <c r="AX93" s="307">
        <f>COUNTIF(ParticipationMars1[[#This Row],[1]:[31]],Code15)</f>
        <v>0</v>
      </c>
      <c r="AY93" s="307">
        <f>COUNTIF(ParticipationMars1[[#This Row],[1]:[31]],Code16)</f>
        <v>0</v>
      </c>
      <c r="AZ93" s="307">
        <f>COUNTIF(ParticipationMars1[[#This Row],[1]:[31]],Code17)</f>
        <v>0</v>
      </c>
      <c r="BA93" s="307">
        <f>COUNTIF(ParticipationMars1[[#This Row],[1]:[31]],Code25)</f>
        <v>0</v>
      </c>
      <c r="BB93" s="307">
        <f>COUNTIF(ParticipationMars1[[#This Row],[1]:[31]],Code26)</f>
        <v>0</v>
      </c>
      <c r="BC93" s="307">
        <f>COUNTIF(ParticipationMars1[[#This Row],[1]:[31]],Code27)</f>
        <v>0</v>
      </c>
      <c r="BD93" s="307">
        <f>COUNTIF(ParticipationMars1[[#This Row],[1]:[31]],Code28)</f>
        <v>0</v>
      </c>
      <c r="BE93" s="307">
        <f>COUNTIF(ParticipationMars1[[#This Row],[1]:[31]],code30)</f>
        <v>0</v>
      </c>
      <c r="BF93" s="307">
        <f>COUNTIF(ParticipationMars1[[#This Row],[1]:[31]],Code31)</f>
        <v>0</v>
      </c>
      <c r="BG93" s="307">
        <f>COUNTIF(ParticipationMars1[[#This Row],[1]:[31]],code21)</f>
        <v>0</v>
      </c>
      <c r="BH93" s="307">
        <f>COUNTIF(ParticipationMars1[[#This Row],[1]:[31]],Code24)</f>
        <v>0</v>
      </c>
      <c r="BI93" s="307">
        <f>COUNTIF(ParticipationMars1[[#This Row],[1]:[31]],code18)</f>
        <v>0</v>
      </c>
      <c r="BJ93" s="307">
        <f>COUNTIF(ParticipationMars1[[#This Row],[1]:[31]],code19)</f>
        <v>0</v>
      </c>
      <c r="BK93" s="307">
        <f>COUNTIF(ParticipationMars1[[#This Row],[1]:[31]],code20)</f>
        <v>0</v>
      </c>
      <c r="BL93" s="300">
        <f>COUNTIF(ParticipationMars1[[#This Row],[1]:[31]],code29)</f>
        <v>0</v>
      </c>
      <c r="BM93" s="297"/>
      <c r="BN93" s="297"/>
      <c r="BO93" s="297"/>
      <c r="BP93" s="297"/>
      <c r="BQ93" s="297"/>
      <c r="BR93" s="297"/>
      <c r="BS93" s="297"/>
      <c r="BT93" s="297">
        <v>1</v>
      </c>
      <c r="BU93" s="297"/>
      <c r="BV93" s="297"/>
      <c r="BW93" s="297">
        <v>3</v>
      </c>
      <c r="BX93" s="297"/>
      <c r="BY93" s="297"/>
      <c r="BZ93" s="297"/>
      <c r="CA93" s="297"/>
      <c r="CB93" s="297">
        <v>1</v>
      </c>
      <c r="CC93" s="297"/>
      <c r="CD93" s="297"/>
      <c r="CE93" s="297"/>
      <c r="CF93" s="297"/>
      <c r="CG93" s="297"/>
      <c r="CH93" s="297"/>
      <c r="CI93" s="297"/>
      <c r="CJ93" s="297"/>
      <c r="CK93" s="297"/>
      <c r="CL93" s="297"/>
      <c r="CM93" s="297"/>
      <c r="CN93" s="297"/>
      <c r="CO93" s="297"/>
      <c r="CP93" s="297"/>
      <c r="CQ93" s="297"/>
      <c r="CR93" s="297"/>
      <c r="CS93" s="307"/>
      <c r="CT93" s="307"/>
      <c r="CU93" s="300"/>
      <c r="CV93" s="501">
        <f t="shared" si="6"/>
        <v>0</v>
      </c>
      <c r="CW93" s="501">
        <f t="shared" si="7"/>
        <v>7</v>
      </c>
      <c r="CX93" s="341">
        <f t="shared" si="8"/>
        <v>0</v>
      </c>
      <c r="CY93" s="327"/>
    </row>
    <row r="94" spans="1:103">
      <c r="A94" s="510" t="s">
        <v>435</v>
      </c>
      <c r="B94" s="162" t="str">
        <f>IFERROR(VLOOKUP(ParticipationMars1[[#This Row],[Référence]],ListeÉtudiants1[],18,FALSE),"")</f>
        <v>L'HERMITTE ROMAIN</v>
      </c>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340"/>
      <c r="AH94" s="6">
        <f>COUNTIF(ParticipationMars1[[#This Row],[1]:[31]],Code1)</f>
        <v>0</v>
      </c>
      <c r="AI94" s="475">
        <f>COUNTIF(ParticipationMars1[[#This Row],[1]:[31]],code22)</f>
        <v>0</v>
      </c>
      <c r="AJ94" s="30">
        <f>COUNTIF(ParticipationMars1[[#This Row],[1]:[31]],Code2)</f>
        <v>0</v>
      </c>
      <c r="AK94" s="30">
        <f>COUNTIF(ParticipationMars1[[#This Row],[1]:[31]],Code3)</f>
        <v>0</v>
      </c>
      <c r="AL94" s="30">
        <f>COUNTIF(ParticipationMars1[[#This Row],[1]:[31]],Code4)</f>
        <v>0</v>
      </c>
      <c r="AM94" s="473">
        <f>COUNTIF(ParticipationMars1[[#This Row],[1]:[31]],Code5)</f>
        <v>0</v>
      </c>
      <c r="AN94" s="473">
        <f>COUNTIF(ParticipationMars1[[#This Row],[1]:[31]],Code23)</f>
        <v>0</v>
      </c>
      <c r="AO94" s="473">
        <f>COUNTIF(ParticipationMars1[[#This Row],[1]:[31]],Code6)</f>
        <v>0</v>
      </c>
      <c r="AP94" s="473">
        <f>COUNTIF(ParticipationMars1[[#This Row],[1]:[31]],Code7)</f>
        <v>0</v>
      </c>
      <c r="AQ94" s="473">
        <f>COUNTIF(ParticipationMars1[[#This Row],[1]:[31]],Code8)</f>
        <v>0</v>
      </c>
      <c r="AR94" s="473">
        <f>COUNTIF(ParticipationMars1[[#This Row],[1]:[31]],Code9)</f>
        <v>0</v>
      </c>
      <c r="AS94" s="473">
        <f>COUNTIF(ParticipationMars1[[#This Row],[1]:[31]],Code10)</f>
        <v>0</v>
      </c>
      <c r="AT94" s="473">
        <f>COUNTIF(ParticipationMars1[[#This Row],[1]:[31]],Code11)</f>
        <v>0</v>
      </c>
      <c r="AU94" s="473">
        <f>COUNTIF(ParticipationMars1[[#This Row],[1]:[31]],Code12)</f>
        <v>0</v>
      </c>
      <c r="AV94" s="473">
        <f>COUNTIF(ParticipationMars1[[#This Row],[1]:[31]],Code13)</f>
        <v>0</v>
      </c>
      <c r="AW94" s="473">
        <f>COUNTIF(ParticipationMars1[[#This Row],[1]:[31]],Code14)</f>
        <v>0</v>
      </c>
      <c r="AX94" s="473">
        <f>COUNTIF(ParticipationMars1[[#This Row],[1]:[31]],Code15)</f>
        <v>0</v>
      </c>
      <c r="AY94" s="473">
        <f>COUNTIF(ParticipationMars1[[#This Row],[1]:[31]],Code16)</f>
        <v>0</v>
      </c>
      <c r="AZ94" s="473">
        <f>COUNTIF(ParticipationMars1[[#This Row],[1]:[31]],Code17)</f>
        <v>0</v>
      </c>
      <c r="BA94" s="473">
        <f>COUNTIF(ParticipationMars1[[#This Row],[1]:[31]],Code25)</f>
        <v>0</v>
      </c>
      <c r="BB94" s="473">
        <f>COUNTIF(ParticipationMars1[[#This Row],[1]:[31]],Code26)</f>
        <v>0</v>
      </c>
      <c r="BC94" s="473">
        <f>COUNTIF(ParticipationMars1[[#This Row],[1]:[31]],Code27)</f>
        <v>0</v>
      </c>
      <c r="BD94" s="473">
        <f>COUNTIF(ParticipationMars1[[#This Row],[1]:[31]],Code28)</f>
        <v>0</v>
      </c>
      <c r="BE94" s="473">
        <f>COUNTIF(ParticipationMars1[[#This Row],[1]:[31]],code30)</f>
        <v>0</v>
      </c>
      <c r="BF94" s="473">
        <f>COUNTIF(ParticipationMars1[[#This Row],[1]:[31]],Code31)</f>
        <v>0</v>
      </c>
      <c r="BG94" s="473">
        <f>COUNTIF(ParticipationMars1[[#This Row],[1]:[31]],code21)</f>
        <v>0</v>
      </c>
      <c r="BH94" s="473">
        <f>COUNTIF(ParticipationMars1[[#This Row],[1]:[31]],Code24)</f>
        <v>0</v>
      </c>
      <c r="BI94" s="473">
        <f>COUNTIF(ParticipationMars1[[#This Row],[1]:[31]],code18)</f>
        <v>0</v>
      </c>
      <c r="BJ94" s="473">
        <f>COUNTIF(ParticipationMars1[[#This Row],[1]:[31]],code19)</f>
        <v>0</v>
      </c>
      <c r="BK94" s="473">
        <f>COUNTIF(ParticipationMars1[[#This Row],[1]:[31]],code20)</f>
        <v>0</v>
      </c>
      <c r="BL94" s="516">
        <f>COUNTIF(ParticipationMars1[[#This Row],[1]:[31]],code29)</f>
        <v>0</v>
      </c>
      <c r="BM94" s="472"/>
      <c r="BN94" s="472"/>
      <c r="BO94" s="472"/>
      <c r="BP94" s="472"/>
      <c r="BQ94" s="472"/>
      <c r="BR94" s="472"/>
      <c r="BS94" s="472"/>
      <c r="BT94" s="472"/>
      <c r="BU94" s="472"/>
      <c r="BV94" s="472"/>
      <c r="BW94" s="472"/>
      <c r="BX94" s="472"/>
      <c r="BY94" s="472"/>
      <c r="BZ94" s="472"/>
      <c r="CA94" s="472"/>
      <c r="CB94" s="472"/>
      <c r="CC94" s="472"/>
      <c r="CD94" s="472"/>
      <c r="CE94" s="472"/>
      <c r="CF94" s="472"/>
      <c r="CG94" s="472"/>
      <c r="CH94" s="472"/>
      <c r="CI94" s="472"/>
      <c r="CJ94" s="472"/>
      <c r="CK94" s="472"/>
      <c r="CL94" s="472"/>
      <c r="CM94" s="472"/>
      <c r="CN94" s="472"/>
      <c r="CO94" s="472"/>
      <c r="CP94" s="472"/>
      <c r="CQ94" s="472"/>
      <c r="CR94" s="472"/>
      <c r="CS94" s="473"/>
      <c r="CT94" s="473"/>
      <c r="CU94" s="516"/>
      <c r="CV94" s="533">
        <f>SUM((AH94*1)+(AI94*1.5)+(AJ94*2)+(AK94*3)+(AP94*5)+(AQ94*6)+(AR94*7)+(AU94*2)+(AX94*3)+(AY94*4)+(AZ94*5)+(BB94*3)+(BA94*2)+(BG94*2)+(BC94*2)+(BD94*2)+(BE94*3)+(BF94*3))</f>
        <v>0</v>
      </c>
      <c r="CW94" s="533">
        <f>SUM((AN94*1)+(AM94*2)+(AO94*3)+(AP94*4)+(AT94*5)+(AU94*6)+(AV94*7)+(AW94*7)+(AX94*4)+(AY94*3)+(AZ94*2)+(BA94*4)+(BB94*1)+(BG94*2)+(BC94*5)+(BD94*1)+(BE94*2)+(BF94*3))</f>
        <v>0</v>
      </c>
      <c r="CX94" s="523">
        <f>BH94*1+BL94*3</f>
        <v>0</v>
      </c>
      <c r="CY94" s="512"/>
    </row>
    <row r="95" spans="1:103">
      <c r="A95" s="534" t="s">
        <v>436</v>
      </c>
      <c r="B95" s="162" t="str">
        <f>IFERROR(VLOOKUP(ParticipationMars1[[#This Row],[Référence]],ListeÉtudiants1[],18,FALSE),"")</f>
        <v>LIBON ADRIANA</v>
      </c>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340"/>
      <c r="AH95" s="6">
        <f>COUNTIF(ParticipationMars1[[#This Row],[1]:[31]],Code1)</f>
        <v>0</v>
      </c>
      <c r="AI95" s="475">
        <f>COUNTIF(ParticipationMars1[[#This Row],[1]:[31]],code22)</f>
        <v>0</v>
      </c>
      <c r="AJ95" s="30">
        <f>COUNTIF(ParticipationMars1[[#This Row],[1]:[31]],Code2)</f>
        <v>0</v>
      </c>
      <c r="AK95" s="30">
        <f>COUNTIF(ParticipationMars1[[#This Row],[1]:[31]],Code3)</f>
        <v>0</v>
      </c>
      <c r="AL95" s="30">
        <f>COUNTIF(ParticipationMars1[[#This Row],[1]:[31]],Code4)</f>
        <v>0</v>
      </c>
      <c r="AM95" s="473">
        <f>COUNTIF(ParticipationMars1[[#This Row],[1]:[31]],Code5)</f>
        <v>0</v>
      </c>
      <c r="AN95" s="473">
        <f>COUNTIF(ParticipationMars1[[#This Row],[1]:[31]],Code23)</f>
        <v>0</v>
      </c>
      <c r="AO95" s="473">
        <f>COUNTIF(ParticipationMars1[[#This Row],[1]:[31]],Code6)</f>
        <v>0</v>
      </c>
      <c r="AP95" s="473">
        <f>COUNTIF(ParticipationMars1[[#This Row],[1]:[31]],Code7)</f>
        <v>0</v>
      </c>
      <c r="AQ95" s="473">
        <f>COUNTIF(ParticipationMars1[[#This Row],[1]:[31]],Code8)</f>
        <v>0</v>
      </c>
      <c r="AR95" s="473">
        <f>COUNTIF(ParticipationMars1[[#This Row],[1]:[31]],Code9)</f>
        <v>0</v>
      </c>
      <c r="AS95" s="473">
        <f>COUNTIF(ParticipationMars1[[#This Row],[1]:[31]],Code10)</f>
        <v>0</v>
      </c>
      <c r="AT95" s="473">
        <f>COUNTIF(ParticipationMars1[[#This Row],[1]:[31]],Code11)</f>
        <v>0</v>
      </c>
      <c r="AU95" s="473">
        <f>COUNTIF(ParticipationMars1[[#This Row],[1]:[31]],Code12)</f>
        <v>0</v>
      </c>
      <c r="AV95" s="473">
        <f>COUNTIF(ParticipationMars1[[#This Row],[1]:[31]],Code13)</f>
        <v>0</v>
      </c>
      <c r="AW95" s="473">
        <f>COUNTIF(ParticipationMars1[[#This Row],[1]:[31]],Code14)</f>
        <v>0</v>
      </c>
      <c r="AX95" s="473">
        <f>COUNTIF(ParticipationMars1[[#This Row],[1]:[31]],Code15)</f>
        <v>0</v>
      </c>
      <c r="AY95" s="473">
        <f>COUNTIF(ParticipationMars1[[#This Row],[1]:[31]],Code16)</f>
        <v>0</v>
      </c>
      <c r="AZ95" s="473">
        <f>COUNTIF(ParticipationMars1[[#This Row],[1]:[31]],Code17)</f>
        <v>0</v>
      </c>
      <c r="BA95" s="473">
        <f>COUNTIF(ParticipationMars1[[#This Row],[1]:[31]],Code25)</f>
        <v>0</v>
      </c>
      <c r="BB95" s="473">
        <f>COUNTIF(ParticipationMars1[[#This Row],[1]:[31]],Code26)</f>
        <v>0</v>
      </c>
      <c r="BC95" s="473">
        <f>COUNTIF(ParticipationMars1[[#This Row],[1]:[31]],Code27)</f>
        <v>0</v>
      </c>
      <c r="BD95" s="473">
        <f>COUNTIF(ParticipationMars1[[#This Row],[1]:[31]],Code28)</f>
        <v>0</v>
      </c>
      <c r="BE95" s="473">
        <f>COUNTIF(ParticipationMars1[[#This Row],[1]:[31]],code30)</f>
        <v>0</v>
      </c>
      <c r="BF95" s="473">
        <f>COUNTIF(ParticipationMars1[[#This Row],[1]:[31]],Code31)</f>
        <v>0</v>
      </c>
      <c r="BG95" s="473">
        <f>COUNTIF(ParticipationMars1[[#This Row],[1]:[31]],code21)</f>
        <v>0</v>
      </c>
      <c r="BH95" s="473">
        <f>COUNTIF(ParticipationMars1[[#This Row],[1]:[31]],Code24)</f>
        <v>0</v>
      </c>
      <c r="BI95" s="473">
        <f>COUNTIF(ParticipationMars1[[#This Row],[1]:[31]],code18)</f>
        <v>0</v>
      </c>
      <c r="BJ95" s="473">
        <f>COUNTIF(ParticipationMars1[[#This Row],[1]:[31]],code19)</f>
        <v>0</v>
      </c>
      <c r="BK95" s="473">
        <f>COUNTIF(ParticipationMars1[[#This Row],[1]:[31]],code20)</f>
        <v>0</v>
      </c>
      <c r="BL95" s="516">
        <f>COUNTIF(ParticipationMars1[[#This Row],[1]:[31]],code29)</f>
        <v>0</v>
      </c>
      <c r="BM95" s="472"/>
      <c r="BN95" s="472"/>
      <c r="BO95" s="472"/>
      <c r="BP95" s="472"/>
      <c r="BQ95" s="472"/>
      <c r="BR95" s="472"/>
      <c r="BS95" s="472"/>
      <c r="BT95" s="472"/>
      <c r="BU95" s="472"/>
      <c r="BV95" s="472"/>
      <c r="BW95" s="472"/>
      <c r="BX95" s="472"/>
      <c r="BY95" s="472"/>
      <c r="BZ95" s="472"/>
      <c r="CA95" s="472"/>
      <c r="CB95" s="472"/>
      <c r="CC95" s="472"/>
      <c r="CD95" s="472"/>
      <c r="CE95" s="472"/>
      <c r="CF95" s="472"/>
      <c r="CG95" s="472"/>
      <c r="CH95" s="472"/>
      <c r="CI95" s="472"/>
      <c r="CJ95" s="472"/>
      <c r="CK95" s="472"/>
      <c r="CL95" s="472"/>
      <c r="CM95" s="472"/>
      <c r="CN95" s="472"/>
      <c r="CO95" s="472"/>
      <c r="CP95" s="472"/>
      <c r="CQ95" s="472"/>
      <c r="CR95" s="472"/>
      <c r="CS95" s="473"/>
      <c r="CT95" s="473"/>
      <c r="CU95" s="516"/>
      <c r="CV95" s="533">
        <f>SUM((AH95*1)+(AI95*1.5)+(AJ95*2)+(AK95*3)+(AP95*5)+(AQ95*6)+(AR95*7)+(AU95*2)+(AX95*3)+(AY95*4)+(AZ95*5)+(BB95*3)+(BA95*2)+(BG95*2)+(BC95*2)+(BD95*2)+(BE95*3)+(BF95*3))</f>
        <v>0</v>
      </c>
      <c r="CW95" s="533">
        <f>SUM((AN95*1)+(AM95*2)+(AO95*3)+(AP95*4)+(AT95*5)+(AU95*6)+(AV95*7)+(AW95*7)+(AX95*4)+(AY95*3)+(AZ95*2)+(BA95*4)+(BB95*1)+(BG95*2)+(BC95*5)+(BD95*1)+(BE95*2)+(BF95*3))</f>
        <v>0</v>
      </c>
      <c r="CX95" s="523">
        <f>BH95*1+BL95*3</f>
        <v>0</v>
      </c>
      <c r="CY95" s="512"/>
    </row>
    <row r="96" spans="1:103">
      <c r="A96" s="534" t="s">
        <v>437</v>
      </c>
      <c r="B96" s="162" t="str">
        <f>IFERROR(VLOOKUP(ParticipationMars1[[#This Row],[Référence]],ListeÉtudiants1[],18,FALSE),"")</f>
        <v>LIGER MARION</v>
      </c>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340"/>
      <c r="AH96" s="6">
        <f>COUNTIF(ParticipationMars1[[#This Row],[1]:[31]],Code1)</f>
        <v>0</v>
      </c>
      <c r="AI96" s="475">
        <f>COUNTIF(ParticipationMars1[[#This Row],[1]:[31]],code22)</f>
        <v>0</v>
      </c>
      <c r="AJ96" s="30">
        <f>COUNTIF(ParticipationMars1[[#This Row],[1]:[31]],Code2)</f>
        <v>0</v>
      </c>
      <c r="AK96" s="30">
        <f>COUNTIF(ParticipationMars1[[#This Row],[1]:[31]],Code3)</f>
        <v>0</v>
      </c>
      <c r="AL96" s="30">
        <f>COUNTIF(ParticipationMars1[[#This Row],[1]:[31]],Code4)</f>
        <v>0</v>
      </c>
      <c r="AM96" s="473">
        <f>COUNTIF(ParticipationMars1[[#This Row],[1]:[31]],Code5)</f>
        <v>0</v>
      </c>
      <c r="AN96" s="473">
        <f>COUNTIF(ParticipationMars1[[#This Row],[1]:[31]],Code23)</f>
        <v>0</v>
      </c>
      <c r="AO96" s="473">
        <f>COUNTIF(ParticipationMars1[[#This Row],[1]:[31]],Code6)</f>
        <v>0</v>
      </c>
      <c r="AP96" s="473">
        <f>COUNTIF(ParticipationMars1[[#This Row],[1]:[31]],Code7)</f>
        <v>0</v>
      </c>
      <c r="AQ96" s="473">
        <f>COUNTIF(ParticipationMars1[[#This Row],[1]:[31]],Code8)</f>
        <v>0</v>
      </c>
      <c r="AR96" s="473">
        <f>COUNTIF(ParticipationMars1[[#This Row],[1]:[31]],Code9)</f>
        <v>0</v>
      </c>
      <c r="AS96" s="473">
        <f>COUNTIF(ParticipationMars1[[#This Row],[1]:[31]],Code10)</f>
        <v>0</v>
      </c>
      <c r="AT96" s="473">
        <f>COUNTIF(ParticipationMars1[[#This Row],[1]:[31]],Code11)</f>
        <v>0</v>
      </c>
      <c r="AU96" s="473">
        <f>COUNTIF(ParticipationMars1[[#This Row],[1]:[31]],Code12)</f>
        <v>0</v>
      </c>
      <c r="AV96" s="473">
        <f>COUNTIF(ParticipationMars1[[#This Row],[1]:[31]],Code13)</f>
        <v>0</v>
      </c>
      <c r="AW96" s="473">
        <f>COUNTIF(ParticipationMars1[[#This Row],[1]:[31]],Code14)</f>
        <v>0</v>
      </c>
      <c r="AX96" s="473">
        <f>COUNTIF(ParticipationMars1[[#This Row],[1]:[31]],Code15)</f>
        <v>0</v>
      </c>
      <c r="AY96" s="473">
        <f>COUNTIF(ParticipationMars1[[#This Row],[1]:[31]],Code16)</f>
        <v>0</v>
      </c>
      <c r="AZ96" s="473">
        <f>COUNTIF(ParticipationMars1[[#This Row],[1]:[31]],Code17)</f>
        <v>0</v>
      </c>
      <c r="BA96" s="473">
        <f>COUNTIF(ParticipationMars1[[#This Row],[1]:[31]],Code25)</f>
        <v>0</v>
      </c>
      <c r="BB96" s="473">
        <f>COUNTIF(ParticipationMars1[[#This Row],[1]:[31]],Code26)</f>
        <v>0</v>
      </c>
      <c r="BC96" s="473">
        <f>COUNTIF(ParticipationMars1[[#This Row],[1]:[31]],Code27)</f>
        <v>0</v>
      </c>
      <c r="BD96" s="473">
        <f>COUNTIF(ParticipationMars1[[#This Row],[1]:[31]],Code28)</f>
        <v>0</v>
      </c>
      <c r="BE96" s="473">
        <f>COUNTIF(ParticipationMars1[[#This Row],[1]:[31]],code30)</f>
        <v>0</v>
      </c>
      <c r="BF96" s="473">
        <f>COUNTIF(ParticipationMars1[[#This Row],[1]:[31]],Code31)</f>
        <v>0</v>
      </c>
      <c r="BG96" s="473">
        <f>COUNTIF(ParticipationMars1[[#This Row],[1]:[31]],code21)</f>
        <v>0</v>
      </c>
      <c r="BH96" s="473">
        <f>COUNTIF(ParticipationMars1[[#This Row],[1]:[31]],Code24)</f>
        <v>0</v>
      </c>
      <c r="BI96" s="473">
        <f>COUNTIF(ParticipationMars1[[#This Row],[1]:[31]],code18)</f>
        <v>0</v>
      </c>
      <c r="BJ96" s="473">
        <f>COUNTIF(ParticipationMars1[[#This Row],[1]:[31]],code19)</f>
        <v>0</v>
      </c>
      <c r="BK96" s="473">
        <f>COUNTIF(ParticipationMars1[[#This Row],[1]:[31]],code20)</f>
        <v>0</v>
      </c>
      <c r="BL96" s="516">
        <f>COUNTIF(ParticipationMars1[[#This Row],[1]:[31]],code29)</f>
        <v>0</v>
      </c>
      <c r="BM96" s="472"/>
      <c r="BN96" s="472"/>
      <c r="BO96" s="472"/>
      <c r="BP96" s="472"/>
      <c r="BQ96" s="472"/>
      <c r="BR96" s="472"/>
      <c r="BS96" s="472"/>
      <c r="BT96" s="472"/>
      <c r="BU96" s="472"/>
      <c r="BV96" s="472"/>
      <c r="BW96" s="472"/>
      <c r="BX96" s="472"/>
      <c r="BY96" s="472"/>
      <c r="BZ96" s="472"/>
      <c r="CA96" s="472"/>
      <c r="CB96" s="472"/>
      <c r="CC96" s="472"/>
      <c r="CD96" s="472"/>
      <c r="CE96" s="472"/>
      <c r="CF96" s="472"/>
      <c r="CG96" s="472"/>
      <c r="CH96" s="472"/>
      <c r="CI96" s="472"/>
      <c r="CJ96" s="472"/>
      <c r="CK96" s="472"/>
      <c r="CL96" s="472"/>
      <c r="CM96" s="472"/>
      <c r="CN96" s="472"/>
      <c r="CO96" s="472"/>
      <c r="CP96" s="472"/>
      <c r="CQ96" s="472"/>
      <c r="CR96" s="472"/>
      <c r="CS96" s="473"/>
      <c r="CT96" s="473"/>
      <c r="CU96" s="516"/>
      <c r="CV96" s="533">
        <f>SUM((AH96*1)+(AI96*1.5)+(AJ96*2)+(AK96*3)+(AP96*5)+(AQ96*6)+(AR96*7)+(AU96*2)+(AX96*3)+(AY96*4)+(AZ96*5)+(BB96*3)+(BA96*2)+(BG96*2)+(BC96*2)+(BD96*2)+(BE96*3)+(BF96*3))</f>
        <v>0</v>
      </c>
      <c r="CW96" s="533">
        <f>SUM((AN96*1)+(AM96*2)+(AO96*3)+(AP96*4)+(AT96*5)+(AU96*6)+(AV96*7)+(AW96*7)+(AX96*4)+(AY96*3)+(AZ96*2)+(BA96*4)+(BB96*1)+(BG96*2)+(BC96*5)+(BD96*1)+(BE96*2)+(BF96*3))</f>
        <v>0</v>
      </c>
      <c r="CX96" s="523">
        <f>BH96*1+BL96*3</f>
        <v>0</v>
      </c>
      <c r="CY96" s="512"/>
    </row>
    <row r="97" spans="1:103">
      <c r="A97" s="534" t="s">
        <v>438</v>
      </c>
      <c r="B97" s="162" t="str">
        <f>IFERROR(VLOOKUP(ParticipationMars1[[#This Row],[Référence]],ListeÉtudiants1[],18,FALSE),"")</f>
        <v>MARCHAL RAPHAEL</v>
      </c>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340"/>
      <c r="AH97" s="6">
        <f>COUNTIF(ParticipationMars1[[#This Row],[1]:[31]],Code1)</f>
        <v>0</v>
      </c>
      <c r="AI97" s="475">
        <f>COUNTIF(ParticipationMars1[[#This Row],[1]:[31]],code22)</f>
        <v>0</v>
      </c>
      <c r="AJ97" s="30">
        <f>COUNTIF(ParticipationMars1[[#This Row],[1]:[31]],Code2)</f>
        <v>0</v>
      </c>
      <c r="AK97" s="30">
        <f>COUNTIF(ParticipationMars1[[#This Row],[1]:[31]],Code3)</f>
        <v>0</v>
      </c>
      <c r="AL97" s="30">
        <f>COUNTIF(ParticipationMars1[[#This Row],[1]:[31]],Code4)</f>
        <v>0</v>
      </c>
      <c r="AM97" s="473">
        <f>COUNTIF(ParticipationMars1[[#This Row],[1]:[31]],Code5)</f>
        <v>0</v>
      </c>
      <c r="AN97" s="473">
        <f>COUNTIF(ParticipationMars1[[#This Row],[1]:[31]],Code23)</f>
        <v>0</v>
      </c>
      <c r="AO97" s="473">
        <f>COUNTIF(ParticipationMars1[[#This Row],[1]:[31]],Code6)</f>
        <v>0</v>
      </c>
      <c r="AP97" s="473">
        <f>COUNTIF(ParticipationMars1[[#This Row],[1]:[31]],Code7)</f>
        <v>0</v>
      </c>
      <c r="AQ97" s="473">
        <f>COUNTIF(ParticipationMars1[[#This Row],[1]:[31]],Code8)</f>
        <v>0</v>
      </c>
      <c r="AR97" s="473">
        <f>COUNTIF(ParticipationMars1[[#This Row],[1]:[31]],Code9)</f>
        <v>0</v>
      </c>
      <c r="AS97" s="473">
        <f>COUNTIF(ParticipationMars1[[#This Row],[1]:[31]],Code10)</f>
        <v>0</v>
      </c>
      <c r="AT97" s="473">
        <f>COUNTIF(ParticipationMars1[[#This Row],[1]:[31]],Code11)</f>
        <v>0</v>
      </c>
      <c r="AU97" s="473">
        <f>COUNTIF(ParticipationMars1[[#This Row],[1]:[31]],Code12)</f>
        <v>0</v>
      </c>
      <c r="AV97" s="473">
        <f>COUNTIF(ParticipationMars1[[#This Row],[1]:[31]],Code13)</f>
        <v>0</v>
      </c>
      <c r="AW97" s="473">
        <f>COUNTIF(ParticipationMars1[[#This Row],[1]:[31]],Code14)</f>
        <v>0</v>
      </c>
      <c r="AX97" s="473">
        <f>COUNTIF(ParticipationMars1[[#This Row],[1]:[31]],Code15)</f>
        <v>0</v>
      </c>
      <c r="AY97" s="473">
        <f>COUNTIF(ParticipationMars1[[#This Row],[1]:[31]],Code16)</f>
        <v>0</v>
      </c>
      <c r="AZ97" s="473">
        <f>COUNTIF(ParticipationMars1[[#This Row],[1]:[31]],Code17)</f>
        <v>0</v>
      </c>
      <c r="BA97" s="473">
        <f>COUNTIF(ParticipationMars1[[#This Row],[1]:[31]],Code25)</f>
        <v>0</v>
      </c>
      <c r="BB97" s="473">
        <f>COUNTIF(ParticipationMars1[[#This Row],[1]:[31]],Code26)</f>
        <v>0</v>
      </c>
      <c r="BC97" s="473">
        <f>COUNTIF(ParticipationMars1[[#This Row],[1]:[31]],Code27)</f>
        <v>0</v>
      </c>
      <c r="BD97" s="473">
        <f>COUNTIF(ParticipationMars1[[#This Row],[1]:[31]],Code28)</f>
        <v>0</v>
      </c>
      <c r="BE97" s="473">
        <f>COUNTIF(ParticipationMars1[[#This Row],[1]:[31]],code30)</f>
        <v>0</v>
      </c>
      <c r="BF97" s="473">
        <f>COUNTIF(ParticipationMars1[[#This Row],[1]:[31]],Code31)</f>
        <v>0</v>
      </c>
      <c r="BG97" s="473">
        <f>COUNTIF(ParticipationMars1[[#This Row],[1]:[31]],code21)</f>
        <v>0</v>
      </c>
      <c r="BH97" s="473">
        <f>COUNTIF(ParticipationMars1[[#This Row],[1]:[31]],Code24)</f>
        <v>0</v>
      </c>
      <c r="BI97" s="473">
        <f>COUNTIF(ParticipationMars1[[#This Row],[1]:[31]],code18)</f>
        <v>0</v>
      </c>
      <c r="BJ97" s="473">
        <f>COUNTIF(ParticipationMars1[[#This Row],[1]:[31]],code19)</f>
        <v>0</v>
      </c>
      <c r="BK97" s="473">
        <f>COUNTIF(ParticipationMars1[[#This Row],[1]:[31]],code20)</f>
        <v>0</v>
      </c>
      <c r="BL97" s="516">
        <f>COUNTIF(ParticipationMars1[[#This Row],[1]:[31]],code29)</f>
        <v>0</v>
      </c>
      <c r="BM97" s="472"/>
      <c r="BN97" s="472"/>
      <c r="BO97" s="472"/>
      <c r="BP97" s="472"/>
      <c r="BQ97" s="472"/>
      <c r="BR97" s="472"/>
      <c r="BS97" s="472"/>
      <c r="BT97" s="472"/>
      <c r="BU97" s="472"/>
      <c r="BV97" s="472"/>
      <c r="BW97" s="472"/>
      <c r="BX97" s="472"/>
      <c r="BY97" s="472"/>
      <c r="BZ97" s="472"/>
      <c r="CA97" s="472"/>
      <c r="CB97" s="472"/>
      <c r="CC97" s="472"/>
      <c r="CD97" s="472"/>
      <c r="CE97" s="472"/>
      <c r="CF97" s="472"/>
      <c r="CG97" s="472"/>
      <c r="CH97" s="472"/>
      <c r="CI97" s="472"/>
      <c r="CJ97" s="472"/>
      <c r="CK97" s="472"/>
      <c r="CL97" s="472"/>
      <c r="CM97" s="472"/>
      <c r="CN97" s="472"/>
      <c r="CO97" s="472"/>
      <c r="CP97" s="472"/>
      <c r="CQ97" s="472"/>
      <c r="CR97" s="472"/>
      <c r="CS97" s="473"/>
      <c r="CT97" s="473"/>
      <c r="CU97" s="516"/>
      <c r="CV97" s="533">
        <f>SUM((AH97*1)+(AI97*1.5)+(AJ97*2)+(AK97*3)+(AP97*5)+(AQ97*6)+(AR97*7)+(AU97*2)+(AX97*3)+(AY97*4)+(AZ97*5)+(BB97*3)+(BA97*2)+(BG97*2)+(BC97*2)+(BD97*2)+(BE97*3)+(BF97*3))</f>
        <v>0</v>
      </c>
      <c r="CW97" s="533">
        <f>SUM((AN97*1)+(AM97*2)+(AO97*3)+(AP97*4)+(AT97*5)+(AU97*6)+(AV97*7)+(AW97*7)+(AX97*4)+(AY97*3)+(AZ97*2)+(BA97*4)+(BB97*1)+(BG97*2)+(BC97*5)+(BD97*1)+(BE97*2)+(BF97*3))</f>
        <v>0</v>
      </c>
      <c r="CX97" s="523">
        <f>BH97*1+BL97*3</f>
        <v>0</v>
      </c>
      <c r="CY97" s="512"/>
    </row>
    <row r="98" spans="1:103">
      <c r="A98" s="510" t="s">
        <v>439</v>
      </c>
      <c r="B98" s="162" t="str">
        <f>IFERROR(VLOOKUP(ParticipationMars1[[#This Row],[Référence]],ListeÉtudiants1[],18,FALSE),"")</f>
        <v>MARIE-ANAIS OLIVIER</v>
      </c>
      <c r="C98" s="19"/>
      <c r="D98" s="19"/>
      <c r="E98" s="19"/>
      <c r="F98" s="19"/>
      <c r="G98" s="19"/>
      <c r="H98" s="19"/>
      <c r="I98" s="19"/>
      <c r="J98" s="19"/>
      <c r="K98" s="19"/>
      <c r="L98" s="19"/>
      <c r="M98" s="19"/>
      <c r="N98" s="19"/>
      <c r="O98" s="19"/>
      <c r="P98" s="19"/>
      <c r="Q98" s="19" t="s">
        <v>529</v>
      </c>
      <c r="R98" s="19"/>
      <c r="S98" s="19"/>
      <c r="T98" s="19"/>
      <c r="U98" s="19"/>
      <c r="V98" s="19"/>
      <c r="W98" s="19" t="s">
        <v>35</v>
      </c>
      <c r="X98" s="19"/>
      <c r="Y98" s="19"/>
      <c r="Z98" s="19"/>
      <c r="AA98" s="19"/>
      <c r="AB98" s="19" t="s">
        <v>529</v>
      </c>
      <c r="AC98" s="19"/>
      <c r="AD98" s="19"/>
      <c r="AE98" s="19"/>
      <c r="AF98" s="19"/>
      <c r="AG98" s="144"/>
      <c r="AH98" s="6">
        <f>COUNTIF(ParticipationMars1[[#This Row],[1]:[31]],Code1)</f>
        <v>0</v>
      </c>
      <c r="AI98" s="331">
        <f>COUNTIF(ParticipationMars1[[#This Row],[1]:[31]],code22)</f>
        <v>0</v>
      </c>
      <c r="AJ98" s="30">
        <f>COUNTIF(ParticipationMars1[[#This Row],[1]:[31]],Code2)</f>
        <v>0</v>
      </c>
      <c r="AK98" s="30">
        <f>COUNTIF(ParticipationMars1[[#This Row],[1]:[31]],Code3)</f>
        <v>0</v>
      </c>
      <c r="AL98" s="30">
        <f>COUNTIF(ParticipationMars1[[#This Row],[1]:[31]],Code4)</f>
        <v>0</v>
      </c>
      <c r="AM98" s="307">
        <f>COUNTIF(ParticipationMars1[[#This Row],[1]:[31]],Code5)</f>
        <v>1</v>
      </c>
      <c r="AN98" s="307">
        <f>COUNTIF(ParticipationMars1[[#This Row],[1]:[31]],Code23)</f>
        <v>2</v>
      </c>
      <c r="AO98" s="307">
        <f>COUNTIF(ParticipationMars1[[#This Row],[1]:[31]],Code6)</f>
        <v>0</v>
      </c>
      <c r="AP98" s="307">
        <f>COUNTIF(ParticipationMars1[[#This Row],[1]:[31]],Code7)</f>
        <v>0</v>
      </c>
      <c r="AQ98" s="307">
        <f>COUNTIF(ParticipationMars1[[#This Row],[1]:[31]],Code8)</f>
        <v>0</v>
      </c>
      <c r="AR98" s="307">
        <f>COUNTIF(ParticipationMars1[[#This Row],[1]:[31]],Code9)</f>
        <v>0</v>
      </c>
      <c r="AS98" s="307">
        <f>COUNTIF(ParticipationMars1[[#This Row],[1]:[31]],Code10)</f>
        <v>0</v>
      </c>
      <c r="AT98" s="307">
        <f>COUNTIF(ParticipationMars1[[#This Row],[1]:[31]],Code11)</f>
        <v>0</v>
      </c>
      <c r="AU98" s="30">
        <f>COUNTIF(ParticipationMars1[[#This Row],[1]:[31]],Code12)</f>
        <v>0</v>
      </c>
      <c r="AV98" s="307">
        <f>COUNTIF(ParticipationMars1[[#This Row],[1]:[31]],Code13)</f>
        <v>0</v>
      </c>
      <c r="AW98" s="307">
        <f>COUNTIF(ParticipationMars1[[#This Row],[1]:[31]],Code14)</f>
        <v>0</v>
      </c>
      <c r="AX98" s="307">
        <f>COUNTIF(ParticipationMars1[[#This Row],[1]:[31]],Code15)</f>
        <v>0</v>
      </c>
      <c r="AY98" s="307">
        <f>COUNTIF(ParticipationMars1[[#This Row],[1]:[31]],Code16)</f>
        <v>0</v>
      </c>
      <c r="AZ98" s="307">
        <f>COUNTIF(ParticipationMars1[[#This Row],[1]:[31]],Code17)</f>
        <v>0</v>
      </c>
      <c r="BA98" s="307">
        <f>COUNTIF(ParticipationMars1[[#This Row],[1]:[31]],Code25)</f>
        <v>0</v>
      </c>
      <c r="BB98" s="307">
        <f>COUNTIF(ParticipationMars1[[#This Row],[1]:[31]],Code26)</f>
        <v>0</v>
      </c>
      <c r="BC98" s="307">
        <f>COUNTIF(ParticipationMars1[[#This Row],[1]:[31]],Code27)</f>
        <v>0</v>
      </c>
      <c r="BD98" s="307">
        <f>COUNTIF(ParticipationMars1[[#This Row],[1]:[31]],Code28)</f>
        <v>0</v>
      </c>
      <c r="BE98" s="307">
        <f>COUNTIF(ParticipationMars1[[#This Row],[1]:[31]],code30)</f>
        <v>0</v>
      </c>
      <c r="BF98" s="307">
        <f>COUNTIF(ParticipationMars1[[#This Row],[1]:[31]],Code31)</f>
        <v>0</v>
      </c>
      <c r="BG98" s="307">
        <f>COUNTIF(ParticipationMars1[[#This Row],[1]:[31]],code21)</f>
        <v>0</v>
      </c>
      <c r="BH98" s="307">
        <f>COUNTIF(ParticipationMars1[[#This Row],[1]:[31]],Code24)</f>
        <v>0</v>
      </c>
      <c r="BI98" s="307">
        <f>COUNTIF(ParticipationMars1[[#This Row],[1]:[31]],code18)</f>
        <v>0</v>
      </c>
      <c r="BJ98" s="307">
        <f>COUNTIF(ParticipationMars1[[#This Row],[1]:[31]],code19)</f>
        <v>0</v>
      </c>
      <c r="BK98" s="307">
        <f>COUNTIF(ParticipationMars1[[#This Row],[1]:[31]],code20)</f>
        <v>0</v>
      </c>
      <c r="BL98" s="300">
        <f>COUNTIF(ParticipationMars1[[#This Row],[1]:[31]],code29)</f>
        <v>0</v>
      </c>
      <c r="BM98" s="297"/>
      <c r="BN98" s="297"/>
      <c r="BO98" s="297"/>
      <c r="BP98" s="297"/>
      <c r="BQ98" s="297"/>
      <c r="BR98" s="297"/>
      <c r="BS98" s="297"/>
      <c r="BT98" s="297"/>
      <c r="BU98" s="297"/>
      <c r="BV98" s="297"/>
      <c r="BW98" s="297">
        <v>3</v>
      </c>
      <c r="BX98" s="297"/>
      <c r="BY98" s="297"/>
      <c r="BZ98" s="297"/>
      <c r="CA98" s="297"/>
      <c r="CB98" s="297"/>
      <c r="CC98" s="297"/>
      <c r="CD98" s="297"/>
      <c r="CE98" s="297"/>
      <c r="CF98" s="297"/>
      <c r="CG98" s="297"/>
      <c r="CH98" s="297"/>
      <c r="CI98" s="297"/>
      <c r="CJ98" s="297"/>
      <c r="CK98" s="297"/>
      <c r="CL98" s="297"/>
      <c r="CM98" s="297"/>
      <c r="CN98" s="297"/>
      <c r="CO98" s="297"/>
      <c r="CP98" s="297"/>
      <c r="CQ98" s="297"/>
      <c r="CR98" s="297"/>
      <c r="CS98" s="307"/>
      <c r="CT98" s="307"/>
      <c r="CU98" s="300"/>
      <c r="CV98" s="501">
        <f t="shared" si="6"/>
        <v>0</v>
      </c>
      <c r="CW98" s="501">
        <f t="shared" si="7"/>
        <v>4</v>
      </c>
      <c r="CX98" s="341">
        <f t="shared" si="8"/>
        <v>0</v>
      </c>
      <c r="CY98" s="327"/>
    </row>
    <row r="99" spans="1:103">
      <c r="A99" s="510" t="s">
        <v>440</v>
      </c>
      <c r="B99" s="162" t="str">
        <f>IFERROR(VLOOKUP(ParticipationMars1[[#This Row],[Référence]],ListeÉtudiants1[],18,FALSE),"")</f>
        <v>MATEUS ANDREA</v>
      </c>
      <c r="C99" s="19"/>
      <c r="D99" s="19"/>
      <c r="E99" s="19"/>
      <c r="F99" s="19"/>
      <c r="G99" s="19"/>
      <c r="H99" s="19"/>
      <c r="I99" s="19"/>
      <c r="J99" s="19"/>
      <c r="K99" s="19"/>
      <c r="L99" s="19"/>
      <c r="M99" s="19"/>
      <c r="N99" s="19"/>
      <c r="O99" s="19"/>
      <c r="P99" s="19"/>
      <c r="Q99" s="19" t="s">
        <v>108</v>
      </c>
      <c r="R99" s="19"/>
      <c r="S99" s="19"/>
      <c r="T99" s="19"/>
      <c r="U99" s="19" t="s">
        <v>604</v>
      </c>
      <c r="V99" s="19" t="s">
        <v>620</v>
      </c>
      <c r="W99" s="19"/>
      <c r="X99" s="19"/>
      <c r="Y99" s="19" t="s">
        <v>35</v>
      </c>
      <c r="Z99" s="19"/>
      <c r="AA99" s="19"/>
      <c r="AB99" s="19" t="s">
        <v>529</v>
      </c>
      <c r="AC99" s="19" t="s">
        <v>486</v>
      </c>
      <c r="AD99" s="19"/>
      <c r="AE99" s="19"/>
      <c r="AF99" s="19"/>
      <c r="AG99" s="144"/>
      <c r="AH99" s="6">
        <f>COUNTIF(ParticipationMars1[[#This Row],[1]:[31]],Code1)</f>
        <v>0</v>
      </c>
      <c r="AI99" s="331">
        <f>COUNTIF(ParticipationMars1[[#This Row],[1]:[31]],code22)</f>
        <v>0</v>
      </c>
      <c r="AJ99" s="30">
        <f>COUNTIF(ParticipationMars1[[#This Row],[1]:[31]],Code2)</f>
        <v>0</v>
      </c>
      <c r="AK99" s="30">
        <f>COUNTIF(ParticipationMars1[[#This Row],[1]:[31]],Code3)</f>
        <v>0</v>
      </c>
      <c r="AL99" s="30">
        <f>COUNTIF(ParticipationMars1[[#This Row],[1]:[31]],Code4)</f>
        <v>0</v>
      </c>
      <c r="AM99" s="307">
        <f>COUNTIF(ParticipationMars1[[#This Row],[1]:[31]],Code5)</f>
        <v>1</v>
      </c>
      <c r="AN99" s="307">
        <f>COUNTIF(ParticipationMars1[[#This Row],[1]:[31]],Code23)</f>
        <v>1</v>
      </c>
      <c r="AO99" s="307">
        <f>COUNTIF(ParticipationMars1[[#This Row],[1]:[31]],Code6)</f>
        <v>1</v>
      </c>
      <c r="AP99" s="307">
        <f>COUNTIF(ParticipationMars1[[#This Row],[1]:[31]],Code7)</f>
        <v>0</v>
      </c>
      <c r="AQ99" s="307">
        <f>COUNTIF(ParticipationMars1[[#This Row],[1]:[31]],Code8)</f>
        <v>0</v>
      </c>
      <c r="AR99" s="307">
        <f>COUNTIF(ParticipationMars1[[#This Row],[1]:[31]],Code9)</f>
        <v>0</v>
      </c>
      <c r="AS99" s="307">
        <f>COUNTIF(ParticipationMars1[[#This Row],[1]:[31]],Code10)</f>
        <v>0</v>
      </c>
      <c r="AT99" s="307">
        <f>COUNTIF(ParticipationMars1[[#This Row],[1]:[31]],Code11)</f>
        <v>1</v>
      </c>
      <c r="AU99" s="30">
        <f>COUNTIF(ParticipationMars1[[#This Row],[1]:[31]],Code12)</f>
        <v>0</v>
      </c>
      <c r="AV99" s="307">
        <f>COUNTIF(ParticipationMars1[[#This Row],[1]:[31]],Code13)</f>
        <v>0</v>
      </c>
      <c r="AW99" s="307">
        <f>COUNTIF(ParticipationMars1[[#This Row],[1]:[31]],Code14)</f>
        <v>0</v>
      </c>
      <c r="AX99" s="307">
        <f>COUNTIF(ParticipationMars1[[#This Row],[1]:[31]],Code15)</f>
        <v>0</v>
      </c>
      <c r="AY99" s="307">
        <f>COUNTIF(ParticipationMars1[[#This Row],[1]:[31]],Code16)</f>
        <v>0</v>
      </c>
      <c r="AZ99" s="307">
        <f>COUNTIF(ParticipationMars1[[#This Row],[1]:[31]],Code17)</f>
        <v>0</v>
      </c>
      <c r="BA99" s="307">
        <f>COUNTIF(ParticipationMars1[[#This Row],[1]:[31]],Code25)</f>
        <v>1</v>
      </c>
      <c r="BB99" s="307">
        <f>COUNTIF(ParticipationMars1[[#This Row],[1]:[31]],Code26)</f>
        <v>1</v>
      </c>
      <c r="BC99" s="307">
        <f>COUNTIF(ParticipationMars1[[#This Row],[1]:[31]],Code27)</f>
        <v>0</v>
      </c>
      <c r="BD99" s="307">
        <f>COUNTIF(ParticipationMars1[[#This Row],[1]:[31]],Code28)</f>
        <v>0</v>
      </c>
      <c r="BE99" s="307">
        <f>COUNTIF(ParticipationMars1[[#This Row],[1]:[31]],code30)</f>
        <v>0</v>
      </c>
      <c r="BF99" s="307">
        <f>COUNTIF(ParticipationMars1[[#This Row],[1]:[31]],Code31)</f>
        <v>0</v>
      </c>
      <c r="BG99" s="307">
        <f>COUNTIF(ParticipationMars1[[#This Row],[1]:[31]],code21)</f>
        <v>0</v>
      </c>
      <c r="BH99" s="307">
        <f>COUNTIF(ParticipationMars1[[#This Row],[1]:[31]],Code24)</f>
        <v>0</v>
      </c>
      <c r="BI99" s="307">
        <f>COUNTIF(ParticipationMars1[[#This Row],[1]:[31]],code18)</f>
        <v>0</v>
      </c>
      <c r="BJ99" s="307">
        <f>COUNTIF(ParticipationMars1[[#This Row],[1]:[31]],code19)</f>
        <v>0</v>
      </c>
      <c r="BK99" s="307">
        <f>COUNTIF(ParticipationMars1[[#This Row],[1]:[31]],code20)</f>
        <v>0</v>
      </c>
      <c r="BL99" s="300">
        <f>COUNTIF(ParticipationMars1[[#This Row],[1]:[31]],code29)</f>
        <v>0</v>
      </c>
      <c r="BM99" s="297"/>
      <c r="BN99" s="297"/>
      <c r="BO99" s="297"/>
      <c r="BP99" s="297"/>
      <c r="BQ99" s="297"/>
      <c r="BR99" s="297"/>
      <c r="BS99" s="297"/>
      <c r="BT99" s="297">
        <v>2</v>
      </c>
      <c r="BU99" s="297"/>
      <c r="BV99" s="297"/>
      <c r="BW99" s="297">
        <v>2</v>
      </c>
      <c r="BX99" s="297"/>
      <c r="BY99" s="297"/>
      <c r="BZ99" s="297">
        <v>1</v>
      </c>
      <c r="CA99" s="297"/>
      <c r="CB99" s="297">
        <v>1</v>
      </c>
      <c r="CC99" s="297"/>
      <c r="CD99" s="297"/>
      <c r="CE99" s="297"/>
      <c r="CF99" s="297"/>
      <c r="CG99" s="297">
        <v>2</v>
      </c>
      <c r="CH99" s="297"/>
      <c r="CI99" s="297"/>
      <c r="CJ99" s="297"/>
      <c r="CK99" s="297"/>
      <c r="CL99" s="297"/>
      <c r="CM99" s="297"/>
      <c r="CN99" s="297"/>
      <c r="CO99" s="297"/>
      <c r="CP99" s="297"/>
      <c r="CQ99" s="297"/>
      <c r="CR99" s="297"/>
      <c r="CS99" s="307"/>
      <c r="CT99" s="307"/>
      <c r="CU99" s="300"/>
      <c r="CV99" s="501">
        <f t="shared" si="6"/>
        <v>5</v>
      </c>
      <c r="CW99" s="501">
        <f t="shared" si="7"/>
        <v>16</v>
      </c>
      <c r="CX99" s="341">
        <f t="shared" si="8"/>
        <v>0</v>
      </c>
      <c r="CY99" s="327"/>
    </row>
    <row r="100" spans="1:103">
      <c r="A100" s="534" t="s">
        <v>441</v>
      </c>
      <c r="B100" s="162" t="str">
        <f>IFERROR(VLOOKUP(ParticipationMars1[[#This Row],[Référence]],ListeÉtudiants1[],18,FALSE),"")</f>
        <v>MAWETE  JESSICA</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t="s">
        <v>529</v>
      </c>
      <c r="AB100" s="19" t="s">
        <v>487</v>
      </c>
      <c r="AC100" s="19"/>
      <c r="AD100" s="19" t="s">
        <v>35</v>
      </c>
      <c r="AE100" s="19"/>
      <c r="AF100" s="19"/>
      <c r="AG100" s="144"/>
      <c r="AH100" s="6">
        <f>COUNTIF(ParticipationMars1[[#This Row],[1]:[31]],Code1)</f>
        <v>0</v>
      </c>
      <c r="AI100" s="331">
        <f>COUNTIF(ParticipationMars1[[#This Row],[1]:[31]],code22)</f>
        <v>0</v>
      </c>
      <c r="AJ100" s="30">
        <f>COUNTIF(ParticipationMars1[[#This Row],[1]:[31]],Code2)</f>
        <v>0</v>
      </c>
      <c r="AK100" s="30">
        <f>COUNTIF(ParticipationMars1[[#This Row],[1]:[31]],Code3)</f>
        <v>0</v>
      </c>
      <c r="AL100" s="30">
        <f>COUNTIF(ParticipationMars1[[#This Row],[1]:[31]],Code4)</f>
        <v>0</v>
      </c>
      <c r="AM100" s="307">
        <f>COUNTIF(ParticipationMars1[[#This Row],[1]:[31]],Code5)</f>
        <v>1</v>
      </c>
      <c r="AN100" s="307">
        <f>COUNTIF(ParticipationMars1[[#This Row],[1]:[31]],Code23)</f>
        <v>1</v>
      </c>
      <c r="AO100" s="307">
        <f>COUNTIF(ParticipationMars1[[#This Row],[1]:[31]],Code6)</f>
        <v>0</v>
      </c>
      <c r="AP100" s="307">
        <f>COUNTIF(ParticipationMars1[[#This Row],[1]:[31]],Code7)</f>
        <v>0</v>
      </c>
      <c r="AQ100" s="307">
        <f>COUNTIF(ParticipationMars1[[#This Row],[1]:[31]],Code8)</f>
        <v>0</v>
      </c>
      <c r="AR100" s="307">
        <f>COUNTIF(ParticipationMars1[[#This Row],[1]:[31]],Code9)</f>
        <v>0</v>
      </c>
      <c r="AS100" s="307">
        <f>COUNTIF(ParticipationMars1[[#This Row],[1]:[31]],Code10)</f>
        <v>0</v>
      </c>
      <c r="AT100" s="307">
        <f>COUNTIF(ParticipationMars1[[#This Row],[1]:[31]],Code11)</f>
        <v>0</v>
      </c>
      <c r="AU100" s="30">
        <f>COUNTIF(ParticipationMars1[[#This Row],[1]:[31]],Code12)</f>
        <v>1</v>
      </c>
      <c r="AV100" s="307">
        <f>COUNTIF(ParticipationMars1[[#This Row],[1]:[31]],Code13)</f>
        <v>0</v>
      </c>
      <c r="AW100" s="307">
        <f>COUNTIF(ParticipationMars1[[#This Row],[1]:[31]],Code14)</f>
        <v>0</v>
      </c>
      <c r="AX100" s="307">
        <f>COUNTIF(ParticipationMars1[[#This Row],[1]:[31]],Code15)</f>
        <v>0</v>
      </c>
      <c r="AY100" s="307">
        <f>COUNTIF(ParticipationMars1[[#This Row],[1]:[31]],Code16)</f>
        <v>0</v>
      </c>
      <c r="AZ100" s="307">
        <f>COUNTIF(ParticipationMars1[[#This Row],[1]:[31]],Code17)</f>
        <v>0</v>
      </c>
      <c r="BA100" s="307">
        <f>COUNTIF(ParticipationMars1[[#This Row],[1]:[31]],Code25)</f>
        <v>0</v>
      </c>
      <c r="BB100" s="307">
        <f>COUNTIF(ParticipationMars1[[#This Row],[1]:[31]],Code26)</f>
        <v>0</v>
      </c>
      <c r="BC100" s="307">
        <f>COUNTIF(ParticipationMars1[[#This Row],[1]:[31]],Code27)</f>
        <v>0</v>
      </c>
      <c r="BD100" s="307">
        <f>COUNTIF(ParticipationMars1[[#This Row],[1]:[31]],Code28)</f>
        <v>0</v>
      </c>
      <c r="BE100" s="307">
        <f>COUNTIF(ParticipationMars1[[#This Row],[1]:[31]],code30)</f>
        <v>0</v>
      </c>
      <c r="BF100" s="307">
        <f>COUNTIF(ParticipationMars1[[#This Row],[1]:[31]],Code31)</f>
        <v>0</v>
      </c>
      <c r="BG100" s="307">
        <f>COUNTIF(ParticipationMars1[[#This Row],[1]:[31]],code21)</f>
        <v>0</v>
      </c>
      <c r="BH100" s="307">
        <f>COUNTIF(ParticipationMars1[[#This Row],[1]:[31]],Code24)</f>
        <v>0</v>
      </c>
      <c r="BI100" s="307">
        <f>COUNTIF(ParticipationMars1[[#This Row],[1]:[31]],code18)</f>
        <v>0</v>
      </c>
      <c r="BJ100" s="307">
        <f>COUNTIF(ParticipationMars1[[#This Row],[1]:[31]],code19)</f>
        <v>0</v>
      </c>
      <c r="BK100" s="307">
        <f>COUNTIF(ParticipationMars1[[#This Row],[1]:[31]],code20)</f>
        <v>0</v>
      </c>
      <c r="BL100" s="300">
        <f>COUNTIF(ParticipationMars1[[#This Row],[1]:[31]],code29)</f>
        <v>0</v>
      </c>
      <c r="BM100" s="297"/>
      <c r="BN100" s="297"/>
      <c r="BO100" s="297"/>
      <c r="BP100" s="297"/>
      <c r="BQ100" s="297"/>
      <c r="BR100" s="297"/>
      <c r="BS100" s="297"/>
      <c r="BT100" s="297">
        <v>1</v>
      </c>
      <c r="BU100" s="297"/>
      <c r="BV100" s="297"/>
      <c r="BW100" s="297">
        <v>2</v>
      </c>
      <c r="BX100" s="297"/>
      <c r="BY100" s="297"/>
      <c r="BZ100" s="297"/>
      <c r="CA100" s="297"/>
      <c r="CB100" s="297"/>
      <c r="CC100" s="297"/>
      <c r="CD100" s="297"/>
      <c r="CE100" s="297"/>
      <c r="CF100" s="297"/>
      <c r="CG100" s="297"/>
      <c r="CH100" s="297"/>
      <c r="CI100" s="297"/>
      <c r="CJ100" s="297"/>
      <c r="CK100" s="297">
        <v>1</v>
      </c>
      <c r="CL100" s="297"/>
      <c r="CM100" s="297"/>
      <c r="CN100" s="297"/>
      <c r="CO100" s="297"/>
      <c r="CP100" s="297"/>
      <c r="CQ100" s="297"/>
      <c r="CR100" s="297"/>
      <c r="CS100" s="307"/>
      <c r="CT100" s="307"/>
      <c r="CU100" s="300"/>
      <c r="CV100" s="501">
        <f t="shared" si="6"/>
        <v>2</v>
      </c>
      <c r="CW100" s="501">
        <f t="shared" si="7"/>
        <v>9</v>
      </c>
      <c r="CX100" s="341">
        <f t="shared" si="8"/>
        <v>0</v>
      </c>
      <c r="CY100" s="327"/>
    </row>
    <row r="101" spans="1:103">
      <c r="A101" s="510" t="s">
        <v>442</v>
      </c>
      <c r="B101" s="162" t="str">
        <f>IFERROR(VLOOKUP(ParticipationMars1[[#This Row],[Référence]],ListeÉtudiants1[],18,FALSE),"")</f>
        <v>MAZIERS LAURENCE</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340"/>
      <c r="AH101" s="6">
        <f>COUNTIF(ParticipationMars1[[#This Row],[1]:[31]],Code1)</f>
        <v>0</v>
      </c>
      <c r="AI101" s="6">
        <f>COUNTIF(ParticipationMars1[[#This Row],[1]:[31]],code22)</f>
        <v>0</v>
      </c>
      <c r="AJ101" s="30">
        <f>COUNTIF(ParticipationMars1[[#This Row],[1]:[31]],Code2)</f>
        <v>0</v>
      </c>
      <c r="AK101" s="30">
        <f>COUNTIF(ParticipationMars1[[#This Row],[1]:[31]],Code3)</f>
        <v>0</v>
      </c>
      <c r="AL101" s="30">
        <f>COUNTIF(ParticipationMars1[[#This Row],[1]:[31]],Code4)</f>
        <v>0</v>
      </c>
      <c r="AM101" s="30">
        <f>COUNTIF(ParticipationMars1[[#This Row],[1]:[31]],Code5)</f>
        <v>0</v>
      </c>
      <c r="AN101" s="30">
        <f>COUNTIF(ParticipationMars1[[#This Row],[1]:[31]],Code23)</f>
        <v>0</v>
      </c>
      <c r="AO101" s="30">
        <f>COUNTIF(ParticipationMars1[[#This Row],[1]:[31]],Code6)</f>
        <v>0</v>
      </c>
      <c r="AP101" s="30">
        <f>COUNTIF(ParticipationMars1[[#This Row],[1]:[31]],Code7)</f>
        <v>0</v>
      </c>
      <c r="AQ101" s="30">
        <f>COUNTIF(ParticipationMars1[[#This Row],[1]:[31]],Code8)</f>
        <v>0</v>
      </c>
      <c r="AR101" s="30">
        <f>COUNTIF(ParticipationMars1[[#This Row],[1]:[31]],Code9)</f>
        <v>0</v>
      </c>
      <c r="AS101" s="30">
        <f>COUNTIF(ParticipationMars1[[#This Row],[1]:[31]],Code10)</f>
        <v>0</v>
      </c>
      <c r="AT101" s="30">
        <f>COUNTIF(ParticipationMars1[[#This Row],[1]:[31]],Code11)</f>
        <v>0</v>
      </c>
      <c r="AU101" s="30">
        <f>COUNTIF(ParticipationMars1[[#This Row],[1]:[31]],Code12)</f>
        <v>0</v>
      </c>
      <c r="AV101" s="30">
        <f>COUNTIF(ParticipationMars1[[#This Row],[1]:[31]],Code13)</f>
        <v>0</v>
      </c>
      <c r="AW101" s="30">
        <f>COUNTIF(ParticipationMars1[[#This Row],[1]:[31]],Code14)</f>
        <v>0</v>
      </c>
      <c r="AX101" s="30">
        <f>COUNTIF(ParticipationMars1[[#This Row],[1]:[31]],Code15)</f>
        <v>0</v>
      </c>
      <c r="AY101" s="30">
        <f>COUNTIF(ParticipationMars1[[#This Row],[1]:[31]],Code16)</f>
        <v>0</v>
      </c>
      <c r="AZ101" s="30">
        <f>COUNTIF(ParticipationMars1[[#This Row],[1]:[31]],Code17)</f>
        <v>0</v>
      </c>
      <c r="BA101" s="30">
        <f>COUNTIF(ParticipationMars1[[#This Row],[1]:[31]],Code25)</f>
        <v>0</v>
      </c>
      <c r="BB101" s="30">
        <f>COUNTIF(ParticipationMars1[[#This Row],[1]:[31]],Code26)</f>
        <v>0</v>
      </c>
      <c r="BC101" s="30">
        <f>COUNTIF(ParticipationMars1[[#This Row],[1]:[31]],Code27)</f>
        <v>0</v>
      </c>
      <c r="BD101" s="30">
        <f>COUNTIF(ParticipationMars1[[#This Row],[1]:[31]],Code28)</f>
        <v>0</v>
      </c>
      <c r="BE101" s="30">
        <f>COUNTIF(ParticipationMars1[[#This Row],[1]:[31]],code30)</f>
        <v>0</v>
      </c>
      <c r="BF101" s="30">
        <f>COUNTIF(ParticipationMars1[[#This Row],[1]:[31]],Code31)</f>
        <v>0</v>
      </c>
      <c r="BG101" s="30">
        <f>COUNTIF(ParticipationMars1[[#This Row],[1]:[31]],code21)</f>
        <v>0</v>
      </c>
      <c r="BH101" s="30">
        <f>COUNTIF(ParticipationMars1[[#This Row],[1]:[31]],Code24)</f>
        <v>0</v>
      </c>
      <c r="BI101" s="30">
        <f>COUNTIF(ParticipationMars1[[#This Row],[1]:[31]],code18)</f>
        <v>0</v>
      </c>
      <c r="BJ101" s="30">
        <f>COUNTIF(ParticipationMars1[[#This Row],[1]:[31]],code19)</f>
        <v>0</v>
      </c>
      <c r="BK101" s="30">
        <f>COUNTIF(ParticipationMars1[[#This Row],[1]:[31]],code20)</f>
        <v>0</v>
      </c>
      <c r="BL101" s="164">
        <f>COUNTIF(ParticipationMars1[[#This Row],[1]:[31]],code29)</f>
        <v>0</v>
      </c>
      <c r="BM101" s="139"/>
      <c r="BN101" s="139"/>
      <c r="BO101" s="139"/>
      <c r="BP101" s="139"/>
      <c r="BQ101" s="139"/>
      <c r="BR101" s="139"/>
      <c r="BS101" s="139"/>
      <c r="BT101" s="139"/>
      <c r="BU101" s="139"/>
      <c r="BV101" s="139"/>
      <c r="BW101" s="139"/>
      <c r="BX101" s="139"/>
      <c r="BY101" s="139"/>
      <c r="BZ101" s="139"/>
      <c r="CA101" s="139"/>
      <c r="CB101" s="139"/>
      <c r="CC101" s="139"/>
      <c r="CD101" s="139"/>
      <c r="CE101" s="139"/>
      <c r="CF101" s="139"/>
      <c r="CG101" s="139"/>
      <c r="CH101" s="139"/>
      <c r="CI101" s="139"/>
      <c r="CJ101" s="139"/>
      <c r="CK101" s="139"/>
      <c r="CL101" s="139"/>
      <c r="CM101" s="139"/>
      <c r="CN101" s="139"/>
      <c r="CO101" s="139"/>
      <c r="CP101" s="139"/>
      <c r="CQ101" s="139"/>
      <c r="CR101" s="139"/>
      <c r="CS101" s="30"/>
      <c r="CT101" s="30"/>
      <c r="CU101" s="164"/>
      <c r="CV101" s="501">
        <f t="shared" si="6"/>
        <v>0</v>
      </c>
      <c r="CW101" s="501">
        <f t="shared" si="7"/>
        <v>0</v>
      </c>
      <c r="CX101" s="249">
        <f t="shared" si="8"/>
        <v>0</v>
      </c>
      <c r="CY101" s="170"/>
    </row>
    <row r="102" spans="1:103">
      <c r="A102" s="510" t="s">
        <v>443</v>
      </c>
      <c r="B102" s="162" t="str">
        <f>IFERROR(VLOOKUP(ParticipationMars1[[#This Row],[Référence]],ListeÉtudiants1[],18,FALSE),"")</f>
        <v>MENDES CORREIA GLADYS</v>
      </c>
      <c r="C102" s="19"/>
      <c r="D102" s="19"/>
      <c r="E102" s="19"/>
      <c r="F102" s="19"/>
      <c r="G102" s="19"/>
      <c r="H102" s="19"/>
      <c r="I102" s="19"/>
      <c r="J102" s="19"/>
      <c r="K102" s="19"/>
      <c r="L102" s="19"/>
      <c r="M102" s="19"/>
      <c r="N102" s="19" t="s">
        <v>531</v>
      </c>
      <c r="O102" s="19" t="s">
        <v>612</v>
      </c>
      <c r="P102" s="19" t="s">
        <v>507</v>
      </c>
      <c r="Q102" s="19" t="s">
        <v>109</v>
      </c>
      <c r="R102" s="19"/>
      <c r="S102" s="19"/>
      <c r="T102" s="19"/>
      <c r="U102" s="19" t="s">
        <v>109</v>
      </c>
      <c r="V102" s="19" t="s">
        <v>529</v>
      </c>
      <c r="W102" s="19" t="s">
        <v>488</v>
      </c>
      <c r="X102" s="19" t="s">
        <v>488</v>
      </c>
      <c r="Y102" s="19" t="s">
        <v>627</v>
      </c>
      <c r="Z102" s="19"/>
      <c r="AA102" s="19" t="s">
        <v>529</v>
      </c>
      <c r="AB102" s="19" t="s">
        <v>529</v>
      </c>
      <c r="AC102" s="19"/>
      <c r="AD102" s="19"/>
      <c r="AE102" s="19"/>
      <c r="AF102" s="19"/>
      <c r="AG102" s="144"/>
      <c r="AH102" s="6">
        <f>COUNTIF(ParticipationMars1[[#This Row],[1]:[31]],Code1)</f>
        <v>0</v>
      </c>
      <c r="AI102" s="6">
        <f>COUNTIF(ParticipationMars1[[#This Row],[1]:[31]],code22)</f>
        <v>0</v>
      </c>
      <c r="AJ102" s="30">
        <f>COUNTIF(ParticipationMars1[[#This Row],[1]:[31]],Code2)</f>
        <v>0</v>
      </c>
      <c r="AK102" s="30">
        <f>COUNTIF(ParticipationMars1[[#This Row],[1]:[31]],Code3)</f>
        <v>0</v>
      </c>
      <c r="AL102" s="30">
        <f>COUNTIF(ParticipationMars1[[#This Row],[1]:[31]],Code4)</f>
        <v>0</v>
      </c>
      <c r="AM102" s="30">
        <f>COUNTIF(ParticipationMars1[[#This Row],[1]:[31]],Code5)</f>
        <v>0</v>
      </c>
      <c r="AN102" s="30">
        <f>COUNTIF(ParticipationMars1[[#This Row],[1]:[31]],Code23)</f>
        <v>3</v>
      </c>
      <c r="AO102" s="30">
        <f>COUNTIF(ParticipationMars1[[#This Row],[1]:[31]],Code6)</f>
        <v>0</v>
      </c>
      <c r="AP102" s="30">
        <f>COUNTIF(ParticipationMars1[[#This Row],[1]:[31]],Code7)</f>
        <v>2</v>
      </c>
      <c r="AQ102" s="30">
        <f>COUNTIF(ParticipationMars1[[#This Row],[1]:[31]],Code8)</f>
        <v>0</v>
      </c>
      <c r="AR102" s="30">
        <f>COUNTIF(ParticipationMars1[[#This Row],[1]:[31]],Code9)</f>
        <v>0</v>
      </c>
      <c r="AS102" s="30">
        <f>COUNTIF(ParticipationMars1[[#This Row],[1]:[31]],Code10)</f>
        <v>0</v>
      </c>
      <c r="AT102" s="30">
        <f>COUNTIF(ParticipationMars1[[#This Row],[1]:[31]],Code11)</f>
        <v>0</v>
      </c>
      <c r="AU102" s="30">
        <f>COUNTIF(ParticipationMars1[[#This Row],[1]:[31]],Code12)</f>
        <v>0</v>
      </c>
      <c r="AV102" s="30">
        <f>COUNTIF(ParticipationMars1[[#This Row],[1]:[31]],Code13)</f>
        <v>0</v>
      </c>
      <c r="AW102" s="30">
        <f>COUNTIF(ParticipationMars1[[#This Row],[1]:[31]],Code14)</f>
        <v>2</v>
      </c>
      <c r="AX102" s="30">
        <f>COUNTIF(ParticipationMars1[[#This Row],[1]:[31]],Code15)</f>
        <v>0</v>
      </c>
      <c r="AY102" s="30">
        <f>COUNTIF(ParticipationMars1[[#This Row],[1]:[31]],Code16)</f>
        <v>0</v>
      </c>
      <c r="AZ102" s="30">
        <f>COUNTIF(ParticipationMars1[[#This Row],[1]:[31]],Code17)</f>
        <v>0</v>
      </c>
      <c r="BA102" s="30">
        <f>COUNTIF(ParticipationMars1[[#This Row],[1]:[31]],Code25)</f>
        <v>1</v>
      </c>
      <c r="BB102" s="307">
        <f>COUNTIF(ParticipationMars1[[#This Row],[1]:[31]],Code26)</f>
        <v>0</v>
      </c>
      <c r="BC102" s="30">
        <f>COUNTIF(ParticipationMars1[[#This Row],[1]:[31]],Code27)</f>
        <v>1</v>
      </c>
      <c r="BD102" s="30">
        <f>COUNTIF(ParticipationMars1[[#This Row],[1]:[31]],Code28)</f>
        <v>0</v>
      </c>
      <c r="BE102" s="30">
        <f>COUNTIF(ParticipationMars1[[#This Row],[1]:[31]],code30)</f>
        <v>0</v>
      </c>
      <c r="BF102" s="30">
        <f>COUNTIF(ParticipationMars1[[#This Row],[1]:[31]],Code31)</f>
        <v>0</v>
      </c>
      <c r="BG102" s="30">
        <f>COUNTIF(ParticipationMars1[[#This Row],[1]:[31]],code21)</f>
        <v>1</v>
      </c>
      <c r="BH102" s="30">
        <f>COUNTIF(ParticipationMars1[[#This Row],[1]:[31]],Code24)</f>
        <v>1</v>
      </c>
      <c r="BI102" s="30">
        <f>COUNTIF(ParticipationMars1[[#This Row],[1]:[31]],code18)</f>
        <v>0</v>
      </c>
      <c r="BJ102" s="30">
        <f>COUNTIF(ParticipationMars1[[#This Row],[1]:[31]],code19)</f>
        <v>0</v>
      </c>
      <c r="BK102" s="30">
        <f>COUNTIF(ParticipationMars1[[#This Row],[1]:[31]],code20)</f>
        <v>0</v>
      </c>
      <c r="BL102" s="164">
        <f>COUNTIF(ParticipationMars1[[#This Row],[1]:[31]],code29)</f>
        <v>0</v>
      </c>
      <c r="BM102" s="297"/>
      <c r="BN102" s="297">
        <v>1</v>
      </c>
      <c r="BO102" s="297"/>
      <c r="BP102" s="297"/>
      <c r="BQ102" s="297"/>
      <c r="BR102" s="297"/>
      <c r="BS102" s="297"/>
      <c r="BT102" s="297">
        <v>4</v>
      </c>
      <c r="BU102" s="297"/>
      <c r="BV102" s="297"/>
      <c r="BW102" s="297">
        <v>4</v>
      </c>
      <c r="BX102" s="297"/>
      <c r="BY102" s="297"/>
      <c r="BZ102" s="297">
        <v>1</v>
      </c>
      <c r="CA102" s="297"/>
      <c r="CB102" s="297"/>
      <c r="CC102" s="297"/>
      <c r="CD102" s="297"/>
      <c r="CE102" s="297"/>
      <c r="CF102" s="297"/>
      <c r="CG102" s="297">
        <v>3</v>
      </c>
      <c r="CH102" s="297"/>
      <c r="CI102" s="297"/>
      <c r="CJ102" s="297"/>
      <c r="CK102" s="297">
        <v>1</v>
      </c>
      <c r="CL102" s="297"/>
      <c r="CM102" s="297"/>
      <c r="CN102" s="297"/>
      <c r="CO102" s="297"/>
      <c r="CP102" s="297"/>
      <c r="CQ102" s="297"/>
      <c r="CR102" s="297"/>
      <c r="CS102" s="307"/>
      <c r="CT102" s="307"/>
      <c r="CU102" s="300"/>
      <c r="CV102" s="501">
        <f t="shared" si="6"/>
        <v>16</v>
      </c>
      <c r="CW102" s="501">
        <f t="shared" si="7"/>
        <v>36</v>
      </c>
      <c r="CX102" s="249">
        <f t="shared" si="8"/>
        <v>1</v>
      </c>
      <c r="CY102" s="170">
        <f>SUM((BI102*7)+(BJ102*10)+(BK102*12))</f>
        <v>0</v>
      </c>
    </row>
    <row r="103" spans="1:103">
      <c r="A103" s="534" t="s">
        <v>444</v>
      </c>
      <c r="B103" s="162" t="str">
        <f>IFERROR(VLOOKUP(ParticipationMars1[[#This Row],[Référence]],ListeÉtudiants1[],18,FALSE),"")</f>
        <v>MITRAN IONELA</v>
      </c>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340"/>
      <c r="AH103" s="6">
        <f>COUNTIF(ParticipationMars1[[#This Row],[1]:[31]],Code1)</f>
        <v>0</v>
      </c>
      <c r="AI103" s="6">
        <f>COUNTIF(ParticipationMars1[[#This Row],[1]:[31]],code22)</f>
        <v>0</v>
      </c>
      <c r="AJ103" s="30">
        <f>COUNTIF(ParticipationMars1[[#This Row],[1]:[31]],Code2)</f>
        <v>0</v>
      </c>
      <c r="AK103" s="30">
        <f>COUNTIF(ParticipationMars1[[#This Row],[1]:[31]],Code3)</f>
        <v>0</v>
      </c>
      <c r="AL103" s="30">
        <f>COUNTIF(ParticipationMars1[[#This Row],[1]:[31]],Code4)</f>
        <v>0</v>
      </c>
      <c r="AM103" s="30">
        <f>COUNTIF(ParticipationMars1[[#This Row],[1]:[31]],Code5)</f>
        <v>0</v>
      </c>
      <c r="AN103" s="30">
        <f>COUNTIF(ParticipationMars1[[#This Row],[1]:[31]],Code23)</f>
        <v>0</v>
      </c>
      <c r="AO103" s="30">
        <f>COUNTIF(ParticipationMars1[[#This Row],[1]:[31]],Code6)</f>
        <v>0</v>
      </c>
      <c r="AP103" s="30">
        <f>COUNTIF(ParticipationMars1[[#This Row],[1]:[31]],Code7)</f>
        <v>0</v>
      </c>
      <c r="AQ103" s="30">
        <f>COUNTIF(ParticipationMars1[[#This Row],[1]:[31]],Code8)</f>
        <v>0</v>
      </c>
      <c r="AR103" s="30">
        <f>COUNTIF(ParticipationMars1[[#This Row],[1]:[31]],Code9)</f>
        <v>0</v>
      </c>
      <c r="AS103" s="30">
        <f>COUNTIF(ParticipationMars1[[#This Row],[1]:[31]],Code10)</f>
        <v>0</v>
      </c>
      <c r="AT103" s="30">
        <f>COUNTIF(ParticipationMars1[[#This Row],[1]:[31]],Code11)</f>
        <v>0</v>
      </c>
      <c r="AU103" s="30">
        <f>COUNTIF(ParticipationMars1[[#This Row],[1]:[31]],Code12)</f>
        <v>0</v>
      </c>
      <c r="AV103" s="30">
        <f>COUNTIF(ParticipationMars1[[#This Row],[1]:[31]],Code13)</f>
        <v>0</v>
      </c>
      <c r="AW103" s="30">
        <f>COUNTIF(ParticipationMars1[[#This Row],[1]:[31]],Code14)</f>
        <v>0</v>
      </c>
      <c r="AX103" s="30">
        <f>COUNTIF(ParticipationMars1[[#This Row],[1]:[31]],Code15)</f>
        <v>0</v>
      </c>
      <c r="AY103" s="30">
        <f>COUNTIF(ParticipationMars1[[#This Row],[1]:[31]],Code16)</f>
        <v>0</v>
      </c>
      <c r="AZ103" s="30">
        <f>COUNTIF(ParticipationMars1[[#This Row],[1]:[31]],Code17)</f>
        <v>0</v>
      </c>
      <c r="BA103" s="30">
        <f>COUNTIF(ParticipationMars1[[#This Row],[1]:[31]],Code25)</f>
        <v>0</v>
      </c>
      <c r="BB103" s="30">
        <f>COUNTIF(ParticipationMars1[[#This Row],[1]:[31]],Code26)</f>
        <v>0</v>
      </c>
      <c r="BC103" s="30">
        <f>COUNTIF(ParticipationMars1[[#This Row],[1]:[31]],Code27)</f>
        <v>0</v>
      </c>
      <c r="BD103" s="30">
        <f>COUNTIF(ParticipationMars1[[#This Row],[1]:[31]],Code28)</f>
        <v>0</v>
      </c>
      <c r="BE103" s="30">
        <f>COUNTIF(ParticipationMars1[[#This Row],[1]:[31]],code30)</f>
        <v>0</v>
      </c>
      <c r="BF103" s="30">
        <f>COUNTIF(ParticipationMars1[[#This Row],[1]:[31]],Code31)</f>
        <v>0</v>
      </c>
      <c r="BG103" s="30">
        <f>COUNTIF(ParticipationMars1[[#This Row],[1]:[31]],code21)</f>
        <v>0</v>
      </c>
      <c r="BH103" s="30">
        <f>COUNTIF(ParticipationMars1[[#This Row],[1]:[31]],Code24)</f>
        <v>0</v>
      </c>
      <c r="BI103" s="30">
        <f>COUNTIF(ParticipationMars1[[#This Row],[1]:[31]],code18)</f>
        <v>0</v>
      </c>
      <c r="BJ103" s="30">
        <f>COUNTIF(ParticipationMars1[[#This Row],[1]:[31]],code19)</f>
        <v>0</v>
      </c>
      <c r="BK103" s="30">
        <f>COUNTIF(ParticipationMars1[[#This Row],[1]:[31]],code20)</f>
        <v>0</v>
      </c>
      <c r="BL103" s="164">
        <f>COUNTIF(ParticipationMars1[[#This Row],[1]:[31]],code29)</f>
        <v>0</v>
      </c>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30"/>
      <c r="CT103" s="30"/>
      <c r="CU103" s="164"/>
      <c r="CV103" s="501">
        <f t="shared" si="6"/>
        <v>0</v>
      </c>
      <c r="CW103" s="501">
        <f t="shared" si="7"/>
        <v>0</v>
      </c>
      <c r="CX103" s="249">
        <f t="shared" si="8"/>
        <v>0</v>
      </c>
      <c r="CY103" s="170"/>
    </row>
    <row r="104" spans="1:103">
      <c r="A104" s="510" t="s">
        <v>445</v>
      </c>
      <c r="B104" s="162" t="str">
        <f>IFERROR(VLOOKUP(ParticipationMars1[[#This Row],[Référence]],ListeÉtudiants1[],18,FALSE),"")</f>
        <v>MOREAU NOEMIE</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340"/>
      <c r="AH104" s="6">
        <f>COUNTIF(ParticipationMars1[[#This Row],[1]:[31]],Code1)</f>
        <v>0</v>
      </c>
      <c r="AI104" s="6">
        <f>COUNTIF(ParticipationMars1[[#This Row],[1]:[31]],code22)</f>
        <v>0</v>
      </c>
      <c r="AJ104" s="30">
        <f>COUNTIF(ParticipationMars1[[#This Row],[1]:[31]],Code2)</f>
        <v>0</v>
      </c>
      <c r="AK104" s="30">
        <f>COUNTIF(ParticipationMars1[[#This Row],[1]:[31]],Code3)</f>
        <v>0</v>
      </c>
      <c r="AL104" s="30">
        <f>COUNTIF(ParticipationMars1[[#This Row],[1]:[31]],Code4)</f>
        <v>0</v>
      </c>
      <c r="AM104" s="30">
        <f>COUNTIF(ParticipationMars1[[#This Row],[1]:[31]],Code5)</f>
        <v>0</v>
      </c>
      <c r="AN104" s="30">
        <f>COUNTIF(ParticipationMars1[[#This Row],[1]:[31]],Code23)</f>
        <v>0</v>
      </c>
      <c r="AO104" s="30">
        <f>COUNTIF(ParticipationMars1[[#This Row],[1]:[31]],Code6)</f>
        <v>0</v>
      </c>
      <c r="AP104" s="30">
        <f>COUNTIF(ParticipationMars1[[#This Row],[1]:[31]],Code7)</f>
        <v>0</v>
      </c>
      <c r="AQ104" s="30">
        <f>COUNTIF(ParticipationMars1[[#This Row],[1]:[31]],Code8)</f>
        <v>0</v>
      </c>
      <c r="AR104" s="30">
        <f>COUNTIF(ParticipationMars1[[#This Row],[1]:[31]],Code9)</f>
        <v>0</v>
      </c>
      <c r="AS104" s="30">
        <f>COUNTIF(ParticipationMars1[[#This Row],[1]:[31]],Code10)</f>
        <v>0</v>
      </c>
      <c r="AT104" s="30">
        <f>COUNTIF(ParticipationMars1[[#This Row],[1]:[31]],Code11)</f>
        <v>0</v>
      </c>
      <c r="AU104" s="30">
        <f>COUNTIF(ParticipationMars1[[#This Row],[1]:[31]],Code12)</f>
        <v>0</v>
      </c>
      <c r="AV104" s="30">
        <f>COUNTIF(ParticipationMars1[[#This Row],[1]:[31]],Code13)</f>
        <v>0</v>
      </c>
      <c r="AW104" s="30">
        <f>COUNTIF(ParticipationMars1[[#This Row],[1]:[31]],Code14)</f>
        <v>0</v>
      </c>
      <c r="AX104" s="30">
        <f>COUNTIF(ParticipationMars1[[#This Row],[1]:[31]],Code15)</f>
        <v>0</v>
      </c>
      <c r="AY104" s="30">
        <f>COUNTIF(ParticipationMars1[[#This Row],[1]:[31]],Code16)</f>
        <v>0</v>
      </c>
      <c r="AZ104" s="30">
        <f>COUNTIF(ParticipationMars1[[#This Row],[1]:[31]],Code17)</f>
        <v>0</v>
      </c>
      <c r="BA104" s="30">
        <f>COUNTIF(ParticipationMars1[[#This Row],[1]:[31]],Code25)</f>
        <v>0</v>
      </c>
      <c r="BB104" s="30">
        <f>COUNTIF(ParticipationMars1[[#This Row],[1]:[31]],Code26)</f>
        <v>0</v>
      </c>
      <c r="BC104" s="30">
        <f>COUNTIF(ParticipationMars1[[#This Row],[1]:[31]],Code27)</f>
        <v>0</v>
      </c>
      <c r="BD104" s="30">
        <f>COUNTIF(ParticipationMars1[[#This Row],[1]:[31]],Code28)</f>
        <v>0</v>
      </c>
      <c r="BE104" s="30">
        <f>COUNTIF(ParticipationMars1[[#This Row],[1]:[31]],code30)</f>
        <v>0</v>
      </c>
      <c r="BF104" s="30">
        <f>COUNTIF(ParticipationMars1[[#This Row],[1]:[31]],Code31)</f>
        <v>0</v>
      </c>
      <c r="BG104" s="30">
        <f>COUNTIF(ParticipationMars1[[#This Row],[1]:[31]],code21)</f>
        <v>0</v>
      </c>
      <c r="BH104" s="30">
        <f>COUNTIF(ParticipationMars1[[#This Row],[1]:[31]],Code24)</f>
        <v>0</v>
      </c>
      <c r="BI104" s="30">
        <f>COUNTIF(ParticipationMars1[[#This Row],[1]:[31]],code18)</f>
        <v>0</v>
      </c>
      <c r="BJ104" s="30">
        <f>COUNTIF(ParticipationMars1[[#This Row],[1]:[31]],code19)</f>
        <v>0</v>
      </c>
      <c r="BK104" s="30">
        <f>COUNTIF(ParticipationMars1[[#This Row],[1]:[31]],code20)</f>
        <v>0</v>
      </c>
      <c r="BL104" s="164">
        <f>COUNTIF(ParticipationMars1[[#This Row],[1]:[31]],code29)</f>
        <v>0</v>
      </c>
      <c r="BM104" s="139"/>
      <c r="BN104" s="139"/>
      <c r="BO104" s="139"/>
      <c r="BP104" s="139"/>
      <c r="BQ104" s="139"/>
      <c r="BR104" s="139"/>
      <c r="BS104" s="139"/>
      <c r="BT104" s="139"/>
      <c r="BU104" s="139"/>
      <c r="BV104" s="139"/>
      <c r="BW104" s="139"/>
      <c r="BX104" s="139"/>
      <c r="BY104" s="139"/>
      <c r="BZ104" s="139"/>
      <c r="CA104" s="139"/>
      <c r="CB104" s="139"/>
      <c r="CC104" s="139"/>
      <c r="CD104" s="139"/>
      <c r="CE104" s="139"/>
      <c r="CF104" s="139"/>
      <c r="CG104" s="139"/>
      <c r="CH104" s="139"/>
      <c r="CI104" s="139"/>
      <c r="CJ104" s="139"/>
      <c r="CK104" s="139"/>
      <c r="CL104" s="139"/>
      <c r="CM104" s="139"/>
      <c r="CN104" s="139"/>
      <c r="CO104" s="139"/>
      <c r="CP104" s="139"/>
      <c r="CQ104" s="139"/>
      <c r="CR104" s="139"/>
      <c r="CS104" s="30"/>
      <c r="CT104" s="30"/>
      <c r="CU104" s="164"/>
      <c r="CV104" s="501">
        <f t="shared" si="6"/>
        <v>0</v>
      </c>
      <c r="CW104" s="501">
        <f t="shared" si="7"/>
        <v>0</v>
      </c>
      <c r="CX104" s="249">
        <f t="shared" si="8"/>
        <v>0</v>
      </c>
      <c r="CY104" s="170"/>
    </row>
    <row r="105" spans="1:103">
      <c r="A105" s="534" t="s">
        <v>446</v>
      </c>
      <c r="B105" s="162" t="str">
        <f>IFERROR(VLOOKUP(ParticipationMars1[[#This Row],[Référence]],ListeÉtudiants1[],18,FALSE),"")</f>
        <v>MOUNIER JEANNE</v>
      </c>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340"/>
      <c r="AH105" s="6">
        <f>COUNTIF(ParticipationMars1[[#This Row],[1]:[31]],Code1)</f>
        <v>0</v>
      </c>
      <c r="AI105" s="6">
        <f>COUNTIF(ParticipationMars1[[#This Row],[1]:[31]],code22)</f>
        <v>0</v>
      </c>
      <c r="AJ105" s="30">
        <f>COUNTIF(ParticipationMars1[[#This Row],[1]:[31]],Code2)</f>
        <v>0</v>
      </c>
      <c r="AK105" s="30">
        <f>COUNTIF(ParticipationMars1[[#This Row],[1]:[31]],Code3)</f>
        <v>0</v>
      </c>
      <c r="AL105" s="30">
        <f>COUNTIF(ParticipationMars1[[#This Row],[1]:[31]],Code4)</f>
        <v>0</v>
      </c>
      <c r="AM105" s="30">
        <f>COUNTIF(ParticipationMars1[[#This Row],[1]:[31]],Code5)</f>
        <v>0</v>
      </c>
      <c r="AN105" s="30">
        <f>COUNTIF(ParticipationMars1[[#This Row],[1]:[31]],Code23)</f>
        <v>0</v>
      </c>
      <c r="AO105" s="30">
        <f>COUNTIF(ParticipationMars1[[#This Row],[1]:[31]],Code6)</f>
        <v>0</v>
      </c>
      <c r="AP105" s="30">
        <f>COUNTIF(ParticipationMars1[[#This Row],[1]:[31]],Code7)</f>
        <v>0</v>
      </c>
      <c r="AQ105" s="30">
        <f>COUNTIF(ParticipationMars1[[#This Row],[1]:[31]],Code8)</f>
        <v>0</v>
      </c>
      <c r="AR105" s="30">
        <f>COUNTIF(ParticipationMars1[[#This Row],[1]:[31]],Code9)</f>
        <v>0</v>
      </c>
      <c r="AS105" s="30">
        <f>COUNTIF(ParticipationMars1[[#This Row],[1]:[31]],Code10)</f>
        <v>0</v>
      </c>
      <c r="AT105" s="30">
        <f>COUNTIF(ParticipationMars1[[#This Row],[1]:[31]],Code11)</f>
        <v>0</v>
      </c>
      <c r="AU105" s="30">
        <f>COUNTIF(ParticipationMars1[[#This Row],[1]:[31]],Code12)</f>
        <v>0</v>
      </c>
      <c r="AV105" s="30">
        <f>COUNTIF(ParticipationMars1[[#This Row],[1]:[31]],Code13)</f>
        <v>0</v>
      </c>
      <c r="AW105" s="30">
        <f>COUNTIF(ParticipationMars1[[#This Row],[1]:[31]],Code14)</f>
        <v>0</v>
      </c>
      <c r="AX105" s="30">
        <f>COUNTIF(ParticipationMars1[[#This Row],[1]:[31]],Code15)</f>
        <v>0</v>
      </c>
      <c r="AY105" s="30">
        <f>COUNTIF(ParticipationMars1[[#This Row],[1]:[31]],Code16)</f>
        <v>0</v>
      </c>
      <c r="AZ105" s="30">
        <f>COUNTIF(ParticipationMars1[[#This Row],[1]:[31]],Code17)</f>
        <v>0</v>
      </c>
      <c r="BA105" s="30">
        <f>COUNTIF(ParticipationMars1[[#This Row],[1]:[31]],Code25)</f>
        <v>0</v>
      </c>
      <c r="BB105" s="30">
        <f>COUNTIF(ParticipationMars1[[#This Row],[1]:[31]],Code26)</f>
        <v>0</v>
      </c>
      <c r="BC105" s="30">
        <f>COUNTIF(ParticipationMars1[[#This Row],[1]:[31]],Code27)</f>
        <v>0</v>
      </c>
      <c r="BD105" s="30">
        <f>COUNTIF(ParticipationMars1[[#This Row],[1]:[31]],Code28)</f>
        <v>0</v>
      </c>
      <c r="BE105" s="30">
        <f>COUNTIF(ParticipationMars1[[#This Row],[1]:[31]],code30)</f>
        <v>0</v>
      </c>
      <c r="BF105" s="30">
        <f>COUNTIF(ParticipationMars1[[#This Row],[1]:[31]],Code31)</f>
        <v>0</v>
      </c>
      <c r="BG105" s="30">
        <f>COUNTIF(ParticipationMars1[[#This Row],[1]:[31]],code21)</f>
        <v>0</v>
      </c>
      <c r="BH105" s="30">
        <f>COUNTIF(ParticipationMars1[[#This Row],[1]:[31]],Code24)</f>
        <v>0</v>
      </c>
      <c r="BI105" s="30">
        <f>COUNTIF(ParticipationMars1[[#This Row],[1]:[31]],code18)</f>
        <v>0</v>
      </c>
      <c r="BJ105" s="30">
        <f>COUNTIF(ParticipationMars1[[#This Row],[1]:[31]],code19)</f>
        <v>0</v>
      </c>
      <c r="BK105" s="30">
        <f>COUNTIF(ParticipationMars1[[#This Row],[1]:[31]],code20)</f>
        <v>0</v>
      </c>
      <c r="BL105" s="164">
        <f>COUNTIF(ParticipationMars1[[#This Row],[1]:[31]],code29)</f>
        <v>0</v>
      </c>
      <c r="BM105" s="139"/>
      <c r="BN105" s="139"/>
      <c r="BO105" s="139"/>
      <c r="BP105" s="139"/>
      <c r="BQ105" s="139"/>
      <c r="BR105" s="139"/>
      <c r="BS105" s="139"/>
      <c r="BT105" s="139"/>
      <c r="BU105" s="139"/>
      <c r="BV105" s="139"/>
      <c r="BW105" s="139"/>
      <c r="BX105" s="139"/>
      <c r="BY105" s="139"/>
      <c r="BZ105" s="139"/>
      <c r="CA105" s="139"/>
      <c r="CB105" s="139"/>
      <c r="CC105" s="139"/>
      <c r="CD105" s="139"/>
      <c r="CE105" s="139"/>
      <c r="CF105" s="139"/>
      <c r="CG105" s="139"/>
      <c r="CH105" s="139"/>
      <c r="CI105" s="139"/>
      <c r="CJ105" s="139"/>
      <c r="CK105" s="139"/>
      <c r="CL105" s="139"/>
      <c r="CM105" s="139"/>
      <c r="CN105" s="139"/>
      <c r="CO105" s="139"/>
      <c r="CP105" s="139"/>
      <c r="CQ105" s="139"/>
      <c r="CR105" s="139"/>
      <c r="CS105" s="30"/>
      <c r="CT105" s="30"/>
      <c r="CU105" s="164"/>
      <c r="CV105" s="501">
        <f t="shared" si="6"/>
        <v>0</v>
      </c>
      <c r="CW105" s="501">
        <f t="shared" si="7"/>
        <v>0</v>
      </c>
      <c r="CX105" s="249">
        <f t="shared" si="8"/>
        <v>0</v>
      </c>
      <c r="CY105" s="170"/>
    </row>
    <row r="106" spans="1:103">
      <c r="A106" s="510" t="s">
        <v>447</v>
      </c>
      <c r="B106" s="162" t="str">
        <f>IFERROR(VLOOKUP(ParticipationMars1[[#This Row],[Référence]],ListeÉtudiants1[],18,FALSE),"")</f>
        <v>NGAMFULANGOMA ALEXANDRINE</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340"/>
      <c r="AH106" s="6">
        <f>COUNTIF(ParticipationMars1[[#This Row],[1]:[31]],Code1)</f>
        <v>0</v>
      </c>
      <c r="AI106" s="6">
        <f>COUNTIF(ParticipationMars1[[#This Row],[1]:[31]],code22)</f>
        <v>0</v>
      </c>
      <c r="AJ106" s="30">
        <f>COUNTIF(ParticipationMars1[[#This Row],[1]:[31]],Code2)</f>
        <v>0</v>
      </c>
      <c r="AK106" s="30">
        <f>COUNTIF(ParticipationMars1[[#This Row],[1]:[31]],Code3)</f>
        <v>0</v>
      </c>
      <c r="AL106" s="30">
        <f>COUNTIF(ParticipationMars1[[#This Row],[1]:[31]],Code4)</f>
        <v>0</v>
      </c>
      <c r="AM106" s="30">
        <f>COUNTIF(ParticipationMars1[[#This Row],[1]:[31]],Code5)</f>
        <v>0</v>
      </c>
      <c r="AN106" s="30">
        <f>COUNTIF(ParticipationMars1[[#This Row],[1]:[31]],Code23)</f>
        <v>0</v>
      </c>
      <c r="AO106" s="30">
        <f>COUNTIF(ParticipationMars1[[#This Row],[1]:[31]],Code6)</f>
        <v>0</v>
      </c>
      <c r="AP106" s="30">
        <f>COUNTIF(ParticipationMars1[[#This Row],[1]:[31]],Code7)</f>
        <v>0</v>
      </c>
      <c r="AQ106" s="30">
        <f>COUNTIF(ParticipationMars1[[#This Row],[1]:[31]],Code8)</f>
        <v>0</v>
      </c>
      <c r="AR106" s="30">
        <f>COUNTIF(ParticipationMars1[[#This Row],[1]:[31]],Code9)</f>
        <v>0</v>
      </c>
      <c r="AS106" s="30">
        <f>COUNTIF(ParticipationMars1[[#This Row],[1]:[31]],Code10)</f>
        <v>0</v>
      </c>
      <c r="AT106" s="30">
        <f>COUNTIF(ParticipationMars1[[#This Row],[1]:[31]],Code11)</f>
        <v>0</v>
      </c>
      <c r="AU106" s="30">
        <f>COUNTIF(ParticipationMars1[[#This Row],[1]:[31]],Code12)</f>
        <v>0</v>
      </c>
      <c r="AV106" s="30">
        <f>COUNTIF(ParticipationMars1[[#This Row],[1]:[31]],Code13)</f>
        <v>0</v>
      </c>
      <c r="AW106" s="30">
        <f>COUNTIF(ParticipationMars1[[#This Row],[1]:[31]],Code14)</f>
        <v>0</v>
      </c>
      <c r="AX106" s="30">
        <f>COUNTIF(ParticipationMars1[[#This Row],[1]:[31]],Code15)</f>
        <v>0</v>
      </c>
      <c r="AY106" s="30">
        <f>COUNTIF(ParticipationMars1[[#This Row],[1]:[31]],Code16)</f>
        <v>0</v>
      </c>
      <c r="AZ106" s="30">
        <f>COUNTIF(ParticipationMars1[[#This Row],[1]:[31]],Code17)</f>
        <v>0</v>
      </c>
      <c r="BA106" s="30">
        <f>COUNTIF(ParticipationMars1[[#This Row],[1]:[31]],Code25)</f>
        <v>0</v>
      </c>
      <c r="BB106" s="30">
        <f>COUNTIF(ParticipationMars1[[#This Row],[1]:[31]],Code26)</f>
        <v>0</v>
      </c>
      <c r="BC106" s="30">
        <f>COUNTIF(ParticipationMars1[[#This Row],[1]:[31]],Code27)</f>
        <v>0</v>
      </c>
      <c r="BD106" s="30">
        <f>COUNTIF(ParticipationMars1[[#This Row],[1]:[31]],Code28)</f>
        <v>0</v>
      </c>
      <c r="BE106" s="30">
        <f>COUNTIF(ParticipationMars1[[#This Row],[1]:[31]],code30)</f>
        <v>0</v>
      </c>
      <c r="BF106" s="30">
        <f>COUNTIF(ParticipationMars1[[#This Row],[1]:[31]],Code31)</f>
        <v>0</v>
      </c>
      <c r="BG106" s="30">
        <f>COUNTIF(ParticipationMars1[[#This Row],[1]:[31]],code21)</f>
        <v>0</v>
      </c>
      <c r="BH106" s="30">
        <f>COUNTIF(ParticipationMars1[[#This Row],[1]:[31]],Code24)</f>
        <v>0</v>
      </c>
      <c r="BI106" s="30">
        <f>COUNTIF(ParticipationMars1[[#This Row],[1]:[31]],code18)</f>
        <v>0</v>
      </c>
      <c r="BJ106" s="30">
        <f>COUNTIF(ParticipationMars1[[#This Row],[1]:[31]],code19)</f>
        <v>0</v>
      </c>
      <c r="BK106" s="30">
        <f>COUNTIF(ParticipationMars1[[#This Row],[1]:[31]],code20)</f>
        <v>0</v>
      </c>
      <c r="BL106" s="164">
        <f>COUNTIF(ParticipationMars1[[#This Row],[1]:[31]],code29)</f>
        <v>0</v>
      </c>
      <c r="BM106" s="139"/>
      <c r="BN106" s="139"/>
      <c r="BO106" s="139"/>
      <c r="BP106" s="139"/>
      <c r="BQ106" s="139"/>
      <c r="BR106" s="139"/>
      <c r="BS106" s="139"/>
      <c r="BT106" s="139"/>
      <c r="BU106" s="139"/>
      <c r="BV106" s="139"/>
      <c r="BW106" s="139"/>
      <c r="BX106" s="139"/>
      <c r="BY106" s="139"/>
      <c r="BZ106" s="139"/>
      <c r="CA106" s="139"/>
      <c r="CB106" s="139"/>
      <c r="CC106" s="139"/>
      <c r="CD106" s="139"/>
      <c r="CE106" s="139"/>
      <c r="CF106" s="139"/>
      <c r="CG106" s="139"/>
      <c r="CH106" s="139"/>
      <c r="CI106" s="139"/>
      <c r="CJ106" s="139"/>
      <c r="CK106" s="139"/>
      <c r="CL106" s="139"/>
      <c r="CM106" s="139"/>
      <c r="CN106" s="139"/>
      <c r="CO106" s="139"/>
      <c r="CP106" s="139"/>
      <c r="CQ106" s="139"/>
      <c r="CR106" s="139"/>
      <c r="CS106" s="30"/>
      <c r="CT106" s="30"/>
      <c r="CU106" s="164"/>
      <c r="CV106" s="501">
        <f t="shared" si="6"/>
        <v>0</v>
      </c>
      <c r="CW106" s="501">
        <f t="shared" si="7"/>
        <v>0</v>
      </c>
      <c r="CX106" s="249">
        <f t="shared" si="8"/>
        <v>0</v>
      </c>
      <c r="CY106" s="170"/>
    </row>
    <row r="107" spans="1:103">
      <c r="A107" s="510" t="s">
        <v>448</v>
      </c>
      <c r="B107" s="162" t="str">
        <f>IFERROR(VLOOKUP(ParticipationMars1[[#This Row],[Référence]],ListeÉtudiants1[],18,FALSE),"")</f>
        <v>NGO BONJE ERNESTINE</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340"/>
      <c r="AH107" s="6">
        <f>COUNTIF(ParticipationMars1[[#This Row],[1]:[31]],Code1)</f>
        <v>0</v>
      </c>
      <c r="AI107" s="6">
        <f>COUNTIF(ParticipationMars1[[#This Row],[1]:[31]],code22)</f>
        <v>0</v>
      </c>
      <c r="AJ107" s="30">
        <f>COUNTIF(ParticipationMars1[[#This Row],[1]:[31]],Code2)</f>
        <v>0</v>
      </c>
      <c r="AK107" s="30">
        <f>COUNTIF(ParticipationMars1[[#This Row],[1]:[31]],Code3)</f>
        <v>0</v>
      </c>
      <c r="AL107" s="30">
        <f>COUNTIF(ParticipationMars1[[#This Row],[1]:[31]],Code4)</f>
        <v>0</v>
      </c>
      <c r="AM107" s="30">
        <f>COUNTIF(ParticipationMars1[[#This Row],[1]:[31]],Code5)</f>
        <v>0</v>
      </c>
      <c r="AN107" s="30">
        <f>COUNTIF(ParticipationMars1[[#This Row],[1]:[31]],Code23)</f>
        <v>0</v>
      </c>
      <c r="AO107" s="30">
        <f>COUNTIF(ParticipationMars1[[#This Row],[1]:[31]],Code6)</f>
        <v>0</v>
      </c>
      <c r="AP107" s="30">
        <f>COUNTIF(ParticipationMars1[[#This Row],[1]:[31]],Code7)</f>
        <v>0</v>
      </c>
      <c r="AQ107" s="30">
        <f>COUNTIF(ParticipationMars1[[#This Row],[1]:[31]],Code8)</f>
        <v>0</v>
      </c>
      <c r="AR107" s="30">
        <f>COUNTIF(ParticipationMars1[[#This Row],[1]:[31]],Code9)</f>
        <v>0</v>
      </c>
      <c r="AS107" s="30">
        <f>COUNTIF(ParticipationMars1[[#This Row],[1]:[31]],Code10)</f>
        <v>0</v>
      </c>
      <c r="AT107" s="30">
        <f>COUNTIF(ParticipationMars1[[#This Row],[1]:[31]],Code11)</f>
        <v>0</v>
      </c>
      <c r="AU107" s="30">
        <f>COUNTIF(ParticipationMars1[[#This Row],[1]:[31]],Code12)</f>
        <v>0</v>
      </c>
      <c r="AV107" s="30">
        <f>COUNTIF(ParticipationMars1[[#This Row],[1]:[31]],Code13)</f>
        <v>0</v>
      </c>
      <c r="AW107" s="30">
        <f>COUNTIF(ParticipationMars1[[#This Row],[1]:[31]],Code14)</f>
        <v>0</v>
      </c>
      <c r="AX107" s="30">
        <f>COUNTIF(ParticipationMars1[[#This Row],[1]:[31]],Code15)</f>
        <v>0</v>
      </c>
      <c r="AY107" s="30">
        <f>COUNTIF(ParticipationMars1[[#This Row],[1]:[31]],Code16)</f>
        <v>0</v>
      </c>
      <c r="AZ107" s="30">
        <f>COUNTIF(ParticipationMars1[[#This Row],[1]:[31]],Code17)</f>
        <v>0</v>
      </c>
      <c r="BA107" s="30">
        <f>COUNTIF(ParticipationMars1[[#This Row],[1]:[31]],Code25)</f>
        <v>0</v>
      </c>
      <c r="BB107" s="30">
        <f>COUNTIF(ParticipationMars1[[#This Row],[1]:[31]],Code26)</f>
        <v>0</v>
      </c>
      <c r="BC107" s="30">
        <f>COUNTIF(ParticipationMars1[[#This Row],[1]:[31]],Code27)</f>
        <v>0</v>
      </c>
      <c r="BD107" s="30">
        <f>COUNTIF(ParticipationMars1[[#This Row],[1]:[31]],Code28)</f>
        <v>0</v>
      </c>
      <c r="BE107" s="30">
        <f>COUNTIF(ParticipationMars1[[#This Row],[1]:[31]],code30)</f>
        <v>0</v>
      </c>
      <c r="BF107" s="30">
        <f>COUNTIF(ParticipationMars1[[#This Row],[1]:[31]],Code31)</f>
        <v>0</v>
      </c>
      <c r="BG107" s="30">
        <f>COUNTIF(ParticipationMars1[[#This Row],[1]:[31]],code21)</f>
        <v>0</v>
      </c>
      <c r="BH107" s="30">
        <f>COUNTIF(ParticipationMars1[[#This Row],[1]:[31]],Code24)</f>
        <v>0</v>
      </c>
      <c r="BI107" s="30">
        <f>COUNTIF(ParticipationMars1[[#This Row],[1]:[31]],code18)</f>
        <v>0</v>
      </c>
      <c r="BJ107" s="30">
        <f>COUNTIF(ParticipationMars1[[#This Row],[1]:[31]],code19)</f>
        <v>0</v>
      </c>
      <c r="BK107" s="30">
        <f>COUNTIF(ParticipationMars1[[#This Row],[1]:[31]],code20)</f>
        <v>0</v>
      </c>
      <c r="BL107" s="164">
        <f>COUNTIF(ParticipationMars1[[#This Row],[1]:[31]],code29)</f>
        <v>0</v>
      </c>
      <c r="BM107" s="139"/>
      <c r="BN107" s="139"/>
      <c r="BO107" s="139"/>
      <c r="BP107" s="139"/>
      <c r="BQ107" s="139"/>
      <c r="BR107" s="139"/>
      <c r="BS107" s="139"/>
      <c r="BT107" s="139"/>
      <c r="BU107" s="139"/>
      <c r="BV107" s="139"/>
      <c r="BW107" s="139"/>
      <c r="BX107" s="139"/>
      <c r="BY107" s="139"/>
      <c r="BZ107" s="139"/>
      <c r="CA107" s="139"/>
      <c r="CB107" s="139"/>
      <c r="CC107" s="139"/>
      <c r="CD107" s="139"/>
      <c r="CE107" s="139"/>
      <c r="CF107" s="139"/>
      <c r="CG107" s="139"/>
      <c r="CH107" s="139"/>
      <c r="CI107" s="139"/>
      <c r="CJ107" s="139"/>
      <c r="CK107" s="139"/>
      <c r="CL107" s="139"/>
      <c r="CM107" s="139"/>
      <c r="CN107" s="139"/>
      <c r="CO107" s="139"/>
      <c r="CP107" s="139"/>
      <c r="CQ107" s="139"/>
      <c r="CR107" s="139"/>
      <c r="CS107" s="30"/>
      <c r="CT107" s="30"/>
      <c r="CU107" s="164"/>
      <c r="CV107" s="501">
        <f t="shared" si="6"/>
        <v>0</v>
      </c>
      <c r="CW107" s="501">
        <f t="shared" si="7"/>
        <v>0</v>
      </c>
      <c r="CX107" s="249">
        <f t="shared" si="8"/>
        <v>0</v>
      </c>
      <c r="CY107" s="170"/>
    </row>
    <row r="108" spans="1:103">
      <c r="A108" s="510" t="s">
        <v>449</v>
      </c>
      <c r="B108" s="162" t="str">
        <f>IFERROR(VLOOKUP(ParticipationMars1[[#This Row],[Référence]],ListeÉtudiants1[],18,FALSE),"")</f>
        <v>NIRDE NICOLAS</v>
      </c>
      <c r="C108" s="19"/>
      <c r="D108" s="19"/>
      <c r="E108" s="19"/>
      <c r="F108" s="19"/>
      <c r="G108" s="19"/>
      <c r="H108" s="19"/>
      <c r="I108" s="19"/>
      <c r="J108" s="19"/>
      <c r="K108" s="19"/>
      <c r="L108" s="19"/>
      <c r="M108" s="19"/>
      <c r="N108" s="19"/>
      <c r="O108" s="19"/>
      <c r="P108" s="19"/>
      <c r="Q108" s="19" t="s">
        <v>529</v>
      </c>
      <c r="R108" s="19"/>
      <c r="S108" s="19"/>
      <c r="T108" s="19"/>
      <c r="U108" s="19" t="s">
        <v>108</v>
      </c>
      <c r="V108" s="19" t="s">
        <v>529</v>
      </c>
      <c r="W108" s="19" t="s">
        <v>108</v>
      </c>
      <c r="X108" s="19" t="s">
        <v>488</v>
      </c>
      <c r="Y108" s="506" t="s">
        <v>108</v>
      </c>
      <c r="Z108" s="19"/>
      <c r="AA108" s="19" t="s">
        <v>529</v>
      </c>
      <c r="AB108" s="19" t="s">
        <v>487</v>
      </c>
      <c r="AC108" s="19" t="s">
        <v>109</v>
      </c>
      <c r="AD108" s="19"/>
      <c r="AE108" s="19"/>
      <c r="AF108" s="19"/>
      <c r="AG108" s="144"/>
      <c r="AH108" s="6">
        <f>COUNTIF(ParticipationMars1[[#This Row],[1]:[31]],Code1)</f>
        <v>0</v>
      </c>
      <c r="AI108" s="331">
        <f>COUNTIF(ParticipationMars1[[#This Row],[1]:[31]],code22)</f>
        <v>0</v>
      </c>
      <c r="AJ108" s="30">
        <f>COUNTIF(ParticipationMars1[[#This Row],[1]:[31]],Code2)</f>
        <v>0</v>
      </c>
      <c r="AK108" s="30">
        <f>COUNTIF(ParticipationMars1[[#This Row],[1]:[31]],Code3)</f>
        <v>0</v>
      </c>
      <c r="AL108" s="30">
        <f>COUNTIF(ParticipationMars1[[#This Row],[1]:[31]],Code4)</f>
        <v>0</v>
      </c>
      <c r="AM108" s="307">
        <f>COUNTIF(ParticipationMars1[[#This Row],[1]:[31]],Code5)</f>
        <v>0</v>
      </c>
      <c r="AN108" s="307">
        <f>COUNTIF(ParticipationMars1[[#This Row],[1]:[31]],Code23)</f>
        <v>3</v>
      </c>
      <c r="AO108" s="307">
        <f>COUNTIF(ParticipationMars1[[#This Row],[1]:[31]],Code6)</f>
        <v>3</v>
      </c>
      <c r="AP108" s="307">
        <f>COUNTIF(ParticipationMars1[[#This Row],[1]:[31]],Code7)</f>
        <v>1</v>
      </c>
      <c r="AQ108" s="307">
        <f>COUNTIF(ParticipationMars1[[#This Row],[1]:[31]],Code8)</f>
        <v>0</v>
      </c>
      <c r="AR108" s="307">
        <f>COUNTIF(ParticipationMars1[[#This Row],[1]:[31]],Code9)</f>
        <v>0</v>
      </c>
      <c r="AS108" s="307">
        <f>COUNTIF(ParticipationMars1[[#This Row],[1]:[31]],Code10)</f>
        <v>0</v>
      </c>
      <c r="AT108" s="307">
        <f>COUNTIF(ParticipationMars1[[#This Row],[1]:[31]],Code11)</f>
        <v>0</v>
      </c>
      <c r="AU108" s="30">
        <f>COUNTIF(ParticipationMars1[[#This Row],[1]:[31]],Code12)</f>
        <v>1</v>
      </c>
      <c r="AV108" s="307">
        <f>COUNTIF(ParticipationMars1[[#This Row],[1]:[31]],Code13)</f>
        <v>0</v>
      </c>
      <c r="AW108" s="307">
        <f>COUNTIF(ParticipationMars1[[#This Row],[1]:[31]],Code14)</f>
        <v>1</v>
      </c>
      <c r="AX108" s="307">
        <f>COUNTIF(ParticipationMars1[[#This Row],[1]:[31]],Code15)</f>
        <v>0</v>
      </c>
      <c r="AY108" s="307">
        <f>COUNTIF(ParticipationMars1[[#This Row],[1]:[31]],Code16)</f>
        <v>0</v>
      </c>
      <c r="AZ108" s="307">
        <f>COUNTIF(ParticipationMars1[[#This Row],[1]:[31]],Code17)</f>
        <v>0</v>
      </c>
      <c r="BA108" s="307">
        <f>COUNTIF(ParticipationMars1[[#This Row],[1]:[31]],Code25)</f>
        <v>0</v>
      </c>
      <c r="BB108" s="307">
        <f>COUNTIF(ParticipationMars1[[#This Row],[1]:[31]],Code26)</f>
        <v>0</v>
      </c>
      <c r="BC108" s="307">
        <f>COUNTIF(ParticipationMars1[[#This Row],[1]:[31]],Code27)</f>
        <v>0</v>
      </c>
      <c r="BD108" s="307">
        <f>COUNTIF(ParticipationMars1[[#This Row],[1]:[31]],Code28)</f>
        <v>0</v>
      </c>
      <c r="BE108" s="307">
        <f>COUNTIF(ParticipationMars1[[#This Row],[1]:[31]],code30)</f>
        <v>0</v>
      </c>
      <c r="BF108" s="307">
        <f>COUNTIF(ParticipationMars1[[#This Row],[1]:[31]],Code31)</f>
        <v>0</v>
      </c>
      <c r="BG108" s="307">
        <f>COUNTIF(ParticipationMars1[[#This Row],[1]:[31]],code21)</f>
        <v>0</v>
      </c>
      <c r="BH108" s="307">
        <f>COUNTIF(ParticipationMars1[[#This Row],[1]:[31]],Code24)</f>
        <v>0</v>
      </c>
      <c r="BI108" s="307">
        <f>COUNTIF(ParticipationMars1[[#This Row],[1]:[31]],code18)</f>
        <v>0</v>
      </c>
      <c r="BJ108" s="307">
        <f>COUNTIF(ParticipationMars1[[#This Row],[1]:[31]],code19)</f>
        <v>0</v>
      </c>
      <c r="BK108" s="307">
        <f>COUNTIF(ParticipationMars1[[#This Row],[1]:[31]],code20)</f>
        <v>0</v>
      </c>
      <c r="BL108" s="300">
        <f>COUNTIF(ParticipationMars1[[#This Row],[1]:[31]],code29)</f>
        <v>0</v>
      </c>
      <c r="BM108" s="297"/>
      <c r="BN108" s="297">
        <v>1</v>
      </c>
      <c r="BO108" s="297"/>
      <c r="BP108" s="297"/>
      <c r="BQ108" s="297"/>
      <c r="BR108" s="297"/>
      <c r="BS108" s="297"/>
      <c r="BT108" s="297">
        <v>3</v>
      </c>
      <c r="BU108" s="297"/>
      <c r="BV108" s="297"/>
      <c r="BW108" s="297">
        <v>3</v>
      </c>
      <c r="BX108" s="297"/>
      <c r="BY108" s="297"/>
      <c r="BZ108" s="297">
        <v>1</v>
      </c>
      <c r="CA108" s="297"/>
      <c r="CB108" s="297"/>
      <c r="CC108" s="297"/>
      <c r="CD108" s="297"/>
      <c r="CE108" s="297"/>
      <c r="CF108" s="297"/>
      <c r="CG108" s="297">
        <v>1</v>
      </c>
      <c r="CH108" s="297"/>
      <c r="CI108" s="297"/>
      <c r="CJ108" s="297"/>
      <c r="CK108" s="297">
        <v>2</v>
      </c>
      <c r="CL108" s="297"/>
      <c r="CM108" s="297"/>
      <c r="CN108" s="297"/>
      <c r="CO108" s="297"/>
      <c r="CP108" s="297"/>
      <c r="CQ108" s="297"/>
      <c r="CR108" s="297"/>
      <c r="CS108" s="307"/>
      <c r="CT108" s="307"/>
      <c r="CU108" s="300"/>
      <c r="CV108" s="501">
        <f t="shared" si="6"/>
        <v>7</v>
      </c>
      <c r="CW108" s="501">
        <f t="shared" si="7"/>
        <v>29</v>
      </c>
      <c r="CX108" s="341">
        <f t="shared" si="8"/>
        <v>0</v>
      </c>
      <c r="CY108" s="327"/>
    </row>
    <row r="109" spans="1:103">
      <c r="A109" s="510" t="s">
        <v>450</v>
      </c>
      <c r="B109" s="162" t="str">
        <f>IFERROR(VLOOKUP(ParticipationMars1[[#This Row],[Référence]],ListeÉtudiants1[],18,FALSE),"")</f>
        <v>NOBIAL FABIENNE</v>
      </c>
      <c r="C109" s="19"/>
      <c r="D109" s="19"/>
      <c r="E109" s="19"/>
      <c r="F109" s="19"/>
      <c r="G109" s="19"/>
      <c r="H109" s="19"/>
      <c r="I109" s="19"/>
      <c r="J109" s="19"/>
      <c r="K109" s="19"/>
      <c r="L109" s="19"/>
      <c r="M109" s="19"/>
      <c r="N109" s="19"/>
      <c r="O109" s="19"/>
      <c r="P109" s="19"/>
      <c r="Q109" s="19" t="s">
        <v>529</v>
      </c>
      <c r="R109" s="19"/>
      <c r="S109" s="19"/>
      <c r="T109" s="19"/>
      <c r="U109" s="19"/>
      <c r="V109" s="19"/>
      <c r="W109" s="19"/>
      <c r="X109" s="19" t="s">
        <v>488</v>
      </c>
      <c r="Y109" s="19"/>
      <c r="Z109" s="19"/>
      <c r="AA109" s="19"/>
      <c r="AB109" s="19" t="s">
        <v>529</v>
      </c>
      <c r="AC109" s="19"/>
      <c r="AD109" s="19"/>
      <c r="AE109" s="19"/>
      <c r="AF109" s="19"/>
      <c r="AG109" s="144"/>
      <c r="AH109" s="6">
        <f>COUNTIF(ParticipationMars1[[#This Row],[1]:[31]],Code1)</f>
        <v>0</v>
      </c>
      <c r="AI109" s="331">
        <f>COUNTIF(ParticipationMars1[[#This Row],[1]:[31]],code22)</f>
        <v>0</v>
      </c>
      <c r="AJ109" s="30">
        <f>COUNTIF(ParticipationMars1[[#This Row],[1]:[31]],Code2)</f>
        <v>0</v>
      </c>
      <c r="AK109" s="30">
        <f>COUNTIF(ParticipationMars1[[#This Row],[1]:[31]],Code3)</f>
        <v>0</v>
      </c>
      <c r="AL109" s="30">
        <f>COUNTIF(ParticipationMars1[[#This Row],[1]:[31]],Code4)</f>
        <v>0</v>
      </c>
      <c r="AM109" s="307">
        <f>COUNTIF(ParticipationMars1[[#This Row],[1]:[31]],Code5)</f>
        <v>0</v>
      </c>
      <c r="AN109" s="307">
        <f>COUNTIF(ParticipationMars1[[#This Row],[1]:[31]],Code23)</f>
        <v>2</v>
      </c>
      <c r="AO109" s="307">
        <f>COUNTIF(ParticipationMars1[[#This Row],[1]:[31]],Code6)</f>
        <v>0</v>
      </c>
      <c r="AP109" s="307">
        <f>COUNTIF(ParticipationMars1[[#This Row],[1]:[31]],Code7)</f>
        <v>0</v>
      </c>
      <c r="AQ109" s="307">
        <f>COUNTIF(ParticipationMars1[[#This Row],[1]:[31]],Code8)</f>
        <v>0</v>
      </c>
      <c r="AR109" s="307">
        <f>COUNTIF(ParticipationMars1[[#This Row],[1]:[31]],Code9)</f>
        <v>0</v>
      </c>
      <c r="AS109" s="307">
        <f>COUNTIF(ParticipationMars1[[#This Row],[1]:[31]],Code10)</f>
        <v>0</v>
      </c>
      <c r="AT109" s="307">
        <f>COUNTIF(ParticipationMars1[[#This Row],[1]:[31]],Code11)</f>
        <v>0</v>
      </c>
      <c r="AU109" s="30">
        <f>COUNTIF(ParticipationMars1[[#This Row],[1]:[31]],Code12)</f>
        <v>0</v>
      </c>
      <c r="AV109" s="307">
        <f>COUNTIF(ParticipationMars1[[#This Row],[1]:[31]],Code13)</f>
        <v>0</v>
      </c>
      <c r="AW109" s="307">
        <f>COUNTIF(ParticipationMars1[[#This Row],[1]:[31]],Code14)</f>
        <v>1</v>
      </c>
      <c r="AX109" s="307">
        <f>COUNTIF(ParticipationMars1[[#This Row],[1]:[31]],Code15)</f>
        <v>0</v>
      </c>
      <c r="AY109" s="307">
        <f>COUNTIF(ParticipationMars1[[#This Row],[1]:[31]],Code16)</f>
        <v>0</v>
      </c>
      <c r="AZ109" s="307">
        <f>COUNTIF(ParticipationMars1[[#This Row],[1]:[31]],Code17)</f>
        <v>0</v>
      </c>
      <c r="BA109" s="307">
        <f>COUNTIF(ParticipationMars1[[#This Row],[1]:[31]],Code25)</f>
        <v>0</v>
      </c>
      <c r="BB109" s="307">
        <f>COUNTIF(ParticipationMars1[[#This Row],[1]:[31]],Code26)</f>
        <v>0</v>
      </c>
      <c r="BC109" s="307">
        <f>COUNTIF(ParticipationMars1[[#This Row],[1]:[31]],Code27)</f>
        <v>0</v>
      </c>
      <c r="BD109" s="307">
        <f>COUNTIF(ParticipationMars1[[#This Row],[1]:[31]],Code28)</f>
        <v>0</v>
      </c>
      <c r="BE109" s="307">
        <f>COUNTIF(ParticipationMars1[[#This Row],[1]:[31]],code30)</f>
        <v>0</v>
      </c>
      <c r="BF109" s="307">
        <f>COUNTIF(ParticipationMars1[[#This Row],[1]:[31]],Code31)</f>
        <v>0</v>
      </c>
      <c r="BG109" s="307">
        <f>COUNTIF(ParticipationMars1[[#This Row],[1]:[31]],code21)</f>
        <v>0</v>
      </c>
      <c r="BH109" s="307">
        <f>COUNTIF(ParticipationMars1[[#This Row],[1]:[31]],Code24)</f>
        <v>0</v>
      </c>
      <c r="BI109" s="307">
        <f>COUNTIF(ParticipationMars1[[#This Row],[1]:[31]],code18)</f>
        <v>0</v>
      </c>
      <c r="BJ109" s="307">
        <f>COUNTIF(ParticipationMars1[[#This Row],[1]:[31]],code19)</f>
        <v>0</v>
      </c>
      <c r="BK109" s="307">
        <f>COUNTIF(ParticipationMars1[[#This Row],[1]:[31]],code20)</f>
        <v>0</v>
      </c>
      <c r="BL109" s="300">
        <f>COUNTIF(ParticipationMars1[[#This Row],[1]:[31]],code29)</f>
        <v>0</v>
      </c>
      <c r="BM109" s="297"/>
      <c r="BN109" s="297">
        <v>1</v>
      </c>
      <c r="BO109" s="297"/>
      <c r="BP109" s="297"/>
      <c r="BQ109" s="297"/>
      <c r="BR109" s="297"/>
      <c r="BS109" s="297"/>
      <c r="BT109" s="297"/>
      <c r="BU109" s="297"/>
      <c r="BV109" s="297"/>
      <c r="BW109" s="297">
        <v>1</v>
      </c>
      <c r="BX109" s="297"/>
      <c r="BY109" s="297"/>
      <c r="BZ109" s="297"/>
      <c r="CA109" s="297"/>
      <c r="CB109" s="297"/>
      <c r="CC109" s="297"/>
      <c r="CD109" s="297"/>
      <c r="CE109" s="297"/>
      <c r="CF109" s="297"/>
      <c r="CG109" s="297">
        <v>1</v>
      </c>
      <c r="CH109" s="297"/>
      <c r="CI109" s="297"/>
      <c r="CJ109" s="297"/>
      <c r="CK109" s="297"/>
      <c r="CL109" s="297"/>
      <c r="CM109" s="297"/>
      <c r="CN109" s="297"/>
      <c r="CO109" s="297"/>
      <c r="CP109" s="297"/>
      <c r="CQ109" s="297"/>
      <c r="CR109" s="297"/>
      <c r="CS109" s="307"/>
      <c r="CT109" s="307"/>
      <c r="CU109" s="300"/>
      <c r="CV109" s="501">
        <f t="shared" si="6"/>
        <v>0</v>
      </c>
      <c r="CW109" s="501">
        <f t="shared" si="7"/>
        <v>9</v>
      </c>
      <c r="CX109" s="341">
        <f t="shared" si="8"/>
        <v>0</v>
      </c>
      <c r="CY109" s="327"/>
    </row>
    <row r="110" spans="1:103">
      <c r="A110" s="534" t="s">
        <v>451</v>
      </c>
      <c r="B110" s="162" t="str">
        <f>IFERROR(VLOOKUP(ParticipationMars1[[#This Row],[Référence]],ListeÉtudiants1[],18,FALSE),"")</f>
        <v>OUSSENI-COMBO ROMINAH</v>
      </c>
      <c r="C110" s="19"/>
      <c r="D110" s="19"/>
      <c r="E110" s="19"/>
      <c r="F110" s="19"/>
      <c r="G110" s="19"/>
      <c r="H110" s="19"/>
      <c r="I110" s="19"/>
      <c r="J110" s="19"/>
      <c r="K110" s="19"/>
      <c r="L110" s="19"/>
      <c r="M110" s="19"/>
      <c r="N110" s="19"/>
      <c r="O110" s="19"/>
      <c r="P110" s="19"/>
      <c r="Q110" s="19"/>
      <c r="R110" s="19"/>
      <c r="S110" s="19"/>
      <c r="T110" s="19"/>
      <c r="U110" s="19"/>
      <c r="V110" s="19"/>
      <c r="W110" s="19"/>
      <c r="X110" s="19" t="s">
        <v>488</v>
      </c>
      <c r="Y110" s="19"/>
      <c r="Z110" s="19"/>
      <c r="AA110" s="19"/>
      <c r="AB110" s="19"/>
      <c r="AC110" s="19"/>
      <c r="AD110" s="19"/>
      <c r="AE110" s="19"/>
      <c r="AF110" s="19"/>
      <c r="AG110" s="144"/>
      <c r="AH110" s="6">
        <f>COUNTIF(ParticipationMars1[[#This Row],[1]:[31]],Code1)</f>
        <v>0</v>
      </c>
      <c r="AI110" s="331">
        <f>COUNTIF(ParticipationMars1[[#This Row],[1]:[31]],code22)</f>
        <v>0</v>
      </c>
      <c r="AJ110" s="30">
        <f>COUNTIF(ParticipationMars1[[#This Row],[1]:[31]],Code2)</f>
        <v>0</v>
      </c>
      <c r="AK110" s="30">
        <f>COUNTIF(ParticipationMars1[[#This Row],[1]:[31]],Code3)</f>
        <v>0</v>
      </c>
      <c r="AL110" s="30">
        <f>COUNTIF(ParticipationMars1[[#This Row],[1]:[31]],Code4)</f>
        <v>0</v>
      </c>
      <c r="AM110" s="307">
        <f>COUNTIF(ParticipationMars1[[#This Row],[1]:[31]],Code5)</f>
        <v>0</v>
      </c>
      <c r="AN110" s="307">
        <f>COUNTIF(ParticipationMars1[[#This Row],[1]:[31]],Code23)</f>
        <v>0</v>
      </c>
      <c r="AO110" s="307">
        <f>COUNTIF(ParticipationMars1[[#This Row],[1]:[31]],Code6)</f>
        <v>0</v>
      </c>
      <c r="AP110" s="307">
        <f>COUNTIF(ParticipationMars1[[#This Row],[1]:[31]],Code7)</f>
        <v>0</v>
      </c>
      <c r="AQ110" s="307">
        <f>COUNTIF(ParticipationMars1[[#This Row],[1]:[31]],Code8)</f>
        <v>0</v>
      </c>
      <c r="AR110" s="307">
        <f>COUNTIF(ParticipationMars1[[#This Row],[1]:[31]],Code9)</f>
        <v>0</v>
      </c>
      <c r="AS110" s="307">
        <f>COUNTIF(ParticipationMars1[[#This Row],[1]:[31]],Code10)</f>
        <v>0</v>
      </c>
      <c r="AT110" s="307">
        <f>COUNTIF(ParticipationMars1[[#This Row],[1]:[31]],Code11)</f>
        <v>0</v>
      </c>
      <c r="AU110" s="30">
        <f>COUNTIF(ParticipationMars1[[#This Row],[1]:[31]],Code12)</f>
        <v>0</v>
      </c>
      <c r="AV110" s="307">
        <f>COUNTIF(ParticipationMars1[[#This Row],[1]:[31]],Code13)</f>
        <v>0</v>
      </c>
      <c r="AW110" s="307">
        <f>COUNTIF(ParticipationMars1[[#This Row],[1]:[31]],Code14)</f>
        <v>1</v>
      </c>
      <c r="AX110" s="307">
        <f>COUNTIF(ParticipationMars1[[#This Row],[1]:[31]],Code15)</f>
        <v>0</v>
      </c>
      <c r="AY110" s="307">
        <f>COUNTIF(ParticipationMars1[[#This Row],[1]:[31]],Code16)</f>
        <v>0</v>
      </c>
      <c r="AZ110" s="307">
        <f>COUNTIF(ParticipationMars1[[#This Row],[1]:[31]],Code17)</f>
        <v>0</v>
      </c>
      <c r="BA110" s="307">
        <f>COUNTIF(ParticipationMars1[[#This Row],[1]:[31]],Code25)</f>
        <v>0</v>
      </c>
      <c r="BB110" s="307">
        <f>COUNTIF(ParticipationMars1[[#This Row],[1]:[31]],Code26)</f>
        <v>0</v>
      </c>
      <c r="BC110" s="307">
        <f>COUNTIF(ParticipationMars1[[#This Row],[1]:[31]],Code27)</f>
        <v>0</v>
      </c>
      <c r="BD110" s="307">
        <f>COUNTIF(ParticipationMars1[[#This Row],[1]:[31]],Code28)</f>
        <v>0</v>
      </c>
      <c r="BE110" s="307">
        <f>COUNTIF(ParticipationMars1[[#This Row],[1]:[31]],code30)</f>
        <v>0</v>
      </c>
      <c r="BF110" s="307">
        <f>COUNTIF(ParticipationMars1[[#This Row],[1]:[31]],Code31)</f>
        <v>0</v>
      </c>
      <c r="BG110" s="307">
        <f>COUNTIF(ParticipationMars1[[#This Row],[1]:[31]],code21)</f>
        <v>0</v>
      </c>
      <c r="BH110" s="307">
        <f>COUNTIF(ParticipationMars1[[#This Row],[1]:[31]],Code24)</f>
        <v>0</v>
      </c>
      <c r="BI110" s="307">
        <f>COUNTIF(ParticipationMars1[[#This Row],[1]:[31]],code18)</f>
        <v>0</v>
      </c>
      <c r="BJ110" s="307">
        <f>COUNTIF(ParticipationMars1[[#This Row],[1]:[31]],code19)</f>
        <v>0</v>
      </c>
      <c r="BK110" s="307">
        <f>COUNTIF(ParticipationMars1[[#This Row],[1]:[31]],code20)</f>
        <v>0</v>
      </c>
      <c r="BL110" s="300">
        <f>COUNTIF(ParticipationMars1[[#This Row],[1]:[31]],code29)</f>
        <v>0</v>
      </c>
      <c r="BM110" s="297"/>
      <c r="BN110" s="297">
        <v>1</v>
      </c>
      <c r="BO110" s="297"/>
      <c r="BP110" s="297"/>
      <c r="BQ110" s="297"/>
      <c r="BR110" s="297"/>
      <c r="BS110" s="297"/>
      <c r="BT110" s="297"/>
      <c r="BU110" s="297"/>
      <c r="BV110" s="297"/>
      <c r="BW110" s="297"/>
      <c r="BX110" s="297"/>
      <c r="BY110" s="297"/>
      <c r="BZ110" s="297"/>
      <c r="CA110" s="297"/>
      <c r="CB110" s="297"/>
      <c r="CC110" s="297"/>
      <c r="CD110" s="297"/>
      <c r="CE110" s="297"/>
      <c r="CF110" s="297"/>
      <c r="CG110" s="297">
        <v>1</v>
      </c>
      <c r="CH110" s="297"/>
      <c r="CI110" s="297"/>
      <c r="CJ110" s="297"/>
      <c r="CK110" s="297"/>
      <c r="CL110" s="297"/>
      <c r="CM110" s="297"/>
      <c r="CN110" s="297"/>
      <c r="CO110" s="297"/>
      <c r="CP110" s="297"/>
      <c r="CQ110" s="297"/>
      <c r="CR110" s="297"/>
      <c r="CS110" s="307"/>
      <c r="CT110" s="307"/>
      <c r="CU110" s="300"/>
      <c r="CV110" s="501">
        <f t="shared" si="6"/>
        <v>0</v>
      </c>
      <c r="CW110" s="501">
        <f t="shared" si="7"/>
        <v>7</v>
      </c>
      <c r="CX110" s="341">
        <f t="shared" si="8"/>
        <v>0</v>
      </c>
      <c r="CY110" s="327"/>
    </row>
    <row r="111" spans="1:103">
      <c r="A111" s="510" t="s">
        <v>452</v>
      </c>
      <c r="B111" s="152" t="str">
        <f>IFERROR(VLOOKUP(ParticipationMars1[[#This Row],[Référence]],ListeÉtudiants1[],18,FALSE),"")</f>
        <v>PAPAIL SIMON</v>
      </c>
      <c r="C111" s="19"/>
      <c r="D111" s="19"/>
      <c r="E111" s="19"/>
      <c r="F111" s="19"/>
      <c r="G111" s="19"/>
      <c r="H111" s="19"/>
      <c r="I111" s="19"/>
      <c r="J111" s="19"/>
      <c r="K111" s="19"/>
      <c r="L111" s="19"/>
      <c r="M111" s="19"/>
      <c r="N111" s="19"/>
      <c r="O111" s="19" t="s">
        <v>108</v>
      </c>
      <c r="P111" s="19"/>
      <c r="Q111" s="19"/>
      <c r="R111" s="19"/>
      <c r="S111" s="19"/>
      <c r="T111" s="19"/>
      <c r="U111" s="19"/>
      <c r="V111" s="19"/>
      <c r="W111" s="19" t="s">
        <v>488</v>
      </c>
      <c r="X111" s="19" t="s">
        <v>109</v>
      </c>
      <c r="Y111" s="19"/>
      <c r="Z111" s="19"/>
      <c r="AA111" s="19"/>
      <c r="AB111" s="19" t="s">
        <v>529</v>
      </c>
      <c r="AC111" s="19" t="s">
        <v>35</v>
      </c>
      <c r="AD111" s="19"/>
      <c r="AE111" s="19"/>
      <c r="AF111" s="19"/>
      <c r="AG111" s="144"/>
      <c r="AH111" s="6">
        <f>COUNTIF(ParticipationMars1[[#This Row],[1]:[31]],Code1)</f>
        <v>0</v>
      </c>
      <c r="AI111" s="6">
        <f>COUNTIF(ParticipationMars1[[#This Row],[1]:[31]],code22)</f>
        <v>0</v>
      </c>
      <c r="AJ111" s="30">
        <f>COUNTIF(ParticipationMars1[[#This Row],[1]:[31]],Code2)</f>
        <v>0</v>
      </c>
      <c r="AK111" s="30">
        <f>COUNTIF(ParticipationMars1[[#This Row],[1]:[31]],Code3)</f>
        <v>0</v>
      </c>
      <c r="AL111" s="30">
        <f>COUNTIF(ParticipationMars1[[#This Row],[1]:[31]],Code4)</f>
        <v>0</v>
      </c>
      <c r="AM111" s="30">
        <f>COUNTIF(ParticipationMars1[[#This Row],[1]:[31]],Code5)</f>
        <v>1</v>
      </c>
      <c r="AN111" s="30">
        <f>COUNTIF(ParticipationMars1[[#This Row],[1]:[31]],Code23)</f>
        <v>1</v>
      </c>
      <c r="AO111" s="30">
        <f>COUNTIF(ParticipationMars1[[#This Row],[1]:[31]],Code6)</f>
        <v>1</v>
      </c>
      <c r="AP111" s="30">
        <f>COUNTIF(ParticipationMars1[[#This Row],[1]:[31]],Code7)</f>
        <v>1</v>
      </c>
      <c r="AQ111" s="30">
        <f>COUNTIF(ParticipationMars1[[#This Row],[1]:[31]],Code8)</f>
        <v>0</v>
      </c>
      <c r="AR111" s="30">
        <f>COUNTIF(ParticipationMars1[[#This Row],[1]:[31]],Code9)</f>
        <v>0</v>
      </c>
      <c r="AS111" s="30">
        <f>COUNTIF(ParticipationMars1[[#This Row],[1]:[31]],Code10)</f>
        <v>0</v>
      </c>
      <c r="AT111" s="30">
        <f>COUNTIF(ParticipationMars1[[#This Row],[1]:[31]],Code11)</f>
        <v>0</v>
      </c>
      <c r="AU111" s="30">
        <f>COUNTIF(ParticipationMars1[[#This Row],[1]:[31]],Code12)</f>
        <v>0</v>
      </c>
      <c r="AV111" s="30">
        <f>COUNTIF(ParticipationMars1[[#This Row],[1]:[31]],Code13)</f>
        <v>0</v>
      </c>
      <c r="AW111" s="30">
        <f>COUNTIF(ParticipationMars1[[#This Row],[1]:[31]],Code14)</f>
        <v>1</v>
      </c>
      <c r="AX111" s="30">
        <f>COUNTIF(ParticipationMars1[[#This Row],[1]:[31]],Code15)</f>
        <v>0</v>
      </c>
      <c r="AY111" s="30">
        <f>COUNTIF(ParticipationMars1[[#This Row],[1]:[31]],Code16)</f>
        <v>0</v>
      </c>
      <c r="AZ111" s="30">
        <f>COUNTIF(ParticipationMars1[[#This Row],[1]:[31]],Code17)</f>
        <v>0</v>
      </c>
      <c r="BA111" s="30">
        <f>COUNTIF(ParticipationMars1[[#This Row],[1]:[31]],Code25)</f>
        <v>0</v>
      </c>
      <c r="BB111" s="307">
        <f>COUNTIF(ParticipationMars1[[#This Row],[1]:[31]],Code26)</f>
        <v>0</v>
      </c>
      <c r="BC111" s="30">
        <f>COUNTIF(ParticipationMars1[[#This Row],[1]:[31]],Code27)</f>
        <v>0</v>
      </c>
      <c r="BD111" s="30">
        <f>COUNTIF(ParticipationMars1[[#This Row],[1]:[31]],Code28)</f>
        <v>0</v>
      </c>
      <c r="BE111" s="30">
        <f>COUNTIF(ParticipationMars1[[#This Row],[1]:[31]],code30)</f>
        <v>0</v>
      </c>
      <c r="BF111" s="30">
        <f>COUNTIF(ParticipationMars1[[#This Row],[1]:[31]],Code31)</f>
        <v>0</v>
      </c>
      <c r="BG111" s="30">
        <f>COUNTIF(ParticipationMars1[[#This Row],[1]:[31]],code21)</f>
        <v>0</v>
      </c>
      <c r="BH111" s="30">
        <f>COUNTIF(ParticipationMars1[[#This Row],[1]:[31]],Code24)</f>
        <v>0</v>
      </c>
      <c r="BI111" s="30">
        <f>COUNTIF(ParticipationMars1[[#This Row],[1]:[31]],code18)</f>
        <v>0</v>
      </c>
      <c r="BJ111" s="30">
        <f>COUNTIF(ParticipationMars1[[#This Row],[1]:[31]],code19)</f>
        <v>0</v>
      </c>
      <c r="BK111" s="30">
        <f>COUNTIF(ParticipationMars1[[#This Row],[1]:[31]],code20)</f>
        <v>0</v>
      </c>
      <c r="BL111" s="164">
        <f>COUNTIF(ParticipationMars1[[#This Row],[1]:[31]],code29)</f>
        <v>0</v>
      </c>
      <c r="BM111" s="297"/>
      <c r="BN111" s="297">
        <v>1</v>
      </c>
      <c r="BO111" s="297"/>
      <c r="BP111" s="297"/>
      <c r="BQ111" s="297"/>
      <c r="BR111" s="297"/>
      <c r="BS111" s="297"/>
      <c r="BT111" s="297">
        <v>3</v>
      </c>
      <c r="BU111" s="297"/>
      <c r="BV111" s="297"/>
      <c r="BW111" s="297">
        <v>2</v>
      </c>
      <c r="BX111" s="297"/>
      <c r="BY111" s="297"/>
      <c r="BZ111" s="297"/>
      <c r="CA111" s="297"/>
      <c r="CB111" s="297">
        <v>1</v>
      </c>
      <c r="CC111" s="297"/>
      <c r="CD111" s="297"/>
      <c r="CE111" s="297"/>
      <c r="CF111" s="297"/>
      <c r="CG111" s="297"/>
      <c r="CH111" s="297"/>
      <c r="CI111" s="297"/>
      <c r="CJ111" s="297"/>
      <c r="CK111" s="297"/>
      <c r="CL111" s="297"/>
      <c r="CM111" s="297"/>
      <c r="CN111" s="297"/>
      <c r="CO111" s="297"/>
      <c r="CP111" s="297"/>
      <c r="CQ111" s="297"/>
      <c r="CR111" s="297"/>
      <c r="CS111" s="307"/>
      <c r="CT111" s="307"/>
      <c r="CU111" s="300"/>
      <c r="CV111" s="501">
        <f t="shared" si="6"/>
        <v>5</v>
      </c>
      <c r="CW111" s="501">
        <f t="shared" si="7"/>
        <v>17</v>
      </c>
      <c r="CX111" s="249">
        <f t="shared" si="8"/>
        <v>0</v>
      </c>
      <c r="CY111" s="170">
        <f>SUM(AQ111:CV111)</f>
        <v>13</v>
      </c>
    </row>
    <row r="112" spans="1:103">
      <c r="A112" s="510" t="s">
        <v>453</v>
      </c>
      <c r="B112" s="162" t="str">
        <f>IFERROR(VLOOKUP(ParticipationMars1[[#This Row],[Référence]],ListeÉtudiants1[],18,FALSE),"")</f>
        <v>PICARDET LISSANNDRA</v>
      </c>
      <c r="C112" s="19"/>
      <c r="D112" s="19"/>
      <c r="E112" s="19"/>
      <c r="F112" s="19"/>
      <c r="G112" s="19"/>
      <c r="H112" s="19"/>
      <c r="I112" s="19"/>
      <c r="J112" s="19"/>
      <c r="K112" s="19"/>
      <c r="L112" s="19"/>
      <c r="M112" s="19"/>
      <c r="N112" s="19" t="s">
        <v>531</v>
      </c>
      <c r="O112" s="19" t="s">
        <v>604</v>
      </c>
      <c r="P112" s="19" t="s">
        <v>35</v>
      </c>
      <c r="Q112" s="19" t="s">
        <v>108</v>
      </c>
      <c r="R112" s="19"/>
      <c r="S112" s="19"/>
      <c r="T112" s="19"/>
      <c r="U112" s="19" t="s">
        <v>109</v>
      </c>
      <c r="V112" s="19" t="s">
        <v>529</v>
      </c>
      <c r="W112" s="19" t="s">
        <v>488</v>
      </c>
      <c r="X112" s="19" t="s">
        <v>488</v>
      </c>
      <c r="Y112" s="19" t="s">
        <v>109</v>
      </c>
      <c r="Z112" s="19"/>
      <c r="AA112" s="19" t="s">
        <v>529</v>
      </c>
      <c r="AB112" s="19" t="s">
        <v>487</v>
      </c>
      <c r="AC112" s="19" t="s">
        <v>486</v>
      </c>
      <c r="AD112" s="19" t="s">
        <v>35</v>
      </c>
      <c r="AE112" s="19" t="s">
        <v>529</v>
      </c>
      <c r="AF112" s="141"/>
      <c r="AG112" s="144"/>
      <c r="AH112" s="6">
        <f>COUNTIF(ParticipationMars1[[#This Row],[1]:[31]],Code1)</f>
        <v>0</v>
      </c>
      <c r="AI112" s="6">
        <f>COUNTIF(ParticipationMars1[[#This Row],[1]:[31]],code22)</f>
        <v>0</v>
      </c>
      <c r="AJ112" s="30">
        <f>COUNTIF(ParticipationMars1[[#This Row],[1]:[31]],Code2)</f>
        <v>0</v>
      </c>
      <c r="AK112" s="30">
        <f>COUNTIF(ParticipationMars1[[#This Row],[1]:[31]],Code3)</f>
        <v>0</v>
      </c>
      <c r="AL112" s="30">
        <f>COUNTIF(ParticipationMars1[[#This Row],[1]:[31]],Code4)</f>
        <v>0</v>
      </c>
      <c r="AM112" s="30">
        <f>COUNTIF(ParticipationMars1[[#This Row],[1]:[31]],Code5)</f>
        <v>2</v>
      </c>
      <c r="AN112" s="30">
        <f>COUNTIF(ParticipationMars1[[#This Row],[1]:[31]],Code23)</f>
        <v>3</v>
      </c>
      <c r="AO112" s="30">
        <f>COUNTIF(ParticipationMars1[[#This Row],[1]:[31]],Code6)</f>
        <v>1</v>
      </c>
      <c r="AP112" s="30">
        <f>COUNTIF(ParticipationMars1[[#This Row],[1]:[31]],Code7)</f>
        <v>2</v>
      </c>
      <c r="AQ112" s="30">
        <f>COUNTIF(ParticipationMars1[[#This Row],[1]:[31]],Code8)</f>
        <v>0</v>
      </c>
      <c r="AR112" s="30">
        <f>COUNTIF(ParticipationMars1[[#This Row],[1]:[31]],Code9)</f>
        <v>0</v>
      </c>
      <c r="AS112" s="30">
        <f>COUNTIF(ParticipationMars1[[#This Row],[1]:[31]],Code10)</f>
        <v>0</v>
      </c>
      <c r="AT112" s="30">
        <f>COUNTIF(ParticipationMars1[[#This Row],[1]:[31]],Code11)</f>
        <v>1</v>
      </c>
      <c r="AU112" s="30">
        <f>COUNTIF(ParticipationMars1[[#This Row],[1]:[31]],Code12)</f>
        <v>1</v>
      </c>
      <c r="AV112" s="30">
        <f>COUNTIF(ParticipationMars1[[#This Row],[1]:[31]],Code13)</f>
        <v>0</v>
      </c>
      <c r="AW112" s="30">
        <f>COUNTIF(ParticipationMars1[[#This Row],[1]:[31]],Code14)</f>
        <v>2</v>
      </c>
      <c r="AX112" s="30">
        <f>COUNTIF(ParticipationMars1[[#This Row],[1]:[31]],Code15)</f>
        <v>0</v>
      </c>
      <c r="AY112" s="30">
        <f>COUNTIF(ParticipationMars1[[#This Row],[1]:[31]],Code16)</f>
        <v>0</v>
      </c>
      <c r="AZ112" s="30">
        <f>COUNTIF(ParticipationMars1[[#This Row],[1]:[31]],Code17)</f>
        <v>0</v>
      </c>
      <c r="BA112" s="30">
        <f>COUNTIF(ParticipationMars1[[#This Row],[1]:[31]],Code25)</f>
        <v>1</v>
      </c>
      <c r="BB112" s="307">
        <f>COUNTIF(ParticipationMars1[[#This Row],[1]:[31]],Code26)</f>
        <v>0</v>
      </c>
      <c r="BC112" s="30">
        <f>COUNTIF(ParticipationMars1[[#This Row],[1]:[31]],Code27)</f>
        <v>0</v>
      </c>
      <c r="BD112" s="30">
        <f>COUNTIF(ParticipationMars1[[#This Row],[1]:[31]],Code28)</f>
        <v>0</v>
      </c>
      <c r="BE112" s="30">
        <f>COUNTIF(ParticipationMars1[[#This Row],[1]:[31]],code30)</f>
        <v>0</v>
      </c>
      <c r="BF112" s="30">
        <f>COUNTIF(ParticipationMars1[[#This Row],[1]:[31]],Code31)</f>
        <v>0</v>
      </c>
      <c r="BG112" s="30">
        <f>COUNTIF(ParticipationMars1[[#This Row],[1]:[31]],code21)</f>
        <v>0</v>
      </c>
      <c r="BH112" s="30">
        <f>COUNTIF(ParticipationMars1[[#This Row],[1]:[31]],Code24)</f>
        <v>1</v>
      </c>
      <c r="BI112" s="30">
        <f>COUNTIF(ParticipationMars1[[#This Row],[1]:[31]],code18)</f>
        <v>0</v>
      </c>
      <c r="BJ112" s="30">
        <f>COUNTIF(ParticipationMars1[[#This Row],[1]:[31]],code19)</f>
        <v>0</v>
      </c>
      <c r="BK112" s="30">
        <f>COUNTIF(ParticipationMars1[[#This Row],[1]:[31]],code20)</f>
        <v>0</v>
      </c>
      <c r="BL112" s="164">
        <f>COUNTIF(ParticipationMars1[[#This Row],[1]:[31]],code29)</f>
        <v>0</v>
      </c>
      <c r="BM112" s="297"/>
      <c r="BN112" s="297">
        <v>1</v>
      </c>
      <c r="BO112" s="297"/>
      <c r="BP112" s="297"/>
      <c r="BQ112" s="297"/>
      <c r="BR112" s="297"/>
      <c r="BS112" s="297"/>
      <c r="BT112" s="297">
        <v>4</v>
      </c>
      <c r="BU112" s="297"/>
      <c r="BV112" s="297"/>
      <c r="BW112" s="297">
        <v>7</v>
      </c>
      <c r="BX112" s="297"/>
      <c r="BY112" s="297"/>
      <c r="BZ112" s="297">
        <v>2</v>
      </c>
      <c r="CA112" s="297"/>
      <c r="CB112" s="297">
        <v>1</v>
      </c>
      <c r="CC112" s="297"/>
      <c r="CD112" s="297"/>
      <c r="CE112" s="297"/>
      <c r="CF112" s="297"/>
      <c r="CG112" s="297">
        <v>2</v>
      </c>
      <c r="CH112" s="297"/>
      <c r="CI112" s="297"/>
      <c r="CJ112" s="297"/>
      <c r="CK112" s="297">
        <v>2</v>
      </c>
      <c r="CL112" s="297"/>
      <c r="CM112" s="297"/>
      <c r="CN112" s="297"/>
      <c r="CO112" s="297"/>
      <c r="CP112" s="297"/>
      <c r="CQ112" s="297"/>
      <c r="CR112" s="297"/>
      <c r="CS112" s="307"/>
      <c r="CT112" s="307"/>
      <c r="CU112" s="300"/>
      <c r="CV112" s="501">
        <f t="shared" si="6"/>
        <v>14</v>
      </c>
      <c r="CW112" s="501">
        <f t="shared" si="7"/>
        <v>47</v>
      </c>
      <c r="CX112" s="249">
        <f t="shared" si="8"/>
        <v>1</v>
      </c>
      <c r="CY112" s="170">
        <f>SUM((BI112*7)+(BJ112*10)+(BK112*12))</f>
        <v>0</v>
      </c>
    </row>
    <row r="113" spans="1:103">
      <c r="A113" s="510" t="s">
        <v>454</v>
      </c>
      <c r="B113" s="162" t="str">
        <f>IFERROR(VLOOKUP(ParticipationMars1[[#This Row],[Référence]],ListeÉtudiants1[],18,FALSE),"")</f>
        <v>PIRES KEVIN</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41"/>
      <c r="AG113" s="340"/>
      <c r="AH113" s="6">
        <f>COUNTIF(ParticipationMars1[[#This Row],[1]:[31]],Code1)</f>
        <v>0</v>
      </c>
      <c r="AI113" s="6">
        <f>COUNTIF(ParticipationMars1[[#This Row],[1]:[31]],code22)</f>
        <v>0</v>
      </c>
      <c r="AJ113" s="30">
        <f>COUNTIF(ParticipationMars1[[#This Row],[1]:[31]],Code2)</f>
        <v>0</v>
      </c>
      <c r="AK113" s="30">
        <f>COUNTIF(ParticipationMars1[[#This Row],[1]:[31]],Code3)</f>
        <v>0</v>
      </c>
      <c r="AL113" s="30">
        <f>COUNTIF(ParticipationMars1[[#This Row],[1]:[31]],Code4)</f>
        <v>0</v>
      </c>
      <c r="AM113" s="30">
        <f>COUNTIF(ParticipationMars1[[#This Row],[1]:[31]],Code5)</f>
        <v>0</v>
      </c>
      <c r="AN113" s="30">
        <f>COUNTIF(ParticipationMars1[[#This Row],[1]:[31]],Code23)</f>
        <v>0</v>
      </c>
      <c r="AO113" s="30">
        <f>COUNTIF(ParticipationMars1[[#This Row],[1]:[31]],Code6)</f>
        <v>0</v>
      </c>
      <c r="AP113" s="30">
        <f>COUNTIF(ParticipationMars1[[#This Row],[1]:[31]],Code7)</f>
        <v>0</v>
      </c>
      <c r="AQ113" s="30">
        <f>COUNTIF(ParticipationMars1[[#This Row],[1]:[31]],Code8)</f>
        <v>0</v>
      </c>
      <c r="AR113" s="30">
        <f>COUNTIF(ParticipationMars1[[#This Row],[1]:[31]],Code9)</f>
        <v>0</v>
      </c>
      <c r="AS113" s="30">
        <f>COUNTIF(ParticipationMars1[[#This Row],[1]:[31]],Code10)</f>
        <v>0</v>
      </c>
      <c r="AT113" s="30">
        <f>COUNTIF(ParticipationMars1[[#This Row],[1]:[31]],Code11)</f>
        <v>0</v>
      </c>
      <c r="AU113" s="30">
        <f>COUNTIF(ParticipationMars1[[#This Row],[1]:[31]],Code12)</f>
        <v>0</v>
      </c>
      <c r="AV113" s="30">
        <f>COUNTIF(ParticipationMars1[[#This Row],[1]:[31]],Code13)</f>
        <v>0</v>
      </c>
      <c r="AW113" s="30">
        <f>COUNTIF(ParticipationMars1[[#This Row],[1]:[31]],Code14)</f>
        <v>0</v>
      </c>
      <c r="AX113" s="30">
        <f>COUNTIF(ParticipationMars1[[#This Row],[1]:[31]],Code15)</f>
        <v>0</v>
      </c>
      <c r="AY113" s="30">
        <f>COUNTIF(ParticipationMars1[[#This Row],[1]:[31]],Code16)</f>
        <v>0</v>
      </c>
      <c r="AZ113" s="30">
        <f>COUNTIF(ParticipationMars1[[#This Row],[1]:[31]],Code17)</f>
        <v>0</v>
      </c>
      <c r="BA113" s="30">
        <f>COUNTIF(ParticipationMars1[[#This Row],[1]:[31]],Code25)</f>
        <v>0</v>
      </c>
      <c r="BB113" s="30">
        <f>COUNTIF(ParticipationMars1[[#This Row],[1]:[31]],Code26)</f>
        <v>0</v>
      </c>
      <c r="BC113" s="30">
        <f>COUNTIF(ParticipationMars1[[#This Row],[1]:[31]],Code27)</f>
        <v>0</v>
      </c>
      <c r="BD113" s="30">
        <f>COUNTIF(ParticipationMars1[[#This Row],[1]:[31]],Code28)</f>
        <v>0</v>
      </c>
      <c r="BE113" s="30">
        <f>COUNTIF(ParticipationMars1[[#This Row],[1]:[31]],code30)</f>
        <v>0</v>
      </c>
      <c r="BF113" s="30">
        <f>COUNTIF(ParticipationMars1[[#This Row],[1]:[31]],Code31)</f>
        <v>0</v>
      </c>
      <c r="BG113" s="30">
        <f>COUNTIF(ParticipationMars1[[#This Row],[1]:[31]],code21)</f>
        <v>0</v>
      </c>
      <c r="BH113" s="30">
        <f>COUNTIF(ParticipationMars1[[#This Row],[1]:[31]],Code24)</f>
        <v>0</v>
      </c>
      <c r="BI113" s="30">
        <f>COUNTIF(ParticipationMars1[[#This Row],[1]:[31]],code18)</f>
        <v>0</v>
      </c>
      <c r="BJ113" s="30">
        <f>COUNTIF(ParticipationMars1[[#This Row],[1]:[31]],code19)</f>
        <v>0</v>
      </c>
      <c r="BK113" s="30">
        <f>COUNTIF(ParticipationMars1[[#This Row],[1]:[31]],code20)</f>
        <v>0</v>
      </c>
      <c r="BL113" s="164">
        <f>COUNTIF(ParticipationMars1[[#This Row],[1]:[31]],code29)</f>
        <v>0</v>
      </c>
      <c r="BM113" s="139"/>
      <c r="BN113" s="139"/>
      <c r="BO113" s="139"/>
      <c r="BP113" s="139"/>
      <c r="BQ113" s="139"/>
      <c r="BR113" s="139"/>
      <c r="BS113" s="139"/>
      <c r="BT113" s="139"/>
      <c r="BU113" s="139"/>
      <c r="BV113" s="139"/>
      <c r="BW113" s="139"/>
      <c r="BX113" s="139"/>
      <c r="BY113" s="139"/>
      <c r="BZ113" s="139"/>
      <c r="CA113" s="139"/>
      <c r="CB113" s="139"/>
      <c r="CC113" s="139"/>
      <c r="CD113" s="139"/>
      <c r="CE113" s="139"/>
      <c r="CF113" s="139"/>
      <c r="CG113" s="139"/>
      <c r="CH113" s="139"/>
      <c r="CI113" s="139"/>
      <c r="CJ113" s="139"/>
      <c r="CK113" s="139"/>
      <c r="CL113" s="139"/>
      <c r="CM113" s="139"/>
      <c r="CN113" s="139"/>
      <c r="CO113" s="139"/>
      <c r="CP113" s="139"/>
      <c r="CQ113" s="139"/>
      <c r="CR113" s="139"/>
      <c r="CS113" s="30"/>
      <c r="CT113" s="30"/>
      <c r="CU113" s="164"/>
      <c r="CV113" s="501">
        <f t="shared" si="6"/>
        <v>0</v>
      </c>
      <c r="CW113" s="501">
        <f t="shared" si="7"/>
        <v>0</v>
      </c>
      <c r="CX113" s="249">
        <f t="shared" si="8"/>
        <v>0</v>
      </c>
      <c r="CY113" s="170"/>
    </row>
    <row r="114" spans="1:103">
      <c r="A114" s="534" t="s">
        <v>455</v>
      </c>
      <c r="B114" s="162" t="str">
        <f>IFERROR(VLOOKUP(ParticipationMars1[[#This Row],[Référence]],ListeÉtudiants1[],18,FALSE),"")</f>
        <v>PITKIAYE MPOUTOU JESSICA</v>
      </c>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t="s">
        <v>35</v>
      </c>
      <c r="AD114" s="19"/>
      <c r="AE114" s="19"/>
      <c r="AF114" s="19"/>
      <c r="AG114" s="144"/>
      <c r="AH114" s="6">
        <f>COUNTIF(ParticipationMars1[[#This Row],[1]:[31]],Code1)</f>
        <v>0</v>
      </c>
      <c r="AI114" s="331">
        <f>COUNTIF(ParticipationMars1[[#This Row],[1]:[31]],code22)</f>
        <v>0</v>
      </c>
      <c r="AJ114" s="30">
        <f>COUNTIF(ParticipationMars1[[#This Row],[1]:[31]],Code2)</f>
        <v>0</v>
      </c>
      <c r="AK114" s="30">
        <f>COUNTIF(ParticipationMars1[[#This Row],[1]:[31]],Code3)</f>
        <v>0</v>
      </c>
      <c r="AL114" s="30">
        <f>COUNTIF(ParticipationMars1[[#This Row],[1]:[31]],Code4)</f>
        <v>0</v>
      </c>
      <c r="AM114" s="307">
        <f>COUNTIF(ParticipationMars1[[#This Row],[1]:[31]],Code5)</f>
        <v>1</v>
      </c>
      <c r="AN114" s="307">
        <f>COUNTIF(ParticipationMars1[[#This Row],[1]:[31]],Code23)</f>
        <v>0</v>
      </c>
      <c r="AO114" s="307">
        <f>COUNTIF(ParticipationMars1[[#This Row],[1]:[31]],Code6)</f>
        <v>0</v>
      </c>
      <c r="AP114" s="307">
        <f>COUNTIF(ParticipationMars1[[#This Row],[1]:[31]],Code7)</f>
        <v>0</v>
      </c>
      <c r="AQ114" s="307">
        <f>COUNTIF(ParticipationMars1[[#This Row],[1]:[31]],Code8)</f>
        <v>0</v>
      </c>
      <c r="AR114" s="307">
        <f>COUNTIF(ParticipationMars1[[#This Row],[1]:[31]],Code9)</f>
        <v>0</v>
      </c>
      <c r="AS114" s="307">
        <f>COUNTIF(ParticipationMars1[[#This Row],[1]:[31]],Code10)</f>
        <v>0</v>
      </c>
      <c r="AT114" s="307">
        <f>COUNTIF(ParticipationMars1[[#This Row],[1]:[31]],Code11)</f>
        <v>0</v>
      </c>
      <c r="AU114" s="30">
        <f>COUNTIF(ParticipationMars1[[#This Row],[1]:[31]],Code12)</f>
        <v>0</v>
      </c>
      <c r="AV114" s="307">
        <f>COUNTIF(ParticipationMars1[[#This Row],[1]:[31]],Code13)</f>
        <v>0</v>
      </c>
      <c r="AW114" s="307">
        <f>COUNTIF(ParticipationMars1[[#This Row],[1]:[31]],Code14)</f>
        <v>0</v>
      </c>
      <c r="AX114" s="307">
        <f>COUNTIF(ParticipationMars1[[#This Row],[1]:[31]],Code15)</f>
        <v>0</v>
      </c>
      <c r="AY114" s="307">
        <f>COUNTIF(ParticipationMars1[[#This Row],[1]:[31]],Code16)</f>
        <v>0</v>
      </c>
      <c r="AZ114" s="307">
        <f>COUNTIF(ParticipationMars1[[#This Row],[1]:[31]],Code17)</f>
        <v>0</v>
      </c>
      <c r="BA114" s="307">
        <f>COUNTIF(ParticipationMars1[[#This Row],[1]:[31]],Code25)</f>
        <v>0</v>
      </c>
      <c r="BB114" s="307">
        <f>COUNTIF(ParticipationMars1[[#This Row],[1]:[31]],Code26)</f>
        <v>0</v>
      </c>
      <c r="BC114" s="307">
        <f>COUNTIF(ParticipationMars1[[#This Row],[1]:[31]],Code27)</f>
        <v>0</v>
      </c>
      <c r="BD114" s="307">
        <f>COUNTIF(ParticipationMars1[[#This Row],[1]:[31]],Code28)</f>
        <v>0</v>
      </c>
      <c r="BE114" s="307">
        <f>COUNTIF(ParticipationMars1[[#This Row],[1]:[31]],code30)</f>
        <v>0</v>
      </c>
      <c r="BF114" s="307">
        <f>COUNTIF(ParticipationMars1[[#This Row],[1]:[31]],Code31)</f>
        <v>0</v>
      </c>
      <c r="BG114" s="307">
        <f>COUNTIF(ParticipationMars1[[#This Row],[1]:[31]],code21)</f>
        <v>0</v>
      </c>
      <c r="BH114" s="307">
        <f>COUNTIF(ParticipationMars1[[#This Row],[1]:[31]],Code24)</f>
        <v>0</v>
      </c>
      <c r="BI114" s="307">
        <f>COUNTIF(ParticipationMars1[[#This Row],[1]:[31]],code18)</f>
        <v>0</v>
      </c>
      <c r="BJ114" s="307">
        <f>COUNTIF(ParticipationMars1[[#This Row],[1]:[31]],code19)</f>
        <v>0</v>
      </c>
      <c r="BK114" s="307">
        <f>COUNTIF(ParticipationMars1[[#This Row],[1]:[31]],code20)</f>
        <v>0</v>
      </c>
      <c r="BL114" s="300">
        <f>COUNTIF(ParticipationMars1[[#This Row],[1]:[31]],code29)</f>
        <v>0</v>
      </c>
      <c r="BM114" s="297"/>
      <c r="BN114" s="297"/>
      <c r="BO114" s="297"/>
      <c r="BP114" s="297"/>
      <c r="BQ114" s="297"/>
      <c r="BR114" s="297"/>
      <c r="BS114" s="297"/>
      <c r="BT114" s="297">
        <v>1</v>
      </c>
      <c r="BU114" s="297"/>
      <c r="BV114" s="297"/>
      <c r="BW114" s="297"/>
      <c r="BX114" s="297"/>
      <c r="BY114" s="297"/>
      <c r="BZ114" s="297"/>
      <c r="CA114" s="297"/>
      <c r="CB114" s="297">
        <v>1</v>
      </c>
      <c r="CC114" s="297"/>
      <c r="CD114" s="297"/>
      <c r="CE114" s="297"/>
      <c r="CF114" s="297"/>
      <c r="CG114" s="297"/>
      <c r="CH114" s="297"/>
      <c r="CI114" s="297"/>
      <c r="CJ114" s="297"/>
      <c r="CK114" s="297"/>
      <c r="CL114" s="297"/>
      <c r="CM114" s="297"/>
      <c r="CN114" s="297"/>
      <c r="CO114" s="297"/>
      <c r="CP114" s="297"/>
      <c r="CQ114" s="297"/>
      <c r="CR114" s="297"/>
      <c r="CS114" s="307"/>
      <c r="CT114" s="307"/>
      <c r="CU114" s="300"/>
      <c r="CV114" s="501">
        <f t="shared" si="6"/>
        <v>0</v>
      </c>
      <c r="CW114" s="501">
        <f t="shared" si="7"/>
        <v>2</v>
      </c>
      <c r="CX114" s="341">
        <f t="shared" si="8"/>
        <v>0</v>
      </c>
      <c r="CY114" s="327"/>
    </row>
    <row r="115" spans="1:103">
      <c r="A115" s="510" t="s">
        <v>456</v>
      </c>
      <c r="B115" s="162" t="str">
        <f>IFERROR(VLOOKUP(ParticipationMars1[[#This Row],[Référence]],ListeÉtudiants1[],18,FALSE),"")</f>
        <v>QUINTAIS ALEXANDRE</v>
      </c>
      <c r="C115" s="19"/>
      <c r="D115" s="19"/>
      <c r="E115" s="19"/>
      <c r="F115" s="19"/>
      <c r="G115" s="19"/>
      <c r="H115" s="19"/>
      <c r="I115" s="19"/>
      <c r="J115" s="19"/>
      <c r="K115" s="19"/>
      <c r="L115" s="19"/>
      <c r="M115" s="19"/>
      <c r="N115" s="19"/>
      <c r="O115" s="19"/>
      <c r="P115" s="19"/>
      <c r="Q115" s="19" t="s">
        <v>109</v>
      </c>
      <c r="R115" s="19"/>
      <c r="S115" s="19"/>
      <c r="T115" s="19"/>
      <c r="U115" s="19" t="s">
        <v>529</v>
      </c>
      <c r="V115" s="19" t="s">
        <v>529</v>
      </c>
      <c r="W115" s="19" t="s">
        <v>529</v>
      </c>
      <c r="X115" s="19" t="s">
        <v>488</v>
      </c>
      <c r="Y115" s="19" t="s">
        <v>35</v>
      </c>
      <c r="Z115" s="19"/>
      <c r="AA115" s="19" t="s">
        <v>529</v>
      </c>
      <c r="AB115" s="19" t="s">
        <v>529</v>
      </c>
      <c r="AC115" s="19" t="s">
        <v>486</v>
      </c>
      <c r="AD115" s="19" t="s">
        <v>35</v>
      </c>
      <c r="AE115" s="19" t="s">
        <v>529</v>
      </c>
      <c r="AF115" s="19"/>
      <c r="AG115" s="144"/>
      <c r="AH115" s="6">
        <f>COUNTIF(ParticipationMars1[[#This Row],[1]:[31]],Code1)</f>
        <v>0</v>
      </c>
      <c r="AI115" s="331">
        <f>COUNTIF(ParticipationMars1[[#This Row],[1]:[31]],code22)</f>
        <v>0</v>
      </c>
      <c r="AJ115" s="30">
        <f>COUNTIF(ParticipationMars1[[#This Row],[1]:[31]],Code2)</f>
        <v>0</v>
      </c>
      <c r="AK115" s="30">
        <f>COUNTIF(ParticipationMars1[[#This Row],[1]:[31]],Code3)</f>
        <v>0</v>
      </c>
      <c r="AL115" s="30">
        <f>COUNTIF(ParticipationMars1[[#This Row],[1]:[31]],Code4)</f>
        <v>0</v>
      </c>
      <c r="AM115" s="307">
        <f>COUNTIF(ParticipationMars1[[#This Row],[1]:[31]],Code5)</f>
        <v>2</v>
      </c>
      <c r="AN115" s="307">
        <f>COUNTIF(ParticipationMars1[[#This Row],[1]:[31]],Code23)</f>
        <v>6</v>
      </c>
      <c r="AO115" s="307">
        <f>COUNTIF(ParticipationMars1[[#This Row],[1]:[31]],Code6)</f>
        <v>0</v>
      </c>
      <c r="AP115" s="307">
        <f>COUNTIF(ParticipationMars1[[#This Row],[1]:[31]],Code7)</f>
        <v>1</v>
      </c>
      <c r="AQ115" s="307">
        <f>COUNTIF(ParticipationMars1[[#This Row],[1]:[31]],Code8)</f>
        <v>0</v>
      </c>
      <c r="AR115" s="307">
        <f>COUNTIF(ParticipationMars1[[#This Row],[1]:[31]],Code9)</f>
        <v>0</v>
      </c>
      <c r="AS115" s="307">
        <f>COUNTIF(ParticipationMars1[[#This Row],[1]:[31]],Code10)</f>
        <v>0</v>
      </c>
      <c r="AT115" s="307">
        <f>COUNTIF(ParticipationMars1[[#This Row],[1]:[31]],Code11)</f>
        <v>1</v>
      </c>
      <c r="AU115" s="30">
        <f>COUNTIF(ParticipationMars1[[#This Row],[1]:[31]],Code12)</f>
        <v>0</v>
      </c>
      <c r="AV115" s="307">
        <f>COUNTIF(ParticipationMars1[[#This Row],[1]:[31]],Code13)</f>
        <v>0</v>
      </c>
      <c r="AW115" s="307">
        <f>COUNTIF(ParticipationMars1[[#This Row],[1]:[31]],Code14)</f>
        <v>1</v>
      </c>
      <c r="AX115" s="307">
        <f>COUNTIF(ParticipationMars1[[#This Row],[1]:[31]],Code15)</f>
        <v>0</v>
      </c>
      <c r="AY115" s="307">
        <f>COUNTIF(ParticipationMars1[[#This Row],[1]:[31]],Code16)</f>
        <v>0</v>
      </c>
      <c r="AZ115" s="307">
        <f>COUNTIF(ParticipationMars1[[#This Row],[1]:[31]],Code17)</f>
        <v>0</v>
      </c>
      <c r="BA115" s="307">
        <f>COUNTIF(ParticipationMars1[[#This Row],[1]:[31]],Code25)</f>
        <v>0</v>
      </c>
      <c r="BB115" s="307">
        <f>COUNTIF(ParticipationMars1[[#This Row],[1]:[31]],Code26)</f>
        <v>0</v>
      </c>
      <c r="BC115" s="307">
        <f>COUNTIF(ParticipationMars1[[#This Row],[1]:[31]],Code27)</f>
        <v>0</v>
      </c>
      <c r="BD115" s="307">
        <f>COUNTIF(ParticipationMars1[[#This Row],[1]:[31]],Code28)</f>
        <v>0</v>
      </c>
      <c r="BE115" s="307">
        <f>COUNTIF(ParticipationMars1[[#This Row],[1]:[31]],code30)</f>
        <v>0</v>
      </c>
      <c r="BF115" s="307">
        <f>COUNTIF(ParticipationMars1[[#This Row],[1]:[31]],Code31)</f>
        <v>0</v>
      </c>
      <c r="BG115" s="307">
        <f>COUNTIF(ParticipationMars1[[#This Row],[1]:[31]],code21)</f>
        <v>0</v>
      </c>
      <c r="BH115" s="307">
        <f>COUNTIF(ParticipationMars1[[#This Row],[1]:[31]],Code24)</f>
        <v>0</v>
      </c>
      <c r="BI115" s="307">
        <f>COUNTIF(ParticipationMars1[[#This Row],[1]:[31]],code18)</f>
        <v>0</v>
      </c>
      <c r="BJ115" s="307">
        <f>COUNTIF(ParticipationMars1[[#This Row],[1]:[31]],code19)</f>
        <v>0</v>
      </c>
      <c r="BK115" s="307">
        <f>COUNTIF(ParticipationMars1[[#This Row],[1]:[31]],code20)</f>
        <v>0</v>
      </c>
      <c r="BL115" s="300">
        <f>COUNTIF(ParticipationMars1[[#This Row],[1]:[31]],code29)</f>
        <v>0</v>
      </c>
      <c r="BM115" s="297"/>
      <c r="BN115" s="297">
        <v>1</v>
      </c>
      <c r="BO115" s="297"/>
      <c r="BP115" s="297"/>
      <c r="BQ115" s="297"/>
      <c r="BR115" s="297"/>
      <c r="BS115" s="297"/>
      <c r="BT115" s="297">
        <v>3</v>
      </c>
      <c r="BU115" s="297"/>
      <c r="BV115" s="297"/>
      <c r="BW115" s="297">
        <v>6</v>
      </c>
      <c r="BX115" s="297"/>
      <c r="BY115" s="297"/>
      <c r="BZ115" s="297">
        <v>1</v>
      </c>
      <c r="CA115" s="297"/>
      <c r="CB115" s="297">
        <v>1</v>
      </c>
      <c r="CC115" s="297"/>
      <c r="CD115" s="297"/>
      <c r="CE115" s="297"/>
      <c r="CF115" s="297"/>
      <c r="CG115" s="297">
        <v>1</v>
      </c>
      <c r="CH115" s="297"/>
      <c r="CI115" s="297"/>
      <c r="CJ115" s="297"/>
      <c r="CK115" s="297"/>
      <c r="CL115" s="297"/>
      <c r="CM115" s="297"/>
      <c r="CN115" s="297"/>
      <c r="CO115" s="297"/>
      <c r="CP115" s="297"/>
      <c r="CQ115" s="297"/>
      <c r="CR115" s="297"/>
      <c r="CS115" s="307"/>
      <c r="CT115" s="307"/>
      <c r="CU115" s="300"/>
      <c r="CV115" s="501">
        <f t="shared" si="6"/>
        <v>5</v>
      </c>
      <c r="CW115" s="501">
        <f t="shared" si="7"/>
        <v>26</v>
      </c>
      <c r="CX115" s="341">
        <f t="shared" si="8"/>
        <v>0</v>
      </c>
      <c r="CY115" s="327"/>
    </row>
    <row r="116" spans="1:103">
      <c r="A116" s="510" t="s">
        <v>457</v>
      </c>
      <c r="B116" s="162" t="str">
        <f>IFERROR(VLOOKUP(ParticipationMars1[[#This Row],[Référence]],ListeÉtudiants1[],18,FALSE),"")</f>
        <v>RAMOS MARION</v>
      </c>
      <c r="C116" s="19"/>
      <c r="D116" s="19"/>
      <c r="E116" s="19"/>
      <c r="F116" s="19"/>
      <c r="G116" s="19"/>
      <c r="H116" s="19"/>
      <c r="I116" s="19"/>
      <c r="J116" s="19"/>
      <c r="K116" s="19"/>
      <c r="L116" s="19"/>
      <c r="M116" s="19"/>
      <c r="N116" s="19"/>
      <c r="O116" s="19"/>
      <c r="P116" s="19"/>
      <c r="Q116" s="19" t="s">
        <v>529</v>
      </c>
      <c r="R116" s="19"/>
      <c r="S116" s="19"/>
      <c r="T116" s="19"/>
      <c r="U116" s="19"/>
      <c r="V116" s="19"/>
      <c r="W116" s="19"/>
      <c r="X116" s="19"/>
      <c r="Y116" s="19"/>
      <c r="Z116" s="19"/>
      <c r="AA116" s="19"/>
      <c r="AB116" s="19"/>
      <c r="AC116" s="19"/>
      <c r="AD116" s="19"/>
      <c r="AE116" s="19"/>
      <c r="AF116" s="19"/>
      <c r="AG116" s="144"/>
      <c r="AH116" s="6">
        <f>COUNTIF(ParticipationMars1[[#This Row],[1]:[31]],Code1)</f>
        <v>0</v>
      </c>
      <c r="AI116" s="331">
        <f>COUNTIF(ParticipationMars1[[#This Row],[1]:[31]],code22)</f>
        <v>0</v>
      </c>
      <c r="AJ116" s="30">
        <f>COUNTIF(ParticipationMars1[[#This Row],[1]:[31]],Code2)</f>
        <v>0</v>
      </c>
      <c r="AK116" s="30">
        <f>COUNTIF(ParticipationMars1[[#This Row],[1]:[31]],Code3)</f>
        <v>0</v>
      </c>
      <c r="AL116" s="30">
        <f>COUNTIF(ParticipationMars1[[#This Row],[1]:[31]],Code4)</f>
        <v>0</v>
      </c>
      <c r="AM116" s="307">
        <f>COUNTIF(ParticipationMars1[[#This Row],[1]:[31]],Code5)</f>
        <v>0</v>
      </c>
      <c r="AN116" s="307">
        <f>COUNTIF(ParticipationMars1[[#This Row],[1]:[31]],Code23)</f>
        <v>1</v>
      </c>
      <c r="AO116" s="307">
        <f>COUNTIF(ParticipationMars1[[#This Row],[1]:[31]],Code6)</f>
        <v>0</v>
      </c>
      <c r="AP116" s="307">
        <f>COUNTIF(ParticipationMars1[[#This Row],[1]:[31]],Code7)</f>
        <v>0</v>
      </c>
      <c r="AQ116" s="307">
        <f>COUNTIF(ParticipationMars1[[#This Row],[1]:[31]],Code8)</f>
        <v>0</v>
      </c>
      <c r="AR116" s="307">
        <f>COUNTIF(ParticipationMars1[[#This Row],[1]:[31]],Code9)</f>
        <v>0</v>
      </c>
      <c r="AS116" s="307">
        <f>COUNTIF(ParticipationMars1[[#This Row],[1]:[31]],Code10)</f>
        <v>0</v>
      </c>
      <c r="AT116" s="307">
        <f>COUNTIF(ParticipationMars1[[#This Row],[1]:[31]],Code11)</f>
        <v>0</v>
      </c>
      <c r="AU116" s="30">
        <f>COUNTIF(ParticipationMars1[[#This Row],[1]:[31]],Code12)</f>
        <v>0</v>
      </c>
      <c r="AV116" s="307">
        <f>COUNTIF(ParticipationMars1[[#This Row],[1]:[31]],Code13)</f>
        <v>0</v>
      </c>
      <c r="AW116" s="307">
        <f>COUNTIF(ParticipationMars1[[#This Row],[1]:[31]],Code14)</f>
        <v>0</v>
      </c>
      <c r="AX116" s="307">
        <f>COUNTIF(ParticipationMars1[[#This Row],[1]:[31]],Code15)</f>
        <v>0</v>
      </c>
      <c r="AY116" s="307">
        <f>COUNTIF(ParticipationMars1[[#This Row],[1]:[31]],Code16)</f>
        <v>0</v>
      </c>
      <c r="AZ116" s="307">
        <f>COUNTIF(ParticipationMars1[[#This Row],[1]:[31]],Code17)</f>
        <v>0</v>
      </c>
      <c r="BA116" s="30">
        <f>COUNTIF(ParticipationMars1[[#This Row],[1]:[31]],Code25)</f>
        <v>0</v>
      </c>
      <c r="BB116" s="307">
        <f>COUNTIF(ParticipationMars1[[#This Row],[1]:[31]],Code26)</f>
        <v>0</v>
      </c>
      <c r="BC116" s="307">
        <f>COUNTIF(ParticipationMars1[[#This Row],[1]:[31]],Code27)</f>
        <v>0</v>
      </c>
      <c r="BD116" s="30">
        <f>COUNTIF(ParticipationMars1[[#This Row],[1]:[31]],Code28)</f>
        <v>0</v>
      </c>
      <c r="BE116" s="30">
        <f>COUNTIF(ParticipationMars1[[#This Row],[1]:[31]],code30)</f>
        <v>0</v>
      </c>
      <c r="BF116" s="30">
        <f>COUNTIF(ParticipationMars1[[#This Row],[1]:[31]],Code31)</f>
        <v>0</v>
      </c>
      <c r="BG116" s="307">
        <f>COUNTIF(ParticipationMars1[[#This Row],[1]:[31]],code21)</f>
        <v>0</v>
      </c>
      <c r="BH116" s="307">
        <f>COUNTIF(ParticipationMars1[[#This Row],[1]:[31]],Code24)</f>
        <v>0</v>
      </c>
      <c r="BI116" s="307">
        <f>COUNTIF(ParticipationMars1[[#This Row],[1]:[31]],code18)</f>
        <v>0</v>
      </c>
      <c r="BJ116" s="307">
        <f>COUNTIF(ParticipationMars1[[#This Row],[1]:[31]],code19)</f>
        <v>0</v>
      </c>
      <c r="BK116" s="307">
        <f>COUNTIF(ParticipationMars1[[#This Row],[1]:[31]],code20)</f>
        <v>0</v>
      </c>
      <c r="BL116" s="300">
        <f>COUNTIF(ParticipationMars1[[#This Row],[1]:[31]],code29)</f>
        <v>0</v>
      </c>
      <c r="BM116" s="297"/>
      <c r="BN116" s="297"/>
      <c r="BO116" s="297"/>
      <c r="BP116" s="297"/>
      <c r="BQ116" s="297"/>
      <c r="BR116" s="297"/>
      <c r="BS116" s="297"/>
      <c r="BT116" s="297"/>
      <c r="BU116" s="297"/>
      <c r="BV116" s="297"/>
      <c r="BW116" s="297">
        <v>1</v>
      </c>
      <c r="BX116" s="297"/>
      <c r="BY116" s="297"/>
      <c r="BZ116" s="297"/>
      <c r="CA116" s="297"/>
      <c r="CB116" s="297"/>
      <c r="CC116" s="297"/>
      <c r="CD116" s="297"/>
      <c r="CE116" s="297"/>
      <c r="CF116" s="297"/>
      <c r="CG116" s="297"/>
      <c r="CH116" s="297"/>
      <c r="CI116" s="297"/>
      <c r="CJ116" s="297"/>
      <c r="CK116" s="297"/>
      <c r="CL116" s="297"/>
      <c r="CM116" s="297"/>
      <c r="CN116" s="297"/>
      <c r="CO116" s="297"/>
      <c r="CP116" s="297"/>
      <c r="CQ116" s="297"/>
      <c r="CR116" s="297"/>
      <c r="CS116" s="307"/>
      <c r="CT116" s="307"/>
      <c r="CU116" s="300"/>
      <c r="CV116" s="501">
        <f t="shared" si="6"/>
        <v>0</v>
      </c>
      <c r="CW116" s="501">
        <f t="shared" si="7"/>
        <v>1</v>
      </c>
      <c r="CX116" s="249">
        <f t="shared" si="8"/>
        <v>0</v>
      </c>
      <c r="CY116" s="327"/>
    </row>
    <row r="117" spans="1:103">
      <c r="A117" s="510" t="s">
        <v>458</v>
      </c>
      <c r="B117" s="162" t="str">
        <f>IFERROR(VLOOKUP(ParticipationMars1[[#This Row],[Référence]],ListeÉtudiants1[],18,FALSE),"")</f>
        <v>REMIR REBECCA</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340"/>
      <c r="AH117" s="6">
        <f>COUNTIF(ParticipationMars1[[#This Row],[1]:[31]],Code1)</f>
        <v>0</v>
      </c>
      <c r="AI117" s="6">
        <f>COUNTIF(ParticipationMars1[[#This Row],[1]:[31]],code22)</f>
        <v>0</v>
      </c>
      <c r="AJ117" s="30">
        <f>COUNTIF(ParticipationMars1[[#This Row],[1]:[31]],Code2)</f>
        <v>0</v>
      </c>
      <c r="AK117" s="30">
        <f>COUNTIF(ParticipationMars1[[#This Row],[1]:[31]],Code3)</f>
        <v>0</v>
      </c>
      <c r="AL117" s="30">
        <f>COUNTIF(ParticipationMars1[[#This Row],[1]:[31]],Code4)</f>
        <v>0</v>
      </c>
      <c r="AM117" s="30">
        <f>COUNTIF(ParticipationMars1[[#This Row],[1]:[31]],Code5)</f>
        <v>0</v>
      </c>
      <c r="AN117" s="30">
        <f>COUNTIF(ParticipationMars1[[#This Row],[1]:[31]],Code23)</f>
        <v>0</v>
      </c>
      <c r="AO117" s="30">
        <f>COUNTIF(ParticipationMars1[[#This Row],[1]:[31]],Code6)</f>
        <v>0</v>
      </c>
      <c r="AP117" s="30">
        <f>COUNTIF(ParticipationMars1[[#This Row],[1]:[31]],Code7)</f>
        <v>0</v>
      </c>
      <c r="AQ117" s="30">
        <f>COUNTIF(ParticipationMars1[[#This Row],[1]:[31]],Code8)</f>
        <v>0</v>
      </c>
      <c r="AR117" s="30">
        <f>COUNTIF(ParticipationMars1[[#This Row],[1]:[31]],Code9)</f>
        <v>0</v>
      </c>
      <c r="AS117" s="30">
        <f>COUNTIF(ParticipationMars1[[#This Row],[1]:[31]],Code10)</f>
        <v>0</v>
      </c>
      <c r="AT117" s="30">
        <f>COUNTIF(ParticipationMars1[[#This Row],[1]:[31]],Code11)</f>
        <v>0</v>
      </c>
      <c r="AU117" s="30">
        <f>COUNTIF(ParticipationMars1[[#This Row],[1]:[31]],Code12)</f>
        <v>0</v>
      </c>
      <c r="AV117" s="30">
        <f>COUNTIF(ParticipationMars1[[#This Row],[1]:[31]],Code13)</f>
        <v>0</v>
      </c>
      <c r="AW117" s="30">
        <f>COUNTIF(ParticipationMars1[[#This Row],[1]:[31]],Code14)</f>
        <v>0</v>
      </c>
      <c r="AX117" s="30">
        <f>COUNTIF(ParticipationMars1[[#This Row],[1]:[31]],Code15)</f>
        <v>0</v>
      </c>
      <c r="AY117" s="30">
        <f>COUNTIF(ParticipationMars1[[#This Row],[1]:[31]],Code16)</f>
        <v>0</v>
      </c>
      <c r="AZ117" s="30">
        <f>COUNTIF(ParticipationMars1[[#This Row],[1]:[31]],Code17)</f>
        <v>0</v>
      </c>
      <c r="BA117" s="30">
        <f>COUNTIF(ParticipationMars1[[#This Row],[1]:[31]],Code25)</f>
        <v>0</v>
      </c>
      <c r="BB117" s="30">
        <f>COUNTIF(ParticipationMars1[[#This Row],[1]:[31]],Code26)</f>
        <v>0</v>
      </c>
      <c r="BC117" s="30">
        <f>COUNTIF(ParticipationMars1[[#This Row],[1]:[31]],Code27)</f>
        <v>0</v>
      </c>
      <c r="BD117" s="30">
        <f>COUNTIF(ParticipationMars1[[#This Row],[1]:[31]],Code28)</f>
        <v>0</v>
      </c>
      <c r="BE117" s="30">
        <f>COUNTIF(ParticipationMars1[[#This Row],[1]:[31]],code30)</f>
        <v>0</v>
      </c>
      <c r="BF117" s="30">
        <f>COUNTIF(ParticipationMars1[[#This Row],[1]:[31]],Code31)</f>
        <v>0</v>
      </c>
      <c r="BG117" s="30">
        <f>COUNTIF(ParticipationMars1[[#This Row],[1]:[31]],code21)</f>
        <v>0</v>
      </c>
      <c r="BH117" s="30">
        <f>COUNTIF(ParticipationMars1[[#This Row],[1]:[31]],Code24)</f>
        <v>0</v>
      </c>
      <c r="BI117" s="30">
        <f>COUNTIF(ParticipationMars1[[#This Row],[1]:[31]],code18)</f>
        <v>0</v>
      </c>
      <c r="BJ117" s="30">
        <f>COUNTIF(ParticipationMars1[[#This Row],[1]:[31]],code19)</f>
        <v>0</v>
      </c>
      <c r="BK117" s="30">
        <f>COUNTIF(ParticipationMars1[[#This Row],[1]:[31]],code20)</f>
        <v>0</v>
      </c>
      <c r="BL117" s="164">
        <f>COUNTIF(ParticipationMars1[[#This Row],[1]:[31]],code29)</f>
        <v>0</v>
      </c>
      <c r="BM117" s="139"/>
      <c r="BN117" s="139"/>
      <c r="BO117" s="139"/>
      <c r="BP117" s="139"/>
      <c r="BQ117" s="139"/>
      <c r="BR117" s="139"/>
      <c r="BS117" s="139"/>
      <c r="BT117" s="139"/>
      <c r="BU117" s="139"/>
      <c r="BV117" s="139"/>
      <c r="BW117" s="139"/>
      <c r="BX117" s="139"/>
      <c r="BY117" s="139"/>
      <c r="BZ117" s="139"/>
      <c r="CA117" s="139"/>
      <c r="CB117" s="139"/>
      <c r="CC117" s="139"/>
      <c r="CD117" s="139"/>
      <c r="CE117" s="139"/>
      <c r="CF117" s="139"/>
      <c r="CG117" s="139"/>
      <c r="CH117" s="139"/>
      <c r="CI117" s="139"/>
      <c r="CJ117" s="139"/>
      <c r="CK117" s="139"/>
      <c r="CL117" s="139"/>
      <c r="CM117" s="139"/>
      <c r="CN117" s="139"/>
      <c r="CO117" s="139"/>
      <c r="CP117" s="139"/>
      <c r="CQ117" s="139"/>
      <c r="CR117" s="139"/>
      <c r="CS117" s="30"/>
      <c r="CT117" s="30"/>
      <c r="CU117" s="164"/>
      <c r="CV117" s="501">
        <f t="shared" si="6"/>
        <v>0</v>
      </c>
      <c r="CW117" s="501">
        <f t="shared" si="7"/>
        <v>0</v>
      </c>
      <c r="CX117" s="249">
        <f t="shared" si="8"/>
        <v>0</v>
      </c>
      <c r="CY117" s="170"/>
    </row>
    <row r="118" spans="1:103">
      <c r="A118" s="510" t="s">
        <v>459</v>
      </c>
      <c r="B118" s="162" t="str">
        <f>IFERROR(VLOOKUP(ParticipationMars1[[#This Row],[Référence]],ListeÉtudiants1[],18,FALSE),"")</f>
        <v>RODRIGUES AFONSO CHARLOTTE</v>
      </c>
      <c r="C118" s="19"/>
      <c r="D118" s="19"/>
      <c r="E118" s="19"/>
      <c r="F118" s="19"/>
      <c r="G118" s="19"/>
      <c r="H118" s="19"/>
      <c r="I118" s="19"/>
      <c r="J118" s="19"/>
      <c r="K118" s="19"/>
      <c r="L118" s="19"/>
      <c r="M118" s="19"/>
      <c r="N118" s="19"/>
      <c r="O118" s="19"/>
      <c r="P118" s="19"/>
      <c r="Q118" s="19" t="s">
        <v>108</v>
      </c>
      <c r="R118" s="19"/>
      <c r="S118" s="19"/>
      <c r="T118" s="19"/>
      <c r="U118" s="19" t="s">
        <v>529</v>
      </c>
      <c r="V118" s="19" t="s">
        <v>529</v>
      </c>
      <c r="W118" s="19" t="s">
        <v>108</v>
      </c>
      <c r="X118" s="19"/>
      <c r="Y118" s="19" t="s">
        <v>627</v>
      </c>
      <c r="Z118" s="19"/>
      <c r="AA118" s="19"/>
      <c r="AB118" s="19" t="s">
        <v>529</v>
      </c>
      <c r="AC118" s="19" t="s">
        <v>35</v>
      </c>
      <c r="AD118" s="19"/>
      <c r="AE118" s="19"/>
      <c r="AF118" s="19"/>
      <c r="AG118" s="144"/>
      <c r="AH118" s="6">
        <f>COUNTIF(ParticipationMars1[[#This Row],[1]:[31]],Code1)</f>
        <v>0</v>
      </c>
      <c r="AI118" s="331">
        <f>COUNTIF(ParticipationMars1[[#This Row],[1]:[31]],code22)</f>
        <v>0</v>
      </c>
      <c r="AJ118" s="30">
        <f>COUNTIF(ParticipationMars1[[#This Row],[1]:[31]],Code2)</f>
        <v>0</v>
      </c>
      <c r="AK118" s="30">
        <f>COUNTIF(ParticipationMars1[[#This Row],[1]:[31]],Code3)</f>
        <v>0</v>
      </c>
      <c r="AL118" s="30">
        <f>COUNTIF(ParticipationMars1[[#This Row],[1]:[31]],Code4)</f>
        <v>0</v>
      </c>
      <c r="AM118" s="307">
        <f>COUNTIF(ParticipationMars1[[#This Row],[1]:[31]],Code5)</f>
        <v>1</v>
      </c>
      <c r="AN118" s="307">
        <f>COUNTIF(ParticipationMars1[[#This Row],[1]:[31]],Code23)</f>
        <v>3</v>
      </c>
      <c r="AO118" s="307">
        <f>COUNTIF(ParticipationMars1[[#This Row],[1]:[31]],Code6)</f>
        <v>2</v>
      </c>
      <c r="AP118" s="307">
        <f>COUNTIF(ParticipationMars1[[#This Row],[1]:[31]],Code7)</f>
        <v>0</v>
      </c>
      <c r="AQ118" s="307">
        <f>COUNTIF(ParticipationMars1[[#This Row],[1]:[31]],Code8)</f>
        <v>0</v>
      </c>
      <c r="AR118" s="307">
        <f>COUNTIF(ParticipationMars1[[#This Row],[1]:[31]],Code9)</f>
        <v>0</v>
      </c>
      <c r="AS118" s="307">
        <f>COUNTIF(ParticipationMars1[[#This Row],[1]:[31]],Code10)</f>
        <v>0</v>
      </c>
      <c r="AT118" s="307">
        <f>COUNTIF(ParticipationMars1[[#This Row],[1]:[31]],Code11)</f>
        <v>0</v>
      </c>
      <c r="AU118" s="30">
        <f>COUNTIF(ParticipationMars1[[#This Row],[1]:[31]],Code12)</f>
        <v>0</v>
      </c>
      <c r="AV118" s="307">
        <f>COUNTIF(ParticipationMars1[[#This Row],[1]:[31]],Code13)</f>
        <v>0</v>
      </c>
      <c r="AW118" s="307">
        <f>COUNTIF(ParticipationMars1[[#This Row],[1]:[31]],Code14)</f>
        <v>0</v>
      </c>
      <c r="AX118" s="307">
        <f>COUNTIF(ParticipationMars1[[#This Row],[1]:[31]],Code15)</f>
        <v>0</v>
      </c>
      <c r="AY118" s="307">
        <f>COUNTIF(ParticipationMars1[[#This Row],[1]:[31]],Code16)</f>
        <v>0</v>
      </c>
      <c r="AZ118" s="307">
        <f>COUNTIF(ParticipationMars1[[#This Row],[1]:[31]],Code17)</f>
        <v>0</v>
      </c>
      <c r="BA118" s="307">
        <f>COUNTIF(ParticipationMars1[[#This Row],[1]:[31]],Code25)</f>
        <v>0</v>
      </c>
      <c r="BB118" s="307">
        <f>COUNTIF(ParticipationMars1[[#This Row],[1]:[31]],Code26)</f>
        <v>0</v>
      </c>
      <c r="BC118" s="307">
        <f>COUNTIF(ParticipationMars1[[#This Row],[1]:[31]],Code27)</f>
        <v>1</v>
      </c>
      <c r="BD118" s="307">
        <f>COUNTIF(ParticipationMars1[[#This Row],[1]:[31]],Code28)</f>
        <v>0</v>
      </c>
      <c r="BE118" s="307">
        <f>COUNTIF(ParticipationMars1[[#This Row],[1]:[31]],code30)</f>
        <v>0</v>
      </c>
      <c r="BF118" s="307">
        <f>COUNTIF(ParticipationMars1[[#This Row],[1]:[31]],Code31)</f>
        <v>0</v>
      </c>
      <c r="BG118" s="307">
        <f>COUNTIF(ParticipationMars1[[#This Row],[1]:[31]],code21)</f>
        <v>0</v>
      </c>
      <c r="BH118" s="307">
        <f>COUNTIF(ParticipationMars1[[#This Row],[1]:[31]],Code24)</f>
        <v>0</v>
      </c>
      <c r="BI118" s="307">
        <f>COUNTIF(ParticipationMars1[[#This Row],[1]:[31]],code18)</f>
        <v>0</v>
      </c>
      <c r="BJ118" s="307">
        <f>COUNTIF(ParticipationMars1[[#This Row],[1]:[31]],code19)</f>
        <v>0</v>
      </c>
      <c r="BK118" s="307">
        <f>COUNTIF(ParticipationMars1[[#This Row],[1]:[31]],code20)</f>
        <v>0</v>
      </c>
      <c r="BL118" s="300">
        <f>COUNTIF(ParticipationMars1[[#This Row],[1]:[31]],code29)</f>
        <v>0</v>
      </c>
      <c r="BM118" s="297"/>
      <c r="BN118" s="297"/>
      <c r="BO118" s="297"/>
      <c r="BP118" s="297"/>
      <c r="BQ118" s="297"/>
      <c r="BR118" s="297"/>
      <c r="BS118" s="297"/>
      <c r="BT118" s="297">
        <v>1</v>
      </c>
      <c r="BU118" s="297"/>
      <c r="BV118" s="297"/>
      <c r="BW118" s="297">
        <v>4</v>
      </c>
      <c r="BX118" s="297"/>
      <c r="BY118" s="297"/>
      <c r="BZ118" s="297">
        <v>1</v>
      </c>
      <c r="CA118" s="297"/>
      <c r="CB118" s="297">
        <v>1</v>
      </c>
      <c r="CC118" s="297"/>
      <c r="CD118" s="297"/>
      <c r="CE118" s="297"/>
      <c r="CF118" s="297"/>
      <c r="CG118" s="297">
        <v>1</v>
      </c>
      <c r="CH118" s="297"/>
      <c r="CI118" s="297"/>
      <c r="CJ118" s="297"/>
      <c r="CK118" s="297">
        <v>1</v>
      </c>
      <c r="CL118" s="297"/>
      <c r="CM118" s="297"/>
      <c r="CN118" s="297"/>
      <c r="CO118" s="297"/>
      <c r="CP118" s="297"/>
      <c r="CQ118" s="297"/>
      <c r="CR118" s="297"/>
      <c r="CS118" s="307"/>
      <c r="CT118" s="307"/>
      <c r="CU118" s="300"/>
      <c r="CV118" s="501">
        <f t="shared" si="6"/>
        <v>2</v>
      </c>
      <c r="CW118" s="501">
        <f t="shared" si="7"/>
        <v>16</v>
      </c>
      <c r="CX118" s="341">
        <f t="shared" si="8"/>
        <v>0</v>
      </c>
      <c r="CY118" s="327"/>
    </row>
    <row r="119" spans="1:103">
      <c r="A119" s="534" t="s">
        <v>460</v>
      </c>
      <c r="B119" s="162" t="str">
        <f>IFERROR(VLOOKUP(ParticipationMars1[[#This Row],[Référence]],ListeÉtudiants1[],18,FALSE),"")</f>
        <v>SARAOUI KATIA</v>
      </c>
      <c r="C119" s="19"/>
      <c r="D119" s="19"/>
      <c r="E119" s="19"/>
      <c r="F119" s="19"/>
      <c r="G119" s="19"/>
      <c r="H119" s="19"/>
      <c r="I119" s="19"/>
      <c r="J119" s="19"/>
      <c r="K119" s="19"/>
      <c r="L119" s="19"/>
      <c r="M119" s="19"/>
      <c r="N119" s="19"/>
      <c r="O119" s="19"/>
      <c r="P119" s="19" t="s">
        <v>105</v>
      </c>
      <c r="Q119" s="19" t="s">
        <v>108</v>
      </c>
      <c r="R119" s="19"/>
      <c r="S119" s="19"/>
      <c r="T119" s="19"/>
      <c r="U119" s="19"/>
      <c r="V119" s="19" t="s">
        <v>106</v>
      </c>
      <c r="W119" s="19"/>
      <c r="X119" s="19"/>
      <c r="Y119" s="19"/>
      <c r="Z119" s="19"/>
      <c r="AA119" s="19"/>
      <c r="AB119" s="19"/>
      <c r="AC119" s="19" t="s">
        <v>529</v>
      </c>
      <c r="AD119" s="19"/>
      <c r="AE119" s="19"/>
      <c r="AF119" s="19"/>
      <c r="AG119" s="144"/>
      <c r="AH119" s="6">
        <f>COUNTIF(ParticipationMars1[[#This Row],[1]:[31]],Code1)</f>
        <v>0</v>
      </c>
      <c r="AI119" s="331">
        <f>COUNTIF(ParticipationMars1[[#This Row],[1]:[31]],code22)</f>
        <v>0</v>
      </c>
      <c r="AJ119" s="30">
        <f>COUNTIF(ParticipationMars1[[#This Row],[1]:[31]],Code2)</f>
        <v>1</v>
      </c>
      <c r="AK119" s="30">
        <f>COUNTIF(ParticipationMars1[[#This Row],[1]:[31]],Code3)</f>
        <v>1</v>
      </c>
      <c r="AL119" s="30">
        <f>COUNTIF(ParticipationMars1[[#This Row],[1]:[31]],Code4)</f>
        <v>0</v>
      </c>
      <c r="AM119" s="307">
        <f>COUNTIF(ParticipationMars1[[#This Row],[1]:[31]],Code5)</f>
        <v>0</v>
      </c>
      <c r="AN119" s="307">
        <f>COUNTIF(ParticipationMars1[[#This Row],[1]:[31]],Code23)</f>
        <v>1</v>
      </c>
      <c r="AO119" s="307">
        <f>COUNTIF(ParticipationMars1[[#This Row],[1]:[31]],Code6)</f>
        <v>1</v>
      </c>
      <c r="AP119" s="307">
        <f>COUNTIF(ParticipationMars1[[#This Row],[1]:[31]],Code7)</f>
        <v>0</v>
      </c>
      <c r="AQ119" s="307">
        <f>COUNTIF(ParticipationMars1[[#This Row],[1]:[31]],Code8)</f>
        <v>0</v>
      </c>
      <c r="AR119" s="307">
        <f>COUNTIF(ParticipationMars1[[#This Row],[1]:[31]],Code9)</f>
        <v>0</v>
      </c>
      <c r="AS119" s="307">
        <f>COUNTIF(ParticipationMars1[[#This Row],[1]:[31]],Code10)</f>
        <v>0</v>
      </c>
      <c r="AT119" s="307">
        <f>COUNTIF(ParticipationMars1[[#This Row],[1]:[31]],Code11)</f>
        <v>0</v>
      </c>
      <c r="AU119" s="30">
        <f>COUNTIF(ParticipationMars1[[#This Row],[1]:[31]],Code12)</f>
        <v>0</v>
      </c>
      <c r="AV119" s="307">
        <f>COUNTIF(ParticipationMars1[[#This Row],[1]:[31]],Code13)</f>
        <v>0</v>
      </c>
      <c r="AW119" s="307">
        <f>COUNTIF(ParticipationMars1[[#This Row],[1]:[31]],Code14)</f>
        <v>0</v>
      </c>
      <c r="AX119" s="307">
        <f>COUNTIF(ParticipationMars1[[#This Row],[1]:[31]],Code15)</f>
        <v>0</v>
      </c>
      <c r="AY119" s="307">
        <f>COUNTIF(ParticipationMars1[[#This Row],[1]:[31]],Code16)</f>
        <v>0</v>
      </c>
      <c r="AZ119" s="307">
        <f>COUNTIF(ParticipationMars1[[#This Row],[1]:[31]],Code17)</f>
        <v>0</v>
      </c>
      <c r="BA119" s="30">
        <f>COUNTIF(ParticipationMars1[[#This Row],[1]:[31]],Code25)</f>
        <v>0</v>
      </c>
      <c r="BB119" s="307">
        <f>COUNTIF(ParticipationMars1[[#This Row],[1]:[31]],Code26)</f>
        <v>0</v>
      </c>
      <c r="BC119" s="307">
        <f>COUNTIF(ParticipationMars1[[#This Row],[1]:[31]],Code27)</f>
        <v>0</v>
      </c>
      <c r="BD119" s="30">
        <f>COUNTIF(ParticipationMars1[[#This Row],[1]:[31]],Code28)</f>
        <v>0</v>
      </c>
      <c r="BE119" s="30">
        <f>COUNTIF(ParticipationMars1[[#This Row],[1]:[31]],code30)</f>
        <v>0</v>
      </c>
      <c r="BF119" s="30">
        <f>COUNTIF(ParticipationMars1[[#This Row],[1]:[31]],Code31)</f>
        <v>0</v>
      </c>
      <c r="BG119" s="307">
        <f>COUNTIF(ParticipationMars1[[#This Row],[1]:[31]],code21)</f>
        <v>0</v>
      </c>
      <c r="BH119" s="307">
        <f>COUNTIF(ParticipationMars1[[#This Row],[1]:[31]],Code24)</f>
        <v>0</v>
      </c>
      <c r="BI119" s="307">
        <f>COUNTIF(ParticipationMars1[[#This Row],[1]:[31]],code18)</f>
        <v>0</v>
      </c>
      <c r="BJ119" s="307">
        <f>COUNTIF(ParticipationMars1[[#This Row],[1]:[31]],code19)</f>
        <v>0</v>
      </c>
      <c r="BK119" s="307">
        <f>COUNTIF(ParticipationMars1[[#This Row],[1]:[31]],code20)</f>
        <v>0</v>
      </c>
      <c r="BL119" s="300">
        <f>COUNTIF(ParticipationMars1[[#This Row],[1]:[31]],code29)</f>
        <v>0</v>
      </c>
      <c r="BM119" s="297"/>
      <c r="BN119" s="297"/>
      <c r="BO119" s="297"/>
      <c r="BP119" s="297"/>
      <c r="BQ119" s="297"/>
      <c r="BR119" s="297"/>
      <c r="BS119" s="297"/>
      <c r="BT119" s="297">
        <v>1</v>
      </c>
      <c r="BU119" s="297"/>
      <c r="BV119" s="297"/>
      <c r="BW119" s="297"/>
      <c r="BX119" s="297"/>
      <c r="BY119" s="297"/>
      <c r="BZ119" s="297"/>
      <c r="CA119" s="297"/>
      <c r="CB119" s="297"/>
      <c r="CC119" s="297"/>
      <c r="CD119" s="297"/>
      <c r="CE119" s="297"/>
      <c r="CF119" s="297"/>
      <c r="CG119" s="297"/>
      <c r="CH119" s="297"/>
      <c r="CI119" s="297"/>
      <c r="CJ119" s="297"/>
      <c r="CK119" s="297"/>
      <c r="CL119" s="297"/>
      <c r="CM119" s="297"/>
      <c r="CN119" s="297"/>
      <c r="CO119" s="297"/>
      <c r="CP119" s="297"/>
      <c r="CQ119" s="297"/>
      <c r="CR119" s="297"/>
      <c r="CS119" s="307"/>
      <c r="CT119" s="307"/>
      <c r="CU119" s="300"/>
      <c r="CV119" s="501">
        <f t="shared" si="6"/>
        <v>5</v>
      </c>
      <c r="CW119" s="501">
        <f t="shared" si="7"/>
        <v>4</v>
      </c>
      <c r="CX119" s="249">
        <f t="shared" si="8"/>
        <v>0</v>
      </c>
      <c r="CY119" s="327"/>
    </row>
    <row r="120" spans="1:103">
      <c r="A120" s="534" t="s">
        <v>461</v>
      </c>
      <c r="B120" s="162" t="str">
        <f>IFERROR(VLOOKUP(ParticipationMars1[[#This Row],[Référence]],ListeÉtudiants1[],18,FALSE),"")</f>
        <v>SAUBER SEBASTIEN</v>
      </c>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340"/>
      <c r="AH120" s="6">
        <f>COUNTIF(ParticipationMars1[[#This Row],[1]:[31]],Code1)</f>
        <v>0</v>
      </c>
      <c r="AI120" s="6">
        <f>COUNTIF(ParticipationMars1[[#This Row],[1]:[31]],code22)</f>
        <v>0</v>
      </c>
      <c r="AJ120" s="30">
        <f>COUNTIF(ParticipationMars1[[#This Row],[1]:[31]],Code2)</f>
        <v>0</v>
      </c>
      <c r="AK120" s="30">
        <f>COUNTIF(ParticipationMars1[[#This Row],[1]:[31]],Code3)</f>
        <v>0</v>
      </c>
      <c r="AL120" s="30">
        <f>COUNTIF(ParticipationMars1[[#This Row],[1]:[31]],Code4)</f>
        <v>0</v>
      </c>
      <c r="AM120" s="30">
        <f>COUNTIF(ParticipationMars1[[#This Row],[1]:[31]],Code5)</f>
        <v>0</v>
      </c>
      <c r="AN120" s="30">
        <f>COUNTIF(ParticipationMars1[[#This Row],[1]:[31]],Code23)</f>
        <v>0</v>
      </c>
      <c r="AO120" s="30">
        <f>COUNTIF(ParticipationMars1[[#This Row],[1]:[31]],Code6)</f>
        <v>0</v>
      </c>
      <c r="AP120" s="30">
        <f>COUNTIF(ParticipationMars1[[#This Row],[1]:[31]],Code7)</f>
        <v>0</v>
      </c>
      <c r="AQ120" s="30">
        <f>COUNTIF(ParticipationMars1[[#This Row],[1]:[31]],Code8)</f>
        <v>0</v>
      </c>
      <c r="AR120" s="30">
        <f>COUNTIF(ParticipationMars1[[#This Row],[1]:[31]],Code9)</f>
        <v>0</v>
      </c>
      <c r="AS120" s="30">
        <f>COUNTIF(ParticipationMars1[[#This Row],[1]:[31]],Code10)</f>
        <v>0</v>
      </c>
      <c r="AT120" s="30">
        <f>COUNTIF(ParticipationMars1[[#This Row],[1]:[31]],Code11)</f>
        <v>0</v>
      </c>
      <c r="AU120" s="30">
        <f>COUNTIF(ParticipationMars1[[#This Row],[1]:[31]],Code12)</f>
        <v>0</v>
      </c>
      <c r="AV120" s="30">
        <f>COUNTIF(ParticipationMars1[[#This Row],[1]:[31]],Code13)</f>
        <v>0</v>
      </c>
      <c r="AW120" s="30">
        <f>COUNTIF(ParticipationMars1[[#This Row],[1]:[31]],Code14)</f>
        <v>0</v>
      </c>
      <c r="AX120" s="30">
        <f>COUNTIF(ParticipationMars1[[#This Row],[1]:[31]],Code15)</f>
        <v>0</v>
      </c>
      <c r="AY120" s="30">
        <f>COUNTIF(ParticipationMars1[[#This Row],[1]:[31]],Code16)</f>
        <v>0</v>
      </c>
      <c r="AZ120" s="30">
        <f>COUNTIF(ParticipationMars1[[#This Row],[1]:[31]],Code17)</f>
        <v>0</v>
      </c>
      <c r="BA120" s="30">
        <f>COUNTIF(ParticipationMars1[[#This Row],[1]:[31]],Code25)</f>
        <v>0</v>
      </c>
      <c r="BB120" s="30">
        <f>COUNTIF(ParticipationMars1[[#This Row],[1]:[31]],Code26)</f>
        <v>0</v>
      </c>
      <c r="BC120" s="30">
        <f>COUNTIF(ParticipationMars1[[#This Row],[1]:[31]],Code27)</f>
        <v>0</v>
      </c>
      <c r="BD120" s="30">
        <f>COUNTIF(ParticipationMars1[[#This Row],[1]:[31]],Code28)</f>
        <v>0</v>
      </c>
      <c r="BE120" s="30">
        <f>COUNTIF(ParticipationMars1[[#This Row],[1]:[31]],code30)</f>
        <v>0</v>
      </c>
      <c r="BF120" s="30">
        <f>COUNTIF(ParticipationMars1[[#This Row],[1]:[31]],Code31)</f>
        <v>0</v>
      </c>
      <c r="BG120" s="30">
        <f>COUNTIF(ParticipationMars1[[#This Row],[1]:[31]],code21)</f>
        <v>0</v>
      </c>
      <c r="BH120" s="30">
        <f>COUNTIF(ParticipationMars1[[#This Row],[1]:[31]],Code24)</f>
        <v>0</v>
      </c>
      <c r="BI120" s="30">
        <f>COUNTIF(ParticipationMars1[[#This Row],[1]:[31]],code18)</f>
        <v>0</v>
      </c>
      <c r="BJ120" s="30">
        <f>COUNTIF(ParticipationMars1[[#This Row],[1]:[31]],code19)</f>
        <v>0</v>
      </c>
      <c r="BK120" s="30">
        <f>COUNTIF(ParticipationMars1[[#This Row],[1]:[31]],code20)</f>
        <v>0</v>
      </c>
      <c r="BL120" s="164">
        <f>COUNTIF(ParticipationMars1[[#This Row],[1]:[31]],code29)</f>
        <v>0</v>
      </c>
      <c r="BM120" s="139"/>
      <c r="BN120" s="139"/>
      <c r="BO120" s="139"/>
      <c r="BP120" s="139"/>
      <c r="BQ120" s="139"/>
      <c r="BR120" s="139"/>
      <c r="BS120" s="139"/>
      <c r="BT120" s="139"/>
      <c r="BU120" s="139"/>
      <c r="BV120" s="139"/>
      <c r="BW120" s="139"/>
      <c r="BX120" s="139"/>
      <c r="BY120" s="139"/>
      <c r="BZ120" s="139"/>
      <c r="CA120" s="139"/>
      <c r="CB120" s="139"/>
      <c r="CC120" s="139"/>
      <c r="CD120" s="139"/>
      <c r="CE120" s="139"/>
      <c r="CF120" s="139"/>
      <c r="CG120" s="139"/>
      <c r="CH120" s="139"/>
      <c r="CI120" s="139"/>
      <c r="CJ120" s="139"/>
      <c r="CK120" s="139"/>
      <c r="CL120" s="139"/>
      <c r="CM120" s="139"/>
      <c r="CN120" s="139"/>
      <c r="CO120" s="139"/>
      <c r="CP120" s="139"/>
      <c r="CQ120" s="139"/>
      <c r="CR120" s="139"/>
      <c r="CS120" s="30"/>
      <c r="CT120" s="30"/>
      <c r="CU120" s="164"/>
      <c r="CV120" s="501">
        <f t="shared" si="6"/>
        <v>0</v>
      </c>
      <c r="CW120" s="501">
        <f t="shared" si="7"/>
        <v>0</v>
      </c>
      <c r="CX120" s="249">
        <f t="shared" si="8"/>
        <v>0</v>
      </c>
      <c r="CY120" s="170"/>
    </row>
    <row r="121" spans="1:103">
      <c r="A121" s="536" t="s">
        <v>462</v>
      </c>
      <c r="B121" s="162" t="str">
        <f>IFERROR(VLOOKUP(ParticipationMars1[[#This Row],[Référence]],ListeÉtudiants1[],18,FALSE),"")</f>
        <v>SCHUTZ LAURA</v>
      </c>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340"/>
      <c r="AH121" s="6">
        <f>COUNTIF(ParticipationMars1[[#This Row],[1]:[31]],Code1)</f>
        <v>0</v>
      </c>
      <c r="AI121" s="6">
        <f>COUNTIF(ParticipationMars1[[#This Row],[1]:[31]],code22)</f>
        <v>0</v>
      </c>
      <c r="AJ121" s="30">
        <f>COUNTIF(ParticipationMars1[[#This Row],[1]:[31]],Code2)</f>
        <v>0</v>
      </c>
      <c r="AK121" s="30">
        <f>COUNTIF(ParticipationMars1[[#This Row],[1]:[31]],Code3)</f>
        <v>0</v>
      </c>
      <c r="AL121" s="30">
        <f>COUNTIF(ParticipationMars1[[#This Row],[1]:[31]],Code4)</f>
        <v>0</v>
      </c>
      <c r="AM121" s="30">
        <f>COUNTIF(ParticipationMars1[[#This Row],[1]:[31]],Code5)</f>
        <v>0</v>
      </c>
      <c r="AN121" s="30">
        <f>COUNTIF(ParticipationMars1[[#This Row],[1]:[31]],Code23)</f>
        <v>0</v>
      </c>
      <c r="AO121" s="30">
        <f>COUNTIF(ParticipationMars1[[#This Row],[1]:[31]],Code6)</f>
        <v>0</v>
      </c>
      <c r="AP121" s="30">
        <f>COUNTIF(ParticipationMars1[[#This Row],[1]:[31]],Code7)</f>
        <v>0</v>
      </c>
      <c r="AQ121" s="30">
        <f>COUNTIF(ParticipationMars1[[#This Row],[1]:[31]],Code8)</f>
        <v>0</v>
      </c>
      <c r="AR121" s="30">
        <f>COUNTIF(ParticipationMars1[[#This Row],[1]:[31]],Code9)</f>
        <v>0</v>
      </c>
      <c r="AS121" s="30">
        <f>COUNTIF(ParticipationMars1[[#This Row],[1]:[31]],Code10)</f>
        <v>0</v>
      </c>
      <c r="AT121" s="30">
        <f>COUNTIF(ParticipationMars1[[#This Row],[1]:[31]],Code11)</f>
        <v>0</v>
      </c>
      <c r="AU121" s="30">
        <f>COUNTIF(ParticipationMars1[[#This Row],[1]:[31]],Code12)</f>
        <v>0</v>
      </c>
      <c r="AV121" s="30">
        <f>COUNTIF(ParticipationMars1[[#This Row],[1]:[31]],Code13)</f>
        <v>0</v>
      </c>
      <c r="AW121" s="30">
        <f>COUNTIF(ParticipationMars1[[#This Row],[1]:[31]],Code14)</f>
        <v>0</v>
      </c>
      <c r="AX121" s="30">
        <f>COUNTIF(ParticipationMars1[[#This Row],[1]:[31]],Code15)</f>
        <v>0</v>
      </c>
      <c r="AY121" s="30">
        <f>COUNTIF(ParticipationMars1[[#This Row],[1]:[31]],Code16)</f>
        <v>0</v>
      </c>
      <c r="AZ121" s="30">
        <f>COUNTIF(ParticipationMars1[[#This Row],[1]:[31]],Code17)</f>
        <v>0</v>
      </c>
      <c r="BA121" s="30">
        <f>COUNTIF(ParticipationMars1[[#This Row],[1]:[31]],Code25)</f>
        <v>0</v>
      </c>
      <c r="BB121" s="30">
        <f>COUNTIF(ParticipationMars1[[#This Row],[1]:[31]],Code26)</f>
        <v>0</v>
      </c>
      <c r="BC121" s="30">
        <f>COUNTIF(ParticipationMars1[[#This Row],[1]:[31]],Code27)</f>
        <v>0</v>
      </c>
      <c r="BD121" s="30">
        <f>COUNTIF(ParticipationMars1[[#This Row],[1]:[31]],Code28)</f>
        <v>0</v>
      </c>
      <c r="BE121" s="30">
        <f>COUNTIF(ParticipationMars1[[#This Row],[1]:[31]],code30)</f>
        <v>0</v>
      </c>
      <c r="BF121" s="30">
        <f>COUNTIF(ParticipationMars1[[#This Row],[1]:[31]],Code31)</f>
        <v>0</v>
      </c>
      <c r="BG121" s="30">
        <f>COUNTIF(ParticipationMars1[[#This Row],[1]:[31]],code21)</f>
        <v>0</v>
      </c>
      <c r="BH121" s="30">
        <f>COUNTIF(ParticipationMars1[[#This Row],[1]:[31]],Code24)</f>
        <v>0</v>
      </c>
      <c r="BI121" s="30">
        <f>COUNTIF(ParticipationMars1[[#This Row],[1]:[31]],code18)</f>
        <v>0</v>
      </c>
      <c r="BJ121" s="30">
        <f>COUNTIF(ParticipationMars1[[#This Row],[1]:[31]],code19)</f>
        <v>0</v>
      </c>
      <c r="BK121" s="30">
        <f>COUNTIF(ParticipationMars1[[#This Row],[1]:[31]],code20)</f>
        <v>0</v>
      </c>
      <c r="BL121" s="164">
        <f>COUNTIF(ParticipationMars1[[#This Row],[1]:[31]],code29)</f>
        <v>0</v>
      </c>
      <c r="BM121" s="139"/>
      <c r="BN121" s="139"/>
      <c r="BO121" s="139"/>
      <c r="BP121" s="139"/>
      <c r="BQ121" s="139"/>
      <c r="BR121" s="139"/>
      <c r="BS121" s="139"/>
      <c r="BT121" s="139"/>
      <c r="BU121" s="139"/>
      <c r="BV121" s="139"/>
      <c r="BW121" s="139"/>
      <c r="BX121" s="139"/>
      <c r="BY121" s="139"/>
      <c r="BZ121" s="139"/>
      <c r="CA121" s="139"/>
      <c r="CB121" s="139"/>
      <c r="CC121" s="139"/>
      <c r="CD121" s="139"/>
      <c r="CE121" s="139"/>
      <c r="CF121" s="139"/>
      <c r="CG121" s="139"/>
      <c r="CH121" s="139"/>
      <c r="CI121" s="139"/>
      <c r="CJ121" s="139"/>
      <c r="CK121" s="139"/>
      <c r="CL121" s="139"/>
      <c r="CM121" s="139"/>
      <c r="CN121" s="139"/>
      <c r="CO121" s="139"/>
      <c r="CP121" s="139"/>
      <c r="CQ121" s="139"/>
      <c r="CR121" s="139"/>
      <c r="CS121" s="30"/>
      <c r="CT121" s="30"/>
      <c r="CU121" s="164"/>
      <c r="CV121" s="501">
        <f t="shared" si="6"/>
        <v>0</v>
      </c>
      <c r="CW121" s="501">
        <f t="shared" si="7"/>
        <v>0</v>
      </c>
      <c r="CX121" s="249">
        <f t="shared" si="8"/>
        <v>0</v>
      </c>
      <c r="CY121" s="170"/>
    </row>
    <row r="122" spans="1:103">
      <c r="A122" s="510" t="s">
        <v>463</v>
      </c>
      <c r="B122" s="162" t="str">
        <f>IFERROR(VLOOKUP(ParticipationMars1[[#This Row],[Référence]],ListeÉtudiants1[],18,FALSE),"")</f>
        <v>SEHIMI  INES</v>
      </c>
      <c r="C122" s="19"/>
      <c r="D122" s="19"/>
      <c r="E122" s="19"/>
      <c r="F122" s="19"/>
      <c r="G122" s="19"/>
      <c r="H122" s="19"/>
      <c r="I122" s="19"/>
      <c r="J122" s="19"/>
      <c r="K122" s="19"/>
      <c r="L122" s="19"/>
      <c r="M122" s="19"/>
      <c r="N122" s="19"/>
      <c r="O122" s="19"/>
      <c r="P122" s="19" t="s">
        <v>35</v>
      </c>
      <c r="Q122" s="19" t="s">
        <v>109</v>
      </c>
      <c r="R122" s="19"/>
      <c r="S122" s="19"/>
      <c r="T122" s="19"/>
      <c r="U122" s="19" t="s">
        <v>109</v>
      </c>
      <c r="V122" s="19"/>
      <c r="W122" s="19" t="s">
        <v>108</v>
      </c>
      <c r="X122" s="19" t="s">
        <v>488</v>
      </c>
      <c r="Y122" s="19" t="s">
        <v>108</v>
      </c>
      <c r="Z122" s="19"/>
      <c r="AA122" s="19"/>
      <c r="AB122" s="19" t="s">
        <v>109</v>
      </c>
      <c r="AC122" s="19" t="s">
        <v>486</v>
      </c>
      <c r="AD122" s="19" t="s">
        <v>35</v>
      </c>
      <c r="AE122" s="19"/>
      <c r="AF122" s="19"/>
      <c r="AG122" s="144"/>
      <c r="AH122" s="6">
        <f>COUNTIF(ParticipationMars1[[#This Row],[1]:[31]],Code1)</f>
        <v>0</v>
      </c>
      <c r="AI122" s="331">
        <f>COUNTIF(ParticipationMars1[[#This Row],[1]:[31]],code22)</f>
        <v>0</v>
      </c>
      <c r="AJ122" s="30">
        <f>COUNTIF(ParticipationMars1[[#This Row],[1]:[31]],Code2)</f>
        <v>0</v>
      </c>
      <c r="AK122" s="30">
        <f>COUNTIF(ParticipationMars1[[#This Row],[1]:[31]],Code3)</f>
        <v>0</v>
      </c>
      <c r="AL122" s="30">
        <f>COUNTIF(ParticipationMars1[[#This Row],[1]:[31]],Code4)</f>
        <v>0</v>
      </c>
      <c r="AM122" s="307">
        <f>COUNTIF(ParticipationMars1[[#This Row],[1]:[31]],Code5)</f>
        <v>2</v>
      </c>
      <c r="AN122" s="307">
        <f>COUNTIF(ParticipationMars1[[#This Row],[1]:[31]],Code23)</f>
        <v>0</v>
      </c>
      <c r="AO122" s="307">
        <f>COUNTIF(ParticipationMars1[[#This Row],[1]:[31]],Code6)</f>
        <v>2</v>
      </c>
      <c r="AP122" s="307">
        <f>COUNTIF(ParticipationMars1[[#This Row],[1]:[31]],Code7)</f>
        <v>3</v>
      </c>
      <c r="AQ122" s="307">
        <f>COUNTIF(ParticipationMars1[[#This Row],[1]:[31]],Code8)</f>
        <v>0</v>
      </c>
      <c r="AR122" s="307">
        <f>COUNTIF(ParticipationMars1[[#This Row],[1]:[31]],Code9)</f>
        <v>0</v>
      </c>
      <c r="AS122" s="307">
        <f>COUNTIF(ParticipationMars1[[#This Row],[1]:[31]],Code10)</f>
        <v>0</v>
      </c>
      <c r="AT122" s="307">
        <f>COUNTIF(ParticipationMars1[[#This Row],[1]:[31]],Code11)</f>
        <v>1</v>
      </c>
      <c r="AU122" s="30">
        <f>COUNTIF(ParticipationMars1[[#This Row],[1]:[31]],Code12)</f>
        <v>0</v>
      </c>
      <c r="AV122" s="307">
        <f>COUNTIF(ParticipationMars1[[#This Row],[1]:[31]],Code13)</f>
        <v>0</v>
      </c>
      <c r="AW122" s="307">
        <f>COUNTIF(ParticipationMars1[[#This Row],[1]:[31]],Code14)</f>
        <v>1</v>
      </c>
      <c r="AX122" s="307">
        <f>COUNTIF(ParticipationMars1[[#This Row],[1]:[31]],Code15)</f>
        <v>0</v>
      </c>
      <c r="AY122" s="307">
        <f>COUNTIF(ParticipationMars1[[#This Row],[1]:[31]],Code16)</f>
        <v>0</v>
      </c>
      <c r="AZ122" s="307">
        <f>COUNTIF(ParticipationMars1[[#This Row],[1]:[31]],Code17)</f>
        <v>0</v>
      </c>
      <c r="BA122" s="30">
        <f>COUNTIF(ParticipationMars1[[#This Row],[1]:[31]],Code25)</f>
        <v>0</v>
      </c>
      <c r="BB122" s="307">
        <f>COUNTIF(ParticipationMars1[[#This Row],[1]:[31]],Code26)</f>
        <v>0</v>
      </c>
      <c r="BC122" s="307">
        <f>COUNTIF(ParticipationMars1[[#This Row],[1]:[31]],Code27)</f>
        <v>0</v>
      </c>
      <c r="BD122" s="30">
        <f>COUNTIF(ParticipationMars1[[#This Row],[1]:[31]],Code28)</f>
        <v>0</v>
      </c>
      <c r="BE122" s="30">
        <f>COUNTIF(ParticipationMars1[[#This Row],[1]:[31]],code30)</f>
        <v>0</v>
      </c>
      <c r="BF122" s="30">
        <f>COUNTIF(ParticipationMars1[[#This Row],[1]:[31]],Code31)</f>
        <v>0</v>
      </c>
      <c r="BG122" s="307">
        <f>COUNTIF(ParticipationMars1[[#This Row],[1]:[31]],code21)</f>
        <v>0</v>
      </c>
      <c r="BH122" s="307">
        <f>COUNTIF(ParticipationMars1[[#This Row],[1]:[31]],Code24)</f>
        <v>0</v>
      </c>
      <c r="BI122" s="307">
        <f>COUNTIF(ParticipationMars1[[#This Row],[1]:[31]],code18)</f>
        <v>0</v>
      </c>
      <c r="BJ122" s="307">
        <f>COUNTIF(ParticipationMars1[[#This Row],[1]:[31]],code19)</f>
        <v>0</v>
      </c>
      <c r="BK122" s="307">
        <f>COUNTIF(ParticipationMars1[[#This Row],[1]:[31]],code20)</f>
        <v>0</v>
      </c>
      <c r="BL122" s="300">
        <f>COUNTIF(ParticipationMars1[[#This Row],[1]:[31]],code29)</f>
        <v>0</v>
      </c>
      <c r="BM122" s="297"/>
      <c r="BN122" s="297">
        <v>1</v>
      </c>
      <c r="BO122" s="297"/>
      <c r="BP122" s="297"/>
      <c r="BQ122" s="297"/>
      <c r="BR122" s="297"/>
      <c r="BS122" s="297"/>
      <c r="BT122" s="297">
        <v>3</v>
      </c>
      <c r="BU122" s="297"/>
      <c r="BV122" s="297"/>
      <c r="BW122" s="297">
        <v>5</v>
      </c>
      <c r="BX122" s="297"/>
      <c r="BY122" s="297"/>
      <c r="BZ122" s="297"/>
      <c r="CA122" s="297"/>
      <c r="CB122" s="297">
        <v>1</v>
      </c>
      <c r="CC122" s="297"/>
      <c r="CD122" s="297"/>
      <c r="CE122" s="297"/>
      <c r="CF122" s="297"/>
      <c r="CG122" s="297">
        <v>1</v>
      </c>
      <c r="CH122" s="297"/>
      <c r="CI122" s="297"/>
      <c r="CJ122" s="297"/>
      <c r="CK122" s="297">
        <v>2</v>
      </c>
      <c r="CL122" s="297"/>
      <c r="CM122" s="297"/>
      <c r="CN122" s="297"/>
      <c r="CO122" s="297"/>
      <c r="CP122" s="297"/>
      <c r="CQ122" s="297"/>
      <c r="CR122" s="297"/>
      <c r="CS122" s="307"/>
      <c r="CT122" s="307"/>
      <c r="CU122" s="300"/>
      <c r="CV122" s="501">
        <f t="shared" si="6"/>
        <v>15</v>
      </c>
      <c r="CW122" s="501">
        <f t="shared" si="7"/>
        <v>34</v>
      </c>
      <c r="CX122" s="249">
        <f t="shared" si="8"/>
        <v>0</v>
      </c>
      <c r="CY122" s="327"/>
    </row>
    <row r="123" spans="1:103">
      <c r="A123" s="536" t="s">
        <v>464</v>
      </c>
      <c r="B123" s="162" t="str">
        <f>IFERROR(VLOOKUP(ParticipationMars1[[#This Row],[Référence]],ListeÉtudiants1[],18,FALSE),"")</f>
        <v>SEINGUERLET CONSTANCE</v>
      </c>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340"/>
      <c r="AH123" s="6">
        <f>COUNTIF(ParticipationMars1[[#This Row],[1]:[31]],Code1)</f>
        <v>0</v>
      </c>
      <c r="AI123" s="6">
        <f>COUNTIF(ParticipationMars1[[#This Row],[1]:[31]],code22)</f>
        <v>0</v>
      </c>
      <c r="AJ123" s="30">
        <f>COUNTIF(ParticipationMars1[[#This Row],[1]:[31]],Code2)</f>
        <v>0</v>
      </c>
      <c r="AK123" s="30">
        <f>COUNTIF(ParticipationMars1[[#This Row],[1]:[31]],Code3)</f>
        <v>0</v>
      </c>
      <c r="AL123" s="30">
        <f>COUNTIF(ParticipationMars1[[#This Row],[1]:[31]],Code4)</f>
        <v>0</v>
      </c>
      <c r="AM123" s="30">
        <f>COUNTIF(ParticipationMars1[[#This Row],[1]:[31]],Code5)</f>
        <v>0</v>
      </c>
      <c r="AN123" s="30">
        <f>COUNTIF(ParticipationMars1[[#This Row],[1]:[31]],Code23)</f>
        <v>0</v>
      </c>
      <c r="AO123" s="30">
        <f>COUNTIF(ParticipationMars1[[#This Row],[1]:[31]],Code6)</f>
        <v>0</v>
      </c>
      <c r="AP123" s="30">
        <f>COUNTIF(ParticipationMars1[[#This Row],[1]:[31]],Code7)</f>
        <v>0</v>
      </c>
      <c r="AQ123" s="30">
        <f>COUNTIF(ParticipationMars1[[#This Row],[1]:[31]],Code8)</f>
        <v>0</v>
      </c>
      <c r="AR123" s="30">
        <f>COUNTIF(ParticipationMars1[[#This Row],[1]:[31]],Code9)</f>
        <v>0</v>
      </c>
      <c r="AS123" s="30">
        <f>COUNTIF(ParticipationMars1[[#This Row],[1]:[31]],Code10)</f>
        <v>0</v>
      </c>
      <c r="AT123" s="30">
        <f>COUNTIF(ParticipationMars1[[#This Row],[1]:[31]],Code11)</f>
        <v>0</v>
      </c>
      <c r="AU123" s="30">
        <f>COUNTIF(ParticipationMars1[[#This Row],[1]:[31]],Code12)</f>
        <v>0</v>
      </c>
      <c r="AV123" s="30">
        <f>COUNTIF(ParticipationMars1[[#This Row],[1]:[31]],Code13)</f>
        <v>0</v>
      </c>
      <c r="AW123" s="30">
        <f>COUNTIF(ParticipationMars1[[#This Row],[1]:[31]],Code14)</f>
        <v>0</v>
      </c>
      <c r="AX123" s="30">
        <f>COUNTIF(ParticipationMars1[[#This Row],[1]:[31]],Code15)</f>
        <v>0</v>
      </c>
      <c r="AY123" s="30">
        <f>COUNTIF(ParticipationMars1[[#This Row],[1]:[31]],Code16)</f>
        <v>0</v>
      </c>
      <c r="AZ123" s="30">
        <f>COUNTIF(ParticipationMars1[[#This Row],[1]:[31]],Code17)</f>
        <v>0</v>
      </c>
      <c r="BA123" s="30">
        <f>COUNTIF(ParticipationMars1[[#This Row],[1]:[31]],Code25)</f>
        <v>0</v>
      </c>
      <c r="BB123" s="30">
        <f>COUNTIF(ParticipationMars1[[#This Row],[1]:[31]],Code26)</f>
        <v>0</v>
      </c>
      <c r="BC123" s="30">
        <f>COUNTIF(ParticipationMars1[[#This Row],[1]:[31]],Code27)</f>
        <v>0</v>
      </c>
      <c r="BD123" s="30">
        <f>COUNTIF(ParticipationMars1[[#This Row],[1]:[31]],Code28)</f>
        <v>0</v>
      </c>
      <c r="BE123" s="30">
        <f>COUNTIF(ParticipationMars1[[#This Row],[1]:[31]],code30)</f>
        <v>0</v>
      </c>
      <c r="BF123" s="30">
        <f>COUNTIF(ParticipationMars1[[#This Row],[1]:[31]],Code31)</f>
        <v>0</v>
      </c>
      <c r="BG123" s="30">
        <f>COUNTIF(ParticipationMars1[[#This Row],[1]:[31]],code21)</f>
        <v>0</v>
      </c>
      <c r="BH123" s="30">
        <f>COUNTIF(ParticipationMars1[[#This Row],[1]:[31]],Code24)</f>
        <v>0</v>
      </c>
      <c r="BI123" s="30">
        <f>COUNTIF(ParticipationMars1[[#This Row],[1]:[31]],code18)</f>
        <v>0</v>
      </c>
      <c r="BJ123" s="30">
        <f>COUNTIF(ParticipationMars1[[#This Row],[1]:[31]],code19)</f>
        <v>0</v>
      </c>
      <c r="BK123" s="30">
        <f>COUNTIF(ParticipationMars1[[#This Row],[1]:[31]],code20)</f>
        <v>0</v>
      </c>
      <c r="BL123" s="164">
        <f>COUNTIF(ParticipationMars1[[#This Row],[1]:[31]],code29)</f>
        <v>0</v>
      </c>
      <c r="BM123" s="139"/>
      <c r="BN123" s="139"/>
      <c r="BO123" s="139"/>
      <c r="BP123" s="139"/>
      <c r="BQ123" s="139"/>
      <c r="BR123" s="139"/>
      <c r="BS123" s="139"/>
      <c r="BT123" s="139"/>
      <c r="BU123" s="139"/>
      <c r="BV123" s="139"/>
      <c r="BW123" s="139"/>
      <c r="BX123" s="139"/>
      <c r="BY123" s="139"/>
      <c r="BZ123" s="139"/>
      <c r="CA123" s="139"/>
      <c r="CB123" s="139"/>
      <c r="CC123" s="139"/>
      <c r="CD123" s="139"/>
      <c r="CE123" s="139"/>
      <c r="CF123" s="139"/>
      <c r="CG123" s="139"/>
      <c r="CH123" s="139"/>
      <c r="CI123" s="139"/>
      <c r="CJ123" s="139"/>
      <c r="CK123" s="139"/>
      <c r="CL123" s="139"/>
      <c r="CM123" s="139"/>
      <c r="CN123" s="139"/>
      <c r="CO123" s="139"/>
      <c r="CP123" s="139"/>
      <c r="CQ123" s="139"/>
      <c r="CR123" s="139"/>
      <c r="CS123" s="30"/>
      <c r="CT123" s="30"/>
      <c r="CU123" s="164"/>
      <c r="CV123" s="501">
        <f t="shared" si="6"/>
        <v>0</v>
      </c>
      <c r="CW123" s="501">
        <f t="shared" si="7"/>
        <v>0</v>
      </c>
      <c r="CX123" s="249">
        <f t="shared" si="8"/>
        <v>0</v>
      </c>
      <c r="CY123" s="170"/>
    </row>
    <row r="124" spans="1:103">
      <c r="A124" s="536" t="s">
        <v>465</v>
      </c>
      <c r="B124" s="162" t="str">
        <f>IFERROR(VLOOKUP(ParticipationMars1[[#This Row],[Référence]],ListeÉtudiants1[],18,FALSE),"")</f>
        <v>SERVENT MARION</v>
      </c>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340"/>
      <c r="AH124" s="6">
        <f>COUNTIF(ParticipationMars1[[#This Row],[1]:[31]],Code1)</f>
        <v>0</v>
      </c>
      <c r="AI124" s="6">
        <f>COUNTIF(ParticipationMars1[[#This Row],[1]:[31]],code22)</f>
        <v>0</v>
      </c>
      <c r="AJ124" s="30">
        <f>COUNTIF(ParticipationMars1[[#This Row],[1]:[31]],Code2)</f>
        <v>0</v>
      </c>
      <c r="AK124" s="30">
        <f>COUNTIF(ParticipationMars1[[#This Row],[1]:[31]],Code3)</f>
        <v>0</v>
      </c>
      <c r="AL124" s="30">
        <f>COUNTIF(ParticipationMars1[[#This Row],[1]:[31]],Code4)</f>
        <v>0</v>
      </c>
      <c r="AM124" s="30">
        <f>COUNTIF(ParticipationMars1[[#This Row],[1]:[31]],Code5)</f>
        <v>0</v>
      </c>
      <c r="AN124" s="30">
        <f>COUNTIF(ParticipationMars1[[#This Row],[1]:[31]],Code23)</f>
        <v>0</v>
      </c>
      <c r="AO124" s="30">
        <f>COUNTIF(ParticipationMars1[[#This Row],[1]:[31]],Code6)</f>
        <v>0</v>
      </c>
      <c r="AP124" s="30">
        <f>COUNTIF(ParticipationMars1[[#This Row],[1]:[31]],Code7)</f>
        <v>0</v>
      </c>
      <c r="AQ124" s="30">
        <f>COUNTIF(ParticipationMars1[[#This Row],[1]:[31]],Code8)</f>
        <v>0</v>
      </c>
      <c r="AR124" s="30">
        <f>COUNTIF(ParticipationMars1[[#This Row],[1]:[31]],Code9)</f>
        <v>0</v>
      </c>
      <c r="AS124" s="30">
        <f>COUNTIF(ParticipationMars1[[#This Row],[1]:[31]],Code10)</f>
        <v>0</v>
      </c>
      <c r="AT124" s="30">
        <f>COUNTIF(ParticipationMars1[[#This Row],[1]:[31]],Code11)</f>
        <v>0</v>
      </c>
      <c r="AU124" s="30">
        <f>COUNTIF(ParticipationMars1[[#This Row],[1]:[31]],Code12)</f>
        <v>0</v>
      </c>
      <c r="AV124" s="30">
        <f>COUNTIF(ParticipationMars1[[#This Row],[1]:[31]],Code13)</f>
        <v>0</v>
      </c>
      <c r="AW124" s="30">
        <f>COUNTIF(ParticipationMars1[[#This Row],[1]:[31]],Code14)</f>
        <v>0</v>
      </c>
      <c r="AX124" s="30">
        <f>COUNTIF(ParticipationMars1[[#This Row],[1]:[31]],Code15)</f>
        <v>0</v>
      </c>
      <c r="AY124" s="30">
        <f>COUNTIF(ParticipationMars1[[#This Row],[1]:[31]],Code16)</f>
        <v>0</v>
      </c>
      <c r="AZ124" s="30">
        <f>COUNTIF(ParticipationMars1[[#This Row],[1]:[31]],Code17)</f>
        <v>0</v>
      </c>
      <c r="BA124" s="30">
        <f>COUNTIF(ParticipationMars1[[#This Row],[1]:[31]],Code25)</f>
        <v>0</v>
      </c>
      <c r="BB124" s="30">
        <f>COUNTIF(ParticipationMars1[[#This Row],[1]:[31]],Code26)</f>
        <v>0</v>
      </c>
      <c r="BC124" s="30">
        <f>COUNTIF(ParticipationMars1[[#This Row],[1]:[31]],Code27)</f>
        <v>0</v>
      </c>
      <c r="BD124" s="30">
        <f>COUNTIF(ParticipationMars1[[#This Row],[1]:[31]],Code28)</f>
        <v>0</v>
      </c>
      <c r="BE124" s="30">
        <f>COUNTIF(ParticipationMars1[[#This Row],[1]:[31]],code30)</f>
        <v>0</v>
      </c>
      <c r="BF124" s="30">
        <f>COUNTIF(ParticipationMars1[[#This Row],[1]:[31]],Code31)</f>
        <v>0</v>
      </c>
      <c r="BG124" s="30">
        <f>COUNTIF(ParticipationMars1[[#This Row],[1]:[31]],code21)</f>
        <v>0</v>
      </c>
      <c r="BH124" s="30">
        <f>COUNTIF(ParticipationMars1[[#This Row],[1]:[31]],Code24)</f>
        <v>0</v>
      </c>
      <c r="BI124" s="30">
        <f>COUNTIF(ParticipationMars1[[#This Row],[1]:[31]],code18)</f>
        <v>0</v>
      </c>
      <c r="BJ124" s="30">
        <f>COUNTIF(ParticipationMars1[[#This Row],[1]:[31]],code19)</f>
        <v>0</v>
      </c>
      <c r="BK124" s="30">
        <f>COUNTIF(ParticipationMars1[[#This Row],[1]:[31]],code20)</f>
        <v>0</v>
      </c>
      <c r="BL124" s="164">
        <f>COUNTIF(ParticipationMars1[[#This Row],[1]:[31]],code29)</f>
        <v>0</v>
      </c>
      <c r="BM124" s="139"/>
      <c r="BN124" s="139"/>
      <c r="BO124" s="139"/>
      <c r="BP124" s="139"/>
      <c r="BQ124" s="139"/>
      <c r="BR124" s="139"/>
      <c r="BS124" s="139"/>
      <c r="BT124" s="139"/>
      <c r="BU124" s="139"/>
      <c r="BV124" s="139"/>
      <c r="BW124" s="139"/>
      <c r="BX124" s="139"/>
      <c r="BY124" s="139"/>
      <c r="BZ124" s="139"/>
      <c r="CA124" s="139"/>
      <c r="CB124" s="139"/>
      <c r="CC124" s="139"/>
      <c r="CD124" s="139"/>
      <c r="CE124" s="139"/>
      <c r="CF124" s="139"/>
      <c r="CG124" s="139"/>
      <c r="CH124" s="139"/>
      <c r="CI124" s="139"/>
      <c r="CJ124" s="139"/>
      <c r="CK124" s="139"/>
      <c r="CL124" s="139"/>
      <c r="CM124" s="139"/>
      <c r="CN124" s="139"/>
      <c r="CO124" s="139"/>
      <c r="CP124" s="139"/>
      <c r="CQ124" s="139"/>
      <c r="CR124" s="139"/>
      <c r="CS124" s="30"/>
      <c r="CT124" s="30"/>
      <c r="CU124" s="164"/>
      <c r="CV124" s="501">
        <f t="shared" ref="CV124:CV154" si="9">SUM((AH124*1)+(AI124*1.5)+(AJ124*2)+(AK124*3)+(AP124*5)+(AQ124*6)+(AR124*7)+(AU124*2)+(AX124*3)+(AY124*4)+(AZ124*5)+(BB124*3)+(BA124*2)+(BG124*2)+(BC124*2)+(BD124*2)+(BE124*3)+(BF124*3))</f>
        <v>0</v>
      </c>
      <c r="CW124" s="501">
        <f t="shared" ref="CW124:CW154" si="10">SUM((AN124*1)+(AM124*2)+(AO124*3)+(AP124*4)+(AT124*5)+(AU124*6)+(AV124*7)+(AW124*7)+(AX124*4)+(AY124*3)+(AZ124*2)+(BA124*4)+(BB124*1)+(BG124*2)+(BC124*5)+(BD124*1)+(BE124*2)+(BF124*3))</f>
        <v>0</v>
      </c>
      <c r="CX124" s="249">
        <f t="shared" ref="CX124:CX154" si="11">BH124*1+BL124*3</f>
        <v>0</v>
      </c>
      <c r="CY124" s="170"/>
    </row>
    <row r="125" spans="1:103">
      <c r="A125" s="534" t="s">
        <v>466</v>
      </c>
      <c r="B125" s="162" t="str">
        <f>IFERROR(VLOOKUP(ParticipationMars1[[#This Row],[Référence]],ListeÉtudiants1[],18,FALSE),"")</f>
        <v>SHEIKBOUDOU MACILIA</v>
      </c>
      <c r="C125" s="19"/>
      <c r="D125" s="19"/>
      <c r="E125" s="19"/>
      <c r="F125" s="19"/>
      <c r="G125" s="19"/>
      <c r="H125" s="19"/>
      <c r="I125" s="19"/>
      <c r="J125" s="19" t="s">
        <v>577</v>
      </c>
      <c r="K125" s="19"/>
      <c r="L125" s="19"/>
      <c r="M125" s="19"/>
      <c r="N125" s="19" t="s">
        <v>107</v>
      </c>
      <c r="O125" s="19" t="s">
        <v>604</v>
      </c>
      <c r="P125" s="19" t="s">
        <v>507</v>
      </c>
      <c r="Q125" s="19"/>
      <c r="R125" s="19"/>
      <c r="S125" s="19"/>
      <c r="T125" s="19"/>
      <c r="U125" s="19"/>
      <c r="V125" s="19"/>
      <c r="W125" s="19"/>
      <c r="X125" s="19"/>
      <c r="Y125" s="19"/>
      <c r="Z125" s="19"/>
      <c r="AA125" s="19"/>
      <c r="AB125" s="19"/>
      <c r="AC125" s="19"/>
      <c r="AD125" s="19"/>
      <c r="AE125" s="19"/>
      <c r="AF125" s="19"/>
      <c r="AG125" s="401"/>
      <c r="AH125" s="6">
        <f>COUNTIF(ParticipationMars1[[#This Row],[1]:[31]],Code1)</f>
        <v>0</v>
      </c>
      <c r="AI125" s="6">
        <f>COUNTIF(ParticipationMars1[[#This Row],[1]:[31]],code22)</f>
        <v>0</v>
      </c>
      <c r="AJ125" s="30">
        <f>COUNTIF(ParticipationMars1[[#This Row],[1]:[31]],Code2)</f>
        <v>0</v>
      </c>
      <c r="AK125" s="30">
        <f>COUNTIF(ParticipationMars1[[#This Row],[1]:[31]],Code3)</f>
        <v>0</v>
      </c>
      <c r="AL125" s="30">
        <f>COUNTIF(ParticipationMars1[[#This Row],[1]:[31]],Code4)</f>
        <v>1</v>
      </c>
      <c r="AM125" s="30">
        <f>COUNTIF(ParticipationMars1[[#This Row],[1]:[31]],Code5)</f>
        <v>0</v>
      </c>
      <c r="AN125" s="30">
        <f>COUNTIF(ParticipationMars1[[#This Row],[1]:[31]],Code23)</f>
        <v>0</v>
      </c>
      <c r="AO125" s="30">
        <f>COUNTIF(ParticipationMars1[[#This Row],[1]:[31]],Code6)</f>
        <v>0</v>
      </c>
      <c r="AP125" s="30">
        <f>COUNTIF(ParticipationMars1[[#This Row],[1]:[31]],Code7)</f>
        <v>0</v>
      </c>
      <c r="AQ125" s="30">
        <f>COUNTIF(ParticipationMars1[[#This Row],[1]:[31]],Code8)</f>
        <v>0</v>
      </c>
      <c r="AR125" s="30">
        <f>COUNTIF(ParticipationMars1[[#This Row],[1]:[31]],Code9)</f>
        <v>0</v>
      </c>
      <c r="AS125" s="30">
        <f>COUNTIF(ParticipationMars1[[#This Row],[1]:[31]],Code10)</f>
        <v>0</v>
      </c>
      <c r="AT125" s="30">
        <f>COUNTIF(ParticipationMars1[[#This Row],[1]:[31]],Code11)</f>
        <v>0</v>
      </c>
      <c r="AU125" s="30">
        <f>COUNTIF(ParticipationMars1[[#This Row],[1]:[31]],Code12)</f>
        <v>0</v>
      </c>
      <c r="AV125" s="30">
        <f>COUNTIF(ParticipationMars1[[#This Row],[1]:[31]],Code13)</f>
        <v>0</v>
      </c>
      <c r="AW125" s="30">
        <f>COUNTIF(ParticipationMars1[[#This Row],[1]:[31]],Code14)</f>
        <v>0</v>
      </c>
      <c r="AX125" s="30">
        <f>COUNTIF(ParticipationMars1[[#This Row],[1]:[31]],Code15)</f>
        <v>0</v>
      </c>
      <c r="AY125" s="30">
        <f>COUNTIF(ParticipationMars1[[#This Row],[1]:[31]],Code16)</f>
        <v>0</v>
      </c>
      <c r="AZ125" s="30">
        <f>COUNTIF(ParticipationMars1[[#This Row],[1]:[31]],Code17)</f>
        <v>0</v>
      </c>
      <c r="BA125" s="30">
        <f>COUNTIF(ParticipationMars1[[#This Row],[1]:[31]],Code25)</f>
        <v>1</v>
      </c>
      <c r="BB125" s="307">
        <f>COUNTIF(ParticipationMars1[[#This Row],[1]:[31]],Code26)</f>
        <v>0</v>
      </c>
      <c r="BC125" s="30">
        <f>COUNTIF(ParticipationMars1[[#This Row],[1]:[31]],Code27)</f>
        <v>0</v>
      </c>
      <c r="BD125" s="30">
        <f>COUNTIF(ParticipationMars1[[#This Row],[1]:[31]],Code28)</f>
        <v>0</v>
      </c>
      <c r="BE125" s="30">
        <f>COUNTIF(ParticipationMars1[[#This Row],[1]:[31]],code30)</f>
        <v>0</v>
      </c>
      <c r="BF125" s="30">
        <f>COUNTIF(ParticipationMars1[[#This Row],[1]:[31]],Code31)</f>
        <v>0</v>
      </c>
      <c r="BG125" s="30">
        <f>COUNTIF(ParticipationMars1[[#This Row],[1]:[31]],code21)</f>
        <v>1</v>
      </c>
      <c r="BH125" s="30">
        <f>COUNTIF(ParticipationMars1[[#This Row],[1]:[31]],Code24)</f>
        <v>0</v>
      </c>
      <c r="BI125" s="30">
        <f>COUNTIF(ParticipationMars1[[#This Row],[1]:[31]],code18)</f>
        <v>1</v>
      </c>
      <c r="BJ125" s="30">
        <f>COUNTIF(ParticipationMars1[[#This Row],[1]:[31]],code19)</f>
        <v>0</v>
      </c>
      <c r="BK125" s="30">
        <f>COUNTIF(ParticipationMars1[[#This Row],[1]:[31]],code20)</f>
        <v>0</v>
      </c>
      <c r="BL125" s="164">
        <f>COUNTIF(ParticipationMars1[[#This Row],[1]:[31]],code29)</f>
        <v>0</v>
      </c>
      <c r="BM125" s="297"/>
      <c r="BN125" s="297"/>
      <c r="BO125" s="297"/>
      <c r="BP125" s="297"/>
      <c r="BQ125" s="297"/>
      <c r="BR125" s="297"/>
      <c r="BS125" s="297"/>
      <c r="BT125" s="297"/>
      <c r="BU125" s="297"/>
      <c r="BV125" s="297"/>
      <c r="BW125" s="297"/>
      <c r="BX125" s="297"/>
      <c r="BY125" s="297"/>
      <c r="BZ125" s="297"/>
      <c r="CA125" s="297"/>
      <c r="CB125" s="297"/>
      <c r="CC125" s="297"/>
      <c r="CD125" s="297"/>
      <c r="CE125" s="297"/>
      <c r="CF125" s="297"/>
      <c r="CG125" s="297"/>
      <c r="CH125" s="297"/>
      <c r="CI125" s="297"/>
      <c r="CJ125" s="297"/>
      <c r="CK125" s="297"/>
      <c r="CL125" s="297"/>
      <c r="CM125" s="297"/>
      <c r="CN125" s="297"/>
      <c r="CO125" s="297"/>
      <c r="CP125" s="297"/>
      <c r="CQ125" s="297"/>
      <c r="CR125" s="297"/>
      <c r="CS125" s="307"/>
      <c r="CT125" s="307"/>
      <c r="CU125" s="300"/>
      <c r="CV125" s="501">
        <f t="shared" si="9"/>
        <v>4</v>
      </c>
      <c r="CW125" s="501">
        <f t="shared" si="10"/>
        <v>6</v>
      </c>
      <c r="CX125" s="249">
        <f t="shared" si="11"/>
        <v>0</v>
      </c>
      <c r="CY125" s="170">
        <f>SUM((BI125*7)+(BJ125*10)+(BK125*12))</f>
        <v>7</v>
      </c>
    </row>
    <row r="126" spans="1:103">
      <c r="A126" s="534" t="s">
        <v>467</v>
      </c>
      <c r="B126" s="162" t="str">
        <f>IFERROR(VLOOKUP(ParticipationMars1[[#This Row],[Référence]],ListeÉtudiants1[],18,FALSE),"")</f>
        <v>SILVERE SHERLEY</v>
      </c>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340"/>
      <c r="AH126" s="6">
        <f>COUNTIF(ParticipationMars1[[#This Row],[1]:[31]],Code1)</f>
        <v>0</v>
      </c>
      <c r="AI126" s="6">
        <f>COUNTIF(ParticipationMars1[[#This Row],[1]:[31]],code22)</f>
        <v>0</v>
      </c>
      <c r="AJ126" s="30">
        <f>COUNTIF(ParticipationMars1[[#This Row],[1]:[31]],Code2)</f>
        <v>0</v>
      </c>
      <c r="AK126" s="30">
        <f>COUNTIF(ParticipationMars1[[#This Row],[1]:[31]],Code3)</f>
        <v>0</v>
      </c>
      <c r="AL126" s="30">
        <f>COUNTIF(ParticipationMars1[[#This Row],[1]:[31]],Code4)</f>
        <v>0</v>
      </c>
      <c r="AM126" s="30">
        <f>COUNTIF(ParticipationMars1[[#This Row],[1]:[31]],Code5)</f>
        <v>0</v>
      </c>
      <c r="AN126" s="30">
        <f>COUNTIF(ParticipationMars1[[#This Row],[1]:[31]],Code23)</f>
        <v>0</v>
      </c>
      <c r="AO126" s="30">
        <f>COUNTIF(ParticipationMars1[[#This Row],[1]:[31]],Code6)</f>
        <v>0</v>
      </c>
      <c r="AP126" s="30">
        <f>COUNTIF(ParticipationMars1[[#This Row],[1]:[31]],Code7)</f>
        <v>0</v>
      </c>
      <c r="AQ126" s="30">
        <f>COUNTIF(ParticipationMars1[[#This Row],[1]:[31]],Code8)</f>
        <v>0</v>
      </c>
      <c r="AR126" s="30">
        <f>COUNTIF(ParticipationMars1[[#This Row],[1]:[31]],Code9)</f>
        <v>0</v>
      </c>
      <c r="AS126" s="30">
        <f>COUNTIF(ParticipationMars1[[#This Row],[1]:[31]],Code10)</f>
        <v>0</v>
      </c>
      <c r="AT126" s="30">
        <f>COUNTIF(ParticipationMars1[[#This Row],[1]:[31]],Code11)</f>
        <v>0</v>
      </c>
      <c r="AU126" s="30">
        <f>COUNTIF(ParticipationMars1[[#This Row],[1]:[31]],Code12)</f>
        <v>0</v>
      </c>
      <c r="AV126" s="30">
        <f>COUNTIF(ParticipationMars1[[#This Row],[1]:[31]],Code13)</f>
        <v>0</v>
      </c>
      <c r="AW126" s="30">
        <f>COUNTIF(ParticipationMars1[[#This Row],[1]:[31]],Code14)</f>
        <v>0</v>
      </c>
      <c r="AX126" s="30">
        <f>COUNTIF(ParticipationMars1[[#This Row],[1]:[31]],Code15)</f>
        <v>0</v>
      </c>
      <c r="AY126" s="30">
        <f>COUNTIF(ParticipationMars1[[#This Row],[1]:[31]],Code16)</f>
        <v>0</v>
      </c>
      <c r="AZ126" s="30">
        <f>COUNTIF(ParticipationMars1[[#This Row],[1]:[31]],Code17)</f>
        <v>0</v>
      </c>
      <c r="BA126" s="30">
        <f>COUNTIF(ParticipationMars1[[#This Row],[1]:[31]],Code25)</f>
        <v>0</v>
      </c>
      <c r="BB126" s="30">
        <f>COUNTIF(ParticipationMars1[[#This Row],[1]:[31]],Code26)</f>
        <v>0</v>
      </c>
      <c r="BC126" s="30">
        <f>COUNTIF(ParticipationMars1[[#This Row],[1]:[31]],Code27)</f>
        <v>0</v>
      </c>
      <c r="BD126" s="30">
        <f>COUNTIF(ParticipationMars1[[#This Row],[1]:[31]],Code28)</f>
        <v>0</v>
      </c>
      <c r="BE126" s="30">
        <f>COUNTIF(ParticipationMars1[[#This Row],[1]:[31]],code30)</f>
        <v>0</v>
      </c>
      <c r="BF126" s="30">
        <f>COUNTIF(ParticipationMars1[[#This Row],[1]:[31]],Code31)</f>
        <v>0</v>
      </c>
      <c r="BG126" s="30">
        <f>COUNTIF(ParticipationMars1[[#This Row],[1]:[31]],code21)</f>
        <v>0</v>
      </c>
      <c r="BH126" s="30">
        <f>COUNTIF(ParticipationMars1[[#This Row],[1]:[31]],Code24)</f>
        <v>0</v>
      </c>
      <c r="BI126" s="30">
        <f>COUNTIF(ParticipationMars1[[#This Row],[1]:[31]],code18)</f>
        <v>0</v>
      </c>
      <c r="BJ126" s="30">
        <f>COUNTIF(ParticipationMars1[[#This Row],[1]:[31]],code19)</f>
        <v>0</v>
      </c>
      <c r="BK126" s="30">
        <f>COUNTIF(ParticipationMars1[[#This Row],[1]:[31]],code20)</f>
        <v>0</v>
      </c>
      <c r="BL126" s="164">
        <f>COUNTIF(ParticipationMars1[[#This Row],[1]:[31]],code29)</f>
        <v>0</v>
      </c>
      <c r="BM126" s="139"/>
      <c r="BN126" s="139"/>
      <c r="BO126" s="139"/>
      <c r="BP126" s="139"/>
      <c r="BQ126" s="139"/>
      <c r="BR126" s="139"/>
      <c r="BS126" s="139"/>
      <c r="BT126" s="139"/>
      <c r="BU126" s="139"/>
      <c r="BV126" s="139"/>
      <c r="BW126" s="139"/>
      <c r="BX126" s="139"/>
      <c r="BY126" s="139"/>
      <c r="BZ126" s="139"/>
      <c r="CA126" s="139"/>
      <c r="CB126" s="139"/>
      <c r="CC126" s="139"/>
      <c r="CD126" s="139"/>
      <c r="CE126" s="139"/>
      <c r="CF126" s="139"/>
      <c r="CG126" s="139"/>
      <c r="CH126" s="139"/>
      <c r="CI126" s="139"/>
      <c r="CJ126" s="139"/>
      <c r="CK126" s="139"/>
      <c r="CL126" s="139"/>
      <c r="CM126" s="139"/>
      <c r="CN126" s="139"/>
      <c r="CO126" s="139"/>
      <c r="CP126" s="139"/>
      <c r="CQ126" s="139"/>
      <c r="CR126" s="139"/>
      <c r="CS126" s="30"/>
      <c r="CT126" s="30"/>
      <c r="CU126" s="164"/>
      <c r="CV126" s="501">
        <f t="shared" si="9"/>
        <v>0</v>
      </c>
      <c r="CW126" s="501">
        <f t="shared" si="10"/>
        <v>0</v>
      </c>
      <c r="CX126" s="249">
        <f t="shared" si="11"/>
        <v>0</v>
      </c>
      <c r="CY126" s="170"/>
    </row>
    <row r="127" spans="1:103">
      <c r="A127" s="510" t="s">
        <v>468</v>
      </c>
      <c r="B127" s="162" t="str">
        <f>IFERROR(VLOOKUP(ParticipationMars1[[#This Row],[Référence]],ListeÉtudiants1[],18,FALSE),"")</f>
        <v>SOUQUERE LAURANA</v>
      </c>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340"/>
      <c r="AH127" s="6">
        <f>COUNTIF(ParticipationMars1[[#This Row],[1]:[31]],Code1)</f>
        <v>0</v>
      </c>
      <c r="AI127" s="6">
        <f>COUNTIF(ParticipationMars1[[#This Row],[1]:[31]],code22)</f>
        <v>0</v>
      </c>
      <c r="AJ127" s="30">
        <f>COUNTIF(ParticipationMars1[[#This Row],[1]:[31]],Code2)</f>
        <v>0</v>
      </c>
      <c r="AK127" s="30">
        <f>COUNTIF(ParticipationMars1[[#This Row],[1]:[31]],Code3)</f>
        <v>0</v>
      </c>
      <c r="AL127" s="30">
        <f>COUNTIF(ParticipationMars1[[#This Row],[1]:[31]],Code4)</f>
        <v>0</v>
      </c>
      <c r="AM127" s="30">
        <f>COUNTIF(ParticipationMars1[[#This Row],[1]:[31]],Code5)</f>
        <v>0</v>
      </c>
      <c r="AN127" s="30">
        <f>COUNTIF(ParticipationMars1[[#This Row],[1]:[31]],Code23)</f>
        <v>0</v>
      </c>
      <c r="AO127" s="30">
        <f>COUNTIF(ParticipationMars1[[#This Row],[1]:[31]],Code6)</f>
        <v>0</v>
      </c>
      <c r="AP127" s="30">
        <f>COUNTIF(ParticipationMars1[[#This Row],[1]:[31]],Code7)</f>
        <v>0</v>
      </c>
      <c r="AQ127" s="30">
        <f>COUNTIF(ParticipationMars1[[#This Row],[1]:[31]],Code8)</f>
        <v>0</v>
      </c>
      <c r="AR127" s="30">
        <f>COUNTIF(ParticipationMars1[[#This Row],[1]:[31]],Code9)</f>
        <v>0</v>
      </c>
      <c r="AS127" s="30">
        <f>COUNTIF(ParticipationMars1[[#This Row],[1]:[31]],Code10)</f>
        <v>0</v>
      </c>
      <c r="AT127" s="30">
        <f>COUNTIF(ParticipationMars1[[#This Row],[1]:[31]],Code11)</f>
        <v>0</v>
      </c>
      <c r="AU127" s="30">
        <f>COUNTIF(ParticipationMars1[[#This Row],[1]:[31]],Code12)</f>
        <v>0</v>
      </c>
      <c r="AV127" s="30">
        <f>COUNTIF(ParticipationMars1[[#This Row],[1]:[31]],Code13)</f>
        <v>0</v>
      </c>
      <c r="AW127" s="30">
        <f>COUNTIF(ParticipationMars1[[#This Row],[1]:[31]],Code14)</f>
        <v>0</v>
      </c>
      <c r="AX127" s="30">
        <f>COUNTIF(ParticipationMars1[[#This Row],[1]:[31]],Code15)</f>
        <v>0</v>
      </c>
      <c r="AY127" s="30">
        <f>COUNTIF(ParticipationMars1[[#This Row],[1]:[31]],Code16)</f>
        <v>0</v>
      </c>
      <c r="AZ127" s="30">
        <f>COUNTIF(ParticipationMars1[[#This Row],[1]:[31]],Code17)</f>
        <v>0</v>
      </c>
      <c r="BA127" s="30">
        <f>COUNTIF(ParticipationMars1[[#This Row],[1]:[31]],Code25)</f>
        <v>0</v>
      </c>
      <c r="BB127" s="30">
        <f>COUNTIF(ParticipationMars1[[#This Row],[1]:[31]],Code26)</f>
        <v>0</v>
      </c>
      <c r="BC127" s="30">
        <f>COUNTIF(ParticipationMars1[[#This Row],[1]:[31]],Code27)</f>
        <v>0</v>
      </c>
      <c r="BD127" s="30">
        <f>COUNTIF(ParticipationMars1[[#This Row],[1]:[31]],Code28)</f>
        <v>0</v>
      </c>
      <c r="BE127" s="30">
        <f>COUNTIF(ParticipationMars1[[#This Row],[1]:[31]],code30)</f>
        <v>0</v>
      </c>
      <c r="BF127" s="30">
        <f>COUNTIF(ParticipationMars1[[#This Row],[1]:[31]],Code31)</f>
        <v>0</v>
      </c>
      <c r="BG127" s="30">
        <f>COUNTIF(ParticipationMars1[[#This Row],[1]:[31]],code21)</f>
        <v>0</v>
      </c>
      <c r="BH127" s="30">
        <f>COUNTIF(ParticipationMars1[[#This Row],[1]:[31]],Code24)</f>
        <v>0</v>
      </c>
      <c r="BI127" s="30">
        <f>COUNTIF(ParticipationMars1[[#This Row],[1]:[31]],code18)</f>
        <v>0</v>
      </c>
      <c r="BJ127" s="30">
        <f>COUNTIF(ParticipationMars1[[#This Row],[1]:[31]],code19)</f>
        <v>0</v>
      </c>
      <c r="BK127" s="30">
        <f>COUNTIF(ParticipationMars1[[#This Row],[1]:[31]],code20)</f>
        <v>0</v>
      </c>
      <c r="BL127" s="164">
        <f>COUNTIF(ParticipationMars1[[#This Row],[1]:[31]],code29)</f>
        <v>0</v>
      </c>
      <c r="BM127" s="139"/>
      <c r="BN127" s="139"/>
      <c r="BO127" s="139"/>
      <c r="BP127" s="139"/>
      <c r="BQ127" s="139"/>
      <c r="BR127" s="139"/>
      <c r="BS127" s="139"/>
      <c r="BT127" s="139"/>
      <c r="BU127" s="139"/>
      <c r="BV127" s="139"/>
      <c r="BW127" s="139"/>
      <c r="BX127" s="139"/>
      <c r="BY127" s="139"/>
      <c r="BZ127" s="139"/>
      <c r="CA127" s="139"/>
      <c r="CB127" s="139"/>
      <c r="CC127" s="139"/>
      <c r="CD127" s="139"/>
      <c r="CE127" s="139"/>
      <c r="CF127" s="139"/>
      <c r="CG127" s="139"/>
      <c r="CH127" s="139"/>
      <c r="CI127" s="139"/>
      <c r="CJ127" s="139"/>
      <c r="CK127" s="139"/>
      <c r="CL127" s="139"/>
      <c r="CM127" s="139"/>
      <c r="CN127" s="139"/>
      <c r="CO127" s="139"/>
      <c r="CP127" s="139"/>
      <c r="CQ127" s="139"/>
      <c r="CR127" s="139"/>
      <c r="CS127" s="30"/>
      <c r="CT127" s="30"/>
      <c r="CU127" s="164"/>
      <c r="CV127" s="501">
        <f t="shared" si="9"/>
        <v>0</v>
      </c>
      <c r="CW127" s="501">
        <f t="shared" si="10"/>
        <v>0</v>
      </c>
      <c r="CX127" s="249">
        <f t="shared" si="11"/>
        <v>0</v>
      </c>
      <c r="CY127" s="170"/>
    </row>
    <row r="128" spans="1:103">
      <c r="A128" s="534" t="s">
        <v>469</v>
      </c>
      <c r="B128" s="162" t="str">
        <f>IFERROR(VLOOKUP(ParticipationMars1[[#This Row],[Référence]],ListeÉtudiants1[],18,FALSE),"")</f>
        <v>TABUDI DARLENE</v>
      </c>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t="s">
        <v>486</v>
      </c>
      <c r="AD128" s="19"/>
      <c r="AE128" s="19"/>
      <c r="AF128" s="19"/>
      <c r="AG128" s="340"/>
      <c r="AH128" s="6">
        <f>COUNTIF(ParticipationMars1[[#This Row],[1]:[31]],Code1)</f>
        <v>0</v>
      </c>
      <c r="AI128" s="331">
        <f>COUNTIF(ParticipationMars1[[#This Row],[1]:[31]],code22)</f>
        <v>0</v>
      </c>
      <c r="AJ128" s="30">
        <f>COUNTIF(ParticipationMars1[[#This Row],[1]:[31]],Code2)</f>
        <v>0</v>
      </c>
      <c r="AK128" s="30">
        <f>COUNTIF(ParticipationMars1[[#This Row],[1]:[31]],Code3)</f>
        <v>0</v>
      </c>
      <c r="AL128" s="30">
        <f>COUNTIF(ParticipationMars1[[#This Row],[1]:[31]],Code4)</f>
        <v>0</v>
      </c>
      <c r="AM128" s="307">
        <f>COUNTIF(ParticipationMars1[[#This Row],[1]:[31]],Code5)</f>
        <v>0</v>
      </c>
      <c r="AN128" s="307">
        <f>COUNTIF(ParticipationMars1[[#This Row],[1]:[31]],Code23)</f>
        <v>0</v>
      </c>
      <c r="AO128" s="307">
        <f>COUNTIF(ParticipationMars1[[#This Row],[1]:[31]],Code6)</f>
        <v>0</v>
      </c>
      <c r="AP128" s="307">
        <f>COUNTIF(ParticipationMars1[[#This Row],[1]:[31]],Code7)</f>
        <v>0</v>
      </c>
      <c r="AQ128" s="307">
        <f>COUNTIF(ParticipationMars1[[#This Row],[1]:[31]],Code8)</f>
        <v>0</v>
      </c>
      <c r="AR128" s="307">
        <f>COUNTIF(ParticipationMars1[[#This Row],[1]:[31]],Code9)</f>
        <v>0</v>
      </c>
      <c r="AS128" s="307">
        <f>COUNTIF(ParticipationMars1[[#This Row],[1]:[31]],Code10)</f>
        <v>0</v>
      </c>
      <c r="AT128" s="307">
        <f>COUNTIF(ParticipationMars1[[#This Row],[1]:[31]],Code11)</f>
        <v>1</v>
      </c>
      <c r="AU128" s="30">
        <f>COUNTIF(ParticipationMars1[[#This Row],[1]:[31]],Code12)</f>
        <v>0</v>
      </c>
      <c r="AV128" s="307">
        <f>COUNTIF(ParticipationMars1[[#This Row],[1]:[31]],Code13)</f>
        <v>0</v>
      </c>
      <c r="AW128" s="307">
        <f>COUNTIF(ParticipationMars1[[#This Row],[1]:[31]],Code14)</f>
        <v>0</v>
      </c>
      <c r="AX128" s="307">
        <f>COUNTIF(ParticipationMars1[[#This Row],[1]:[31]],Code15)</f>
        <v>0</v>
      </c>
      <c r="AY128" s="307">
        <f>COUNTIF(ParticipationMars1[[#This Row],[1]:[31]],Code16)</f>
        <v>0</v>
      </c>
      <c r="AZ128" s="307">
        <f>COUNTIF(ParticipationMars1[[#This Row],[1]:[31]],Code17)</f>
        <v>0</v>
      </c>
      <c r="BA128" s="307">
        <f>COUNTIF(ParticipationMars1[[#This Row],[1]:[31]],Code25)</f>
        <v>0</v>
      </c>
      <c r="BB128" s="307">
        <f>COUNTIF(ParticipationMars1[[#This Row],[1]:[31]],Code26)</f>
        <v>0</v>
      </c>
      <c r="BC128" s="307">
        <f>COUNTIF(ParticipationMars1[[#This Row],[1]:[31]],Code27)</f>
        <v>0</v>
      </c>
      <c r="BD128" s="307">
        <f>COUNTIF(ParticipationMars1[[#This Row],[1]:[31]],Code28)</f>
        <v>0</v>
      </c>
      <c r="BE128" s="307">
        <f>COUNTIF(ParticipationMars1[[#This Row],[1]:[31]],code30)</f>
        <v>0</v>
      </c>
      <c r="BF128" s="307">
        <f>COUNTIF(ParticipationMars1[[#This Row],[1]:[31]],Code31)</f>
        <v>0</v>
      </c>
      <c r="BG128" s="307">
        <f>COUNTIF(ParticipationMars1[[#This Row],[1]:[31]],code21)</f>
        <v>0</v>
      </c>
      <c r="BH128" s="307">
        <f>COUNTIF(ParticipationMars1[[#This Row],[1]:[31]],Code24)</f>
        <v>0</v>
      </c>
      <c r="BI128" s="307">
        <f>COUNTIF(ParticipationMars1[[#This Row],[1]:[31]],code18)</f>
        <v>0</v>
      </c>
      <c r="BJ128" s="307">
        <f>COUNTIF(ParticipationMars1[[#This Row],[1]:[31]],code19)</f>
        <v>0</v>
      </c>
      <c r="BK128" s="307">
        <f>COUNTIF(ParticipationMars1[[#This Row],[1]:[31]],code20)</f>
        <v>0</v>
      </c>
      <c r="BL128" s="300">
        <f>COUNTIF(ParticipationMars1[[#This Row],[1]:[31]],code29)</f>
        <v>0</v>
      </c>
      <c r="BM128" s="297"/>
      <c r="BN128" s="297"/>
      <c r="BO128" s="297"/>
      <c r="BP128" s="297"/>
      <c r="BQ128" s="297"/>
      <c r="BR128" s="297"/>
      <c r="BS128" s="297"/>
      <c r="BT128" s="297">
        <v>1</v>
      </c>
      <c r="BU128" s="297"/>
      <c r="BV128" s="297"/>
      <c r="BW128" s="297">
        <v>1</v>
      </c>
      <c r="BX128" s="297"/>
      <c r="BY128" s="297"/>
      <c r="BZ128" s="297"/>
      <c r="CA128" s="297"/>
      <c r="CB128" s="297">
        <v>1</v>
      </c>
      <c r="CC128" s="297"/>
      <c r="CD128" s="297"/>
      <c r="CE128" s="297"/>
      <c r="CF128" s="297"/>
      <c r="CG128" s="297"/>
      <c r="CH128" s="297"/>
      <c r="CI128" s="297"/>
      <c r="CJ128" s="297"/>
      <c r="CK128" s="297"/>
      <c r="CL128" s="297"/>
      <c r="CM128" s="297"/>
      <c r="CN128" s="297"/>
      <c r="CO128" s="297"/>
      <c r="CP128" s="297"/>
      <c r="CQ128" s="297"/>
      <c r="CR128" s="297"/>
      <c r="CS128" s="307"/>
      <c r="CT128" s="307"/>
      <c r="CU128" s="300"/>
      <c r="CV128" s="501">
        <f t="shared" si="9"/>
        <v>0</v>
      </c>
      <c r="CW128" s="501">
        <f t="shared" si="10"/>
        <v>5</v>
      </c>
      <c r="CX128" s="341">
        <f t="shared" si="11"/>
        <v>0</v>
      </c>
      <c r="CY128" s="327"/>
    </row>
    <row r="129" spans="1:103">
      <c r="A129" s="534" t="s">
        <v>470</v>
      </c>
      <c r="B129" s="162" t="str">
        <f>IFERROR(VLOOKUP(ParticipationMars1[[#This Row],[Référence]],ListeÉtudiants1[],18,FALSE),"")</f>
        <v>TAKERKART SIRINE</v>
      </c>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340"/>
      <c r="AH129" s="6">
        <f>COUNTIF(ParticipationMars1[[#This Row],[1]:[31]],Code1)</f>
        <v>0</v>
      </c>
      <c r="AI129" s="6">
        <f>COUNTIF(ParticipationMars1[[#This Row],[1]:[31]],code22)</f>
        <v>0</v>
      </c>
      <c r="AJ129" s="30">
        <f>COUNTIF(ParticipationMars1[[#This Row],[1]:[31]],Code2)</f>
        <v>0</v>
      </c>
      <c r="AK129" s="30">
        <f>COUNTIF(ParticipationMars1[[#This Row],[1]:[31]],Code3)</f>
        <v>0</v>
      </c>
      <c r="AL129" s="30">
        <f>COUNTIF(ParticipationMars1[[#This Row],[1]:[31]],Code4)</f>
        <v>0</v>
      </c>
      <c r="AM129" s="30">
        <f>COUNTIF(ParticipationMars1[[#This Row],[1]:[31]],Code5)</f>
        <v>0</v>
      </c>
      <c r="AN129" s="30">
        <f>COUNTIF(ParticipationMars1[[#This Row],[1]:[31]],Code23)</f>
        <v>0</v>
      </c>
      <c r="AO129" s="30">
        <f>COUNTIF(ParticipationMars1[[#This Row],[1]:[31]],Code6)</f>
        <v>0</v>
      </c>
      <c r="AP129" s="30">
        <f>COUNTIF(ParticipationMars1[[#This Row],[1]:[31]],Code7)</f>
        <v>0</v>
      </c>
      <c r="AQ129" s="30">
        <f>COUNTIF(ParticipationMars1[[#This Row],[1]:[31]],Code8)</f>
        <v>0</v>
      </c>
      <c r="AR129" s="30">
        <f>COUNTIF(ParticipationMars1[[#This Row],[1]:[31]],Code9)</f>
        <v>0</v>
      </c>
      <c r="AS129" s="30">
        <f>COUNTIF(ParticipationMars1[[#This Row],[1]:[31]],Code10)</f>
        <v>0</v>
      </c>
      <c r="AT129" s="30">
        <f>COUNTIF(ParticipationMars1[[#This Row],[1]:[31]],Code11)</f>
        <v>0</v>
      </c>
      <c r="AU129" s="30">
        <f>COUNTIF(ParticipationMars1[[#This Row],[1]:[31]],Code12)</f>
        <v>0</v>
      </c>
      <c r="AV129" s="30">
        <f>COUNTIF(ParticipationMars1[[#This Row],[1]:[31]],Code13)</f>
        <v>0</v>
      </c>
      <c r="AW129" s="30">
        <f>COUNTIF(ParticipationMars1[[#This Row],[1]:[31]],Code14)</f>
        <v>0</v>
      </c>
      <c r="AX129" s="30">
        <f>COUNTIF(ParticipationMars1[[#This Row],[1]:[31]],Code15)</f>
        <v>0</v>
      </c>
      <c r="AY129" s="30">
        <f>COUNTIF(ParticipationMars1[[#This Row],[1]:[31]],Code16)</f>
        <v>0</v>
      </c>
      <c r="AZ129" s="30">
        <f>COUNTIF(ParticipationMars1[[#This Row],[1]:[31]],Code17)</f>
        <v>0</v>
      </c>
      <c r="BA129" s="30">
        <f>COUNTIF(ParticipationMars1[[#This Row],[1]:[31]],Code25)</f>
        <v>0</v>
      </c>
      <c r="BB129" s="30">
        <f>COUNTIF(ParticipationMars1[[#This Row],[1]:[31]],Code26)</f>
        <v>0</v>
      </c>
      <c r="BC129" s="30">
        <f>COUNTIF(ParticipationMars1[[#This Row],[1]:[31]],Code27)</f>
        <v>0</v>
      </c>
      <c r="BD129" s="30">
        <f>COUNTIF(ParticipationMars1[[#This Row],[1]:[31]],Code28)</f>
        <v>0</v>
      </c>
      <c r="BE129" s="30">
        <f>COUNTIF(ParticipationMars1[[#This Row],[1]:[31]],code30)</f>
        <v>0</v>
      </c>
      <c r="BF129" s="30">
        <f>COUNTIF(ParticipationMars1[[#This Row],[1]:[31]],Code31)</f>
        <v>0</v>
      </c>
      <c r="BG129" s="30">
        <f>COUNTIF(ParticipationMars1[[#This Row],[1]:[31]],code21)</f>
        <v>0</v>
      </c>
      <c r="BH129" s="30">
        <f>COUNTIF(ParticipationMars1[[#This Row],[1]:[31]],Code24)</f>
        <v>0</v>
      </c>
      <c r="BI129" s="30">
        <f>COUNTIF(ParticipationMars1[[#This Row],[1]:[31]],code18)</f>
        <v>0</v>
      </c>
      <c r="BJ129" s="30">
        <f>COUNTIF(ParticipationMars1[[#This Row],[1]:[31]],code19)</f>
        <v>0</v>
      </c>
      <c r="BK129" s="30">
        <f>COUNTIF(ParticipationMars1[[#This Row],[1]:[31]],code20)</f>
        <v>0</v>
      </c>
      <c r="BL129" s="164">
        <f>COUNTIF(ParticipationMars1[[#This Row],[1]:[31]],code29)</f>
        <v>0</v>
      </c>
      <c r="BM129" s="139"/>
      <c r="BN129" s="139"/>
      <c r="BO129" s="139"/>
      <c r="BP129" s="139"/>
      <c r="BQ129" s="139"/>
      <c r="BR129" s="139"/>
      <c r="BS129" s="139"/>
      <c r="BT129" s="139"/>
      <c r="BU129" s="139"/>
      <c r="BV129" s="139"/>
      <c r="BW129" s="139"/>
      <c r="BX129" s="139"/>
      <c r="BY129" s="139"/>
      <c r="BZ129" s="139"/>
      <c r="CA129" s="139"/>
      <c r="CB129" s="139"/>
      <c r="CC129" s="139"/>
      <c r="CD129" s="139"/>
      <c r="CE129" s="139"/>
      <c r="CF129" s="139"/>
      <c r="CG129" s="139"/>
      <c r="CH129" s="139"/>
      <c r="CI129" s="139"/>
      <c r="CJ129" s="139"/>
      <c r="CK129" s="139"/>
      <c r="CL129" s="139"/>
      <c r="CM129" s="139"/>
      <c r="CN129" s="139"/>
      <c r="CO129" s="139"/>
      <c r="CP129" s="139"/>
      <c r="CQ129" s="139"/>
      <c r="CR129" s="139"/>
      <c r="CS129" s="30"/>
      <c r="CT129" s="30"/>
      <c r="CU129" s="164"/>
      <c r="CV129" s="501">
        <f t="shared" si="9"/>
        <v>0</v>
      </c>
      <c r="CW129" s="501">
        <f t="shared" si="10"/>
        <v>0</v>
      </c>
      <c r="CX129" s="249">
        <f t="shared" si="11"/>
        <v>0</v>
      </c>
      <c r="CY129" s="170"/>
    </row>
    <row r="130" spans="1:103">
      <c r="A130" s="510" t="s">
        <v>471</v>
      </c>
      <c r="B130" s="162" t="str">
        <f>IFERROR(VLOOKUP(ParticipationMars1[[#This Row],[Référence]],ListeÉtudiants1[],18,FALSE),"")</f>
        <v>THENARD FLORENCE</v>
      </c>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340"/>
      <c r="AH130" s="6">
        <f>COUNTIF(ParticipationMars1[[#This Row],[1]:[31]],Code1)</f>
        <v>0</v>
      </c>
      <c r="AI130" s="6">
        <f>COUNTIF(ParticipationMars1[[#This Row],[1]:[31]],code22)</f>
        <v>0</v>
      </c>
      <c r="AJ130" s="30">
        <f>COUNTIF(ParticipationMars1[[#This Row],[1]:[31]],Code2)</f>
        <v>0</v>
      </c>
      <c r="AK130" s="30">
        <f>COUNTIF(ParticipationMars1[[#This Row],[1]:[31]],Code3)</f>
        <v>0</v>
      </c>
      <c r="AL130" s="30">
        <f>COUNTIF(ParticipationMars1[[#This Row],[1]:[31]],Code4)</f>
        <v>0</v>
      </c>
      <c r="AM130" s="30">
        <f>COUNTIF(ParticipationMars1[[#This Row],[1]:[31]],Code5)</f>
        <v>0</v>
      </c>
      <c r="AN130" s="30">
        <f>COUNTIF(ParticipationMars1[[#This Row],[1]:[31]],Code23)</f>
        <v>0</v>
      </c>
      <c r="AO130" s="30">
        <f>COUNTIF(ParticipationMars1[[#This Row],[1]:[31]],Code6)</f>
        <v>0</v>
      </c>
      <c r="AP130" s="30">
        <f>COUNTIF(ParticipationMars1[[#This Row],[1]:[31]],Code7)</f>
        <v>0</v>
      </c>
      <c r="AQ130" s="30">
        <f>COUNTIF(ParticipationMars1[[#This Row],[1]:[31]],Code8)</f>
        <v>0</v>
      </c>
      <c r="AR130" s="30">
        <f>COUNTIF(ParticipationMars1[[#This Row],[1]:[31]],Code9)</f>
        <v>0</v>
      </c>
      <c r="AS130" s="30">
        <f>COUNTIF(ParticipationMars1[[#This Row],[1]:[31]],Code10)</f>
        <v>0</v>
      </c>
      <c r="AT130" s="30">
        <f>COUNTIF(ParticipationMars1[[#This Row],[1]:[31]],Code11)</f>
        <v>0</v>
      </c>
      <c r="AU130" s="30">
        <f>COUNTIF(ParticipationMars1[[#This Row],[1]:[31]],Code12)</f>
        <v>0</v>
      </c>
      <c r="AV130" s="30">
        <f>COUNTIF(ParticipationMars1[[#This Row],[1]:[31]],Code13)</f>
        <v>0</v>
      </c>
      <c r="AW130" s="30">
        <f>COUNTIF(ParticipationMars1[[#This Row],[1]:[31]],Code14)</f>
        <v>0</v>
      </c>
      <c r="AX130" s="30">
        <f>COUNTIF(ParticipationMars1[[#This Row],[1]:[31]],Code15)</f>
        <v>0</v>
      </c>
      <c r="AY130" s="30">
        <f>COUNTIF(ParticipationMars1[[#This Row],[1]:[31]],Code16)</f>
        <v>0</v>
      </c>
      <c r="AZ130" s="30">
        <f>COUNTIF(ParticipationMars1[[#This Row],[1]:[31]],Code17)</f>
        <v>0</v>
      </c>
      <c r="BA130" s="30">
        <f>COUNTIF(ParticipationMars1[[#This Row],[1]:[31]],Code25)</f>
        <v>0</v>
      </c>
      <c r="BB130" s="30">
        <f>COUNTIF(ParticipationMars1[[#This Row],[1]:[31]],Code26)</f>
        <v>0</v>
      </c>
      <c r="BC130" s="30">
        <f>COUNTIF(ParticipationMars1[[#This Row],[1]:[31]],Code27)</f>
        <v>0</v>
      </c>
      <c r="BD130" s="30">
        <f>COUNTIF(ParticipationMars1[[#This Row],[1]:[31]],Code28)</f>
        <v>0</v>
      </c>
      <c r="BE130" s="30">
        <f>COUNTIF(ParticipationMars1[[#This Row],[1]:[31]],code30)</f>
        <v>0</v>
      </c>
      <c r="BF130" s="30">
        <f>COUNTIF(ParticipationMars1[[#This Row],[1]:[31]],Code31)</f>
        <v>0</v>
      </c>
      <c r="BG130" s="30">
        <f>COUNTIF(ParticipationMars1[[#This Row],[1]:[31]],code21)</f>
        <v>0</v>
      </c>
      <c r="BH130" s="30">
        <f>COUNTIF(ParticipationMars1[[#This Row],[1]:[31]],Code24)</f>
        <v>0</v>
      </c>
      <c r="BI130" s="30">
        <f>COUNTIF(ParticipationMars1[[#This Row],[1]:[31]],code18)</f>
        <v>0</v>
      </c>
      <c r="BJ130" s="30">
        <f>COUNTIF(ParticipationMars1[[#This Row],[1]:[31]],code19)</f>
        <v>0</v>
      </c>
      <c r="BK130" s="30">
        <f>COUNTIF(ParticipationMars1[[#This Row],[1]:[31]],code20)</f>
        <v>0</v>
      </c>
      <c r="BL130" s="164">
        <f>COUNTIF(ParticipationMars1[[#This Row],[1]:[31]],code29)</f>
        <v>0</v>
      </c>
      <c r="BM130" s="139"/>
      <c r="BN130" s="139"/>
      <c r="BO130" s="139"/>
      <c r="BP130" s="139"/>
      <c r="BQ130" s="139"/>
      <c r="BR130" s="139"/>
      <c r="BS130" s="139"/>
      <c r="BT130" s="139"/>
      <c r="BU130" s="139"/>
      <c r="BV130" s="139"/>
      <c r="BW130" s="139"/>
      <c r="BX130" s="139"/>
      <c r="BY130" s="139"/>
      <c r="BZ130" s="139"/>
      <c r="CA130" s="139"/>
      <c r="CB130" s="139"/>
      <c r="CC130" s="139"/>
      <c r="CD130" s="139"/>
      <c r="CE130" s="139"/>
      <c r="CF130" s="139"/>
      <c r="CG130" s="139"/>
      <c r="CH130" s="139"/>
      <c r="CI130" s="139"/>
      <c r="CJ130" s="139"/>
      <c r="CK130" s="139"/>
      <c r="CL130" s="139"/>
      <c r="CM130" s="139"/>
      <c r="CN130" s="139"/>
      <c r="CO130" s="139"/>
      <c r="CP130" s="139"/>
      <c r="CQ130" s="139"/>
      <c r="CR130" s="139"/>
      <c r="CS130" s="30"/>
      <c r="CT130" s="30"/>
      <c r="CU130" s="164"/>
      <c r="CV130" s="501">
        <f t="shared" si="9"/>
        <v>0</v>
      </c>
      <c r="CW130" s="501">
        <f t="shared" si="10"/>
        <v>0</v>
      </c>
      <c r="CX130" s="249">
        <f t="shared" si="11"/>
        <v>0</v>
      </c>
      <c r="CY130" s="170"/>
    </row>
    <row r="131" spans="1:103">
      <c r="A131" s="510" t="s">
        <v>472</v>
      </c>
      <c r="B131" s="162" t="str">
        <f>IFERROR(VLOOKUP(ParticipationMars1[[#This Row],[Référence]],ListeÉtudiants1[],18,FALSE),"")</f>
        <v>TOTO SANDY</v>
      </c>
      <c r="C131" s="19"/>
      <c r="D131" s="19"/>
      <c r="E131" s="19"/>
      <c r="F131" s="19"/>
      <c r="G131" s="19"/>
      <c r="H131" s="19"/>
      <c r="I131" s="19"/>
      <c r="J131" s="19"/>
      <c r="K131" s="19"/>
      <c r="L131" s="19"/>
      <c r="M131" s="19"/>
      <c r="N131" s="19"/>
      <c r="O131" s="19" t="s">
        <v>527</v>
      </c>
      <c r="P131" s="19"/>
      <c r="Q131" s="19"/>
      <c r="R131" s="19"/>
      <c r="S131" s="19"/>
      <c r="T131" s="19"/>
      <c r="U131" s="19"/>
      <c r="V131" s="19"/>
      <c r="W131" s="19"/>
      <c r="X131" s="19"/>
      <c r="Y131" s="19"/>
      <c r="Z131" s="19"/>
      <c r="AA131" s="19"/>
      <c r="AB131" s="19"/>
      <c r="AC131" s="19"/>
      <c r="AD131" s="19"/>
      <c r="AE131" s="19"/>
      <c r="AF131" s="19"/>
      <c r="AG131" s="340"/>
      <c r="AH131" s="6">
        <f>COUNTIF(ParticipationMars1[[#This Row],[1]:[31]],Code1)</f>
        <v>0</v>
      </c>
      <c r="AI131" s="331">
        <f>COUNTIF(ParticipationMars1[[#This Row],[1]:[31]],code22)</f>
        <v>1</v>
      </c>
      <c r="AJ131" s="30">
        <f>COUNTIF(ParticipationMars1[[#This Row],[1]:[31]],Code2)</f>
        <v>0</v>
      </c>
      <c r="AK131" s="30">
        <f>COUNTIF(ParticipationMars1[[#This Row],[1]:[31]],Code3)</f>
        <v>0</v>
      </c>
      <c r="AL131" s="30">
        <f>COUNTIF(ParticipationMars1[[#This Row],[1]:[31]],Code4)</f>
        <v>0</v>
      </c>
      <c r="AM131" s="307">
        <f>COUNTIF(ParticipationMars1[[#This Row],[1]:[31]],Code5)</f>
        <v>0</v>
      </c>
      <c r="AN131" s="307">
        <f>COUNTIF(ParticipationMars1[[#This Row],[1]:[31]],Code23)</f>
        <v>0</v>
      </c>
      <c r="AO131" s="307">
        <f>COUNTIF(ParticipationMars1[[#This Row],[1]:[31]],Code6)</f>
        <v>0</v>
      </c>
      <c r="AP131" s="307">
        <f>COUNTIF(ParticipationMars1[[#This Row],[1]:[31]],Code7)</f>
        <v>0</v>
      </c>
      <c r="AQ131" s="307">
        <f>COUNTIF(ParticipationMars1[[#This Row],[1]:[31]],Code8)</f>
        <v>0</v>
      </c>
      <c r="AR131" s="307">
        <f>COUNTIF(ParticipationMars1[[#This Row],[1]:[31]],Code9)</f>
        <v>0</v>
      </c>
      <c r="AS131" s="307">
        <f>COUNTIF(ParticipationMars1[[#This Row],[1]:[31]],Code10)</f>
        <v>0</v>
      </c>
      <c r="AT131" s="307">
        <f>COUNTIF(ParticipationMars1[[#This Row],[1]:[31]],Code11)</f>
        <v>0</v>
      </c>
      <c r="AU131" s="30">
        <f>COUNTIF(ParticipationMars1[[#This Row],[1]:[31]],Code12)</f>
        <v>0</v>
      </c>
      <c r="AV131" s="307">
        <f>COUNTIF(ParticipationMars1[[#This Row],[1]:[31]],Code13)</f>
        <v>0</v>
      </c>
      <c r="AW131" s="307">
        <f>COUNTIF(ParticipationMars1[[#This Row],[1]:[31]],Code14)</f>
        <v>0</v>
      </c>
      <c r="AX131" s="307">
        <f>COUNTIF(ParticipationMars1[[#This Row],[1]:[31]],Code15)</f>
        <v>0</v>
      </c>
      <c r="AY131" s="307">
        <f>COUNTIF(ParticipationMars1[[#This Row],[1]:[31]],Code16)</f>
        <v>0</v>
      </c>
      <c r="AZ131" s="307">
        <f>COUNTIF(ParticipationMars1[[#This Row],[1]:[31]],Code17)</f>
        <v>0</v>
      </c>
      <c r="BA131" s="30">
        <f>COUNTIF(ParticipationMars1[[#This Row],[1]:[31]],Code25)</f>
        <v>0</v>
      </c>
      <c r="BB131" s="307">
        <f>COUNTIF(ParticipationMars1[[#This Row],[1]:[31]],Code26)</f>
        <v>0</v>
      </c>
      <c r="BC131" s="307">
        <f>COUNTIF(ParticipationMars1[[#This Row],[1]:[31]],Code27)</f>
        <v>0</v>
      </c>
      <c r="BD131" s="30">
        <f>COUNTIF(ParticipationMars1[[#This Row],[1]:[31]],Code28)</f>
        <v>0</v>
      </c>
      <c r="BE131" s="30">
        <f>COUNTIF(ParticipationMars1[[#This Row],[1]:[31]],code30)</f>
        <v>0</v>
      </c>
      <c r="BF131" s="30">
        <f>COUNTIF(ParticipationMars1[[#This Row],[1]:[31]],Code31)</f>
        <v>0</v>
      </c>
      <c r="BG131" s="307">
        <f>COUNTIF(ParticipationMars1[[#This Row],[1]:[31]],code21)</f>
        <v>0</v>
      </c>
      <c r="BH131" s="307">
        <f>COUNTIF(ParticipationMars1[[#This Row],[1]:[31]],Code24)</f>
        <v>0</v>
      </c>
      <c r="BI131" s="307">
        <f>COUNTIF(ParticipationMars1[[#This Row],[1]:[31]],code18)</f>
        <v>0</v>
      </c>
      <c r="BJ131" s="307">
        <f>COUNTIF(ParticipationMars1[[#This Row],[1]:[31]],code19)</f>
        <v>0</v>
      </c>
      <c r="BK131" s="307">
        <f>COUNTIF(ParticipationMars1[[#This Row],[1]:[31]],code20)</f>
        <v>0</v>
      </c>
      <c r="BL131" s="300">
        <f>COUNTIF(ParticipationMars1[[#This Row],[1]:[31]],code29)</f>
        <v>0</v>
      </c>
      <c r="BM131" s="297"/>
      <c r="BN131" s="297"/>
      <c r="BO131" s="297"/>
      <c r="BP131" s="297"/>
      <c r="BQ131" s="297"/>
      <c r="BR131" s="297"/>
      <c r="BS131" s="297"/>
      <c r="BT131" s="297"/>
      <c r="BU131" s="297"/>
      <c r="BV131" s="297"/>
      <c r="BW131" s="297"/>
      <c r="BX131" s="297"/>
      <c r="BY131" s="297"/>
      <c r="BZ131" s="297"/>
      <c r="CA131" s="297"/>
      <c r="CB131" s="297"/>
      <c r="CC131" s="297"/>
      <c r="CD131" s="297"/>
      <c r="CE131" s="297"/>
      <c r="CF131" s="297"/>
      <c r="CG131" s="297"/>
      <c r="CH131" s="297"/>
      <c r="CI131" s="297"/>
      <c r="CJ131" s="297"/>
      <c r="CK131" s="297"/>
      <c r="CL131" s="297"/>
      <c r="CM131" s="297"/>
      <c r="CN131" s="297"/>
      <c r="CO131" s="297"/>
      <c r="CP131" s="297"/>
      <c r="CQ131" s="297"/>
      <c r="CR131" s="297"/>
      <c r="CS131" s="307"/>
      <c r="CT131" s="307"/>
      <c r="CU131" s="300"/>
      <c r="CV131" s="501">
        <f t="shared" si="9"/>
        <v>1.5</v>
      </c>
      <c r="CW131" s="501">
        <f t="shared" si="10"/>
        <v>0</v>
      </c>
      <c r="CX131" s="249">
        <f t="shared" si="11"/>
        <v>0</v>
      </c>
      <c r="CY131" s="327"/>
    </row>
    <row r="132" spans="1:103">
      <c r="A132" s="534" t="s">
        <v>473</v>
      </c>
      <c r="B132" s="162" t="str">
        <f>IFERROR(VLOOKUP(ParticipationMars1[[#This Row],[Référence]],ListeÉtudiants1[],18,FALSE),"")</f>
        <v>TOUAZI EMMA</v>
      </c>
      <c r="C132" s="19"/>
      <c r="D132" s="19"/>
      <c r="E132" s="19"/>
      <c r="F132" s="19"/>
      <c r="G132" s="19"/>
      <c r="H132" s="19"/>
      <c r="I132" s="19"/>
      <c r="J132" s="19"/>
      <c r="K132" s="19"/>
      <c r="L132" s="19"/>
      <c r="M132" s="19"/>
      <c r="N132" s="19"/>
      <c r="O132" s="19"/>
      <c r="P132" s="19"/>
      <c r="Q132" s="19"/>
      <c r="R132" s="19"/>
      <c r="S132" s="19"/>
      <c r="T132" s="19"/>
      <c r="U132" s="19"/>
      <c r="V132" s="19"/>
      <c r="W132" s="19"/>
      <c r="X132" s="19" t="s">
        <v>488</v>
      </c>
      <c r="Y132" s="19" t="s">
        <v>35</v>
      </c>
      <c r="Z132" s="19"/>
      <c r="AA132" s="19" t="s">
        <v>529</v>
      </c>
      <c r="AB132" s="19" t="s">
        <v>487</v>
      </c>
      <c r="AC132" s="19"/>
      <c r="AD132" s="19" t="s">
        <v>35</v>
      </c>
      <c r="AE132" s="19" t="s">
        <v>105</v>
      </c>
      <c r="AF132" s="19" t="s">
        <v>106</v>
      </c>
      <c r="AG132" s="340"/>
      <c r="AH132" s="6">
        <f>COUNTIF(ParticipationMars1[[#This Row],[1]:[31]],Code1)</f>
        <v>0</v>
      </c>
      <c r="AI132" s="331">
        <f>COUNTIF(ParticipationMars1[[#This Row],[1]:[31]],code22)</f>
        <v>0</v>
      </c>
      <c r="AJ132" s="30">
        <f>COUNTIF(ParticipationMars1[[#This Row],[1]:[31]],Code2)</f>
        <v>1</v>
      </c>
      <c r="AK132" s="30">
        <f>COUNTIF(ParticipationMars1[[#This Row],[1]:[31]],Code3)</f>
        <v>1</v>
      </c>
      <c r="AL132" s="30">
        <f>COUNTIF(ParticipationMars1[[#This Row],[1]:[31]],Code4)</f>
        <v>0</v>
      </c>
      <c r="AM132" s="307">
        <f>COUNTIF(ParticipationMars1[[#This Row],[1]:[31]],Code5)</f>
        <v>2</v>
      </c>
      <c r="AN132" s="307">
        <f>COUNTIF(ParticipationMars1[[#This Row],[1]:[31]],Code23)</f>
        <v>1</v>
      </c>
      <c r="AO132" s="307">
        <f>COUNTIF(ParticipationMars1[[#This Row],[1]:[31]],Code6)</f>
        <v>0</v>
      </c>
      <c r="AP132" s="307">
        <f>COUNTIF(ParticipationMars1[[#This Row],[1]:[31]],Code7)</f>
        <v>0</v>
      </c>
      <c r="AQ132" s="307">
        <f>COUNTIF(ParticipationMars1[[#This Row],[1]:[31]],Code8)</f>
        <v>0</v>
      </c>
      <c r="AR132" s="307">
        <f>COUNTIF(ParticipationMars1[[#This Row],[1]:[31]],Code9)</f>
        <v>0</v>
      </c>
      <c r="AS132" s="307">
        <f>COUNTIF(ParticipationMars1[[#This Row],[1]:[31]],Code10)</f>
        <v>0</v>
      </c>
      <c r="AT132" s="307">
        <f>COUNTIF(ParticipationMars1[[#This Row],[1]:[31]],Code11)</f>
        <v>0</v>
      </c>
      <c r="AU132" s="30">
        <f>COUNTIF(ParticipationMars1[[#This Row],[1]:[31]],Code12)</f>
        <v>1</v>
      </c>
      <c r="AV132" s="307">
        <f>COUNTIF(ParticipationMars1[[#This Row],[1]:[31]],Code13)</f>
        <v>0</v>
      </c>
      <c r="AW132" s="307">
        <f>COUNTIF(ParticipationMars1[[#This Row],[1]:[31]],Code14)</f>
        <v>1</v>
      </c>
      <c r="AX132" s="307">
        <f>COUNTIF(ParticipationMars1[[#This Row],[1]:[31]],Code15)</f>
        <v>0</v>
      </c>
      <c r="AY132" s="307">
        <f>COUNTIF(ParticipationMars1[[#This Row],[1]:[31]],Code16)</f>
        <v>0</v>
      </c>
      <c r="AZ132" s="307">
        <f>COUNTIF(ParticipationMars1[[#This Row],[1]:[31]],Code17)</f>
        <v>0</v>
      </c>
      <c r="BA132" s="307">
        <f>COUNTIF(ParticipationMars1[[#This Row],[1]:[31]],Code25)</f>
        <v>0</v>
      </c>
      <c r="BB132" s="307">
        <f>COUNTIF(ParticipationMars1[[#This Row],[1]:[31]],Code26)</f>
        <v>0</v>
      </c>
      <c r="BC132" s="307">
        <f>COUNTIF(ParticipationMars1[[#This Row],[1]:[31]],Code27)</f>
        <v>0</v>
      </c>
      <c r="BD132" s="307">
        <f>COUNTIF(ParticipationMars1[[#This Row],[1]:[31]],Code28)</f>
        <v>0</v>
      </c>
      <c r="BE132" s="307">
        <f>COUNTIF(ParticipationMars1[[#This Row],[1]:[31]],code30)</f>
        <v>0</v>
      </c>
      <c r="BF132" s="307">
        <f>COUNTIF(ParticipationMars1[[#This Row],[1]:[31]],Code31)</f>
        <v>0</v>
      </c>
      <c r="BG132" s="307">
        <f>COUNTIF(ParticipationMars1[[#This Row],[1]:[31]],code21)</f>
        <v>0</v>
      </c>
      <c r="BH132" s="307">
        <f>COUNTIF(ParticipationMars1[[#This Row],[1]:[31]],Code24)</f>
        <v>0</v>
      </c>
      <c r="BI132" s="307">
        <f>COUNTIF(ParticipationMars1[[#This Row],[1]:[31]],code18)</f>
        <v>0</v>
      </c>
      <c r="BJ132" s="307">
        <f>COUNTIF(ParticipationMars1[[#This Row],[1]:[31]],code19)</f>
        <v>0</v>
      </c>
      <c r="BK132" s="307">
        <f>COUNTIF(ParticipationMars1[[#This Row],[1]:[31]],code20)</f>
        <v>0</v>
      </c>
      <c r="BL132" s="300">
        <f>COUNTIF(ParticipationMars1[[#This Row],[1]:[31]],code29)</f>
        <v>0</v>
      </c>
      <c r="BM132" s="297"/>
      <c r="BN132" s="297">
        <v>1</v>
      </c>
      <c r="BO132" s="297"/>
      <c r="BP132" s="297"/>
      <c r="BQ132" s="297"/>
      <c r="BR132" s="297"/>
      <c r="BS132" s="297"/>
      <c r="BT132" s="297">
        <v>1</v>
      </c>
      <c r="BU132" s="297"/>
      <c r="BV132" s="297"/>
      <c r="BW132" s="297">
        <v>2</v>
      </c>
      <c r="BX132" s="297"/>
      <c r="BY132" s="297"/>
      <c r="BZ132" s="297">
        <v>1</v>
      </c>
      <c r="CA132" s="297"/>
      <c r="CB132" s="297"/>
      <c r="CC132" s="297"/>
      <c r="CD132" s="297"/>
      <c r="CE132" s="297"/>
      <c r="CF132" s="297"/>
      <c r="CG132" s="297">
        <v>2</v>
      </c>
      <c r="CH132" s="297"/>
      <c r="CI132" s="297"/>
      <c r="CJ132" s="297"/>
      <c r="CK132" s="297">
        <v>1</v>
      </c>
      <c r="CL132" s="297"/>
      <c r="CM132" s="297"/>
      <c r="CN132" s="297"/>
      <c r="CO132" s="297"/>
      <c r="CP132" s="297"/>
      <c r="CQ132" s="297"/>
      <c r="CR132" s="297"/>
      <c r="CS132" s="307"/>
      <c r="CT132" s="307"/>
      <c r="CU132" s="300"/>
      <c r="CV132" s="501">
        <f t="shared" si="9"/>
        <v>7</v>
      </c>
      <c r="CW132" s="501">
        <f t="shared" si="10"/>
        <v>18</v>
      </c>
      <c r="CX132" s="341">
        <f t="shared" si="11"/>
        <v>0</v>
      </c>
      <c r="CY132" s="327"/>
    </row>
    <row r="133" spans="1:103">
      <c r="A133" s="510" t="s">
        <v>474</v>
      </c>
      <c r="B133" s="162" t="str">
        <f>IFERROR(VLOOKUP(ParticipationMars1[[#This Row],[Référence]],ListeÉtudiants1[],18,FALSE),"")</f>
        <v>TOUIDJINE VICTORIA</v>
      </c>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340"/>
      <c r="AH133" s="6">
        <f>COUNTIF(ParticipationMars1[[#This Row],[1]:[31]],Code1)</f>
        <v>0</v>
      </c>
      <c r="AI133" s="6">
        <f>COUNTIF(ParticipationMars1[[#This Row],[1]:[31]],code22)</f>
        <v>0</v>
      </c>
      <c r="AJ133" s="30">
        <f>COUNTIF(ParticipationMars1[[#This Row],[1]:[31]],Code2)</f>
        <v>0</v>
      </c>
      <c r="AK133" s="30">
        <f>COUNTIF(ParticipationMars1[[#This Row],[1]:[31]],Code3)</f>
        <v>0</v>
      </c>
      <c r="AL133" s="30">
        <f>COUNTIF(ParticipationMars1[[#This Row],[1]:[31]],Code4)</f>
        <v>0</v>
      </c>
      <c r="AM133" s="30">
        <f>COUNTIF(ParticipationMars1[[#This Row],[1]:[31]],Code5)</f>
        <v>0</v>
      </c>
      <c r="AN133" s="30">
        <f>COUNTIF(ParticipationMars1[[#This Row],[1]:[31]],Code23)</f>
        <v>0</v>
      </c>
      <c r="AO133" s="30">
        <f>COUNTIF(ParticipationMars1[[#This Row],[1]:[31]],Code6)</f>
        <v>0</v>
      </c>
      <c r="AP133" s="30">
        <f>COUNTIF(ParticipationMars1[[#This Row],[1]:[31]],Code7)</f>
        <v>0</v>
      </c>
      <c r="AQ133" s="30">
        <f>COUNTIF(ParticipationMars1[[#This Row],[1]:[31]],Code8)</f>
        <v>0</v>
      </c>
      <c r="AR133" s="30">
        <f>COUNTIF(ParticipationMars1[[#This Row],[1]:[31]],Code9)</f>
        <v>0</v>
      </c>
      <c r="AS133" s="30">
        <f>COUNTIF(ParticipationMars1[[#This Row],[1]:[31]],Code10)</f>
        <v>0</v>
      </c>
      <c r="AT133" s="30">
        <f>COUNTIF(ParticipationMars1[[#This Row],[1]:[31]],Code11)</f>
        <v>0</v>
      </c>
      <c r="AU133" s="30">
        <f>COUNTIF(ParticipationMars1[[#This Row],[1]:[31]],Code12)</f>
        <v>0</v>
      </c>
      <c r="AV133" s="30">
        <f>COUNTIF(ParticipationMars1[[#This Row],[1]:[31]],Code13)</f>
        <v>0</v>
      </c>
      <c r="AW133" s="30">
        <f>COUNTIF(ParticipationMars1[[#This Row],[1]:[31]],Code14)</f>
        <v>0</v>
      </c>
      <c r="AX133" s="30">
        <f>COUNTIF(ParticipationMars1[[#This Row],[1]:[31]],Code15)</f>
        <v>0</v>
      </c>
      <c r="AY133" s="30">
        <f>COUNTIF(ParticipationMars1[[#This Row],[1]:[31]],Code16)</f>
        <v>0</v>
      </c>
      <c r="AZ133" s="30">
        <f>COUNTIF(ParticipationMars1[[#This Row],[1]:[31]],Code17)</f>
        <v>0</v>
      </c>
      <c r="BA133" s="30">
        <f>COUNTIF(ParticipationMars1[[#This Row],[1]:[31]],Code25)</f>
        <v>0</v>
      </c>
      <c r="BB133" s="30">
        <f>COUNTIF(ParticipationMars1[[#This Row],[1]:[31]],Code26)</f>
        <v>0</v>
      </c>
      <c r="BC133" s="30">
        <f>COUNTIF(ParticipationMars1[[#This Row],[1]:[31]],Code27)</f>
        <v>0</v>
      </c>
      <c r="BD133" s="30">
        <f>COUNTIF(ParticipationMars1[[#This Row],[1]:[31]],Code28)</f>
        <v>0</v>
      </c>
      <c r="BE133" s="30">
        <f>COUNTIF(ParticipationMars1[[#This Row],[1]:[31]],code30)</f>
        <v>0</v>
      </c>
      <c r="BF133" s="30">
        <f>COUNTIF(ParticipationMars1[[#This Row],[1]:[31]],Code31)</f>
        <v>0</v>
      </c>
      <c r="BG133" s="30">
        <f>COUNTIF(ParticipationMars1[[#This Row],[1]:[31]],code21)</f>
        <v>0</v>
      </c>
      <c r="BH133" s="30">
        <f>COUNTIF(ParticipationMars1[[#This Row],[1]:[31]],Code24)</f>
        <v>0</v>
      </c>
      <c r="BI133" s="30">
        <f>COUNTIF(ParticipationMars1[[#This Row],[1]:[31]],code18)</f>
        <v>0</v>
      </c>
      <c r="BJ133" s="30">
        <f>COUNTIF(ParticipationMars1[[#This Row],[1]:[31]],code19)</f>
        <v>0</v>
      </c>
      <c r="BK133" s="30">
        <f>COUNTIF(ParticipationMars1[[#This Row],[1]:[31]],code20)</f>
        <v>0</v>
      </c>
      <c r="BL133" s="164">
        <f>COUNTIF(ParticipationMars1[[#This Row],[1]:[31]],code29)</f>
        <v>0</v>
      </c>
      <c r="BM133" s="139"/>
      <c r="BN133" s="139"/>
      <c r="BO133" s="139"/>
      <c r="BP133" s="139"/>
      <c r="BQ133" s="139"/>
      <c r="BR133" s="139"/>
      <c r="BS133" s="139"/>
      <c r="BT133" s="139"/>
      <c r="BU133" s="139"/>
      <c r="BV133" s="139"/>
      <c r="BW133" s="139"/>
      <c r="BX133" s="139"/>
      <c r="BY133" s="139"/>
      <c r="BZ133" s="139"/>
      <c r="CA133" s="139"/>
      <c r="CB133" s="139"/>
      <c r="CC133" s="139"/>
      <c r="CD133" s="139"/>
      <c r="CE133" s="139"/>
      <c r="CF133" s="139"/>
      <c r="CG133" s="139"/>
      <c r="CH133" s="139"/>
      <c r="CI133" s="139"/>
      <c r="CJ133" s="139"/>
      <c r="CK133" s="139"/>
      <c r="CL133" s="139"/>
      <c r="CM133" s="139"/>
      <c r="CN133" s="139"/>
      <c r="CO133" s="139"/>
      <c r="CP133" s="139"/>
      <c r="CQ133" s="139"/>
      <c r="CR133" s="139"/>
      <c r="CS133" s="30"/>
      <c r="CT133" s="30"/>
      <c r="CU133" s="164"/>
      <c r="CV133" s="501">
        <f t="shared" si="9"/>
        <v>0</v>
      </c>
      <c r="CW133" s="501">
        <f t="shared" si="10"/>
        <v>0</v>
      </c>
      <c r="CX133" s="249">
        <f t="shared" si="11"/>
        <v>0</v>
      </c>
      <c r="CY133" s="170"/>
    </row>
    <row r="134" spans="1:103">
      <c r="A134" s="510" t="s">
        <v>475</v>
      </c>
      <c r="B134" s="162" t="str">
        <f>IFERROR(VLOOKUP(ParticipationMars1[[#This Row],[Référence]],ListeÉtudiants1[],18,FALSE),"")</f>
        <v>TOURE SIPA</v>
      </c>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340"/>
      <c r="AH134" s="6">
        <f>COUNTIF(ParticipationMars1[[#This Row],[1]:[31]],Code1)</f>
        <v>0</v>
      </c>
      <c r="AI134" s="6">
        <f>COUNTIF(ParticipationMars1[[#This Row],[1]:[31]],code22)</f>
        <v>0</v>
      </c>
      <c r="AJ134" s="30">
        <f>COUNTIF(ParticipationMars1[[#This Row],[1]:[31]],Code2)</f>
        <v>0</v>
      </c>
      <c r="AK134" s="30">
        <f>COUNTIF(ParticipationMars1[[#This Row],[1]:[31]],Code3)</f>
        <v>0</v>
      </c>
      <c r="AL134" s="30">
        <f>COUNTIF(ParticipationMars1[[#This Row],[1]:[31]],Code4)</f>
        <v>0</v>
      </c>
      <c r="AM134" s="30">
        <f>COUNTIF(ParticipationMars1[[#This Row],[1]:[31]],Code5)</f>
        <v>0</v>
      </c>
      <c r="AN134" s="30">
        <f>COUNTIF(ParticipationMars1[[#This Row],[1]:[31]],Code23)</f>
        <v>0</v>
      </c>
      <c r="AO134" s="30">
        <f>COUNTIF(ParticipationMars1[[#This Row],[1]:[31]],Code6)</f>
        <v>0</v>
      </c>
      <c r="AP134" s="30">
        <f>COUNTIF(ParticipationMars1[[#This Row],[1]:[31]],Code7)</f>
        <v>0</v>
      </c>
      <c r="AQ134" s="30">
        <f>COUNTIF(ParticipationMars1[[#This Row],[1]:[31]],Code8)</f>
        <v>0</v>
      </c>
      <c r="AR134" s="30">
        <f>COUNTIF(ParticipationMars1[[#This Row],[1]:[31]],Code9)</f>
        <v>0</v>
      </c>
      <c r="AS134" s="30">
        <f>COUNTIF(ParticipationMars1[[#This Row],[1]:[31]],Code10)</f>
        <v>0</v>
      </c>
      <c r="AT134" s="30">
        <f>COUNTIF(ParticipationMars1[[#This Row],[1]:[31]],Code11)</f>
        <v>0</v>
      </c>
      <c r="AU134" s="30">
        <f>COUNTIF(ParticipationMars1[[#This Row],[1]:[31]],Code12)</f>
        <v>0</v>
      </c>
      <c r="AV134" s="30">
        <f>COUNTIF(ParticipationMars1[[#This Row],[1]:[31]],Code13)</f>
        <v>0</v>
      </c>
      <c r="AW134" s="30">
        <f>COUNTIF(ParticipationMars1[[#This Row],[1]:[31]],Code14)</f>
        <v>0</v>
      </c>
      <c r="AX134" s="30">
        <f>COUNTIF(ParticipationMars1[[#This Row],[1]:[31]],Code15)</f>
        <v>0</v>
      </c>
      <c r="AY134" s="30">
        <f>COUNTIF(ParticipationMars1[[#This Row],[1]:[31]],Code16)</f>
        <v>0</v>
      </c>
      <c r="AZ134" s="30">
        <f>COUNTIF(ParticipationMars1[[#This Row],[1]:[31]],Code17)</f>
        <v>0</v>
      </c>
      <c r="BA134" s="30">
        <f>COUNTIF(ParticipationMars1[[#This Row],[1]:[31]],Code25)</f>
        <v>0</v>
      </c>
      <c r="BB134" s="30">
        <f>COUNTIF(ParticipationMars1[[#This Row],[1]:[31]],Code26)</f>
        <v>0</v>
      </c>
      <c r="BC134" s="30">
        <f>COUNTIF(ParticipationMars1[[#This Row],[1]:[31]],Code27)</f>
        <v>0</v>
      </c>
      <c r="BD134" s="30">
        <f>COUNTIF(ParticipationMars1[[#This Row],[1]:[31]],Code28)</f>
        <v>0</v>
      </c>
      <c r="BE134" s="30">
        <f>COUNTIF(ParticipationMars1[[#This Row],[1]:[31]],code30)</f>
        <v>0</v>
      </c>
      <c r="BF134" s="30">
        <f>COUNTIF(ParticipationMars1[[#This Row],[1]:[31]],Code31)</f>
        <v>0</v>
      </c>
      <c r="BG134" s="30">
        <f>COUNTIF(ParticipationMars1[[#This Row],[1]:[31]],code21)</f>
        <v>0</v>
      </c>
      <c r="BH134" s="30">
        <f>COUNTIF(ParticipationMars1[[#This Row],[1]:[31]],Code24)</f>
        <v>0</v>
      </c>
      <c r="BI134" s="30">
        <f>COUNTIF(ParticipationMars1[[#This Row],[1]:[31]],code18)</f>
        <v>0</v>
      </c>
      <c r="BJ134" s="30">
        <f>COUNTIF(ParticipationMars1[[#This Row],[1]:[31]],code19)</f>
        <v>0</v>
      </c>
      <c r="BK134" s="30">
        <f>COUNTIF(ParticipationMars1[[#This Row],[1]:[31]],code20)</f>
        <v>0</v>
      </c>
      <c r="BL134" s="164">
        <f>COUNTIF(ParticipationMars1[[#This Row],[1]:[31]],code29)</f>
        <v>0</v>
      </c>
      <c r="BM134" s="139"/>
      <c r="BN134" s="139"/>
      <c r="BO134" s="139"/>
      <c r="BP134" s="139"/>
      <c r="BQ134" s="139"/>
      <c r="BR134" s="139"/>
      <c r="BS134" s="139"/>
      <c r="BT134" s="139"/>
      <c r="BU134" s="139"/>
      <c r="BV134" s="139"/>
      <c r="BW134" s="139"/>
      <c r="BX134" s="139"/>
      <c r="BY134" s="139"/>
      <c r="BZ134" s="139"/>
      <c r="CA134" s="139"/>
      <c r="CB134" s="139"/>
      <c r="CC134" s="139"/>
      <c r="CD134" s="139"/>
      <c r="CE134" s="139"/>
      <c r="CF134" s="139"/>
      <c r="CG134" s="139"/>
      <c r="CH134" s="139"/>
      <c r="CI134" s="139"/>
      <c r="CJ134" s="139"/>
      <c r="CK134" s="139"/>
      <c r="CL134" s="139"/>
      <c r="CM134" s="139"/>
      <c r="CN134" s="139"/>
      <c r="CO134" s="139"/>
      <c r="CP134" s="139"/>
      <c r="CQ134" s="139"/>
      <c r="CR134" s="139"/>
      <c r="CS134" s="30"/>
      <c r="CT134" s="30"/>
      <c r="CU134" s="164"/>
      <c r="CV134" s="501">
        <f t="shared" si="9"/>
        <v>0</v>
      </c>
      <c r="CW134" s="501">
        <f t="shared" si="10"/>
        <v>0</v>
      </c>
      <c r="CX134" s="249">
        <f t="shared" si="11"/>
        <v>0</v>
      </c>
      <c r="CY134" s="170"/>
    </row>
    <row r="135" spans="1:103">
      <c r="A135" s="536" t="s">
        <v>476</v>
      </c>
      <c r="B135" s="162" t="str">
        <f>IFERROR(VLOOKUP(ParticipationMars1[[#This Row],[Référence]],ListeÉtudiants1[],18,FALSE),"")</f>
        <v>TRIPET AMANDINE</v>
      </c>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340"/>
      <c r="AH135" s="6">
        <f>COUNTIF(ParticipationMars1[[#This Row],[1]:[31]],Code1)</f>
        <v>0</v>
      </c>
      <c r="AI135" s="6">
        <f>COUNTIF(ParticipationMars1[[#This Row],[1]:[31]],code22)</f>
        <v>0</v>
      </c>
      <c r="AJ135" s="30">
        <f>COUNTIF(ParticipationMars1[[#This Row],[1]:[31]],Code2)</f>
        <v>0</v>
      </c>
      <c r="AK135" s="30">
        <f>COUNTIF(ParticipationMars1[[#This Row],[1]:[31]],Code3)</f>
        <v>0</v>
      </c>
      <c r="AL135" s="30">
        <f>COUNTIF(ParticipationMars1[[#This Row],[1]:[31]],Code4)</f>
        <v>0</v>
      </c>
      <c r="AM135" s="30">
        <f>COUNTIF(ParticipationMars1[[#This Row],[1]:[31]],Code5)</f>
        <v>0</v>
      </c>
      <c r="AN135" s="30">
        <f>COUNTIF(ParticipationMars1[[#This Row],[1]:[31]],Code23)</f>
        <v>0</v>
      </c>
      <c r="AO135" s="30">
        <f>COUNTIF(ParticipationMars1[[#This Row],[1]:[31]],Code6)</f>
        <v>0</v>
      </c>
      <c r="AP135" s="30">
        <f>COUNTIF(ParticipationMars1[[#This Row],[1]:[31]],Code7)</f>
        <v>0</v>
      </c>
      <c r="AQ135" s="30">
        <f>COUNTIF(ParticipationMars1[[#This Row],[1]:[31]],Code8)</f>
        <v>0</v>
      </c>
      <c r="AR135" s="30">
        <f>COUNTIF(ParticipationMars1[[#This Row],[1]:[31]],Code9)</f>
        <v>0</v>
      </c>
      <c r="AS135" s="30">
        <f>COUNTIF(ParticipationMars1[[#This Row],[1]:[31]],Code10)</f>
        <v>0</v>
      </c>
      <c r="AT135" s="30">
        <f>COUNTIF(ParticipationMars1[[#This Row],[1]:[31]],Code11)</f>
        <v>0</v>
      </c>
      <c r="AU135" s="30">
        <f>COUNTIF(ParticipationMars1[[#This Row],[1]:[31]],Code12)</f>
        <v>0</v>
      </c>
      <c r="AV135" s="30">
        <f>COUNTIF(ParticipationMars1[[#This Row],[1]:[31]],Code13)</f>
        <v>0</v>
      </c>
      <c r="AW135" s="30">
        <f>COUNTIF(ParticipationMars1[[#This Row],[1]:[31]],Code14)</f>
        <v>0</v>
      </c>
      <c r="AX135" s="30">
        <f>COUNTIF(ParticipationMars1[[#This Row],[1]:[31]],Code15)</f>
        <v>0</v>
      </c>
      <c r="AY135" s="30">
        <f>COUNTIF(ParticipationMars1[[#This Row],[1]:[31]],Code16)</f>
        <v>0</v>
      </c>
      <c r="AZ135" s="30">
        <f>COUNTIF(ParticipationMars1[[#This Row],[1]:[31]],Code17)</f>
        <v>0</v>
      </c>
      <c r="BA135" s="30">
        <f>COUNTIF(ParticipationMars1[[#This Row],[1]:[31]],Code25)</f>
        <v>0</v>
      </c>
      <c r="BB135" s="30">
        <f>COUNTIF(ParticipationMars1[[#This Row],[1]:[31]],Code26)</f>
        <v>0</v>
      </c>
      <c r="BC135" s="30">
        <f>COUNTIF(ParticipationMars1[[#This Row],[1]:[31]],Code27)</f>
        <v>0</v>
      </c>
      <c r="BD135" s="30">
        <f>COUNTIF(ParticipationMars1[[#This Row],[1]:[31]],Code28)</f>
        <v>0</v>
      </c>
      <c r="BE135" s="30">
        <f>COUNTIF(ParticipationMars1[[#This Row],[1]:[31]],code30)</f>
        <v>0</v>
      </c>
      <c r="BF135" s="30">
        <f>COUNTIF(ParticipationMars1[[#This Row],[1]:[31]],Code31)</f>
        <v>0</v>
      </c>
      <c r="BG135" s="30">
        <f>COUNTIF(ParticipationMars1[[#This Row],[1]:[31]],code21)</f>
        <v>0</v>
      </c>
      <c r="BH135" s="30">
        <f>COUNTIF(ParticipationMars1[[#This Row],[1]:[31]],Code24)</f>
        <v>0</v>
      </c>
      <c r="BI135" s="30">
        <f>COUNTIF(ParticipationMars1[[#This Row],[1]:[31]],code18)</f>
        <v>0</v>
      </c>
      <c r="BJ135" s="30">
        <f>COUNTIF(ParticipationMars1[[#This Row],[1]:[31]],code19)</f>
        <v>0</v>
      </c>
      <c r="BK135" s="30">
        <f>COUNTIF(ParticipationMars1[[#This Row],[1]:[31]],code20)</f>
        <v>0</v>
      </c>
      <c r="BL135" s="164">
        <f>COUNTIF(ParticipationMars1[[#This Row],[1]:[31]],code29)</f>
        <v>0</v>
      </c>
      <c r="BM135" s="139"/>
      <c r="BN135" s="139"/>
      <c r="BO135" s="139"/>
      <c r="BP135" s="139"/>
      <c r="BQ135" s="139"/>
      <c r="BR135" s="139"/>
      <c r="BS135" s="139"/>
      <c r="BT135" s="139"/>
      <c r="BU135" s="139"/>
      <c r="BV135" s="139"/>
      <c r="BW135" s="139"/>
      <c r="BX135" s="139"/>
      <c r="BY135" s="139"/>
      <c r="BZ135" s="139"/>
      <c r="CA135" s="139"/>
      <c r="CB135" s="139"/>
      <c r="CC135" s="139"/>
      <c r="CD135" s="139"/>
      <c r="CE135" s="139"/>
      <c r="CF135" s="139"/>
      <c r="CG135" s="139"/>
      <c r="CH135" s="139"/>
      <c r="CI135" s="139"/>
      <c r="CJ135" s="139"/>
      <c r="CK135" s="139"/>
      <c r="CL135" s="139"/>
      <c r="CM135" s="139"/>
      <c r="CN135" s="139"/>
      <c r="CO135" s="139"/>
      <c r="CP135" s="139"/>
      <c r="CQ135" s="139"/>
      <c r="CR135" s="139"/>
      <c r="CS135" s="30"/>
      <c r="CT135" s="30"/>
      <c r="CU135" s="164"/>
      <c r="CV135" s="501">
        <f t="shared" si="9"/>
        <v>0</v>
      </c>
      <c r="CW135" s="501">
        <f t="shared" si="10"/>
        <v>0</v>
      </c>
      <c r="CX135" s="249">
        <f t="shared" si="11"/>
        <v>0</v>
      </c>
      <c r="CY135" s="170"/>
    </row>
    <row r="136" spans="1:103">
      <c r="A136" s="510" t="s">
        <v>477</v>
      </c>
      <c r="B136" s="162" t="str">
        <f>IFERROR(VLOOKUP(ParticipationMars1[[#This Row],[Référence]],ListeÉtudiants1[],18,FALSE),"")</f>
        <v>UGOLIN MARIE-ROSE</v>
      </c>
      <c r="C136" s="19"/>
      <c r="D136" s="19"/>
      <c r="E136" s="19"/>
      <c r="F136" s="19"/>
      <c r="G136" s="19"/>
      <c r="H136" s="19"/>
      <c r="I136" s="19"/>
      <c r="J136" s="19"/>
      <c r="K136" s="19"/>
      <c r="L136" s="19"/>
      <c r="M136" s="19"/>
      <c r="N136" s="19"/>
      <c r="O136" s="19"/>
      <c r="P136" s="19"/>
      <c r="Q136" s="19"/>
      <c r="R136" s="19"/>
      <c r="S136" s="19"/>
      <c r="T136" s="19"/>
      <c r="U136" s="19"/>
      <c r="V136" s="19"/>
      <c r="W136" s="19" t="s">
        <v>529</v>
      </c>
      <c r="X136" s="19"/>
      <c r="Y136" s="19"/>
      <c r="Z136" s="19"/>
      <c r="AA136" s="19"/>
      <c r="AB136" s="19"/>
      <c r="AC136" s="19"/>
      <c r="AD136" s="19"/>
      <c r="AE136" s="19"/>
      <c r="AF136" s="19"/>
      <c r="AG136" s="340"/>
      <c r="AH136" s="6">
        <f>COUNTIF(ParticipationMars1[[#This Row],[1]:[31]],Code1)</f>
        <v>0</v>
      </c>
      <c r="AI136" s="331">
        <f>COUNTIF(ParticipationMars1[[#This Row],[1]:[31]],code22)</f>
        <v>0</v>
      </c>
      <c r="AJ136" s="30">
        <f>COUNTIF(ParticipationMars1[[#This Row],[1]:[31]],Code2)</f>
        <v>0</v>
      </c>
      <c r="AK136" s="30">
        <f>COUNTIF(ParticipationMars1[[#This Row],[1]:[31]],Code3)</f>
        <v>0</v>
      </c>
      <c r="AL136" s="30">
        <f>COUNTIF(ParticipationMars1[[#This Row],[1]:[31]],Code4)</f>
        <v>0</v>
      </c>
      <c r="AM136" s="307">
        <f>COUNTIF(ParticipationMars1[[#This Row],[1]:[31]],Code5)</f>
        <v>0</v>
      </c>
      <c r="AN136" s="307">
        <f>COUNTIF(ParticipationMars1[[#This Row],[1]:[31]],Code23)</f>
        <v>1</v>
      </c>
      <c r="AO136" s="307">
        <f>COUNTIF(ParticipationMars1[[#This Row],[1]:[31]],Code6)</f>
        <v>0</v>
      </c>
      <c r="AP136" s="307">
        <f>COUNTIF(ParticipationMars1[[#This Row],[1]:[31]],Code7)</f>
        <v>0</v>
      </c>
      <c r="AQ136" s="307">
        <f>COUNTIF(ParticipationMars1[[#This Row],[1]:[31]],Code8)</f>
        <v>0</v>
      </c>
      <c r="AR136" s="307">
        <f>COUNTIF(ParticipationMars1[[#This Row],[1]:[31]],Code9)</f>
        <v>0</v>
      </c>
      <c r="AS136" s="307">
        <f>COUNTIF(ParticipationMars1[[#This Row],[1]:[31]],Code10)</f>
        <v>0</v>
      </c>
      <c r="AT136" s="307">
        <f>COUNTIF(ParticipationMars1[[#This Row],[1]:[31]],Code11)</f>
        <v>0</v>
      </c>
      <c r="AU136" s="30">
        <f>COUNTIF(ParticipationMars1[[#This Row],[1]:[31]],Code12)</f>
        <v>0</v>
      </c>
      <c r="AV136" s="307">
        <f>COUNTIF(ParticipationMars1[[#This Row],[1]:[31]],Code13)</f>
        <v>0</v>
      </c>
      <c r="AW136" s="307">
        <f>COUNTIF(ParticipationMars1[[#This Row],[1]:[31]],Code14)</f>
        <v>0</v>
      </c>
      <c r="AX136" s="307">
        <f>COUNTIF(ParticipationMars1[[#This Row],[1]:[31]],Code15)</f>
        <v>0</v>
      </c>
      <c r="AY136" s="307">
        <f>COUNTIF(ParticipationMars1[[#This Row],[1]:[31]],Code16)</f>
        <v>0</v>
      </c>
      <c r="AZ136" s="307">
        <f>COUNTIF(ParticipationMars1[[#This Row],[1]:[31]],Code17)</f>
        <v>0</v>
      </c>
      <c r="BA136" s="307">
        <f>COUNTIF(ParticipationMars1[[#This Row],[1]:[31]],Code25)</f>
        <v>0</v>
      </c>
      <c r="BB136" s="307">
        <f>COUNTIF(ParticipationMars1[[#This Row],[1]:[31]],Code26)</f>
        <v>0</v>
      </c>
      <c r="BC136" s="307">
        <f>COUNTIF(ParticipationMars1[[#This Row],[1]:[31]],Code27)</f>
        <v>0</v>
      </c>
      <c r="BD136" s="307">
        <f>COUNTIF(ParticipationMars1[[#This Row],[1]:[31]],Code28)</f>
        <v>0</v>
      </c>
      <c r="BE136" s="307">
        <f>COUNTIF(ParticipationMars1[[#This Row],[1]:[31]],code30)</f>
        <v>0</v>
      </c>
      <c r="BF136" s="307">
        <f>COUNTIF(ParticipationMars1[[#This Row],[1]:[31]],Code31)</f>
        <v>0</v>
      </c>
      <c r="BG136" s="307">
        <f>COUNTIF(ParticipationMars1[[#This Row],[1]:[31]],code21)</f>
        <v>0</v>
      </c>
      <c r="BH136" s="307">
        <f>COUNTIF(ParticipationMars1[[#This Row],[1]:[31]],Code24)</f>
        <v>0</v>
      </c>
      <c r="BI136" s="307">
        <f>COUNTIF(ParticipationMars1[[#This Row],[1]:[31]],code18)</f>
        <v>0</v>
      </c>
      <c r="BJ136" s="307">
        <f>COUNTIF(ParticipationMars1[[#This Row],[1]:[31]],code19)</f>
        <v>0</v>
      </c>
      <c r="BK136" s="307">
        <f>COUNTIF(ParticipationMars1[[#This Row],[1]:[31]],code20)</f>
        <v>0</v>
      </c>
      <c r="BL136" s="300">
        <f>COUNTIF(ParticipationMars1[[#This Row],[1]:[31]],code29)</f>
        <v>0</v>
      </c>
      <c r="BM136" s="297"/>
      <c r="BN136" s="297"/>
      <c r="BO136" s="297"/>
      <c r="BP136" s="297"/>
      <c r="BQ136" s="297"/>
      <c r="BR136" s="297"/>
      <c r="BS136" s="297"/>
      <c r="BT136" s="297"/>
      <c r="BU136" s="297"/>
      <c r="BV136" s="297"/>
      <c r="BW136" s="297">
        <v>1</v>
      </c>
      <c r="BX136" s="297"/>
      <c r="BY136" s="297"/>
      <c r="BZ136" s="297"/>
      <c r="CA136" s="297"/>
      <c r="CB136" s="297"/>
      <c r="CC136" s="297"/>
      <c r="CD136" s="297"/>
      <c r="CE136" s="297"/>
      <c r="CF136" s="297"/>
      <c r="CG136" s="297"/>
      <c r="CH136" s="297"/>
      <c r="CI136" s="297"/>
      <c r="CJ136" s="297"/>
      <c r="CK136" s="297"/>
      <c r="CL136" s="297"/>
      <c r="CM136" s="297"/>
      <c r="CN136" s="297"/>
      <c r="CO136" s="297"/>
      <c r="CP136" s="297"/>
      <c r="CQ136" s="297"/>
      <c r="CR136" s="297"/>
      <c r="CS136" s="307"/>
      <c r="CT136" s="307"/>
      <c r="CU136" s="300"/>
      <c r="CV136" s="501">
        <f t="shared" si="9"/>
        <v>0</v>
      </c>
      <c r="CW136" s="501">
        <f t="shared" si="10"/>
        <v>1</v>
      </c>
      <c r="CX136" s="341">
        <f t="shared" si="11"/>
        <v>0</v>
      </c>
      <c r="CY136" s="327"/>
    </row>
    <row r="137" spans="1:103">
      <c r="A137" s="510" t="s">
        <v>478</v>
      </c>
      <c r="B137" s="162" t="str">
        <f>IFERROR(VLOOKUP(ParticipationMars1[[#This Row],[Référence]],ListeÉtudiants1[],18,FALSE),"")</f>
        <v>VERKEST LEA</v>
      </c>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340"/>
      <c r="AH137" s="6">
        <f>COUNTIF(ParticipationMars1[[#This Row],[1]:[31]],Code1)</f>
        <v>0</v>
      </c>
      <c r="AI137" s="6">
        <f>COUNTIF(ParticipationMars1[[#This Row],[1]:[31]],code22)</f>
        <v>0</v>
      </c>
      <c r="AJ137" s="30">
        <f>COUNTIF(ParticipationMars1[[#This Row],[1]:[31]],Code2)</f>
        <v>0</v>
      </c>
      <c r="AK137" s="30">
        <f>COUNTIF(ParticipationMars1[[#This Row],[1]:[31]],Code3)</f>
        <v>0</v>
      </c>
      <c r="AL137" s="30">
        <f>COUNTIF(ParticipationMars1[[#This Row],[1]:[31]],Code4)</f>
        <v>0</v>
      </c>
      <c r="AM137" s="30">
        <f>COUNTIF(ParticipationMars1[[#This Row],[1]:[31]],Code5)</f>
        <v>0</v>
      </c>
      <c r="AN137" s="30">
        <f>COUNTIF(ParticipationMars1[[#This Row],[1]:[31]],Code23)</f>
        <v>0</v>
      </c>
      <c r="AO137" s="30">
        <f>COUNTIF(ParticipationMars1[[#This Row],[1]:[31]],Code6)</f>
        <v>0</v>
      </c>
      <c r="AP137" s="30">
        <f>COUNTIF(ParticipationMars1[[#This Row],[1]:[31]],Code7)</f>
        <v>0</v>
      </c>
      <c r="AQ137" s="30">
        <f>COUNTIF(ParticipationMars1[[#This Row],[1]:[31]],Code8)</f>
        <v>0</v>
      </c>
      <c r="AR137" s="30">
        <f>COUNTIF(ParticipationMars1[[#This Row],[1]:[31]],Code9)</f>
        <v>0</v>
      </c>
      <c r="AS137" s="30">
        <f>COUNTIF(ParticipationMars1[[#This Row],[1]:[31]],Code10)</f>
        <v>0</v>
      </c>
      <c r="AT137" s="30">
        <f>COUNTIF(ParticipationMars1[[#This Row],[1]:[31]],Code11)</f>
        <v>0</v>
      </c>
      <c r="AU137" s="30">
        <f>COUNTIF(ParticipationMars1[[#This Row],[1]:[31]],Code12)</f>
        <v>0</v>
      </c>
      <c r="AV137" s="30">
        <f>COUNTIF(ParticipationMars1[[#This Row],[1]:[31]],Code13)</f>
        <v>0</v>
      </c>
      <c r="AW137" s="30">
        <f>COUNTIF(ParticipationMars1[[#This Row],[1]:[31]],Code14)</f>
        <v>0</v>
      </c>
      <c r="AX137" s="30">
        <f>COUNTIF(ParticipationMars1[[#This Row],[1]:[31]],Code15)</f>
        <v>0</v>
      </c>
      <c r="AY137" s="30">
        <f>COUNTIF(ParticipationMars1[[#This Row],[1]:[31]],Code16)</f>
        <v>0</v>
      </c>
      <c r="AZ137" s="30">
        <f>COUNTIF(ParticipationMars1[[#This Row],[1]:[31]],Code17)</f>
        <v>0</v>
      </c>
      <c r="BA137" s="30">
        <f>COUNTIF(ParticipationMars1[[#This Row],[1]:[31]],Code25)</f>
        <v>0</v>
      </c>
      <c r="BB137" s="30">
        <f>COUNTIF(ParticipationMars1[[#This Row],[1]:[31]],Code26)</f>
        <v>0</v>
      </c>
      <c r="BC137" s="30">
        <f>COUNTIF(ParticipationMars1[[#This Row],[1]:[31]],Code27)</f>
        <v>0</v>
      </c>
      <c r="BD137" s="30">
        <f>COUNTIF(ParticipationMars1[[#This Row],[1]:[31]],Code28)</f>
        <v>0</v>
      </c>
      <c r="BE137" s="30">
        <f>COUNTIF(ParticipationMars1[[#This Row],[1]:[31]],code30)</f>
        <v>0</v>
      </c>
      <c r="BF137" s="30">
        <f>COUNTIF(ParticipationMars1[[#This Row],[1]:[31]],Code31)</f>
        <v>0</v>
      </c>
      <c r="BG137" s="30">
        <f>COUNTIF(ParticipationMars1[[#This Row],[1]:[31]],code21)</f>
        <v>0</v>
      </c>
      <c r="BH137" s="30">
        <f>COUNTIF(ParticipationMars1[[#This Row],[1]:[31]],Code24)</f>
        <v>0</v>
      </c>
      <c r="BI137" s="30">
        <f>COUNTIF(ParticipationMars1[[#This Row],[1]:[31]],code18)</f>
        <v>0</v>
      </c>
      <c r="BJ137" s="30">
        <f>COUNTIF(ParticipationMars1[[#This Row],[1]:[31]],code19)</f>
        <v>0</v>
      </c>
      <c r="BK137" s="30">
        <f>COUNTIF(ParticipationMars1[[#This Row],[1]:[31]],code20)</f>
        <v>0</v>
      </c>
      <c r="BL137" s="164">
        <f>COUNTIF(ParticipationMars1[[#This Row],[1]:[31]],code29)</f>
        <v>0</v>
      </c>
      <c r="BM137" s="139"/>
      <c r="BN137" s="139"/>
      <c r="BO137" s="139"/>
      <c r="BP137" s="139"/>
      <c r="BQ137" s="139"/>
      <c r="BR137" s="139"/>
      <c r="BS137" s="139"/>
      <c r="BT137" s="139"/>
      <c r="BU137" s="139"/>
      <c r="BV137" s="139"/>
      <c r="BW137" s="139"/>
      <c r="BX137" s="139"/>
      <c r="BY137" s="139"/>
      <c r="BZ137" s="139"/>
      <c r="CA137" s="139"/>
      <c r="CB137" s="139"/>
      <c r="CC137" s="139"/>
      <c r="CD137" s="139"/>
      <c r="CE137" s="139"/>
      <c r="CF137" s="139"/>
      <c r="CG137" s="139"/>
      <c r="CH137" s="139"/>
      <c r="CI137" s="139"/>
      <c r="CJ137" s="139"/>
      <c r="CK137" s="139"/>
      <c r="CL137" s="139"/>
      <c r="CM137" s="139"/>
      <c r="CN137" s="139"/>
      <c r="CO137" s="139"/>
      <c r="CP137" s="139"/>
      <c r="CQ137" s="139"/>
      <c r="CR137" s="139"/>
      <c r="CS137" s="30"/>
      <c r="CT137" s="30"/>
      <c r="CU137" s="164"/>
      <c r="CV137" s="501">
        <f t="shared" si="9"/>
        <v>0</v>
      </c>
      <c r="CW137" s="501">
        <f t="shared" si="10"/>
        <v>0</v>
      </c>
      <c r="CX137" s="249">
        <f t="shared" si="11"/>
        <v>0</v>
      </c>
      <c r="CY137" s="170"/>
    </row>
    <row r="138" spans="1:103">
      <c r="A138" s="534" t="s">
        <v>479</v>
      </c>
      <c r="B138" s="162" t="str">
        <f>IFERROR(VLOOKUP(ParticipationMars1[[#This Row],[Référence]],ListeÉtudiants1[],18,FALSE),"")</f>
        <v>VIRIN AMANDINE</v>
      </c>
      <c r="C138" s="19"/>
      <c r="D138" s="19"/>
      <c r="E138" s="19"/>
      <c r="F138" s="19"/>
      <c r="G138" s="19" t="s">
        <v>577</v>
      </c>
      <c r="H138" s="19"/>
      <c r="I138" s="19"/>
      <c r="J138" s="19"/>
      <c r="K138" s="19"/>
      <c r="L138" s="19"/>
      <c r="M138" s="19"/>
      <c r="N138" s="19"/>
      <c r="O138" s="19"/>
      <c r="P138" s="19"/>
      <c r="Q138" s="19"/>
      <c r="R138" s="19"/>
      <c r="S138" s="19"/>
      <c r="T138" s="19"/>
      <c r="U138" s="19"/>
      <c r="V138" s="19"/>
      <c r="W138" s="19"/>
      <c r="X138" s="19"/>
      <c r="Y138" s="19" t="s">
        <v>108</v>
      </c>
      <c r="Z138" s="19"/>
      <c r="AA138" s="19"/>
      <c r="AB138" s="19"/>
      <c r="AC138" s="19"/>
      <c r="AD138" s="19"/>
      <c r="AE138" s="19"/>
      <c r="AF138" s="19"/>
      <c r="AG138" s="340"/>
      <c r="AH138" s="6">
        <f>COUNTIF(ParticipationMars1[[#This Row],[1]:[31]],Code1)</f>
        <v>0</v>
      </c>
      <c r="AI138" s="6">
        <f>COUNTIF(ParticipationMars1[[#This Row],[1]:[31]],code22)</f>
        <v>0</v>
      </c>
      <c r="AJ138" s="30">
        <f>COUNTIF(ParticipationMars1[[#This Row],[1]:[31]],Code2)</f>
        <v>0</v>
      </c>
      <c r="AK138" s="30">
        <f>COUNTIF(ParticipationMars1[[#This Row],[1]:[31]],Code3)</f>
        <v>0</v>
      </c>
      <c r="AL138" s="30">
        <f>COUNTIF(ParticipationMars1[[#This Row],[1]:[31]],Code4)</f>
        <v>0</v>
      </c>
      <c r="AM138" s="30">
        <f>COUNTIF(ParticipationMars1[[#This Row],[1]:[31]],Code5)</f>
        <v>0</v>
      </c>
      <c r="AN138" s="30">
        <f>COUNTIF(ParticipationMars1[[#This Row],[1]:[31]],Code23)</f>
        <v>0</v>
      </c>
      <c r="AO138" s="30">
        <f>COUNTIF(ParticipationMars1[[#This Row],[1]:[31]],Code6)</f>
        <v>1</v>
      </c>
      <c r="AP138" s="30">
        <f>COUNTIF(ParticipationMars1[[#This Row],[1]:[31]],Code7)</f>
        <v>0</v>
      </c>
      <c r="AQ138" s="30">
        <f>COUNTIF(ParticipationMars1[[#This Row],[1]:[31]],Code8)</f>
        <v>0</v>
      </c>
      <c r="AR138" s="30">
        <f>COUNTIF(ParticipationMars1[[#This Row],[1]:[31]],Code9)</f>
        <v>0</v>
      </c>
      <c r="AS138" s="30">
        <f>COUNTIF(ParticipationMars1[[#This Row],[1]:[31]],Code10)</f>
        <v>0</v>
      </c>
      <c r="AT138" s="30">
        <f>COUNTIF(ParticipationMars1[[#This Row],[1]:[31]],Code11)</f>
        <v>0</v>
      </c>
      <c r="AU138" s="30">
        <f>COUNTIF(ParticipationMars1[[#This Row],[1]:[31]],Code12)</f>
        <v>0</v>
      </c>
      <c r="AV138" s="30">
        <f>COUNTIF(ParticipationMars1[[#This Row],[1]:[31]],Code13)</f>
        <v>0</v>
      </c>
      <c r="AW138" s="30">
        <f>COUNTIF(ParticipationMars1[[#This Row],[1]:[31]],Code14)</f>
        <v>0</v>
      </c>
      <c r="AX138" s="30">
        <f>COUNTIF(ParticipationMars1[[#This Row],[1]:[31]],Code15)</f>
        <v>0</v>
      </c>
      <c r="AY138" s="30">
        <f>COUNTIF(ParticipationMars1[[#This Row],[1]:[31]],Code16)</f>
        <v>0</v>
      </c>
      <c r="AZ138" s="30">
        <f>COUNTIF(ParticipationMars1[[#This Row],[1]:[31]],Code17)</f>
        <v>0</v>
      </c>
      <c r="BA138" s="30">
        <f>COUNTIF(ParticipationMars1[[#This Row],[1]:[31]],Code25)</f>
        <v>0</v>
      </c>
      <c r="BB138" s="307">
        <f>COUNTIF(ParticipationMars1[[#This Row],[1]:[31]],Code26)</f>
        <v>0</v>
      </c>
      <c r="BC138" s="30">
        <f>COUNTIF(ParticipationMars1[[#This Row],[1]:[31]],Code27)</f>
        <v>0</v>
      </c>
      <c r="BD138" s="30">
        <f>COUNTIF(ParticipationMars1[[#This Row],[1]:[31]],Code28)</f>
        <v>0</v>
      </c>
      <c r="BE138" s="30">
        <f>COUNTIF(ParticipationMars1[[#This Row],[1]:[31]],code30)</f>
        <v>0</v>
      </c>
      <c r="BF138" s="30">
        <f>COUNTIF(ParticipationMars1[[#This Row],[1]:[31]],Code31)</f>
        <v>0</v>
      </c>
      <c r="BG138" s="30">
        <f>COUNTIF(ParticipationMars1[[#This Row],[1]:[31]],code21)</f>
        <v>0</v>
      </c>
      <c r="BH138" s="30">
        <f>COUNTIF(ParticipationMars1[[#This Row],[1]:[31]],Code24)</f>
        <v>0</v>
      </c>
      <c r="BI138" s="30">
        <f>COUNTIF(ParticipationMars1[[#This Row],[1]:[31]],code18)</f>
        <v>1</v>
      </c>
      <c r="BJ138" s="30">
        <f>COUNTIF(ParticipationMars1[[#This Row],[1]:[31]],code19)</f>
        <v>0</v>
      </c>
      <c r="BK138" s="30">
        <f>COUNTIF(ParticipationMars1[[#This Row],[1]:[31]],code20)</f>
        <v>0</v>
      </c>
      <c r="BL138" s="164">
        <f>COUNTIF(ParticipationMars1[[#This Row],[1]:[31]],code29)</f>
        <v>0</v>
      </c>
      <c r="BM138" s="297"/>
      <c r="BN138" s="297"/>
      <c r="BO138" s="297"/>
      <c r="BP138" s="297"/>
      <c r="BQ138" s="297"/>
      <c r="BR138" s="297"/>
      <c r="BS138" s="297"/>
      <c r="BT138" s="297"/>
      <c r="BU138" s="297"/>
      <c r="BV138" s="297"/>
      <c r="BW138" s="297"/>
      <c r="BX138" s="297"/>
      <c r="BY138" s="297"/>
      <c r="BZ138" s="297"/>
      <c r="CA138" s="297"/>
      <c r="CB138" s="297"/>
      <c r="CC138" s="297"/>
      <c r="CD138" s="297"/>
      <c r="CE138" s="297"/>
      <c r="CF138" s="297"/>
      <c r="CG138" s="297"/>
      <c r="CH138" s="297"/>
      <c r="CI138" s="297"/>
      <c r="CJ138" s="297"/>
      <c r="CK138" s="297">
        <v>1</v>
      </c>
      <c r="CL138" s="297"/>
      <c r="CM138" s="297"/>
      <c r="CN138" s="297"/>
      <c r="CO138" s="297"/>
      <c r="CP138" s="297"/>
      <c r="CQ138" s="297"/>
      <c r="CR138" s="297"/>
      <c r="CS138" s="307"/>
      <c r="CT138" s="307"/>
      <c r="CU138" s="300"/>
      <c r="CV138" s="501">
        <f t="shared" si="9"/>
        <v>0</v>
      </c>
      <c r="CW138" s="501">
        <f t="shared" si="10"/>
        <v>3</v>
      </c>
      <c r="CX138" s="249">
        <f t="shared" si="11"/>
        <v>0</v>
      </c>
      <c r="CY138" s="170">
        <f t="shared" ref="CY138" si="12">SUM((BI138*7)+(BJ138*10)+(BK138*12))</f>
        <v>7</v>
      </c>
    </row>
    <row r="139" spans="1:103">
      <c r="A139" s="567" t="s">
        <v>578</v>
      </c>
      <c r="B139" s="162" t="str">
        <f>IFERROR(VLOOKUP(ParticipationMars1[[#This Row],[Référence]],ListeÉtudiants1[],18,FALSE),"")</f>
        <v>ASSOUMANI ASMINA</v>
      </c>
      <c r="C139" s="19"/>
      <c r="D139" s="19"/>
      <c r="E139" s="19"/>
      <c r="F139" s="19"/>
      <c r="G139" s="19"/>
      <c r="H139" s="19"/>
      <c r="I139" s="19"/>
      <c r="J139" s="19"/>
      <c r="K139" s="19"/>
      <c r="L139" s="19"/>
      <c r="M139" s="19"/>
      <c r="N139" s="19"/>
      <c r="O139" s="19" t="s">
        <v>604</v>
      </c>
      <c r="P139" s="19" t="s">
        <v>35</v>
      </c>
      <c r="Q139" s="19" t="s">
        <v>109</v>
      </c>
      <c r="R139" s="19"/>
      <c r="S139" s="19"/>
      <c r="T139" s="19"/>
      <c r="U139" s="19" t="s">
        <v>604</v>
      </c>
      <c r="V139" s="19" t="s">
        <v>529</v>
      </c>
      <c r="W139" s="19" t="s">
        <v>35</v>
      </c>
      <c r="X139" s="19" t="s">
        <v>488</v>
      </c>
      <c r="Y139" s="19" t="s">
        <v>627</v>
      </c>
      <c r="Z139" s="19"/>
      <c r="AA139" s="19" t="s">
        <v>529</v>
      </c>
      <c r="AB139" s="19" t="s">
        <v>487</v>
      </c>
      <c r="AC139" s="19" t="s">
        <v>35</v>
      </c>
      <c r="AD139" s="19" t="s">
        <v>105</v>
      </c>
      <c r="AE139" s="19"/>
      <c r="AF139" s="19"/>
      <c r="AG139" s="340"/>
      <c r="AH139" s="6">
        <f>COUNTIF(ParticipationMars1[[#This Row],[1]:[31]],Code1)</f>
        <v>0</v>
      </c>
      <c r="AI139" s="6">
        <f>COUNTIF(ParticipationMars1[[#This Row],[1]:[31]],code22)</f>
        <v>0</v>
      </c>
      <c r="AJ139" s="30">
        <f>COUNTIF(ParticipationMars1[[#This Row],[1]:[31]],Code2)</f>
        <v>1</v>
      </c>
      <c r="AK139" s="30">
        <f>COUNTIF(ParticipationMars1[[#This Row],[1]:[31]],Code3)</f>
        <v>0</v>
      </c>
      <c r="AL139" s="30">
        <f>COUNTIF(ParticipationMars1[[#This Row],[1]:[31]],Code4)</f>
        <v>0</v>
      </c>
      <c r="AM139" s="30">
        <f>COUNTIF(ParticipationMars1[[#This Row],[1]:[31]],Code5)</f>
        <v>3</v>
      </c>
      <c r="AN139" s="30">
        <f>COUNTIF(ParticipationMars1[[#This Row],[1]:[31]],Code23)</f>
        <v>2</v>
      </c>
      <c r="AO139" s="30">
        <f>COUNTIF(ParticipationMars1[[#This Row],[1]:[31]],Code6)</f>
        <v>0</v>
      </c>
      <c r="AP139" s="30">
        <f>COUNTIF(ParticipationMars1[[#This Row],[1]:[31]],Code7)</f>
        <v>1</v>
      </c>
      <c r="AQ139" s="30">
        <f>COUNTIF(ParticipationMars1[[#This Row],[1]:[31]],Code8)</f>
        <v>0</v>
      </c>
      <c r="AR139" s="30">
        <f>COUNTIF(ParticipationMars1[[#This Row],[1]:[31]],Code9)</f>
        <v>0</v>
      </c>
      <c r="AS139" s="30">
        <f>COUNTIF(ParticipationMars1[[#This Row],[1]:[31]],Code10)</f>
        <v>0</v>
      </c>
      <c r="AT139" s="30">
        <f>COUNTIF(ParticipationMars1[[#This Row],[1]:[31]],Code11)</f>
        <v>0</v>
      </c>
      <c r="AU139" s="30">
        <f>COUNTIF(ParticipationMars1[[#This Row],[1]:[31]],Code12)</f>
        <v>1</v>
      </c>
      <c r="AV139" s="30">
        <f>COUNTIF(ParticipationMars1[[#This Row],[1]:[31]],Code13)</f>
        <v>0</v>
      </c>
      <c r="AW139" s="30">
        <f>COUNTIF(ParticipationMars1[[#This Row],[1]:[31]],Code14)</f>
        <v>1</v>
      </c>
      <c r="AX139" s="30">
        <f>COUNTIF(ParticipationMars1[[#This Row],[1]:[31]],Code15)</f>
        <v>0</v>
      </c>
      <c r="AY139" s="30">
        <f>COUNTIF(ParticipationMars1[[#This Row],[1]:[31]],Code16)</f>
        <v>0</v>
      </c>
      <c r="AZ139" s="30">
        <f>COUNTIF(ParticipationMars1[[#This Row],[1]:[31]],Code17)</f>
        <v>0</v>
      </c>
      <c r="BA139" s="30">
        <f>COUNTIF(ParticipationMars1[[#This Row],[1]:[31]],Code25)</f>
        <v>2</v>
      </c>
      <c r="BB139" s="307">
        <f>COUNTIF(ParticipationMars1[[#This Row],[1]:[31]],Code26)</f>
        <v>0</v>
      </c>
      <c r="BC139" s="30">
        <f>COUNTIF(ParticipationMars1[[#This Row],[1]:[31]],Code27)</f>
        <v>1</v>
      </c>
      <c r="BD139" s="30">
        <f>COUNTIF(ParticipationMars1[[#This Row],[1]:[31]],Code28)</f>
        <v>0</v>
      </c>
      <c r="BE139" s="30">
        <f>COUNTIF(ParticipationMars1[[#This Row],[1]:[31]],code30)</f>
        <v>0</v>
      </c>
      <c r="BF139" s="30">
        <f>COUNTIF(ParticipationMars1[[#This Row],[1]:[31]],Code31)</f>
        <v>0</v>
      </c>
      <c r="BG139" s="30">
        <f>COUNTIF(ParticipationMars1[[#This Row],[1]:[31]],code21)</f>
        <v>0</v>
      </c>
      <c r="BH139" s="30">
        <f>COUNTIF(ParticipationMars1[[#This Row],[1]:[31]],Code24)</f>
        <v>0</v>
      </c>
      <c r="BI139" s="30">
        <f>COUNTIF(ParticipationMars1[[#This Row],[1]:[31]],code18)</f>
        <v>0</v>
      </c>
      <c r="BJ139" s="30">
        <f>COUNTIF(ParticipationMars1[[#This Row],[1]:[31]],code19)</f>
        <v>0</v>
      </c>
      <c r="BK139" s="30">
        <f>COUNTIF(ParticipationMars1[[#This Row],[1]:[31]],code20)</f>
        <v>0</v>
      </c>
      <c r="BL139" s="164">
        <f>COUNTIF(ParticipationMars1[[#This Row],[1]:[31]],code29)</f>
        <v>0</v>
      </c>
      <c r="BM139" s="297"/>
      <c r="BN139" s="297">
        <v>1</v>
      </c>
      <c r="BO139" s="297"/>
      <c r="BP139" s="297"/>
      <c r="BQ139" s="297"/>
      <c r="BR139" s="297"/>
      <c r="BS139" s="297"/>
      <c r="BT139" s="297">
        <v>5</v>
      </c>
      <c r="BU139" s="297"/>
      <c r="BV139" s="297"/>
      <c r="BW139" s="297">
        <v>4</v>
      </c>
      <c r="BX139" s="297"/>
      <c r="BY139" s="297"/>
      <c r="BZ139" s="297">
        <v>1</v>
      </c>
      <c r="CA139" s="297"/>
      <c r="CB139" s="297"/>
      <c r="CC139" s="297"/>
      <c r="CD139" s="297"/>
      <c r="CE139" s="297"/>
      <c r="CF139" s="297"/>
      <c r="CG139" s="297">
        <v>4</v>
      </c>
      <c r="CH139" s="297"/>
      <c r="CI139" s="297"/>
      <c r="CJ139" s="297"/>
      <c r="CK139" s="297">
        <v>2</v>
      </c>
      <c r="CL139" s="297"/>
      <c r="CM139" s="297"/>
      <c r="CN139" s="297"/>
      <c r="CO139" s="297"/>
      <c r="CP139" s="297"/>
      <c r="CQ139" s="297"/>
      <c r="CR139" s="297"/>
      <c r="CS139" s="307"/>
      <c r="CT139" s="307"/>
      <c r="CU139" s="300"/>
      <c r="CV139" s="501">
        <f t="shared" ref="CV139:CV153" si="13">SUM((AH139*1)+(AI139*1.5)+(AJ139*2)+(AK139*3)+(AP139*5)+(AQ139*6)+(AR139*7)+(AU139*2)+(AX139*3)+(AY139*4)+(AZ139*5)+(BB139*3)+(BA139*2)+(BG139*2)+(BC139*2)+(BD139*2)+(BE139*3)+(BF139*3))</f>
        <v>15</v>
      </c>
      <c r="CW139" s="501">
        <f t="shared" ref="CW139:CW153" si="14">SUM((AN139*1)+(AM139*2)+(AO139*3)+(AP139*4)+(AT139*5)+(AU139*6)+(AV139*7)+(AW139*7)+(AX139*4)+(AY139*3)+(AZ139*2)+(BA139*4)+(BB139*1)+(BG139*2)+(BC139*5)+(BD139*1)+(BE139*2)+(BF139*3))</f>
        <v>38</v>
      </c>
      <c r="CX139" s="249">
        <f t="shared" ref="CX139:CX153" si="15">BH139*1+BL139*3</f>
        <v>0</v>
      </c>
      <c r="CY139" s="170">
        <f>SUM((BI139*7)+(BJ139*10)+(BK139*12))</f>
        <v>0</v>
      </c>
    </row>
    <row r="140" spans="1:103">
      <c r="A140" s="567" t="s">
        <v>579</v>
      </c>
      <c r="B140" s="162" t="str">
        <f>IFERROR(VLOOKUP(ParticipationMars1[[#This Row],[Référence]],ListeÉtudiants1[],18,FALSE),"")</f>
        <v>ATSE KIMBERLEY</v>
      </c>
      <c r="C140" s="19"/>
      <c r="D140" s="19"/>
      <c r="E140" s="19"/>
      <c r="F140" s="19"/>
      <c r="G140" s="19"/>
      <c r="H140" s="19"/>
      <c r="I140" s="19"/>
      <c r="J140" s="19"/>
      <c r="K140" s="19"/>
      <c r="L140" s="19"/>
      <c r="M140" s="19"/>
      <c r="N140" s="19" t="s">
        <v>531</v>
      </c>
      <c r="O140" s="19" t="s">
        <v>108</v>
      </c>
      <c r="P140" s="19" t="s">
        <v>35</v>
      </c>
      <c r="Q140" s="19" t="s">
        <v>529</v>
      </c>
      <c r="R140" s="19"/>
      <c r="S140" s="19"/>
      <c r="T140" s="19"/>
      <c r="U140" s="19" t="s">
        <v>109</v>
      </c>
      <c r="V140" s="19" t="s">
        <v>620</v>
      </c>
      <c r="W140" s="19" t="s">
        <v>488</v>
      </c>
      <c r="X140" s="19" t="s">
        <v>488</v>
      </c>
      <c r="Y140" s="19" t="s">
        <v>627</v>
      </c>
      <c r="Z140" s="19"/>
      <c r="AA140" s="19" t="s">
        <v>529</v>
      </c>
      <c r="AB140" s="19" t="s">
        <v>487</v>
      </c>
      <c r="AC140" s="19" t="s">
        <v>486</v>
      </c>
      <c r="AD140" s="19"/>
      <c r="AE140" s="19" t="s">
        <v>529</v>
      </c>
      <c r="AF140" s="19" t="s">
        <v>531</v>
      </c>
      <c r="AG140" s="340"/>
      <c r="AH140" s="6">
        <f>COUNTIF(ParticipationMars1[[#This Row],[1]:[31]],Code1)</f>
        <v>0</v>
      </c>
      <c r="AI140" s="6">
        <f>COUNTIF(ParticipationMars1[[#This Row],[1]:[31]],code22)</f>
        <v>0</v>
      </c>
      <c r="AJ140" s="30">
        <f>COUNTIF(ParticipationMars1[[#This Row],[1]:[31]],Code2)</f>
        <v>0</v>
      </c>
      <c r="AK140" s="30">
        <f>COUNTIF(ParticipationMars1[[#This Row],[1]:[31]],Code3)</f>
        <v>0</v>
      </c>
      <c r="AL140" s="30">
        <f>COUNTIF(ParticipationMars1[[#This Row],[1]:[31]],Code4)</f>
        <v>0</v>
      </c>
      <c r="AM140" s="30">
        <f>COUNTIF(ParticipationMars1[[#This Row],[1]:[31]],Code5)</f>
        <v>1</v>
      </c>
      <c r="AN140" s="30">
        <f>COUNTIF(ParticipationMars1[[#This Row],[1]:[31]],Code23)</f>
        <v>3</v>
      </c>
      <c r="AO140" s="30">
        <f>COUNTIF(ParticipationMars1[[#This Row],[1]:[31]],Code6)</f>
        <v>1</v>
      </c>
      <c r="AP140" s="30">
        <f>COUNTIF(ParticipationMars1[[#This Row],[1]:[31]],Code7)</f>
        <v>1</v>
      </c>
      <c r="AQ140" s="30">
        <f>COUNTIF(ParticipationMars1[[#This Row],[1]:[31]],Code8)</f>
        <v>0</v>
      </c>
      <c r="AR140" s="30">
        <f>COUNTIF(ParticipationMars1[[#This Row],[1]:[31]],Code9)</f>
        <v>0</v>
      </c>
      <c r="AS140" s="30">
        <f>COUNTIF(ParticipationMars1[[#This Row],[1]:[31]],Code10)</f>
        <v>0</v>
      </c>
      <c r="AT140" s="30">
        <f>COUNTIF(ParticipationMars1[[#This Row],[1]:[31]],Code11)</f>
        <v>1</v>
      </c>
      <c r="AU140" s="30">
        <f>COUNTIF(ParticipationMars1[[#This Row],[1]:[31]],Code12)</f>
        <v>1</v>
      </c>
      <c r="AV140" s="30">
        <f>COUNTIF(ParticipationMars1[[#This Row],[1]:[31]],Code13)</f>
        <v>0</v>
      </c>
      <c r="AW140" s="30">
        <f>COUNTIF(ParticipationMars1[[#This Row],[1]:[31]],Code14)</f>
        <v>2</v>
      </c>
      <c r="AX140" s="30">
        <f>COUNTIF(ParticipationMars1[[#This Row],[1]:[31]],Code15)</f>
        <v>0</v>
      </c>
      <c r="AY140" s="30">
        <f>COUNTIF(ParticipationMars1[[#This Row],[1]:[31]],Code16)</f>
        <v>0</v>
      </c>
      <c r="AZ140" s="30">
        <f>COUNTIF(ParticipationMars1[[#This Row],[1]:[31]],Code17)</f>
        <v>0</v>
      </c>
      <c r="BA140" s="30">
        <f>COUNTIF(ParticipationMars1[[#This Row],[1]:[31]],Code25)</f>
        <v>0</v>
      </c>
      <c r="BB140" s="307">
        <f>COUNTIF(ParticipationMars1[[#This Row],[1]:[31]],Code26)</f>
        <v>1</v>
      </c>
      <c r="BC140" s="30">
        <f>COUNTIF(ParticipationMars1[[#This Row],[1]:[31]],Code27)</f>
        <v>1</v>
      </c>
      <c r="BD140" s="30">
        <f>COUNTIF(ParticipationMars1[[#This Row],[1]:[31]],Code28)</f>
        <v>0</v>
      </c>
      <c r="BE140" s="30">
        <f>COUNTIF(ParticipationMars1[[#This Row],[1]:[31]],code30)</f>
        <v>0</v>
      </c>
      <c r="BF140" s="30">
        <f>COUNTIF(ParticipationMars1[[#This Row],[1]:[31]],Code31)</f>
        <v>0</v>
      </c>
      <c r="BG140" s="30">
        <f>COUNTIF(ParticipationMars1[[#This Row],[1]:[31]],code21)</f>
        <v>0</v>
      </c>
      <c r="BH140" s="30">
        <f>COUNTIF(ParticipationMars1[[#This Row],[1]:[31]],Code24)</f>
        <v>2</v>
      </c>
      <c r="BI140" s="30">
        <f>COUNTIF(ParticipationMars1[[#This Row],[1]:[31]],code18)</f>
        <v>0</v>
      </c>
      <c r="BJ140" s="30">
        <f>COUNTIF(ParticipationMars1[[#This Row],[1]:[31]],code19)</f>
        <v>0</v>
      </c>
      <c r="BK140" s="30">
        <f>COUNTIF(ParticipationMars1[[#This Row],[1]:[31]],code20)</f>
        <v>0</v>
      </c>
      <c r="BL140" s="164">
        <f>COUNTIF(ParticipationMars1[[#This Row],[1]:[31]],code29)</f>
        <v>0</v>
      </c>
      <c r="BM140" s="297"/>
      <c r="BN140" s="297">
        <v>1</v>
      </c>
      <c r="BO140" s="297"/>
      <c r="BP140" s="297"/>
      <c r="BQ140" s="297"/>
      <c r="BR140" s="297"/>
      <c r="BS140" s="297"/>
      <c r="BT140" s="297">
        <v>3</v>
      </c>
      <c r="BU140" s="297">
        <v>1</v>
      </c>
      <c r="BV140" s="297"/>
      <c r="BW140" s="297">
        <v>6</v>
      </c>
      <c r="BX140" s="297"/>
      <c r="BY140" s="297"/>
      <c r="BZ140" s="297">
        <v>2</v>
      </c>
      <c r="CA140" s="297"/>
      <c r="CB140" s="297">
        <v>1</v>
      </c>
      <c r="CC140" s="297"/>
      <c r="CD140" s="297"/>
      <c r="CE140" s="297"/>
      <c r="CF140" s="297"/>
      <c r="CG140" s="297">
        <v>3</v>
      </c>
      <c r="CH140" s="297"/>
      <c r="CI140" s="297"/>
      <c r="CJ140" s="297"/>
      <c r="CK140" s="297">
        <v>2</v>
      </c>
      <c r="CL140" s="297"/>
      <c r="CM140" s="297"/>
      <c r="CN140" s="297"/>
      <c r="CO140" s="297"/>
      <c r="CP140" s="297"/>
      <c r="CQ140" s="297"/>
      <c r="CR140" s="297"/>
      <c r="CS140" s="307"/>
      <c r="CT140" s="307"/>
      <c r="CU140" s="300"/>
      <c r="CV140" s="501">
        <f t="shared" si="13"/>
        <v>12</v>
      </c>
      <c r="CW140" s="501">
        <f t="shared" si="14"/>
        <v>43</v>
      </c>
      <c r="CX140" s="249">
        <f t="shared" si="15"/>
        <v>2</v>
      </c>
      <c r="CY140" s="170">
        <f>SUM((BI140*7)+(BJ140*10)+(BK140*12))</f>
        <v>0</v>
      </c>
    </row>
    <row r="141" spans="1:103">
      <c r="A141" s="567" t="s">
        <v>582</v>
      </c>
      <c r="B141" s="162" t="str">
        <f>IFERROR(VLOOKUP(ParticipationMars1[[#This Row],[Référence]],ListeÉtudiants1[],18,FALSE),"")</f>
        <v>BOLINGO  Malise</v>
      </c>
      <c r="C141" s="19"/>
      <c r="D141" s="19"/>
      <c r="E141" s="19"/>
      <c r="F141" s="19"/>
      <c r="G141" s="19"/>
      <c r="H141" s="19"/>
      <c r="I141" s="19"/>
      <c r="J141" s="19"/>
      <c r="K141" s="19"/>
      <c r="L141" s="19"/>
      <c r="M141" s="19"/>
      <c r="N141" s="19"/>
      <c r="O141" s="19" t="s">
        <v>527</v>
      </c>
      <c r="P141" s="19" t="s">
        <v>35</v>
      </c>
      <c r="Q141" s="19" t="s">
        <v>109</v>
      </c>
      <c r="R141" s="19"/>
      <c r="S141" s="19"/>
      <c r="T141" s="19"/>
      <c r="U141" s="19" t="s">
        <v>604</v>
      </c>
      <c r="V141" s="19" t="s">
        <v>529</v>
      </c>
      <c r="W141" s="19"/>
      <c r="X141" s="19" t="s">
        <v>488</v>
      </c>
      <c r="Y141" s="19" t="s">
        <v>627</v>
      </c>
      <c r="Z141" s="19"/>
      <c r="AA141" s="19" t="s">
        <v>529</v>
      </c>
      <c r="AB141" s="19"/>
      <c r="AC141" s="19" t="s">
        <v>35</v>
      </c>
      <c r="AD141" s="19" t="s">
        <v>105</v>
      </c>
      <c r="AE141" s="19"/>
      <c r="AF141" s="19" t="s">
        <v>531</v>
      </c>
      <c r="AG141" s="340"/>
      <c r="AH141" s="6">
        <f>COUNTIF(ParticipationMars1[[#This Row],[1]:[31]],Code1)</f>
        <v>0</v>
      </c>
      <c r="AI141" s="331">
        <f>COUNTIF(ParticipationMars1[[#This Row],[1]:[31]],code22)</f>
        <v>1</v>
      </c>
      <c r="AJ141" s="30">
        <f>COUNTIF(ParticipationMars1[[#This Row],[1]:[31]],Code2)</f>
        <v>1</v>
      </c>
      <c r="AK141" s="30">
        <f>COUNTIF(ParticipationMars1[[#This Row],[1]:[31]],Code3)</f>
        <v>0</v>
      </c>
      <c r="AL141" s="30">
        <f>COUNTIF(ParticipationMars1[[#This Row],[1]:[31]],Code4)</f>
        <v>0</v>
      </c>
      <c r="AM141" s="307">
        <f>COUNTIF(ParticipationMars1[[#This Row],[1]:[31]],Code5)</f>
        <v>2</v>
      </c>
      <c r="AN141" s="307">
        <f>COUNTIF(ParticipationMars1[[#This Row],[1]:[31]],Code23)</f>
        <v>2</v>
      </c>
      <c r="AO141" s="307">
        <f>COUNTIF(ParticipationMars1[[#This Row],[1]:[31]],Code6)</f>
        <v>0</v>
      </c>
      <c r="AP141" s="307">
        <f>COUNTIF(ParticipationMars1[[#This Row],[1]:[31]],Code7)</f>
        <v>1</v>
      </c>
      <c r="AQ141" s="307">
        <f>COUNTIF(ParticipationMars1[[#This Row],[1]:[31]],Code8)</f>
        <v>0</v>
      </c>
      <c r="AR141" s="307">
        <f>COUNTIF(ParticipationMars1[[#This Row],[1]:[31]],Code9)</f>
        <v>0</v>
      </c>
      <c r="AS141" s="307">
        <f>COUNTIF(ParticipationMars1[[#This Row],[1]:[31]],Code10)</f>
        <v>0</v>
      </c>
      <c r="AT141" s="307">
        <f>COUNTIF(ParticipationMars1[[#This Row],[1]:[31]],Code11)</f>
        <v>0</v>
      </c>
      <c r="AU141" s="30">
        <f>COUNTIF(ParticipationMars1[[#This Row],[1]:[31]],Code12)</f>
        <v>0</v>
      </c>
      <c r="AV141" s="307">
        <f>COUNTIF(ParticipationMars1[[#This Row],[1]:[31]],Code13)</f>
        <v>0</v>
      </c>
      <c r="AW141" s="307">
        <f>COUNTIF(ParticipationMars1[[#This Row],[1]:[31]],Code14)</f>
        <v>1</v>
      </c>
      <c r="AX141" s="307">
        <f>COUNTIF(ParticipationMars1[[#This Row],[1]:[31]],Code15)</f>
        <v>0</v>
      </c>
      <c r="AY141" s="307">
        <f>COUNTIF(ParticipationMars1[[#This Row],[1]:[31]],Code16)</f>
        <v>0</v>
      </c>
      <c r="AZ141" s="307">
        <f>COUNTIF(ParticipationMars1[[#This Row],[1]:[31]],Code17)</f>
        <v>0</v>
      </c>
      <c r="BA141" s="30">
        <f>COUNTIF(ParticipationMars1[[#This Row],[1]:[31]],Code25)</f>
        <v>1</v>
      </c>
      <c r="BB141" s="307">
        <f>COUNTIF(ParticipationMars1[[#This Row],[1]:[31]],Code26)</f>
        <v>0</v>
      </c>
      <c r="BC141" s="307">
        <f>COUNTIF(ParticipationMars1[[#This Row],[1]:[31]],Code27)</f>
        <v>1</v>
      </c>
      <c r="BD141" s="30">
        <f>COUNTIF(ParticipationMars1[[#This Row],[1]:[31]],Code28)</f>
        <v>0</v>
      </c>
      <c r="BE141" s="30">
        <f>COUNTIF(ParticipationMars1[[#This Row],[1]:[31]],code30)</f>
        <v>0</v>
      </c>
      <c r="BF141" s="30">
        <f>COUNTIF(ParticipationMars1[[#This Row],[1]:[31]],Code31)</f>
        <v>0</v>
      </c>
      <c r="BG141" s="307">
        <f>COUNTIF(ParticipationMars1[[#This Row],[1]:[31]],code21)</f>
        <v>0</v>
      </c>
      <c r="BH141" s="307">
        <f>COUNTIF(ParticipationMars1[[#This Row],[1]:[31]],Code24)</f>
        <v>1</v>
      </c>
      <c r="BI141" s="307">
        <f>COUNTIF(ParticipationMars1[[#This Row],[1]:[31]],code18)</f>
        <v>0</v>
      </c>
      <c r="BJ141" s="307">
        <f>COUNTIF(ParticipationMars1[[#This Row],[1]:[31]],code19)</f>
        <v>0</v>
      </c>
      <c r="BK141" s="307">
        <f>COUNTIF(ParticipationMars1[[#This Row],[1]:[31]],code20)</f>
        <v>0</v>
      </c>
      <c r="BL141" s="300">
        <f>COUNTIF(ParticipationMars1[[#This Row],[1]:[31]],code29)</f>
        <v>0</v>
      </c>
      <c r="BM141" s="297"/>
      <c r="BN141" s="297">
        <v>1</v>
      </c>
      <c r="BO141" s="297"/>
      <c r="BP141" s="297"/>
      <c r="BQ141" s="297"/>
      <c r="BR141" s="297"/>
      <c r="BS141" s="297"/>
      <c r="BT141" s="297">
        <v>3</v>
      </c>
      <c r="BU141" s="297"/>
      <c r="BV141" s="297"/>
      <c r="BW141" s="297">
        <v>1</v>
      </c>
      <c r="BX141" s="297"/>
      <c r="BY141" s="297"/>
      <c r="BZ141" s="297"/>
      <c r="CA141" s="297"/>
      <c r="CB141" s="297">
        <v>1</v>
      </c>
      <c r="CC141" s="297"/>
      <c r="CD141" s="297"/>
      <c r="CE141" s="297"/>
      <c r="CF141" s="297"/>
      <c r="CG141" s="297">
        <v>3</v>
      </c>
      <c r="CH141" s="297"/>
      <c r="CI141" s="297"/>
      <c r="CJ141" s="297"/>
      <c r="CK141" s="297">
        <v>1</v>
      </c>
      <c r="CL141" s="297"/>
      <c r="CM141" s="297"/>
      <c r="CN141" s="297"/>
      <c r="CO141" s="297"/>
      <c r="CP141" s="297"/>
      <c r="CQ141" s="297"/>
      <c r="CR141" s="297"/>
      <c r="CS141" s="307"/>
      <c r="CT141" s="307"/>
      <c r="CU141" s="300"/>
      <c r="CV141" s="501">
        <f t="shared" si="13"/>
        <v>12.5</v>
      </c>
      <c r="CW141" s="501">
        <f t="shared" si="14"/>
        <v>26</v>
      </c>
      <c r="CX141" s="249">
        <f t="shared" si="15"/>
        <v>1</v>
      </c>
      <c r="CY141" s="327"/>
    </row>
    <row r="142" spans="1:103">
      <c r="A142" s="567" t="s">
        <v>584</v>
      </c>
      <c r="B142" s="162" t="str">
        <f>IFERROR(VLOOKUP(ParticipationMars1[[#This Row],[Référence]],ListeÉtudiants1[],18,FALSE),"")</f>
        <v>CAPAROS Maia</v>
      </c>
      <c r="C142" s="19"/>
      <c r="D142" s="19"/>
      <c r="E142" s="19"/>
      <c r="F142" s="19"/>
      <c r="G142" s="19"/>
      <c r="H142" s="19"/>
      <c r="I142" s="19"/>
      <c r="J142" s="19"/>
      <c r="K142" s="19"/>
      <c r="L142" s="19"/>
      <c r="M142" s="19"/>
      <c r="N142" s="19" t="s">
        <v>107</v>
      </c>
      <c r="O142" s="19" t="s">
        <v>604</v>
      </c>
      <c r="P142" s="19" t="s">
        <v>507</v>
      </c>
      <c r="Q142" s="19" t="s">
        <v>529</v>
      </c>
      <c r="R142" s="19"/>
      <c r="S142" s="19"/>
      <c r="T142" s="19"/>
      <c r="U142" s="19" t="s">
        <v>604</v>
      </c>
      <c r="V142" s="19" t="s">
        <v>620</v>
      </c>
      <c r="W142" s="19"/>
      <c r="X142" s="19" t="s">
        <v>488</v>
      </c>
      <c r="Y142" s="19" t="s">
        <v>108</v>
      </c>
      <c r="Z142" s="19"/>
      <c r="AA142" s="19" t="s">
        <v>529</v>
      </c>
      <c r="AB142" s="19" t="s">
        <v>487</v>
      </c>
      <c r="AC142" s="19" t="s">
        <v>35</v>
      </c>
      <c r="AD142" s="19" t="s">
        <v>105</v>
      </c>
      <c r="AE142" s="19"/>
      <c r="AF142" s="19"/>
      <c r="AG142" s="340"/>
      <c r="AH142" s="6">
        <f>COUNTIF(ParticipationMars1[[#This Row],[1]:[31]],Code1)</f>
        <v>0</v>
      </c>
      <c r="AI142" s="6">
        <f>COUNTIF(ParticipationMars1[[#This Row],[1]:[31]],code22)</f>
        <v>0</v>
      </c>
      <c r="AJ142" s="30">
        <f>COUNTIF(ParticipationMars1[[#This Row],[1]:[31]],Code2)</f>
        <v>1</v>
      </c>
      <c r="AK142" s="30">
        <f>COUNTIF(ParticipationMars1[[#This Row],[1]:[31]],Code3)</f>
        <v>0</v>
      </c>
      <c r="AL142" s="30">
        <f>COUNTIF(ParticipationMars1[[#This Row],[1]:[31]],Code4)</f>
        <v>1</v>
      </c>
      <c r="AM142" s="30">
        <f>COUNTIF(ParticipationMars1[[#This Row],[1]:[31]],Code5)</f>
        <v>1</v>
      </c>
      <c r="AN142" s="30">
        <f>COUNTIF(ParticipationMars1[[#This Row],[1]:[31]],Code23)</f>
        <v>2</v>
      </c>
      <c r="AO142" s="30">
        <f>COUNTIF(ParticipationMars1[[#This Row],[1]:[31]],Code6)</f>
        <v>1</v>
      </c>
      <c r="AP142" s="30">
        <f>COUNTIF(ParticipationMars1[[#This Row],[1]:[31]],Code7)</f>
        <v>0</v>
      </c>
      <c r="AQ142" s="30">
        <f>COUNTIF(ParticipationMars1[[#This Row],[1]:[31]],Code8)</f>
        <v>0</v>
      </c>
      <c r="AR142" s="30">
        <f>COUNTIF(ParticipationMars1[[#This Row],[1]:[31]],Code9)</f>
        <v>0</v>
      </c>
      <c r="AS142" s="30">
        <f>COUNTIF(ParticipationMars1[[#This Row],[1]:[31]],Code10)</f>
        <v>0</v>
      </c>
      <c r="AT142" s="30">
        <f>COUNTIF(ParticipationMars1[[#This Row],[1]:[31]],Code11)</f>
        <v>0</v>
      </c>
      <c r="AU142" s="30">
        <f>COUNTIF(ParticipationMars1[[#This Row],[1]:[31]],Code12)</f>
        <v>1</v>
      </c>
      <c r="AV142" s="30">
        <f>COUNTIF(ParticipationMars1[[#This Row],[1]:[31]],Code13)</f>
        <v>0</v>
      </c>
      <c r="AW142" s="30">
        <f>COUNTIF(ParticipationMars1[[#This Row],[1]:[31]],Code14)</f>
        <v>1</v>
      </c>
      <c r="AX142" s="30">
        <f>COUNTIF(ParticipationMars1[[#This Row],[1]:[31]],Code15)</f>
        <v>0</v>
      </c>
      <c r="AY142" s="30">
        <f>COUNTIF(ParticipationMars1[[#This Row],[1]:[31]],Code16)</f>
        <v>0</v>
      </c>
      <c r="AZ142" s="30">
        <f>COUNTIF(ParticipationMars1[[#This Row],[1]:[31]],Code17)</f>
        <v>0</v>
      </c>
      <c r="BA142" s="30">
        <f>COUNTIF(ParticipationMars1[[#This Row],[1]:[31]],Code25)</f>
        <v>2</v>
      </c>
      <c r="BB142" s="307">
        <f>COUNTIF(ParticipationMars1[[#This Row],[1]:[31]],Code26)</f>
        <v>1</v>
      </c>
      <c r="BC142" s="30">
        <f>COUNTIF(ParticipationMars1[[#This Row],[1]:[31]],Code27)</f>
        <v>0</v>
      </c>
      <c r="BD142" s="30">
        <f>COUNTIF(ParticipationMars1[[#This Row],[1]:[31]],Code28)</f>
        <v>0</v>
      </c>
      <c r="BE142" s="30">
        <f>COUNTIF(ParticipationMars1[[#This Row],[1]:[31]],code30)</f>
        <v>0</v>
      </c>
      <c r="BF142" s="30">
        <f>COUNTIF(ParticipationMars1[[#This Row],[1]:[31]],Code31)</f>
        <v>0</v>
      </c>
      <c r="BG142" s="30">
        <f>COUNTIF(ParticipationMars1[[#This Row],[1]:[31]],code21)</f>
        <v>1</v>
      </c>
      <c r="BH142" s="30">
        <f>COUNTIF(ParticipationMars1[[#This Row],[1]:[31]],Code24)</f>
        <v>0</v>
      </c>
      <c r="BI142" s="30">
        <f>COUNTIF(ParticipationMars1[[#This Row],[1]:[31]],code18)</f>
        <v>0</v>
      </c>
      <c r="BJ142" s="30">
        <f>COUNTIF(ParticipationMars1[[#This Row],[1]:[31]],code19)</f>
        <v>0</v>
      </c>
      <c r="BK142" s="30">
        <f>COUNTIF(ParticipationMars1[[#This Row],[1]:[31]],code20)</f>
        <v>0</v>
      </c>
      <c r="BL142" s="164">
        <f>COUNTIF(ParticipationMars1[[#This Row],[1]:[31]],code29)</f>
        <v>0</v>
      </c>
      <c r="BM142" s="297"/>
      <c r="BN142" s="297">
        <v>1</v>
      </c>
      <c r="BO142" s="297"/>
      <c r="BP142" s="297"/>
      <c r="BQ142" s="297"/>
      <c r="BR142" s="297"/>
      <c r="BS142" s="297"/>
      <c r="BT142" s="297">
        <v>3</v>
      </c>
      <c r="BU142" s="297"/>
      <c r="BV142" s="297"/>
      <c r="BW142" s="297">
        <v>2</v>
      </c>
      <c r="BX142" s="297"/>
      <c r="BY142" s="297"/>
      <c r="BZ142" s="297">
        <v>1</v>
      </c>
      <c r="CA142" s="297"/>
      <c r="CB142" s="297">
        <v>1</v>
      </c>
      <c r="CC142" s="297"/>
      <c r="CD142" s="297"/>
      <c r="CE142" s="297"/>
      <c r="CF142" s="297"/>
      <c r="CG142" s="297">
        <v>3</v>
      </c>
      <c r="CH142" s="297"/>
      <c r="CI142" s="297"/>
      <c r="CJ142" s="297"/>
      <c r="CK142" s="297">
        <v>2</v>
      </c>
      <c r="CL142" s="297"/>
      <c r="CM142" s="297"/>
      <c r="CN142" s="297"/>
      <c r="CO142" s="297"/>
      <c r="CP142" s="297"/>
      <c r="CQ142" s="297"/>
      <c r="CR142" s="297"/>
      <c r="CS142" s="307"/>
      <c r="CT142" s="307"/>
      <c r="CU142" s="300"/>
      <c r="CV142" s="501">
        <f t="shared" si="13"/>
        <v>13</v>
      </c>
      <c r="CW142" s="501">
        <f t="shared" si="14"/>
        <v>31</v>
      </c>
      <c r="CX142" s="249">
        <f t="shared" si="15"/>
        <v>0</v>
      </c>
      <c r="CY142" s="170">
        <f>SUM((BI142*7)+(BJ142*10)+(BK142*12))</f>
        <v>0</v>
      </c>
    </row>
    <row r="143" spans="1:103">
      <c r="A143" s="534" t="s">
        <v>585</v>
      </c>
      <c r="B143" s="339" t="str">
        <f>IFERROR(VLOOKUP(ParticipationMars1[[#This Row],[Référence]],ListeÉtudiants1[],18,FALSE),"")</f>
        <v>COLLADO ALICIA</v>
      </c>
      <c r="C143" s="19"/>
      <c r="D143" s="19"/>
      <c r="E143" s="19"/>
      <c r="F143" s="19"/>
      <c r="G143" s="19"/>
      <c r="H143" s="19"/>
      <c r="I143" s="19"/>
      <c r="J143" s="19"/>
      <c r="K143" s="19"/>
      <c r="L143" s="19"/>
      <c r="M143" s="19"/>
      <c r="N143" s="19"/>
      <c r="O143" s="19"/>
      <c r="P143" s="19"/>
      <c r="Q143" s="19" t="s">
        <v>529</v>
      </c>
      <c r="R143" s="19"/>
      <c r="S143" s="19"/>
      <c r="T143" s="19"/>
      <c r="U143" s="19"/>
      <c r="V143" s="19"/>
      <c r="W143" s="19"/>
      <c r="X143" s="19" t="s">
        <v>109</v>
      </c>
      <c r="Y143" s="19"/>
      <c r="Z143" s="19"/>
      <c r="AA143" s="19"/>
      <c r="AB143" s="19" t="s">
        <v>529</v>
      </c>
      <c r="AC143" s="19" t="s">
        <v>486</v>
      </c>
      <c r="AD143" s="19" t="s">
        <v>35</v>
      </c>
      <c r="AE143" s="19"/>
      <c r="AF143" s="19"/>
      <c r="AG143" s="340"/>
      <c r="AH143" s="6">
        <f>COUNTIF(ParticipationMars1[[#This Row],[1]:[31]],Code1)</f>
        <v>0</v>
      </c>
      <c r="AI143" s="331">
        <f>COUNTIF(ParticipationMars1[[#This Row],[1]:[31]],code22)</f>
        <v>0</v>
      </c>
      <c r="AJ143" s="30">
        <f>COUNTIF(ParticipationMars1[[#This Row],[1]:[31]],Code2)</f>
        <v>0</v>
      </c>
      <c r="AK143" s="30">
        <f>COUNTIF(ParticipationMars1[[#This Row],[1]:[31]],Code3)</f>
        <v>0</v>
      </c>
      <c r="AL143" s="30">
        <f>COUNTIF(ParticipationMars1[[#This Row],[1]:[31]],Code4)</f>
        <v>0</v>
      </c>
      <c r="AM143" s="307">
        <f>COUNTIF(ParticipationMars1[[#This Row],[1]:[31]],Code5)</f>
        <v>1</v>
      </c>
      <c r="AN143" s="307">
        <f>COUNTIF(ParticipationMars1[[#This Row],[1]:[31]],Code23)</f>
        <v>2</v>
      </c>
      <c r="AO143" s="307">
        <f>COUNTIF(ParticipationMars1[[#This Row],[1]:[31]],Code6)</f>
        <v>0</v>
      </c>
      <c r="AP143" s="307">
        <f>COUNTIF(ParticipationMars1[[#This Row],[1]:[31]],Code7)</f>
        <v>1</v>
      </c>
      <c r="AQ143" s="307">
        <f>COUNTIF(ParticipationMars1[[#This Row],[1]:[31]],Code8)</f>
        <v>0</v>
      </c>
      <c r="AR143" s="307">
        <f>COUNTIF(ParticipationMars1[[#This Row],[1]:[31]],Code9)</f>
        <v>0</v>
      </c>
      <c r="AS143" s="307">
        <f>COUNTIF(ParticipationMars1[[#This Row],[1]:[31]],Code10)</f>
        <v>0</v>
      </c>
      <c r="AT143" s="307">
        <f>COUNTIF(ParticipationMars1[[#This Row],[1]:[31]],Code11)</f>
        <v>1</v>
      </c>
      <c r="AU143" s="30">
        <f>COUNTIF(ParticipationMars1[[#This Row],[1]:[31]],Code12)</f>
        <v>0</v>
      </c>
      <c r="AV143" s="307">
        <f>COUNTIF(ParticipationMars1[[#This Row],[1]:[31]],Code13)</f>
        <v>0</v>
      </c>
      <c r="AW143" s="307">
        <f>COUNTIF(ParticipationMars1[[#This Row],[1]:[31]],Code14)</f>
        <v>0</v>
      </c>
      <c r="AX143" s="307">
        <f>COUNTIF(ParticipationMars1[[#This Row],[1]:[31]],Code15)</f>
        <v>0</v>
      </c>
      <c r="AY143" s="307">
        <f>COUNTIF(ParticipationMars1[[#This Row],[1]:[31]],Code16)</f>
        <v>0</v>
      </c>
      <c r="AZ143" s="307">
        <f>COUNTIF(ParticipationMars1[[#This Row],[1]:[31]],Code17)</f>
        <v>0</v>
      </c>
      <c r="BA143" s="307">
        <f>COUNTIF(ParticipationMars1[[#This Row],[1]:[31]],Code25)</f>
        <v>0</v>
      </c>
      <c r="BB143" s="307">
        <f>COUNTIF(ParticipationMars1[[#This Row],[1]:[31]],Code26)</f>
        <v>0</v>
      </c>
      <c r="BC143" s="307">
        <f>COUNTIF(ParticipationMars1[[#This Row],[1]:[31]],Code27)</f>
        <v>0</v>
      </c>
      <c r="BD143" s="307">
        <f>COUNTIF(ParticipationMars1[[#This Row],[1]:[31]],Code28)</f>
        <v>0</v>
      </c>
      <c r="BE143" s="307">
        <f>COUNTIF(ParticipationMars1[[#This Row],[1]:[31]],code30)</f>
        <v>0</v>
      </c>
      <c r="BF143" s="307">
        <f>COUNTIF(ParticipationMars1[[#This Row],[1]:[31]],Code31)</f>
        <v>0</v>
      </c>
      <c r="BG143" s="307">
        <f>COUNTIF(ParticipationMars1[[#This Row],[1]:[31]],code21)</f>
        <v>0</v>
      </c>
      <c r="BH143" s="307">
        <f>COUNTIF(ParticipationMars1[[#This Row],[1]:[31]],Code24)</f>
        <v>0</v>
      </c>
      <c r="BI143" s="307">
        <f>COUNTIF(ParticipationMars1[[#This Row],[1]:[31]],code18)</f>
        <v>0</v>
      </c>
      <c r="BJ143" s="307">
        <f>COUNTIF(ParticipationMars1[[#This Row],[1]:[31]],code19)</f>
        <v>0</v>
      </c>
      <c r="BK143" s="307">
        <f>COUNTIF(ParticipationMars1[[#This Row],[1]:[31]],code20)</f>
        <v>0</v>
      </c>
      <c r="BL143" s="300">
        <f>COUNTIF(ParticipationMars1[[#This Row],[1]:[31]],code29)</f>
        <v>0</v>
      </c>
      <c r="BM143" s="297"/>
      <c r="BN143" s="297">
        <v>1</v>
      </c>
      <c r="BO143" s="297"/>
      <c r="BP143" s="297"/>
      <c r="BQ143" s="297"/>
      <c r="BR143" s="297"/>
      <c r="BS143" s="297"/>
      <c r="BT143" s="297">
        <v>1</v>
      </c>
      <c r="BU143" s="297"/>
      <c r="BV143" s="297"/>
      <c r="BW143" s="297">
        <v>4</v>
      </c>
      <c r="BX143" s="297"/>
      <c r="BY143" s="297"/>
      <c r="BZ143" s="297"/>
      <c r="CA143" s="297"/>
      <c r="CB143" s="297">
        <v>1</v>
      </c>
      <c r="CC143" s="297"/>
      <c r="CD143" s="297"/>
      <c r="CE143" s="297"/>
      <c r="CF143" s="297"/>
      <c r="CG143" s="297"/>
      <c r="CH143" s="297"/>
      <c r="CI143" s="297"/>
      <c r="CJ143" s="297"/>
      <c r="CK143" s="297"/>
      <c r="CL143" s="297"/>
      <c r="CM143" s="297"/>
      <c r="CN143" s="297"/>
      <c r="CO143" s="297"/>
      <c r="CP143" s="297"/>
      <c r="CQ143" s="297"/>
      <c r="CR143" s="297"/>
      <c r="CS143" s="307"/>
      <c r="CT143" s="307"/>
      <c r="CU143" s="300"/>
      <c r="CV143" s="501">
        <f t="shared" si="13"/>
        <v>5</v>
      </c>
      <c r="CW143" s="501">
        <f t="shared" si="14"/>
        <v>13</v>
      </c>
      <c r="CX143" s="249">
        <f t="shared" si="15"/>
        <v>0</v>
      </c>
      <c r="CY143" s="327"/>
    </row>
    <row r="144" spans="1:103">
      <c r="A144" s="567" t="s">
        <v>588</v>
      </c>
      <c r="B144" s="162" t="str">
        <f>IFERROR(VLOOKUP(ParticipationMars1[[#This Row],[Référence]],ListeÉtudiants1[],18,FALSE),"")</f>
        <v>FERGUENE Chaineze</v>
      </c>
      <c r="C144" s="19"/>
      <c r="D144" s="19"/>
      <c r="E144" s="19"/>
      <c r="F144" s="19"/>
      <c r="G144" s="19"/>
      <c r="H144" s="19"/>
      <c r="I144" s="19"/>
      <c r="J144" s="19"/>
      <c r="K144" s="19"/>
      <c r="L144" s="19"/>
      <c r="M144" s="19"/>
      <c r="N144" s="19" t="s">
        <v>531</v>
      </c>
      <c r="O144" s="19"/>
      <c r="P144" s="19" t="s">
        <v>35</v>
      </c>
      <c r="Q144" s="19" t="s">
        <v>529</v>
      </c>
      <c r="R144" s="19"/>
      <c r="S144" s="19"/>
      <c r="T144" s="19"/>
      <c r="U144" s="19" t="s">
        <v>109</v>
      </c>
      <c r="V144" s="19" t="s">
        <v>529</v>
      </c>
      <c r="W144" s="19"/>
      <c r="X144" s="19" t="s">
        <v>488</v>
      </c>
      <c r="Y144" s="19" t="s">
        <v>108</v>
      </c>
      <c r="Z144" s="19"/>
      <c r="AA144" s="19" t="s">
        <v>529</v>
      </c>
      <c r="AB144" s="19" t="s">
        <v>487</v>
      </c>
      <c r="AC144" s="19" t="s">
        <v>35</v>
      </c>
      <c r="AD144" s="19" t="s">
        <v>105</v>
      </c>
      <c r="AE144" s="19"/>
      <c r="AF144" s="19"/>
      <c r="AG144" s="340"/>
      <c r="AH144" s="6">
        <f>COUNTIF(ParticipationMars1[[#This Row],[1]:[31]],Code1)</f>
        <v>0</v>
      </c>
      <c r="AI144" s="6">
        <f>COUNTIF(ParticipationMars1[[#This Row],[1]:[31]],code22)</f>
        <v>0</v>
      </c>
      <c r="AJ144" s="30">
        <f>COUNTIF(ParticipationMars1[[#This Row],[1]:[31]],Code2)</f>
        <v>1</v>
      </c>
      <c r="AK144" s="30">
        <f>COUNTIF(ParticipationMars1[[#This Row],[1]:[31]],Code3)</f>
        <v>0</v>
      </c>
      <c r="AL144" s="30">
        <f>COUNTIF(ParticipationMars1[[#This Row],[1]:[31]],Code4)</f>
        <v>0</v>
      </c>
      <c r="AM144" s="30">
        <f>COUNTIF(ParticipationMars1[[#This Row],[1]:[31]],Code5)</f>
        <v>2</v>
      </c>
      <c r="AN144" s="30">
        <f>COUNTIF(ParticipationMars1[[#This Row],[1]:[31]],Code23)</f>
        <v>3</v>
      </c>
      <c r="AO144" s="30">
        <f>COUNTIF(ParticipationMars1[[#This Row],[1]:[31]],Code6)</f>
        <v>1</v>
      </c>
      <c r="AP144" s="30">
        <f>COUNTIF(ParticipationMars1[[#This Row],[1]:[31]],Code7)</f>
        <v>1</v>
      </c>
      <c r="AQ144" s="30">
        <f>COUNTIF(ParticipationMars1[[#This Row],[1]:[31]],Code8)</f>
        <v>0</v>
      </c>
      <c r="AR144" s="30">
        <f>COUNTIF(ParticipationMars1[[#This Row],[1]:[31]],Code9)</f>
        <v>0</v>
      </c>
      <c r="AS144" s="30">
        <f>COUNTIF(ParticipationMars1[[#This Row],[1]:[31]],Code10)</f>
        <v>0</v>
      </c>
      <c r="AT144" s="30">
        <f>COUNTIF(ParticipationMars1[[#This Row],[1]:[31]],Code11)</f>
        <v>0</v>
      </c>
      <c r="AU144" s="30">
        <f>COUNTIF(ParticipationMars1[[#This Row],[1]:[31]],Code12)</f>
        <v>1</v>
      </c>
      <c r="AV144" s="30">
        <f>COUNTIF(ParticipationMars1[[#This Row],[1]:[31]],Code13)</f>
        <v>0</v>
      </c>
      <c r="AW144" s="30">
        <f>COUNTIF(ParticipationMars1[[#This Row],[1]:[31]],Code14)</f>
        <v>1</v>
      </c>
      <c r="AX144" s="30">
        <f>COUNTIF(ParticipationMars1[[#This Row],[1]:[31]],Code15)</f>
        <v>0</v>
      </c>
      <c r="AY144" s="30">
        <f>COUNTIF(ParticipationMars1[[#This Row],[1]:[31]],Code16)</f>
        <v>0</v>
      </c>
      <c r="AZ144" s="30">
        <f>COUNTIF(ParticipationMars1[[#This Row],[1]:[31]],Code17)</f>
        <v>0</v>
      </c>
      <c r="BA144" s="30">
        <f>COUNTIF(ParticipationMars1[[#This Row],[1]:[31]],Code25)</f>
        <v>0</v>
      </c>
      <c r="BB144" s="307">
        <f>COUNTIF(ParticipationMars1[[#This Row],[1]:[31]],Code26)</f>
        <v>0</v>
      </c>
      <c r="BC144" s="30">
        <f>COUNTIF(ParticipationMars1[[#This Row],[1]:[31]],Code27)</f>
        <v>0</v>
      </c>
      <c r="BD144" s="30">
        <f>COUNTIF(ParticipationMars1[[#This Row],[1]:[31]],Code28)</f>
        <v>0</v>
      </c>
      <c r="BE144" s="30">
        <f>COUNTIF(ParticipationMars1[[#This Row],[1]:[31]],code30)</f>
        <v>0</v>
      </c>
      <c r="BF144" s="30">
        <f>COUNTIF(ParticipationMars1[[#This Row],[1]:[31]],Code31)</f>
        <v>0</v>
      </c>
      <c r="BG144" s="30">
        <f>COUNTIF(ParticipationMars1[[#This Row],[1]:[31]],code21)</f>
        <v>0</v>
      </c>
      <c r="BH144" s="30">
        <f>COUNTIF(ParticipationMars1[[#This Row],[1]:[31]],Code24)</f>
        <v>1</v>
      </c>
      <c r="BI144" s="30">
        <f>COUNTIF(ParticipationMars1[[#This Row],[1]:[31]],code18)</f>
        <v>0</v>
      </c>
      <c r="BJ144" s="30">
        <f>COUNTIF(ParticipationMars1[[#This Row],[1]:[31]],code19)</f>
        <v>0</v>
      </c>
      <c r="BK144" s="30">
        <f>COUNTIF(ParticipationMars1[[#This Row],[1]:[31]],code20)</f>
        <v>0</v>
      </c>
      <c r="BL144" s="164">
        <f>COUNTIF(ParticipationMars1[[#This Row],[1]:[31]],code29)</f>
        <v>0</v>
      </c>
      <c r="BM144" s="297"/>
      <c r="BN144" s="297">
        <v>1</v>
      </c>
      <c r="BO144" s="297"/>
      <c r="BP144" s="297"/>
      <c r="BQ144" s="297"/>
      <c r="BR144" s="297"/>
      <c r="BS144" s="297"/>
      <c r="BT144" s="297">
        <v>2</v>
      </c>
      <c r="BU144" s="297"/>
      <c r="BV144" s="297"/>
      <c r="BW144" s="297">
        <v>2</v>
      </c>
      <c r="BX144" s="297"/>
      <c r="BY144" s="297"/>
      <c r="BZ144" s="297">
        <v>2</v>
      </c>
      <c r="CA144" s="297"/>
      <c r="CB144" s="297">
        <v>1</v>
      </c>
      <c r="CC144" s="297"/>
      <c r="CD144" s="297"/>
      <c r="CE144" s="297"/>
      <c r="CF144" s="297"/>
      <c r="CG144" s="297">
        <v>3</v>
      </c>
      <c r="CH144" s="297"/>
      <c r="CI144" s="297"/>
      <c r="CJ144" s="297"/>
      <c r="CK144" s="297">
        <v>2</v>
      </c>
      <c r="CL144" s="297"/>
      <c r="CM144" s="297"/>
      <c r="CN144" s="297"/>
      <c r="CO144" s="297"/>
      <c r="CP144" s="297"/>
      <c r="CQ144" s="297"/>
      <c r="CR144" s="297"/>
      <c r="CS144" s="307"/>
      <c r="CT144" s="307"/>
      <c r="CU144" s="300"/>
      <c r="CV144" s="501">
        <f t="shared" si="13"/>
        <v>9</v>
      </c>
      <c r="CW144" s="501">
        <f t="shared" si="14"/>
        <v>27</v>
      </c>
      <c r="CX144" s="249">
        <f t="shared" si="15"/>
        <v>1</v>
      </c>
      <c r="CY144" s="170">
        <f>SUM((BI144*7)+(BJ144*10)+(BK144*12))</f>
        <v>0</v>
      </c>
    </row>
    <row r="145" spans="1:103">
      <c r="A145" s="567" t="s">
        <v>590</v>
      </c>
      <c r="B145" s="162" t="str">
        <f>IFERROR(VLOOKUP(ParticipationMars1[[#This Row],[Référence]],ListeÉtudiants1[],18,FALSE),"")</f>
        <v>HAMEAU KEVIN</v>
      </c>
      <c r="C145" s="19"/>
      <c r="D145" s="19"/>
      <c r="E145" s="19"/>
      <c r="F145" s="19"/>
      <c r="G145" s="19"/>
      <c r="H145" s="19"/>
      <c r="I145" s="19"/>
      <c r="J145" s="19"/>
      <c r="K145" s="19"/>
      <c r="L145" s="19"/>
      <c r="M145" s="19"/>
      <c r="N145" s="19"/>
      <c r="O145" s="19" t="s">
        <v>108</v>
      </c>
      <c r="P145" s="19" t="s">
        <v>35</v>
      </c>
      <c r="Q145" s="19" t="s">
        <v>109</v>
      </c>
      <c r="R145" s="19"/>
      <c r="S145" s="19"/>
      <c r="T145" s="19"/>
      <c r="U145" s="19" t="s">
        <v>604</v>
      </c>
      <c r="V145" s="19" t="s">
        <v>529</v>
      </c>
      <c r="W145" s="19" t="s">
        <v>488</v>
      </c>
      <c r="X145" s="19" t="s">
        <v>488</v>
      </c>
      <c r="Y145" s="19" t="s">
        <v>627</v>
      </c>
      <c r="Z145" s="19"/>
      <c r="AA145" s="19" t="s">
        <v>529</v>
      </c>
      <c r="AB145" s="19" t="s">
        <v>487</v>
      </c>
      <c r="AC145" s="19" t="s">
        <v>486</v>
      </c>
      <c r="AD145" s="19" t="s">
        <v>507</v>
      </c>
      <c r="AE145" s="19"/>
      <c r="AF145" s="19"/>
      <c r="AG145" s="340"/>
      <c r="AH145" s="6">
        <f>COUNTIF(ParticipationMars1[[#This Row],[1]:[31]],Code1)</f>
        <v>0</v>
      </c>
      <c r="AI145" s="6">
        <f>COUNTIF(ParticipationMars1[[#This Row],[1]:[31]],code22)</f>
        <v>0</v>
      </c>
      <c r="AJ145" s="30">
        <f>COUNTIF(ParticipationMars1[[#This Row],[1]:[31]],Code2)</f>
        <v>0</v>
      </c>
      <c r="AK145" s="30">
        <f>COUNTIF(ParticipationMars1[[#This Row],[1]:[31]],Code3)</f>
        <v>0</v>
      </c>
      <c r="AL145" s="30">
        <f>COUNTIF(ParticipationMars1[[#This Row],[1]:[31]],Code4)</f>
        <v>0</v>
      </c>
      <c r="AM145" s="30">
        <f>COUNTIF(ParticipationMars1[[#This Row],[1]:[31]],Code5)</f>
        <v>1</v>
      </c>
      <c r="AN145" s="30">
        <f>COUNTIF(ParticipationMars1[[#This Row],[1]:[31]],Code23)</f>
        <v>2</v>
      </c>
      <c r="AO145" s="30">
        <f>COUNTIF(ParticipationMars1[[#This Row],[1]:[31]],Code6)</f>
        <v>1</v>
      </c>
      <c r="AP145" s="30">
        <f>COUNTIF(ParticipationMars1[[#This Row],[1]:[31]],Code7)</f>
        <v>1</v>
      </c>
      <c r="AQ145" s="30">
        <f>COUNTIF(ParticipationMars1[[#This Row],[1]:[31]],Code8)</f>
        <v>0</v>
      </c>
      <c r="AR145" s="30">
        <f>COUNTIF(ParticipationMars1[[#This Row],[1]:[31]],Code9)</f>
        <v>0</v>
      </c>
      <c r="AS145" s="30">
        <f>COUNTIF(ParticipationMars1[[#This Row],[1]:[31]],Code10)</f>
        <v>0</v>
      </c>
      <c r="AT145" s="30">
        <f>COUNTIF(ParticipationMars1[[#This Row],[1]:[31]],Code11)</f>
        <v>1</v>
      </c>
      <c r="AU145" s="30">
        <f>COUNTIF(ParticipationMars1[[#This Row],[1]:[31]],Code12)</f>
        <v>1</v>
      </c>
      <c r="AV145" s="30">
        <f>COUNTIF(ParticipationMars1[[#This Row],[1]:[31]],Code13)</f>
        <v>0</v>
      </c>
      <c r="AW145" s="30">
        <f>COUNTIF(ParticipationMars1[[#This Row],[1]:[31]],Code14)</f>
        <v>2</v>
      </c>
      <c r="AX145" s="30">
        <f>COUNTIF(ParticipationMars1[[#This Row],[1]:[31]],Code15)</f>
        <v>0</v>
      </c>
      <c r="AY145" s="30">
        <f>COUNTIF(ParticipationMars1[[#This Row],[1]:[31]],Code16)</f>
        <v>0</v>
      </c>
      <c r="AZ145" s="30">
        <f>COUNTIF(ParticipationMars1[[#This Row],[1]:[31]],Code17)</f>
        <v>0</v>
      </c>
      <c r="BA145" s="30">
        <f>COUNTIF(ParticipationMars1[[#This Row],[1]:[31]],Code25)</f>
        <v>1</v>
      </c>
      <c r="BB145" s="307">
        <f>COUNTIF(ParticipationMars1[[#This Row],[1]:[31]],Code26)</f>
        <v>0</v>
      </c>
      <c r="BC145" s="30">
        <f>COUNTIF(ParticipationMars1[[#This Row],[1]:[31]],Code27)</f>
        <v>1</v>
      </c>
      <c r="BD145" s="30">
        <f>COUNTIF(ParticipationMars1[[#This Row],[1]:[31]],Code28)</f>
        <v>0</v>
      </c>
      <c r="BE145" s="30">
        <f>COUNTIF(ParticipationMars1[[#This Row],[1]:[31]],code30)</f>
        <v>0</v>
      </c>
      <c r="BF145" s="30">
        <f>COUNTIF(ParticipationMars1[[#This Row],[1]:[31]],Code31)</f>
        <v>0</v>
      </c>
      <c r="BG145" s="30">
        <f>COUNTIF(ParticipationMars1[[#This Row],[1]:[31]],code21)</f>
        <v>1</v>
      </c>
      <c r="BH145" s="30">
        <f>COUNTIF(ParticipationMars1[[#This Row],[1]:[31]],Code24)</f>
        <v>0</v>
      </c>
      <c r="BI145" s="30">
        <f>COUNTIF(ParticipationMars1[[#This Row],[1]:[31]],code18)</f>
        <v>0</v>
      </c>
      <c r="BJ145" s="30">
        <f>COUNTIF(ParticipationMars1[[#This Row],[1]:[31]],code19)</f>
        <v>0</v>
      </c>
      <c r="BK145" s="30">
        <f>COUNTIF(ParticipationMars1[[#This Row],[1]:[31]],code20)</f>
        <v>0</v>
      </c>
      <c r="BL145" s="164">
        <f>COUNTIF(ParticipationMars1[[#This Row],[1]:[31]],code29)</f>
        <v>0</v>
      </c>
      <c r="BM145" s="297"/>
      <c r="BN145" s="297">
        <v>1</v>
      </c>
      <c r="BO145" s="297"/>
      <c r="BP145" s="297"/>
      <c r="BQ145" s="297"/>
      <c r="BR145" s="297"/>
      <c r="BS145" s="297"/>
      <c r="BT145" s="297">
        <v>5</v>
      </c>
      <c r="BU145" s="297"/>
      <c r="BV145" s="297"/>
      <c r="BW145" s="297">
        <v>7</v>
      </c>
      <c r="BX145" s="297"/>
      <c r="BY145" s="297"/>
      <c r="BZ145" s="297">
        <v>1</v>
      </c>
      <c r="CA145" s="297"/>
      <c r="CB145" s="297">
        <v>1</v>
      </c>
      <c r="CC145" s="297"/>
      <c r="CD145" s="297"/>
      <c r="CE145" s="297"/>
      <c r="CF145" s="297"/>
      <c r="CG145" s="297">
        <v>4</v>
      </c>
      <c r="CH145" s="297"/>
      <c r="CI145" s="297"/>
      <c r="CJ145" s="297"/>
      <c r="CK145" s="297">
        <v>2</v>
      </c>
      <c r="CL145" s="297"/>
      <c r="CM145" s="297"/>
      <c r="CN145" s="297"/>
      <c r="CO145" s="297"/>
      <c r="CP145" s="297"/>
      <c r="CQ145" s="297"/>
      <c r="CR145" s="297"/>
      <c r="CS145" s="307"/>
      <c r="CT145" s="307"/>
      <c r="CU145" s="300"/>
      <c r="CV145" s="501">
        <f t="shared" si="13"/>
        <v>13</v>
      </c>
      <c r="CW145" s="501">
        <f t="shared" si="14"/>
        <v>47</v>
      </c>
      <c r="CX145" s="249">
        <f t="shared" si="15"/>
        <v>0</v>
      </c>
      <c r="CY145" s="170">
        <f>SUM((BI145*7)+(BJ145*10)+(BK145*12))</f>
        <v>0</v>
      </c>
    </row>
    <row r="146" spans="1:103">
      <c r="A146" s="567" t="s">
        <v>593</v>
      </c>
      <c r="B146" s="162" t="str">
        <f>IFERROR(VLOOKUP(ParticipationMars1[[#This Row],[Référence]],ListeÉtudiants1[],18,FALSE),"")</f>
        <v>KIOLO Carine Laure</v>
      </c>
      <c r="C146" s="19"/>
      <c r="D146" s="19"/>
      <c r="E146" s="19"/>
      <c r="F146" s="19"/>
      <c r="G146" s="19"/>
      <c r="H146" s="19"/>
      <c r="I146" s="19"/>
      <c r="J146" s="19"/>
      <c r="K146" s="19"/>
      <c r="L146" s="19"/>
      <c r="M146" s="19"/>
      <c r="N146" s="19"/>
      <c r="O146" s="19" t="s">
        <v>527</v>
      </c>
      <c r="P146" s="19" t="s">
        <v>35</v>
      </c>
      <c r="Q146" s="19" t="s">
        <v>109</v>
      </c>
      <c r="R146" s="19"/>
      <c r="S146" s="19"/>
      <c r="T146" s="19"/>
      <c r="U146" s="19" t="s">
        <v>507</v>
      </c>
      <c r="V146" s="19" t="s">
        <v>529</v>
      </c>
      <c r="W146" s="19"/>
      <c r="X146" s="19" t="s">
        <v>488</v>
      </c>
      <c r="Y146" s="19" t="s">
        <v>109</v>
      </c>
      <c r="Z146" s="19"/>
      <c r="AA146" s="19" t="s">
        <v>529</v>
      </c>
      <c r="AB146" s="19" t="s">
        <v>487</v>
      </c>
      <c r="AC146" s="19"/>
      <c r="AD146" s="19" t="s">
        <v>507</v>
      </c>
      <c r="AE146" s="19" t="s">
        <v>529</v>
      </c>
      <c r="AF146" s="19" t="s">
        <v>106</v>
      </c>
      <c r="AG146" s="340"/>
      <c r="AH146" s="6">
        <f>COUNTIF(ParticipationMars1[[#This Row],[1]:[31]],Code1)</f>
        <v>0</v>
      </c>
      <c r="AI146" s="331">
        <f>COUNTIF(ParticipationMars1[[#This Row],[1]:[31]],code22)</f>
        <v>1</v>
      </c>
      <c r="AJ146" s="30">
        <f>COUNTIF(ParticipationMars1[[#This Row],[1]:[31]],Code2)</f>
        <v>0</v>
      </c>
      <c r="AK146" s="30">
        <f>COUNTIF(ParticipationMars1[[#This Row],[1]:[31]],Code3)</f>
        <v>1</v>
      </c>
      <c r="AL146" s="30">
        <f>COUNTIF(ParticipationMars1[[#This Row],[1]:[31]],Code4)</f>
        <v>0</v>
      </c>
      <c r="AM146" s="307">
        <f>COUNTIF(ParticipationMars1[[#This Row],[1]:[31]],Code5)</f>
        <v>1</v>
      </c>
      <c r="AN146" s="307">
        <f>COUNTIF(ParticipationMars1[[#This Row],[1]:[31]],Code23)</f>
        <v>3</v>
      </c>
      <c r="AO146" s="307">
        <f>COUNTIF(ParticipationMars1[[#This Row],[1]:[31]],Code6)</f>
        <v>0</v>
      </c>
      <c r="AP146" s="307">
        <f>COUNTIF(ParticipationMars1[[#This Row],[1]:[31]],Code7)</f>
        <v>2</v>
      </c>
      <c r="AQ146" s="307">
        <f>COUNTIF(ParticipationMars1[[#This Row],[1]:[31]],Code8)</f>
        <v>0</v>
      </c>
      <c r="AR146" s="307">
        <f>COUNTIF(ParticipationMars1[[#This Row],[1]:[31]],Code9)</f>
        <v>0</v>
      </c>
      <c r="AS146" s="307">
        <f>COUNTIF(ParticipationMars1[[#This Row],[1]:[31]],Code10)</f>
        <v>0</v>
      </c>
      <c r="AT146" s="307">
        <f>COUNTIF(ParticipationMars1[[#This Row],[1]:[31]],Code11)</f>
        <v>0</v>
      </c>
      <c r="AU146" s="30">
        <f>COUNTIF(ParticipationMars1[[#This Row],[1]:[31]],Code12)</f>
        <v>1</v>
      </c>
      <c r="AV146" s="307">
        <f>COUNTIF(ParticipationMars1[[#This Row],[1]:[31]],Code13)</f>
        <v>0</v>
      </c>
      <c r="AW146" s="307">
        <f>COUNTIF(ParticipationMars1[[#This Row],[1]:[31]],Code14)</f>
        <v>1</v>
      </c>
      <c r="AX146" s="307">
        <f>COUNTIF(ParticipationMars1[[#This Row],[1]:[31]],Code15)</f>
        <v>0</v>
      </c>
      <c r="AY146" s="307">
        <f>COUNTIF(ParticipationMars1[[#This Row],[1]:[31]],Code16)</f>
        <v>0</v>
      </c>
      <c r="AZ146" s="307">
        <f>COUNTIF(ParticipationMars1[[#This Row],[1]:[31]],Code17)</f>
        <v>0</v>
      </c>
      <c r="BA146" s="30">
        <f>COUNTIF(ParticipationMars1[[#This Row],[1]:[31]],Code25)</f>
        <v>0</v>
      </c>
      <c r="BB146" s="307">
        <f>COUNTIF(ParticipationMars1[[#This Row],[1]:[31]],Code26)</f>
        <v>0</v>
      </c>
      <c r="BC146" s="307">
        <f>COUNTIF(ParticipationMars1[[#This Row],[1]:[31]],Code27)</f>
        <v>0</v>
      </c>
      <c r="BD146" s="30">
        <f>COUNTIF(ParticipationMars1[[#This Row],[1]:[31]],Code28)</f>
        <v>0</v>
      </c>
      <c r="BE146" s="30">
        <f>COUNTIF(ParticipationMars1[[#This Row],[1]:[31]],code30)</f>
        <v>0</v>
      </c>
      <c r="BF146" s="30">
        <f>COUNTIF(ParticipationMars1[[#This Row],[1]:[31]],Code31)</f>
        <v>0</v>
      </c>
      <c r="BG146" s="307">
        <f>COUNTIF(ParticipationMars1[[#This Row],[1]:[31]],code21)</f>
        <v>2</v>
      </c>
      <c r="BH146" s="307">
        <f>COUNTIF(ParticipationMars1[[#This Row],[1]:[31]],Code24)</f>
        <v>0</v>
      </c>
      <c r="BI146" s="307">
        <f>COUNTIF(ParticipationMars1[[#This Row],[1]:[31]],code18)</f>
        <v>0</v>
      </c>
      <c r="BJ146" s="307">
        <f>COUNTIF(ParticipationMars1[[#This Row],[1]:[31]],code19)</f>
        <v>0</v>
      </c>
      <c r="BK146" s="307">
        <f>COUNTIF(ParticipationMars1[[#This Row],[1]:[31]],code20)</f>
        <v>0</v>
      </c>
      <c r="BL146" s="300">
        <f>COUNTIF(ParticipationMars1[[#This Row],[1]:[31]],code29)</f>
        <v>0</v>
      </c>
      <c r="BM146" s="297"/>
      <c r="BN146" s="297">
        <v>1</v>
      </c>
      <c r="BO146" s="297"/>
      <c r="BP146" s="297"/>
      <c r="BQ146" s="297"/>
      <c r="BR146" s="297"/>
      <c r="BS146" s="297"/>
      <c r="BT146" s="297">
        <v>2</v>
      </c>
      <c r="BU146" s="297"/>
      <c r="BV146" s="297"/>
      <c r="BW146" s="297">
        <v>5</v>
      </c>
      <c r="BX146" s="297"/>
      <c r="BY146" s="297"/>
      <c r="BZ146" s="297">
        <v>1</v>
      </c>
      <c r="CA146" s="297"/>
      <c r="CB146" s="297"/>
      <c r="CC146" s="297"/>
      <c r="CD146" s="297"/>
      <c r="CE146" s="297"/>
      <c r="CF146" s="297"/>
      <c r="CG146" s="297">
        <v>3</v>
      </c>
      <c r="CH146" s="297"/>
      <c r="CI146" s="297"/>
      <c r="CJ146" s="297"/>
      <c r="CK146" s="297">
        <v>1</v>
      </c>
      <c r="CL146" s="297"/>
      <c r="CM146" s="297"/>
      <c r="CN146" s="297"/>
      <c r="CO146" s="297"/>
      <c r="CP146" s="297"/>
      <c r="CQ146" s="297"/>
      <c r="CR146" s="297"/>
      <c r="CS146" s="307"/>
      <c r="CT146" s="307"/>
      <c r="CU146" s="300"/>
      <c r="CV146" s="501">
        <f t="shared" si="13"/>
        <v>20.5</v>
      </c>
      <c r="CW146" s="501">
        <f t="shared" si="14"/>
        <v>30</v>
      </c>
      <c r="CX146" s="249">
        <f t="shared" si="15"/>
        <v>0</v>
      </c>
      <c r="CY146" s="327"/>
    </row>
    <row r="147" spans="1:103">
      <c r="A147" s="567" t="s">
        <v>596</v>
      </c>
      <c r="B147" s="162" t="str">
        <f>IFERROR(VLOOKUP(ParticipationMars1[[#This Row],[Référence]],ListeÉtudiants1[],18,FALSE),"")</f>
        <v>LESUEUR GERALDINE</v>
      </c>
      <c r="C147" s="19"/>
      <c r="D147" s="19"/>
      <c r="E147" s="19"/>
      <c r="F147" s="19"/>
      <c r="G147" s="19"/>
      <c r="H147" s="19"/>
      <c r="I147" s="19"/>
      <c r="J147" s="19"/>
      <c r="K147" s="19"/>
      <c r="L147" s="19"/>
      <c r="M147" s="19"/>
      <c r="N147" s="19"/>
      <c r="O147" s="19" t="s">
        <v>108</v>
      </c>
      <c r="P147" s="19" t="s">
        <v>35</v>
      </c>
      <c r="Q147" s="19" t="s">
        <v>108</v>
      </c>
      <c r="R147" s="19"/>
      <c r="S147" s="19"/>
      <c r="T147" s="19"/>
      <c r="U147" s="19" t="s">
        <v>507</v>
      </c>
      <c r="V147" s="19" t="s">
        <v>529</v>
      </c>
      <c r="W147" s="19" t="s">
        <v>108</v>
      </c>
      <c r="X147" s="19" t="s">
        <v>488</v>
      </c>
      <c r="Y147" s="19" t="s">
        <v>108</v>
      </c>
      <c r="Z147" s="19"/>
      <c r="AA147" s="19" t="s">
        <v>529</v>
      </c>
      <c r="AB147" s="19" t="s">
        <v>487</v>
      </c>
      <c r="AC147" s="19" t="s">
        <v>35</v>
      </c>
      <c r="AD147" s="19" t="s">
        <v>105</v>
      </c>
      <c r="AE147" s="19"/>
      <c r="AF147" s="19"/>
      <c r="AG147" s="340"/>
      <c r="AH147" s="6">
        <f>COUNTIF(ParticipationMars1[[#This Row],[1]:[31]],Code1)</f>
        <v>0</v>
      </c>
      <c r="AI147" s="6">
        <f>COUNTIF(ParticipationMars1[[#This Row],[1]:[31]],code22)</f>
        <v>0</v>
      </c>
      <c r="AJ147" s="30">
        <f>COUNTIF(ParticipationMars1[[#This Row],[1]:[31]],Code2)</f>
        <v>1</v>
      </c>
      <c r="AK147" s="30">
        <f>COUNTIF(ParticipationMars1[[#This Row],[1]:[31]],Code3)</f>
        <v>0</v>
      </c>
      <c r="AL147" s="30">
        <f>COUNTIF(ParticipationMars1[[#This Row],[1]:[31]],Code4)</f>
        <v>0</v>
      </c>
      <c r="AM147" s="30">
        <f>COUNTIF(ParticipationMars1[[#This Row],[1]:[31]],Code5)</f>
        <v>2</v>
      </c>
      <c r="AN147" s="30">
        <f>COUNTIF(ParticipationMars1[[#This Row],[1]:[31]],Code23)</f>
        <v>2</v>
      </c>
      <c r="AO147" s="30">
        <f>COUNTIF(ParticipationMars1[[#This Row],[1]:[31]],Code6)</f>
        <v>4</v>
      </c>
      <c r="AP147" s="30">
        <f>COUNTIF(ParticipationMars1[[#This Row],[1]:[31]],Code7)</f>
        <v>0</v>
      </c>
      <c r="AQ147" s="30">
        <f>COUNTIF(ParticipationMars1[[#This Row],[1]:[31]],Code8)</f>
        <v>0</v>
      </c>
      <c r="AR147" s="30">
        <f>COUNTIF(ParticipationMars1[[#This Row],[1]:[31]],Code9)</f>
        <v>0</v>
      </c>
      <c r="AS147" s="30">
        <f>COUNTIF(ParticipationMars1[[#This Row],[1]:[31]],Code10)</f>
        <v>0</v>
      </c>
      <c r="AT147" s="30">
        <f>COUNTIF(ParticipationMars1[[#This Row],[1]:[31]],Code11)</f>
        <v>0</v>
      </c>
      <c r="AU147" s="30">
        <f>COUNTIF(ParticipationMars1[[#This Row],[1]:[31]],Code12)</f>
        <v>1</v>
      </c>
      <c r="AV147" s="30">
        <f>COUNTIF(ParticipationMars1[[#This Row],[1]:[31]],Code13)</f>
        <v>0</v>
      </c>
      <c r="AW147" s="30">
        <f>COUNTIF(ParticipationMars1[[#This Row],[1]:[31]],Code14)</f>
        <v>1</v>
      </c>
      <c r="AX147" s="30">
        <f>COUNTIF(ParticipationMars1[[#This Row],[1]:[31]],Code15)</f>
        <v>0</v>
      </c>
      <c r="AY147" s="30">
        <f>COUNTIF(ParticipationMars1[[#This Row],[1]:[31]],Code16)</f>
        <v>0</v>
      </c>
      <c r="AZ147" s="30">
        <f>COUNTIF(ParticipationMars1[[#This Row],[1]:[31]],Code17)</f>
        <v>0</v>
      </c>
      <c r="BA147" s="30">
        <f>COUNTIF(ParticipationMars1[[#This Row],[1]:[31]],Code25)</f>
        <v>0</v>
      </c>
      <c r="BB147" s="307">
        <f>COUNTIF(ParticipationMars1[[#This Row],[1]:[31]],Code26)</f>
        <v>0</v>
      </c>
      <c r="BC147" s="30">
        <f>COUNTIF(ParticipationMars1[[#This Row],[1]:[31]],Code27)</f>
        <v>0</v>
      </c>
      <c r="BD147" s="30">
        <f>COUNTIF(ParticipationMars1[[#This Row],[1]:[31]],Code28)</f>
        <v>0</v>
      </c>
      <c r="BE147" s="30">
        <f>COUNTIF(ParticipationMars1[[#This Row],[1]:[31]],code30)</f>
        <v>0</v>
      </c>
      <c r="BF147" s="30">
        <f>COUNTIF(ParticipationMars1[[#This Row],[1]:[31]],Code31)</f>
        <v>0</v>
      </c>
      <c r="BG147" s="30">
        <f>COUNTIF(ParticipationMars1[[#This Row],[1]:[31]],code21)</f>
        <v>1</v>
      </c>
      <c r="BH147" s="30">
        <f>COUNTIF(ParticipationMars1[[#This Row],[1]:[31]],Code24)</f>
        <v>0</v>
      </c>
      <c r="BI147" s="30">
        <f>COUNTIF(ParticipationMars1[[#This Row],[1]:[31]],code18)</f>
        <v>0</v>
      </c>
      <c r="BJ147" s="30">
        <f>COUNTIF(ParticipationMars1[[#This Row],[1]:[31]],code19)</f>
        <v>0</v>
      </c>
      <c r="BK147" s="30">
        <f>COUNTIF(ParticipationMars1[[#This Row],[1]:[31]],code20)</f>
        <v>0</v>
      </c>
      <c r="BL147" s="164">
        <f>COUNTIF(ParticipationMars1[[#This Row],[1]:[31]],code29)</f>
        <v>0</v>
      </c>
      <c r="BM147" s="297"/>
      <c r="BN147" s="297">
        <v>1</v>
      </c>
      <c r="BO147" s="297"/>
      <c r="BP147" s="297"/>
      <c r="BQ147" s="297"/>
      <c r="BR147" s="297"/>
      <c r="BS147" s="297"/>
      <c r="BT147" s="297">
        <v>4</v>
      </c>
      <c r="BU147" s="297"/>
      <c r="BV147" s="297"/>
      <c r="BW147" s="297">
        <v>1</v>
      </c>
      <c r="BX147" s="297"/>
      <c r="BY147" s="297"/>
      <c r="BZ147" s="297">
        <v>1</v>
      </c>
      <c r="CA147" s="297"/>
      <c r="CB147" s="297">
        <v>1</v>
      </c>
      <c r="CC147" s="297"/>
      <c r="CD147" s="297"/>
      <c r="CE147" s="297"/>
      <c r="CF147" s="297"/>
      <c r="CG147" s="297">
        <v>3</v>
      </c>
      <c r="CH147" s="297"/>
      <c r="CI147" s="297"/>
      <c r="CJ147" s="297"/>
      <c r="CK147" s="297">
        <v>1</v>
      </c>
      <c r="CL147" s="297"/>
      <c r="CM147" s="297"/>
      <c r="CN147" s="297"/>
      <c r="CO147" s="297"/>
      <c r="CP147" s="297"/>
      <c r="CQ147" s="297"/>
      <c r="CR147" s="297"/>
      <c r="CS147" s="307"/>
      <c r="CT147" s="307"/>
      <c r="CU147" s="300"/>
      <c r="CV147" s="501">
        <f t="shared" si="13"/>
        <v>6</v>
      </c>
      <c r="CW147" s="501">
        <f t="shared" si="14"/>
        <v>33</v>
      </c>
      <c r="CX147" s="249">
        <f t="shared" si="15"/>
        <v>0</v>
      </c>
      <c r="CY147" s="170"/>
    </row>
    <row r="148" spans="1:103">
      <c r="A148" s="567" t="s">
        <v>599</v>
      </c>
      <c r="B148" s="162" t="str">
        <f>IFERROR(VLOOKUP(ParticipationMars1[[#This Row],[Référence]],ListeÉtudiants1[],18,FALSE),"")</f>
        <v>LOVE SAMUEL</v>
      </c>
      <c r="C148" s="19"/>
      <c r="D148" s="19"/>
      <c r="E148" s="19"/>
      <c r="F148" s="19"/>
      <c r="G148" s="19"/>
      <c r="H148" s="19"/>
      <c r="I148" s="19"/>
      <c r="J148" s="19"/>
      <c r="K148" s="19"/>
      <c r="L148" s="19"/>
      <c r="M148" s="19"/>
      <c r="N148" s="19"/>
      <c r="O148" s="19" t="s">
        <v>108</v>
      </c>
      <c r="P148" s="19"/>
      <c r="Q148" s="19"/>
      <c r="R148" s="19"/>
      <c r="S148" s="19"/>
      <c r="T148" s="19"/>
      <c r="U148" s="19"/>
      <c r="V148" s="19"/>
      <c r="W148" s="19" t="s">
        <v>488</v>
      </c>
      <c r="X148" s="19" t="s">
        <v>488</v>
      </c>
      <c r="Y148" s="19" t="s">
        <v>109</v>
      </c>
      <c r="Z148" s="19"/>
      <c r="AA148" s="19" t="s">
        <v>529</v>
      </c>
      <c r="AB148" s="19" t="s">
        <v>487</v>
      </c>
      <c r="AC148" s="19" t="s">
        <v>529</v>
      </c>
      <c r="AD148" s="19"/>
      <c r="AE148" s="19"/>
      <c r="AF148" s="19"/>
      <c r="AG148" s="340"/>
      <c r="AH148" s="6">
        <f>COUNTIF(ParticipationMars1[[#This Row],[1]:[31]],Code1)</f>
        <v>0</v>
      </c>
      <c r="AI148" s="6">
        <f>COUNTIF(ParticipationMars1[[#This Row],[1]:[31]],code22)</f>
        <v>0</v>
      </c>
      <c r="AJ148" s="30">
        <f>COUNTIF(ParticipationMars1[[#This Row],[1]:[31]],Code2)</f>
        <v>0</v>
      </c>
      <c r="AK148" s="30">
        <f>COUNTIF(ParticipationMars1[[#This Row],[1]:[31]],Code3)</f>
        <v>0</v>
      </c>
      <c r="AL148" s="30">
        <f>COUNTIF(ParticipationMars1[[#This Row],[1]:[31]],Code4)</f>
        <v>0</v>
      </c>
      <c r="AM148" s="30">
        <f>COUNTIF(ParticipationMars1[[#This Row],[1]:[31]],Code5)</f>
        <v>0</v>
      </c>
      <c r="AN148" s="30">
        <f>COUNTIF(ParticipationMars1[[#This Row],[1]:[31]],Code23)</f>
        <v>2</v>
      </c>
      <c r="AO148" s="30">
        <f>COUNTIF(ParticipationMars1[[#This Row],[1]:[31]],Code6)</f>
        <v>1</v>
      </c>
      <c r="AP148" s="30">
        <f>COUNTIF(ParticipationMars1[[#This Row],[1]:[31]],Code7)</f>
        <v>1</v>
      </c>
      <c r="AQ148" s="30">
        <f>COUNTIF(ParticipationMars1[[#This Row],[1]:[31]],Code8)</f>
        <v>0</v>
      </c>
      <c r="AR148" s="30">
        <f>COUNTIF(ParticipationMars1[[#This Row],[1]:[31]],Code9)</f>
        <v>0</v>
      </c>
      <c r="AS148" s="30">
        <f>COUNTIF(ParticipationMars1[[#This Row],[1]:[31]],Code10)</f>
        <v>0</v>
      </c>
      <c r="AT148" s="30">
        <f>COUNTIF(ParticipationMars1[[#This Row],[1]:[31]],Code11)</f>
        <v>0</v>
      </c>
      <c r="AU148" s="30">
        <f>COUNTIF(ParticipationMars1[[#This Row],[1]:[31]],Code12)</f>
        <v>1</v>
      </c>
      <c r="AV148" s="30">
        <f>COUNTIF(ParticipationMars1[[#This Row],[1]:[31]],Code13)</f>
        <v>0</v>
      </c>
      <c r="AW148" s="30">
        <f>COUNTIF(ParticipationMars1[[#This Row],[1]:[31]],Code14)</f>
        <v>2</v>
      </c>
      <c r="AX148" s="30">
        <f>COUNTIF(ParticipationMars1[[#This Row],[1]:[31]],Code15)</f>
        <v>0</v>
      </c>
      <c r="AY148" s="30">
        <f>COUNTIF(ParticipationMars1[[#This Row],[1]:[31]],Code16)</f>
        <v>0</v>
      </c>
      <c r="AZ148" s="30">
        <f>COUNTIF(ParticipationMars1[[#This Row],[1]:[31]],Code17)</f>
        <v>0</v>
      </c>
      <c r="BA148" s="30">
        <f>COUNTIF(ParticipationMars1[[#This Row],[1]:[31]],Code25)</f>
        <v>0</v>
      </c>
      <c r="BB148" s="307">
        <f>COUNTIF(ParticipationMars1[[#This Row],[1]:[31]],Code26)</f>
        <v>0</v>
      </c>
      <c r="BC148" s="30">
        <f>COUNTIF(ParticipationMars1[[#This Row],[1]:[31]],Code27)</f>
        <v>0</v>
      </c>
      <c r="BD148" s="30">
        <f>COUNTIF(ParticipationMars1[[#This Row],[1]:[31]],Code28)</f>
        <v>0</v>
      </c>
      <c r="BE148" s="30">
        <f>COUNTIF(ParticipationMars1[[#This Row],[1]:[31]],code30)</f>
        <v>0</v>
      </c>
      <c r="BF148" s="30">
        <f>COUNTIF(ParticipationMars1[[#This Row],[1]:[31]],Code31)</f>
        <v>0</v>
      </c>
      <c r="BG148" s="30">
        <f>COUNTIF(ParticipationMars1[[#This Row],[1]:[31]],code21)</f>
        <v>0</v>
      </c>
      <c r="BH148" s="30">
        <f>COUNTIF(ParticipationMars1[[#This Row],[1]:[31]],Code24)</f>
        <v>0</v>
      </c>
      <c r="BI148" s="30">
        <f>COUNTIF(ParticipationMars1[[#This Row],[1]:[31]],code18)</f>
        <v>0</v>
      </c>
      <c r="BJ148" s="30">
        <f>COUNTIF(ParticipationMars1[[#This Row],[1]:[31]],code19)</f>
        <v>0</v>
      </c>
      <c r="BK148" s="30">
        <f>COUNTIF(ParticipationMars1[[#This Row],[1]:[31]],code20)</f>
        <v>0</v>
      </c>
      <c r="BL148" s="164">
        <f>COUNTIF(ParticipationMars1[[#This Row],[1]:[31]],code29)</f>
        <v>0</v>
      </c>
      <c r="BM148" s="297"/>
      <c r="BN148" s="297">
        <v>1</v>
      </c>
      <c r="BO148" s="297"/>
      <c r="BP148" s="297"/>
      <c r="BQ148" s="297"/>
      <c r="BR148" s="297"/>
      <c r="BS148" s="297"/>
      <c r="BT148" s="297">
        <v>4</v>
      </c>
      <c r="BU148" s="297"/>
      <c r="BV148" s="297"/>
      <c r="BW148" s="297">
        <v>3</v>
      </c>
      <c r="BX148" s="297"/>
      <c r="BY148" s="297"/>
      <c r="BZ148" s="297">
        <v>1</v>
      </c>
      <c r="CA148" s="297"/>
      <c r="CB148" s="297">
        <v>1</v>
      </c>
      <c r="CC148" s="297"/>
      <c r="CD148" s="297"/>
      <c r="CE148" s="297"/>
      <c r="CF148" s="297"/>
      <c r="CG148" s="297">
        <v>1</v>
      </c>
      <c r="CH148" s="297"/>
      <c r="CI148" s="297"/>
      <c r="CJ148" s="297"/>
      <c r="CK148" s="297">
        <v>2</v>
      </c>
      <c r="CL148" s="297"/>
      <c r="CM148" s="297"/>
      <c r="CN148" s="297"/>
      <c r="CO148" s="297"/>
      <c r="CP148" s="297"/>
      <c r="CQ148" s="297"/>
      <c r="CR148" s="297"/>
      <c r="CS148" s="307"/>
      <c r="CT148" s="307"/>
      <c r="CU148" s="300"/>
      <c r="CV148" s="501">
        <f t="shared" si="13"/>
        <v>7</v>
      </c>
      <c r="CW148" s="501">
        <f t="shared" si="14"/>
        <v>29</v>
      </c>
      <c r="CX148" s="249">
        <f t="shared" si="15"/>
        <v>0</v>
      </c>
      <c r="CY148" s="170">
        <f>SUM(AQ148:CV148)</f>
        <v>23</v>
      </c>
    </row>
    <row r="149" spans="1:103">
      <c r="A149" s="567" t="s">
        <v>602</v>
      </c>
      <c r="B149" s="162" t="str">
        <f>IFERROR(VLOOKUP(ParticipationMars1[[#This Row],[Référence]],ListeÉtudiants1[],18,FALSE),"")</f>
        <v>LOVELY JOSELITA</v>
      </c>
      <c r="C149" s="19"/>
      <c r="D149" s="19"/>
      <c r="E149" s="19"/>
      <c r="F149" s="19"/>
      <c r="G149" s="19"/>
      <c r="H149" s="19"/>
      <c r="I149" s="19"/>
      <c r="J149" s="19"/>
      <c r="K149" s="19"/>
      <c r="L149" s="19"/>
      <c r="M149" s="19"/>
      <c r="N149" s="19"/>
      <c r="O149" s="19" t="s">
        <v>108</v>
      </c>
      <c r="P149" s="19" t="s">
        <v>507</v>
      </c>
      <c r="Q149" s="19" t="s">
        <v>109</v>
      </c>
      <c r="R149" s="19"/>
      <c r="S149" s="19"/>
      <c r="T149" s="19"/>
      <c r="U149" s="19" t="s">
        <v>604</v>
      </c>
      <c r="V149" s="19" t="s">
        <v>529</v>
      </c>
      <c r="W149" s="19" t="s">
        <v>488</v>
      </c>
      <c r="X149" s="19" t="s">
        <v>488</v>
      </c>
      <c r="Y149" s="19" t="s">
        <v>507</v>
      </c>
      <c r="Z149" s="19"/>
      <c r="AA149" s="19" t="s">
        <v>529</v>
      </c>
      <c r="AB149" s="19" t="s">
        <v>487</v>
      </c>
      <c r="AC149" s="19" t="s">
        <v>486</v>
      </c>
      <c r="AD149" s="19" t="s">
        <v>507</v>
      </c>
      <c r="AE149" s="19"/>
      <c r="AF149" s="19"/>
      <c r="AG149" s="340"/>
      <c r="AH149" s="6">
        <f>COUNTIF(ParticipationMars1[[#This Row],[1]:[31]],Code1)</f>
        <v>0</v>
      </c>
      <c r="AI149" s="331">
        <f>COUNTIF(ParticipationMars1[[#This Row],[1]:[31]],code22)</f>
        <v>0</v>
      </c>
      <c r="AJ149" s="30">
        <f>COUNTIF(ParticipationMars1[[#This Row],[1]:[31]],Code2)</f>
        <v>0</v>
      </c>
      <c r="AK149" s="30">
        <f>COUNTIF(ParticipationMars1[[#This Row],[1]:[31]],Code3)</f>
        <v>0</v>
      </c>
      <c r="AL149" s="30">
        <f>COUNTIF(ParticipationMars1[[#This Row],[1]:[31]],Code4)</f>
        <v>0</v>
      </c>
      <c r="AM149" s="307">
        <f>COUNTIF(ParticipationMars1[[#This Row],[1]:[31]],Code5)</f>
        <v>0</v>
      </c>
      <c r="AN149" s="307">
        <f>COUNTIF(ParticipationMars1[[#This Row],[1]:[31]],Code23)</f>
        <v>2</v>
      </c>
      <c r="AO149" s="307">
        <f>COUNTIF(ParticipationMars1[[#This Row],[1]:[31]],Code6)</f>
        <v>1</v>
      </c>
      <c r="AP149" s="307">
        <f>COUNTIF(ParticipationMars1[[#This Row],[1]:[31]],Code7)</f>
        <v>1</v>
      </c>
      <c r="AQ149" s="307">
        <f>COUNTIF(ParticipationMars1[[#This Row],[1]:[31]],Code8)</f>
        <v>0</v>
      </c>
      <c r="AR149" s="307">
        <f>COUNTIF(ParticipationMars1[[#This Row],[1]:[31]],Code9)</f>
        <v>0</v>
      </c>
      <c r="AS149" s="307">
        <f>COUNTIF(ParticipationMars1[[#This Row],[1]:[31]],Code10)</f>
        <v>0</v>
      </c>
      <c r="AT149" s="307">
        <f>COUNTIF(ParticipationMars1[[#This Row],[1]:[31]],Code11)</f>
        <v>1</v>
      </c>
      <c r="AU149" s="30">
        <f>COUNTIF(ParticipationMars1[[#This Row],[1]:[31]],Code12)</f>
        <v>1</v>
      </c>
      <c r="AV149" s="307">
        <f>COUNTIF(ParticipationMars1[[#This Row],[1]:[31]],Code13)</f>
        <v>0</v>
      </c>
      <c r="AW149" s="307">
        <f>COUNTIF(ParticipationMars1[[#This Row],[1]:[31]],Code14)</f>
        <v>2</v>
      </c>
      <c r="AX149" s="307">
        <f>COUNTIF(ParticipationMars1[[#This Row],[1]:[31]],Code15)</f>
        <v>0</v>
      </c>
      <c r="AY149" s="307">
        <f>COUNTIF(ParticipationMars1[[#This Row],[1]:[31]],Code16)</f>
        <v>0</v>
      </c>
      <c r="AZ149" s="307">
        <f>COUNTIF(ParticipationMars1[[#This Row],[1]:[31]],Code17)</f>
        <v>0</v>
      </c>
      <c r="BA149" s="30">
        <f>COUNTIF(ParticipationMars1[[#This Row],[1]:[31]],Code25)</f>
        <v>1</v>
      </c>
      <c r="BB149" s="307">
        <f>COUNTIF(ParticipationMars1[[#This Row],[1]:[31]],Code26)</f>
        <v>0</v>
      </c>
      <c r="BC149" s="307">
        <f>COUNTIF(ParticipationMars1[[#This Row],[1]:[31]],Code27)</f>
        <v>0</v>
      </c>
      <c r="BD149" s="30">
        <f>COUNTIF(ParticipationMars1[[#This Row],[1]:[31]],Code28)</f>
        <v>0</v>
      </c>
      <c r="BE149" s="30">
        <f>COUNTIF(ParticipationMars1[[#This Row],[1]:[31]],code30)</f>
        <v>0</v>
      </c>
      <c r="BF149" s="30">
        <f>COUNTIF(ParticipationMars1[[#This Row],[1]:[31]],Code31)</f>
        <v>0</v>
      </c>
      <c r="BG149" s="307">
        <f>COUNTIF(ParticipationMars1[[#This Row],[1]:[31]],code21)</f>
        <v>3</v>
      </c>
      <c r="BH149" s="307">
        <f>COUNTIF(ParticipationMars1[[#This Row],[1]:[31]],Code24)</f>
        <v>0</v>
      </c>
      <c r="BI149" s="307">
        <f>COUNTIF(ParticipationMars1[[#This Row],[1]:[31]],code18)</f>
        <v>0</v>
      </c>
      <c r="BJ149" s="307">
        <f>COUNTIF(ParticipationMars1[[#This Row],[1]:[31]],code19)</f>
        <v>0</v>
      </c>
      <c r="BK149" s="307">
        <f>COUNTIF(ParticipationMars1[[#This Row],[1]:[31]],code20)</f>
        <v>0</v>
      </c>
      <c r="BL149" s="300">
        <f>COUNTIF(ParticipationMars1[[#This Row],[1]:[31]],code29)</f>
        <v>0</v>
      </c>
      <c r="BM149" s="297"/>
      <c r="BN149" s="297">
        <v>1</v>
      </c>
      <c r="BO149" s="297"/>
      <c r="BP149" s="297"/>
      <c r="BQ149" s="297"/>
      <c r="BR149" s="297"/>
      <c r="BS149" s="297"/>
      <c r="BT149" s="297">
        <v>5</v>
      </c>
      <c r="BU149" s="297"/>
      <c r="BV149" s="297"/>
      <c r="BW149" s="297">
        <v>7</v>
      </c>
      <c r="BX149" s="297"/>
      <c r="BY149" s="297"/>
      <c r="BZ149" s="297">
        <v>2</v>
      </c>
      <c r="CA149" s="297"/>
      <c r="CB149" s="297">
        <v>1</v>
      </c>
      <c r="CC149" s="297"/>
      <c r="CD149" s="297"/>
      <c r="CE149" s="297"/>
      <c r="CF149" s="297"/>
      <c r="CG149" s="297">
        <v>5</v>
      </c>
      <c r="CH149" s="297"/>
      <c r="CI149" s="297"/>
      <c r="CJ149" s="297"/>
      <c r="CK149" s="297">
        <v>1</v>
      </c>
      <c r="CL149" s="297"/>
      <c r="CM149" s="297"/>
      <c r="CN149" s="297"/>
      <c r="CO149" s="297"/>
      <c r="CP149" s="297"/>
      <c r="CQ149" s="297"/>
      <c r="CR149" s="297"/>
      <c r="CS149" s="307"/>
      <c r="CT149" s="307"/>
      <c r="CU149" s="300"/>
      <c r="CV149" s="501">
        <f t="shared" si="13"/>
        <v>15</v>
      </c>
      <c r="CW149" s="501">
        <f t="shared" si="14"/>
        <v>44</v>
      </c>
      <c r="CX149" s="249">
        <f t="shared" si="15"/>
        <v>0</v>
      </c>
      <c r="CY149" s="327"/>
    </row>
    <row r="150" spans="1:103">
      <c r="A150" s="567" t="s">
        <v>606</v>
      </c>
      <c r="B150" s="162" t="str">
        <f>IFERROR(VLOOKUP(ParticipationMars1[[#This Row],[Référence]],ListeÉtudiants1[],18,FALSE),"")</f>
        <v>MALULU INGRID</v>
      </c>
      <c r="C150" s="19"/>
      <c r="D150" s="19"/>
      <c r="E150" s="19"/>
      <c r="F150" s="19"/>
      <c r="G150" s="19"/>
      <c r="H150" s="19"/>
      <c r="I150" s="19"/>
      <c r="J150" s="19"/>
      <c r="K150" s="19"/>
      <c r="L150" s="19"/>
      <c r="M150" s="19"/>
      <c r="N150" s="19"/>
      <c r="O150" s="19" t="s">
        <v>108</v>
      </c>
      <c r="P150" s="19"/>
      <c r="Q150" s="19" t="s">
        <v>108</v>
      </c>
      <c r="R150" s="19"/>
      <c r="S150" s="19"/>
      <c r="T150" s="19"/>
      <c r="U150" s="19" t="s">
        <v>108</v>
      </c>
      <c r="V150" s="19"/>
      <c r="W150" s="19" t="s">
        <v>108</v>
      </c>
      <c r="X150" s="19" t="s">
        <v>488</v>
      </c>
      <c r="Y150" s="19" t="s">
        <v>108</v>
      </c>
      <c r="Z150" s="19"/>
      <c r="AA150" s="19" t="s">
        <v>529</v>
      </c>
      <c r="AB150" s="19" t="s">
        <v>487</v>
      </c>
      <c r="AC150" s="19" t="s">
        <v>529</v>
      </c>
      <c r="AD150" s="19" t="s">
        <v>507</v>
      </c>
      <c r="AE150" s="19"/>
      <c r="AF150" s="19"/>
      <c r="AG150" s="340"/>
      <c r="AH150" s="6">
        <f>COUNTIF(ParticipationMars1[[#This Row],[1]:[31]],Code1)</f>
        <v>0</v>
      </c>
      <c r="AI150" s="331">
        <f>COUNTIF(ParticipationMars1[[#This Row],[1]:[31]],code22)</f>
        <v>0</v>
      </c>
      <c r="AJ150" s="30">
        <f>COUNTIF(ParticipationMars1[[#This Row],[1]:[31]],Code2)</f>
        <v>0</v>
      </c>
      <c r="AK150" s="30">
        <f>COUNTIF(ParticipationMars1[[#This Row],[1]:[31]],Code3)</f>
        <v>0</v>
      </c>
      <c r="AL150" s="30">
        <f>COUNTIF(ParticipationMars1[[#This Row],[1]:[31]],Code4)</f>
        <v>0</v>
      </c>
      <c r="AM150" s="307">
        <f>COUNTIF(ParticipationMars1[[#This Row],[1]:[31]],Code5)</f>
        <v>0</v>
      </c>
      <c r="AN150" s="307">
        <f>COUNTIF(ParticipationMars1[[#This Row],[1]:[31]],Code23)</f>
        <v>2</v>
      </c>
      <c r="AO150" s="307">
        <f>COUNTIF(ParticipationMars1[[#This Row],[1]:[31]],Code6)</f>
        <v>5</v>
      </c>
      <c r="AP150" s="307">
        <f>COUNTIF(ParticipationMars1[[#This Row],[1]:[31]],Code7)</f>
        <v>0</v>
      </c>
      <c r="AQ150" s="307">
        <f>COUNTIF(ParticipationMars1[[#This Row],[1]:[31]],Code8)</f>
        <v>0</v>
      </c>
      <c r="AR150" s="307">
        <f>COUNTIF(ParticipationMars1[[#This Row],[1]:[31]],Code9)</f>
        <v>0</v>
      </c>
      <c r="AS150" s="307">
        <f>COUNTIF(ParticipationMars1[[#This Row],[1]:[31]],Code10)</f>
        <v>0</v>
      </c>
      <c r="AT150" s="307">
        <f>COUNTIF(ParticipationMars1[[#This Row],[1]:[31]],Code11)</f>
        <v>0</v>
      </c>
      <c r="AU150" s="30">
        <f>COUNTIF(ParticipationMars1[[#This Row],[1]:[31]],Code12)</f>
        <v>1</v>
      </c>
      <c r="AV150" s="307">
        <f>COUNTIF(ParticipationMars1[[#This Row],[1]:[31]],Code13)</f>
        <v>0</v>
      </c>
      <c r="AW150" s="307">
        <f>COUNTIF(ParticipationMars1[[#This Row],[1]:[31]],Code14)</f>
        <v>1</v>
      </c>
      <c r="AX150" s="307">
        <f>COUNTIF(ParticipationMars1[[#This Row],[1]:[31]],Code15)</f>
        <v>0</v>
      </c>
      <c r="AY150" s="307">
        <f>COUNTIF(ParticipationMars1[[#This Row],[1]:[31]],Code16)</f>
        <v>0</v>
      </c>
      <c r="AZ150" s="307">
        <f>COUNTIF(ParticipationMars1[[#This Row],[1]:[31]],Code17)</f>
        <v>0</v>
      </c>
      <c r="BA150" s="30">
        <f>COUNTIF(ParticipationMars1[[#This Row],[1]:[31]],Code25)</f>
        <v>0</v>
      </c>
      <c r="BB150" s="307">
        <f>COUNTIF(ParticipationMars1[[#This Row],[1]:[31]],Code26)</f>
        <v>0</v>
      </c>
      <c r="BC150" s="307">
        <f>COUNTIF(ParticipationMars1[[#This Row],[1]:[31]],Code27)</f>
        <v>0</v>
      </c>
      <c r="BD150" s="30">
        <f>COUNTIF(ParticipationMars1[[#This Row],[1]:[31]],Code28)</f>
        <v>0</v>
      </c>
      <c r="BE150" s="30">
        <f>COUNTIF(ParticipationMars1[[#This Row],[1]:[31]],code30)</f>
        <v>0</v>
      </c>
      <c r="BF150" s="30">
        <f>COUNTIF(ParticipationMars1[[#This Row],[1]:[31]],Code31)</f>
        <v>0</v>
      </c>
      <c r="BG150" s="307">
        <f>COUNTIF(ParticipationMars1[[#This Row],[1]:[31]],code21)</f>
        <v>1</v>
      </c>
      <c r="BH150" s="307">
        <f>COUNTIF(ParticipationMars1[[#This Row],[1]:[31]],Code24)</f>
        <v>0</v>
      </c>
      <c r="BI150" s="307">
        <f>COUNTIF(ParticipationMars1[[#This Row],[1]:[31]],code18)</f>
        <v>0</v>
      </c>
      <c r="BJ150" s="307">
        <f>COUNTIF(ParticipationMars1[[#This Row],[1]:[31]],code19)</f>
        <v>0</v>
      </c>
      <c r="BK150" s="307">
        <f>COUNTIF(ParticipationMars1[[#This Row],[1]:[31]],code20)</f>
        <v>0</v>
      </c>
      <c r="BL150" s="300">
        <f>COUNTIF(ParticipationMars1[[#This Row],[1]:[31]],code29)</f>
        <v>0</v>
      </c>
      <c r="BM150" s="297"/>
      <c r="BN150" s="297">
        <v>1</v>
      </c>
      <c r="BO150" s="297"/>
      <c r="BP150" s="297"/>
      <c r="BQ150" s="297"/>
      <c r="BR150" s="297"/>
      <c r="BS150" s="297"/>
      <c r="BT150" s="297">
        <v>4</v>
      </c>
      <c r="BU150" s="297"/>
      <c r="BV150" s="297"/>
      <c r="BW150" s="297">
        <v>3</v>
      </c>
      <c r="BX150" s="297"/>
      <c r="BY150" s="297"/>
      <c r="BZ150" s="297"/>
      <c r="CA150" s="297"/>
      <c r="CB150" s="297"/>
      <c r="CC150" s="297"/>
      <c r="CD150" s="297"/>
      <c r="CE150" s="297"/>
      <c r="CF150" s="297"/>
      <c r="CG150" s="297">
        <v>3</v>
      </c>
      <c r="CH150" s="297"/>
      <c r="CI150" s="297"/>
      <c r="CJ150" s="297"/>
      <c r="CK150" s="297">
        <v>2</v>
      </c>
      <c r="CL150" s="297"/>
      <c r="CM150" s="297"/>
      <c r="CN150" s="297"/>
      <c r="CO150" s="297"/>
      <c r="CP150" s="297"/>
      <c r="CQ150" s="297"/>
      <c r="CR150" s="297"/>
      <c r="CS150" s="307"/>
      <c r="CT150" s="307"/>
      <c r="CU150" s="300"/>
      <c r="CV150" s="501">
        <f t="shared" si="13"/>
        <v>4</v>
      </c>
      <c r="CW150" s="501">
        <f t="shared" si="14"/>
        <v>32</v>
      </c>
      <c r="CX150" s="249">
        <f t="shared" si="15"/>
        <v>0</v>
      </c>
      <c r="CY150" s="327"/>
    </row>
    <row r="151" spans="1:103">
      <c r="A151" s="567" t="s">
        <v>608</v>
      </c>
      <c r="B151" s="339" t="str">
        <f>IFERROR(VLOOKUP(ParticipationMars1[[#This Row],[Référence]],ListeÉtudiants1[],18,FALSE),"")</f>
        <v>NGOME BEKOMBO CASIMIR</v>
      </c>
      <c r="C151" s="19"/>
      <c r="D151" s="19"/>
      <c r="E151" s="19"/>
      <c r="F151" s="19"/>
      <c r="G151" s="19"/>
      <c r="H151" s="19"/>
      <c r="I151" s="19"/>
      <c r="J151" s="19"/>
      <c r="K151" s="19"/>
      <c r="L151" s="19"/>
      <c r="M151" s="19"/>
      <c r="N151" s="19"/>
      <c r="O151" s="19"/>
      <c r="P151" s="19"/>
      <c r="Q151" s="19" t="s">
        <v>109</v>
      </c>
      <c r="R151" s="19"/>
      <c r="S151" s="19"/>
      <c r="T151" s="19"/>
      <c r="U151" s="19"/>
      <c r="V151" s="19"/>
      <c r="W151" s="19" t="s">
        <v>35</v>
      </c>
      <c r="X151" s="19" t="s">
        <v>488</v>
      </c>
      <c r="Y151" s="19" t="s">
        <v>108</v>
      </c>
      <c r="Z151" s="19"/>
      <c r="AA151" s="19" t="s">
        <v>529</v>
      </c>
      <c r="AB151" s="19" t="s">
        <v>109</v>
      </c>
      <c r="AC151" s="19" t="s">
        <v>486</v>
      </c>
      <c r="AD151" s="19" t="s">
        <v>105</v>
      </c>
      <c r="AE151" s="19"/>
      <c r="AF151" s="19"/>
      <c r="AG151" s="340"/>
      <c r="AH151" s="6">
        <f>COUNTIF(ParticipationMars1[[#This Row],[1]:[31]],Code1)</f>
        <v>0</v>
      </c>
      <c r="AI151" s="331">
        <f>COUNTIF(ParticipationMars1[[#This Row],[1]:[31]],code22)</f>
        <v>0</v>
      </c>
      <c r="AJ151" s="30">
        <f>COUNTIF(ParticipationMars1[[#This Row],[1]:[31]],Code2)</f>
        <v>1</v>
      </c>
      <c r="AK151" s="30">
        <f>COUNTIF(ParticipationMars1[[#This Row],[1]:[31]],Code3)</f>
        <v>0</v>
      </c>
      <c r="AL151" s="30">
        <f>COUNTIF(ParticipationMars1[[#This Row],[1]:[31]],Code4)</f>
        <v>0</v>
      </c>
      <c r="AM151" s="307">
        <f>COUNTIF(ParticipationMars1[[#This Row],[1]:[31]],Code5)</f>
        <v>1</v>
      </c>
      <c r="AN151" s="307">
        <f>COUNTIF(ParticipationMars1[[#This Row],[1]:[31]],Code23)</f>
        <v>1</v>
      </c>
      <c r="AO151" s="307">
        <f>COUNTIF(ParticipationMars1[[#This Row],[1]:[31]],Code6)</f>
        <v>1</v>
      </c>
      <c r="AP151" s="307">
        <f>COUNTIF(ParticipationMars1[[#This Row],[1]:[31]],Code7)</f>
        <v>2</v>
      </c>
      <c r="AQ151" s="307">
        <f>COUNTIF(ParticipationMars1[[#This Row],[1]:[31]],Code8)</f>
        <v>0</v>
      </c>
      <c r="AR151" s="307">
        <f>COUNTIF(ParticipationMars1[[#This Row],[1]:[31]],Code9)</f>
        <v>0</v>
      </c>
      <c r="AS151" s="307">
        <f>COUNTIF(ParticipationMars1[[#This Row],[1]:[31]],Code10)</f>
        <v>0</v>
      </c>
      <c r="AT151" s="307">
        <f>COUNTIF(ParticipationMars1[[#This Row],[1]:[31]],Code11)</f>
        <v>1</v>
      </c>
      <c r="AU151" s="30">
        <f>COUNTIF(ParticipationMars1[[#This Row],[1]:[31]],Code12)</f>
        <v>0</v>
      </c>
      <c r="AV151" s="307">
        <f>COUNTIF(ParticipationMars1[[#This Row],[1]:[31]],Code13)</f>
        <v>0</v>
      </c>
      <c r="AW151" s="307">
        <f>COUNTIF(ParticipationMars1[[#This Row],[1]:[31]],Code14)</f>
        <v>1</v>
      </c>
      <c r="AX151" s="307">
        <f>COUNTIF(ParticipationMars1[[#This Row],[1]:[31]],Code15)</f>
        <v>0</v>
      </c>
      <c r="AY151" s="307">
        <f>COUNTIF(ParticipationMars1[[#This Row],[1]:[31]],Code16)</f>
        <v>0</v>
      </c>
      <c r="AZ151" s="307">
        <f>COUNTIF(ParticipationMars1[[#This Row],[1]:[31]],Code17)</f>
        <v>0</v>
      </c>
      <c r="BA151" s="307">
        <f>COUNTIF(ParticipationMars1[[#This Row],[1]:[31]],Code25)</f>
        <v>0</v>
      </c>
      <c r="BB151" s="307">
        <f>COUNTIF(ParticipationMars1[[#This Row],[1]:[31]],Code26)</f>
        <v>0</v>
      </c>
      <c r="BC151" s="307">
        <f>COUNTIF(ParticipationMars1[[#This Row],[1]:[31]],Code27)</f>
        <v>0</v>
      </c>
      <c r="BD151" s="307">
        <f>COUNTIF(ParticipationMars1[[#This Row],[1]:[31]],Code28)</f>
        <v>0</v>
      </c>
      <c r="BE151" s="307">
        <f>COUNTIF(ParticipationMars1[[#This Row],[1]:[31]],code30)</f>
        <v>0</v>
      </c>
      <c r="BF151" s="307">
        <f>COUNTIF(ParticipationMars1[[#This Row],[1]:[31]],Code31)</f>
        <v>0</v>
      </c>
      <c r="BG151" s="307">
        <f>COUNTIF(ParticipationMars1[[#This Row],[1]:[31]],code21)</f>
        <v>0</v>
      </c>
      <c r="BH151" s="307">
        <f>COUNTIF(ParticipationMars1[[#This Row],[1]:[31]],Code24)</f>
        <v>0</v>
      </c>
      <c r="BI151" s="307">
        <f>COUNTIF(ParticipationMars1[[#This Row],[1]:[31]],code18)</f>
        <v>0</v>
      </c>
      <c r="BJ151" s="307">
        <f>COUNTIF(ParticipationMars1[[#This Row],[1]:[31]],code19)</f>
        <v>0</v>
      </c>
      <c r="BK151" s="307">
        <f>COUNTIF(ParticipationMars1[[#This Row],[1]:[31]],code20)</f>
        <v>0</v>
      </c>
      <c r="BL151" s="300">
        <f>COUNTIF(ParticipationMars1[[#This Row],[1]:[31]],code29)</f>
        <v>0</v>
      </c>
      <c r="BM151" s="297"/>
      <c r="BN151" s="297">
        <v>1</v>
      </c>
      <c r="BO151" s="297"/>
      <c r="BP151" s="297"/>
      <c r="BQ151" s="297"/>
      <c r="BR151" s="297"/>
      <c r="BS151" s="297"/>
      <c r="BT151" s="297">
        <v>4</v>
      </c>
      <c r="BU151" s="297"/>
      <c r="BV151" s="297"/>
      <c r="BW151" s="297">
        <v>2</v>
      </c>
      <c r="BX151" s="297"/>
      <c r="BY151" s="297"/>
      <c r="BZ151" s="297">
        <v>1</v>
      </c>
      <c r="CA151" s="297"/>
      <c r="CB151" s="297">
        <v>1</v>
      </c>
      <c r="CC151" s="297"/>
      <c r="CD151" s="297"/>
      <c r="CE151" s="297"/>
      <c r="CF151" s="297"/>
      <c r="CG151" s="297">
        <v>2</v>
      </c>
      <c r="CH151" s="297"/>
      <c r="CI151" s="297"/>
      <c r="CJ151" s="297"/>
      <c r="CK151" s="297">
        <v>2</v>
      </c>
      <c r="CL151" s="297"/>
      <c r="CM151" s="297"/>
      <c r="CN151" s="297"/>
      <c r="CO151" s="297"/>
      <c r="CP151" s="297"/>
      <c r="CQ151" s="297"/>
      <c r="CR151" s="297"/>
      <c r="CS151" s="307"/>
      <c r="CT151" s="307"/>
      <c r="CU151" s="300"/>
      <c r="CV151" s="501">
        <f t="shared" si="13"/>
        <v>12</v>
      </c>
      <c r="CW151" s="501">
        <f t="shared" si="14"/>
        <v>26</v>
      </c>
      <c r="CX151" s="249">
        <f t="shared" si="15"/>
        <v>0</v>
      </c>
      <c r="CY151" s="327"/>
    </row>
    <row r="152" spans="1:103">
      <c r="A152" s="567" t="s">
        <v>609</v>
      </c>
      <c r="B152" s="162" t="str">
        <f>IFERROR(VLOOKUP(ParticipationMars1[[#This Row],[Référence]],ListeÉtudiants1[],18,FALSE),"")</f>
        <v>SAINTRAY  Dorian</v>
      </c>
      <c r="C152" s="19"/>
      <c r="D152" s="19"/>
      <c r="E152" s="19"/>
      <c r="F152" s="19"/>
      <c r="G152" s="19"/>
      <c r="H152" s="19"/>
      <c r="I152" s="19"/>
      <c r="J152" s="19"/>
      <c r="K152" s="19"/>
      <c r="L152" s="19"/>
      <c r="M152" s="19"/>
      <c r="N152" s="19"/>
      <c r="O152" s="19" t="s">
        <v>108</v>
      </c>
      <c r="P152" s="19" t="s">
        <v>35</v>
      </c>
      <c r="Q152" s="19" t="s">
        <v>108</v>
      </c>
      <c r="R152" s="19"/>
      <c r="S152" s="19"/>
      <c r="T152" s="19"/>
      <c r="U152" s="19" t="s">
        <v>109</v>
      </c>
      <c r="V152" s="19" t="s">
        <v>620</v>
      </c>
      <c r="W152" s="19" t="s">
        <v>488</v>
      </c>
      <c r="X152" s="19" t="s">
        <v>488</v>
      </c>
      <c r="Y152" s="19" t="s">
        <v>108</v>
      </c>
      <c r="Z152" s="19"/>
      <c r="AA152" s="19" t="s">
        <v>529</v>
      </c>
      <c r="AB152" s="19" t="s">
        <v>109</v>
      </c>
      <c r="AC152" s="19" t="s">
        <v>486</v>
      </c>
      <c r="AD152" s="19" t="s">
        <v>507</v>
      </c>
      <c r="AE152" s="19"/>
      <c r="AF152" s="19"/>
      <c r="AG152" s="340"/>
      <c r="AH152" s="6">
        <f>COUNTIF(ParticipationMars1[[#This Row],[1]:[31]],Code1)</f>
        <v>0</v>
      </c>
      <c r="AI152" s="6">
        <f>COUNTIF(ParticipationMars1[[#This Row],[1]:[31]],code22)</f>
        <v>0</v>
      </c>
      <c r="AJ152" s="30">
        <f>COUNTIF(ParticipationMars1[[#This Row],[1]:[31]],Code2)</f>
        <v>0</v>
      </c>
      <c r="AK152" s="30">
        <f>COUNTIF(ParticipationMars1[[#This Row],[1]:[31]],Code3)</f>
        <v>0</v>
      </c>
      <c r="AL152" s="30">
        <f>COUNTIF(ParticipationMars1[[#This Row],[1]:[31]],Code4)</f>
        <v>0</v>
      </c>
      <c r="AM152" s="30">
        <f>COUNTIF(ParticipationMars1[[#This Row],[1]:[31]],Code5)</f>
        <v>1</v>
      </c>
      <c r="AN152" s="30">
        <f>COUNTIF(ParticipationMars1[[#This Row],[1]:[31]],Code23)</f>
        <v>1</v>
      </c>
      <c r="AO152" s="30">
        <f>COUNTIF(ParticipationMars1[[#This Row],[1]:[31]],Code6)</f>
        <v>3</v>
      </c>
      <c r="AP152" s="30">
        <f>COUNTIF(ParticipationMars1[[#This Row],[1]:[31]],Code7)</f>
        <v>2</v>
      </c>
      <c r="AQ152" s="30">
        <f>COUNTIF(ParticipationMars1[[#This Row],[1]:[31]],Code8)</f>
        <v>0</v>
      </c>
      <c r="AR152" s="30">
        <f>COUNTIF(ParticipationMars1[[#This Row],[1]:[31]],Code9)</f>
        <v>0</v>
      </c>
      <c r="AS152" s="30">
        <f>COUNTIF(ParticipationMars1[[#This Row],[1]:[31]],Code10)</f>
        <v>0</v>
      </c>
      <c r="AT152" s="30">
        <f>COUNTIF(ParticipationMars1[[#This Row],[1]:[31]],Code11)</f>
        <v>1</v>
      </c>
      <c r="AU152" s="30">
        <f>COUNTIF(ParticipationMars1[[#This Row],[1]:[31]],Code12)</f>
        <v>0</v>
      </c>
      <c r="AV152" s="30">
        <f>COUNTIF(ParticipationMars1[[#This Row],[1]:[31]],Code13)</f>
        <v>0</v>
      </c>
      <c r="AW152" s="30">
        <f>COUNTIF(ParticipationMars1[[#This Row],[1]:[31]],Code14)</f>
        <v>2</v>
      </c>
      <c r="AX152" s="30">
        <f>COUNTIF(ParticipationMars1[[#This Row],[1]:[31]],Code15)</f>
        <v>0</v>
      </c>
      <c r="AY152" s="30">
        <f>COUNTIF(ParticipationMars1[[#This Row],[1]:[31]],Code16)</f>
        <v>0</v>
      </c>
      <c r="AZ152" s="30">
        <f>COUNTIF(ParticipationMars1[[#This Row],[1]:[31]],Code17)</f>
        <v>0</v>
      </c>
      <c r="BA152" s="30">
        <f>COUNTIF(ParticipationMars1[[#This Row],[1]:[31]],Code25)</f>
        <v>0</v>
      </c>
      <c r="BB152" s="307">
        <f>COUNTIF(ParticipationMars1[[#This Row],[1]:[31]],Code26)</f>
        <v>1</v>
      </c>
      <c r="BC152" s="30">
        <f>COUNTIF(ParticipationMars1[[#This Row],[1]:[31]],Code27)</f>
        <v>0</v>
      </c>
      <c r="BD152" s="30">
        <f>COUNTIF(ParticipationMars1[[#This Row],[1]:[31]],Code28)</f>
        <v>0</v>
      </c>
      <c r="BE152" s="30">
        <f>COUNTIF(ParticipationMars1[[#This Row],[1]:[31]],code30)</f>
        <v>0</v>
      </c>
      <c r="BF152" s="30">
        <f>COUNTIF(ParticipationMars1[[#This Row],[1]:[31]],Code31)</f>
        <v>0</v>
      </c>
      <c r="BG152" s="30">
        <f>COUNTIF(ParticipationMars1[[#This Row],[1]:[31]],code21)</f>
        <v>1</v>
      </c>
      <c r="BH152" s="30">
        <f>COUNTIF(ParticipationMars1[[#This Row],[1]:[31]],Code24)</f>
        <v>0</v>
      </c>
      <c r="BI152" s="30">
        <f>COUNTIF(ParticipationMars1[[#This Row],[1]:[31]],code18)</f>
        <v>0</v>
      </c>
      <c r="BJ152" s="30">
        <f>COUNTIF(ParticipationMars1[[#This Row],[1]:[31]],code19)</f>
        <v>0</v>
      </c>
      <c r="BK152" s="30">
        <f>COUNTIF(ParticipationMars1[[#This Row],[1]:[31]],code20)</f>
        <v>0</v>
      </c>
      <c r="BL152" s="164">
        <f>COUNTIF(ParticipationMars1[[#This Row],[1]:[31]],code29)</f>
        <v>0</v>
      </c>
      <c r="BM152" s="297"/>
      <c r="BN152" s="297">
        <v>1</v>
      </c>
      <c r="BO152" s="297"/>
      <c r="BP152" s="297"/>
      <c r="BQ152" s="297"/>
      <c r="BR152" s="297"/>
      <c r="BS152" s="297"/>
      <c r="BT152" s="297">
        <v>4</v>
      </c>
      <c r="BU152" s="297"/>
      <c r="BV152" s="297"/>
      <c r="BW152" s="297">
        <v>5</v>
      </c>
      <c r="BX152" s="297"/>
      <c r="BY152" s="297"/>
      <c r="BZ152" s="297">
        <v>1</v>
      </c>
      <c r="CA152" s="297"/>
      <c r="CB152" s="297">
        <v>2</v>
      </c>
      <c r="CC152" s="297"/>
      <c r="CD152" s="297"/>
      <c r="CE152" s="297"/>
      <c r="CF152" s="297"/>
      <c r="CG152" s="297">
        <v>2</v>
      </c>
      <c r="CH152" s="297"/>
      <c r="CI152" s="297"/>
      <c r="CJ152" s="297"/>
      <c r="CK152" s="297">
        <v>2</v>
      </c>
      <c r="CL152" s="297"/>
      <c r="CM152" s="297"/>
      <c r="CN152" s="297"/>
      <c r="CO152" s="297"/>
      <c r="CP152" s="297"/>
      <c r="CQ152" s="297"/>
      <c r="CR152" s="297"/>
      <c r="CS152" s="307"/>
      <c r="CT152" s="307"/>
      <c r="CU152" s="300"/>
      <c r="CV152" s="501">
        <f t="shared" si="13"/>
        <v>15</v>
      </c>
      <c r="CW152" s="501">
        <f t="shared" si="14"/>
        <v>42</v>
      </c>
      <c r="CX152" s="249">
        <f t="shared" si="15"/>
        <v>0</v>
      </c>
      <c r="CY152" s="170">
        <f>SUM((BI152*7)+(BJ152*10)+(BK152*12))</f>
        <v>0</v>
      </c>
    </row>
    <row r="153" spans="1:103">
      <c r="A153" s="567" t="s">
        <v>613</v>
      </c>
      <c r="B153" s="162" t="str">
        <f>IFERROR(VLOOKUP(ParticipationMars1[[#This Row],[Référence]],ListeÉtudiants1[],18,FALSE),"")</f>
        <v xml:space="preserve">SISSOKO </v>
      </c>
      <c r="C153" s="19"/>
      <c r="D153" s="19"/>
      <c r="E153" s="19"/>
      <c r="F153" s="19"/>
      <c r="G153" s="19"/>
      <c r="H153" s="19"/>
      <c r="I153" s="19"/>
      <c r="J153" s="19"/>
      <c r="K153" s="19"/>
      <c r="L153" s="19"/>
      <c r="M153" s="19"/>
      <c r="N153" s="19"/>
      <c r="O153" s="19"/>
      <c r="P153" s="19" t="s">
        <v>507</v>
      </c>
      <c r="Q153" s="19" t="s">
        <v>109</v>
      </c>
      <c r="R153" s="19"/>
      <c r="S153" s="19"/>
      <c r="T153" s="19"/>
      <c r="U153" s="19" t="s">
        <v>109</v>
      </c>
      <c r="V153" s="19" t="s">
        <v>620</v>
      </c>
      <c r="W153" s="19" t="s">
        <v>488</v>
      </c>
      <c r="X153" s="19" t="s">
        <v>488</v>
      </c>
      <c r="Y153" s="19" t="s">
        <v>627</v>
      </c>
      <c r="Z153" s="19"/>
      <c r="AA153" s="19" t="s">
        <v>529</v>
      </c>
      <c r="AB153" s="19" t="s">
        <v>487</v>
      </c>
      <c r="AC153" s="19" t="s">
        <v>486</v>
      </c>
      <c r="AD153" s="19" t="s">
        <v>507</v>
      </c>
      <c r="AE153" s="19"/>
      <c r="AF153" s="19" t="s">
        <v>531</v>
      </c>
      <c r="AG153" s="340"/>
      <c r="AH153" s="6">
        <f>COUNTIF(ParticipationMars1[[#This Row],[1]:[31]],Code1)</f>
        <v>0</v>
      </c>
      <c r="AI153" s="331">
        <f>COUNTIF(ParticipationMars1[[#This Row],[1]:[31]],code22)</f>
        <v>0</v>
      </c>
      <c r="AJ153" s="30">
        <f>COUNTIF(ParticipationMars1[[#This Row],[1]:[31]],Code2)</f>
        <v>0</v>
      </c>
      <c r="AK153" s="30">
        <f>COUNTIF(ParticipationMars1[[#This Row],[1]:[31]],Code3)</f>
        <v>0</v>
      </c>
      <c r="AL153" s="30">
        <f>COUNTIF(ParticipationMars1[[#This Row],[1]:[31]],Code4)</f>
        <v>0</v>
      </c>
      <c r="AM153" s="307">
        <f>COUNTIF(ParticipationMars1[[#This Row],[1]:[31]],Code5)</f>
        <v>0</v>
      </c>
      <c r="AN153" s="307">
        <f>COUNTIF(ParticipationMars1[[#This Row],[1]:[31]],Code23)</f>
        <v>1</v>
      </c>
      <c r="AO153" s="307">
        <f>COUNTIF(ParticipationMars1[[#This Row],[1]:[31]],Code6)</f>
        <v>0</v>
      </c>
      <c r="AP153" s="307">
        <f>COUNTIF(ParticipationMars1[[#This Row],[1]:[31]],Code7)</f>
        <v>2</v>
      </c>
      <c r="AQ153" s="307">
        <f>COUNTIF(ParticipationMars1[[#This Row],[1]:[31]],Code8)</f>
        <v>0</v>
      </c>
      <c r="AR153" s="307">
        <f>COUNTIF(ParticipationMars1[[#This Row],[1]:[31]],Code9)</f>
        <v>0</v>
      </c>
      <c r="AS153" s="307">
        <f>COUNTIF(ParticipationMars1[[#This Row],[1]:[31]],Code10)</f>
        <v>0</v>
      </c>
      <c r="AT153" s="307">
        <f>COUNTIF(ParticipationMars1[[#This Row],[1]:[31]],Code11)</f>
        <v>1</v>
      </c>
      <c r="AU153" s="30">
        <f>COUNTIF(ParticipationMars1[[#This Row],[1]:[31]],Code12)</f>
        <v>1</v>
      </c>
      <c r="AV153" s="307">
        <f>COUNTIF(ParticipationMars1[[#This Row],[1]:[31]],Code13)</f>
        <v>0</v>
      </c>
      <c r="AW153" s="307">
        <f>COUNTIF(ParticipationMars1[[#This Row],[1]:[31]],Code14)</f>
        <v>2</v>
      </c>
      <c r="AX153" s="307">
        <f>COUNTIF(ParticipationMars1[[#This Row],[1]:[31]],Code15)</f>
        <v>0</v>
      </c>
      <c r="AY153" s="307">
        <f>COUNTIF(ParticipationMars1[[#This Row],[1]:[31]],Code16)</f>
        <v>0</v>
      </c>
      <c r="AZ153" s="307">
        <f>COUNTIF(ParticipationMars1[[#This Row],[1]:[31]],Code17)</f>
        <v>0</v>
      </c>
      <c r="BA153" s="30">
        <f>COUNTIF(ParticipationMars1[[#This Row],[1]:[31]],Code25)</f>
        <v>0</v>
      </c>
      <c r="BB153" s="307">
        <f>COUNTIF(ParticipationMars1[[#This Row],[1]:[31]],Code26)</f>
        <v>1</v>
      </c>
      <c r="BC153" s="307">
        <f>COUNTIF(ParticipationMars1[[#This Row],[1]:[31]],Code27)</f>
        <v>1</v>
      </c>
      <c r="BD153" s="30">
        <f>COUNTIF(ParticipationMars1[[#This Row],[1]:[31]],Code28)</f>
        <v>0</v>
      </c>
      <c r="BE153" s="30">
        <f>COUNTIF(ParticipationMars1[[#This Row],[1]:[31]],code30)</f>
        <v>0</v>
      </c>
      <c r="BF153" s="30">
        <f>COUNTIF(ParticipationMars1[[#This Row],[1]:[31]],Code31)</f>
        <v>0</v>
      </c>
      <c r="BG153" s="307">
        <f>COUNTIF(ParticipationMars1[[#This Row],[1]:[31]],code21)</f>
        <v>2</v>
      </c>
      <c r="BH153" s="307">
        <f>COUNTIF(ParticipationMars1[[#This Row],[1]:[31]],Code24)</f>
        <v>1</v>
      </c>
      <c r="BI153" s="307">
        <f>COUNTIF(ParticipationMars1[[#This Row],[1]:[31]],code18)</f>
        <v>0</v>
      </c>
      <c r="BJ153" s="307">
        <f>COUNTIF(ParticipationMars1[[#This Row],[1]:[31]],code19)</f>
        <v>0</v>
      </c>
      <c r="BK153" s="307">
        <f>COUNTIF(ParticipationMars1[[#This Row],[1]:[31]],code20)</f>
        <v>0</v>
      </c>
      <c r="BL153" s="300">
        <f>COUNTIF(ParticipationMars1[[#This Row],[1]:[31]],code29)</f>
        <v>0</v>
      </c>
      <c r="BM153" s="297"/>
      <c r="BN153" s="297">
        <v>1</v>
      </c>
      <c r="BO153" s="297"/>
      <c r="BP153" s="297"/>
      <c r="BQ153" s="297"/>
      <c r="BR153" s="297"/>
      <c r="BS153" s="297"/>
      <c r="BT153" s="297">
        <v>4</v>
      </c>
      <c r="BU153" s="297"/>
      <c r="BV153" s="297"/>
      <c r="BW153" s="297">
        <v>6</v>
      </c>
      <c r="BX153" s="297"/>
      <c r="BY153" s="297"/>
      <c r="BZ153" s="297">
        <v>2</v>
      </c>
      <c r="CA153" s="297"/>
      <c r="CB153" s="297">
        <v>2</v>
      </c>
      <c r="CC153" s="297"/>
      <c r="CD153" s="297"/>
      <c r="CE153" s="297"/>
      <c r="CF153" s="297"/>
      <c r="CG153" s="297">
        <v>5</v>
      </c>
      <c r="CH153" s="297"/>
      <c r="CI153" s="297"/>
      <c r="CJ153" s="297"/>
      <c r="CK153" s="297">
        <v>2</v>
      </c>
      <c r="CL153" s="297"/>
      <c r="CM153" s="297"/>
      <c r="CN153" s="297"/>
      <c r="CO153" s="297"/>
      <c r="CP153" s="297"/>
      <c r="CQ153" s="297"/>
      <c r="CR153" s="297"/>
      <c r="CS153" s="307"/>
      <c r="CT153" s="307"/>
      <c r="CU153" s="300"/>
      <c r="CV153" s="501">
        <f t="shared" si="13"/>
        <v>21</v>
      </c>
      <c r="CW153" s="501">
        <f t="shared" si="14"/>
        <v>44</v>
      </c>
      <c r="CX153" s="249">
        <f t="shared" si="15"/>
        <v>1</v>
      </c>
      <c r="CY153" s="327"/>
    </row>
    <row r="154" spans="1:103">
      <c r="A154" s="567" t="s">
        <v>614</v>
      </c>
      <c r="B154" s="162" t="str">
        <f>IFERROR(VLOOKUP(ParticipationMars1[[#This Row],[Référence]],ListeÉtudiants1[],18,FALSE),"")</f>
        <v>ZAKHOUR Samantha</v>
      </c>
      <c r="C154" s="19"/>
      <c r="D154" s="19"/>
      <c r="E154" s="19"/>
      <c r="F154" s="19"/>
      <c r="G154" s="19"/>
      <c r="H154" s="19"/>
      <c r="I154" s="19"/>
      <c r="J154" s="19"/>
      <c r="K154" s="19"/>
      <c r="L154" s="19"/>
      <c r="M154" s="19"/>
      <c r="N154" s="19"/>
      <c r="O154" s="19" t="s">
        <v>108</v>
      </c>
      <c r="P154" s="19" t="s">
        <v>35</v>
      </c>
      <c r="Q154" s="19" t="s">
        <v>109</v>
      </c>
      <c r="R154" s="19"/>
      <c r="S154" s="19"/>
      <c r="T154" s="19"/>
      <c r="U154" s="19" t="s">
        <v>109</v>
      </c>
      <c r="V154" s="19" t="s">
        <v>620</v>
      </c>
      <c r="W154" s="19" t="s">
        <v>488</v>
      </c>
      <c r="X154" s="19" t="s">
        <v>488</v>
      </c>
      <c r="Y154" s="19" t="s">
        <v>627</v>
      </c>
      <c r="Z154" s="19"/>
      <c r="AA154" s="19" t="s">
        <v>529</v>
      </c>
      <c r="AB154" s="19" t="s">
        <v>487</v>
      </c>
      <c r="AC154" s="19" t="s">
        <v>486</v>
      </c>
      <c r="AD154" s="19" t="s">
        <v>507</v>
      </c>
      <c r="AE154" s="19"/>
      <c r="AF154" s="19"/>
      <c r="AG154" s="340"/>
      <c r="AH154" s="6">
        <f>COUNTIF(ParticipationMars1[[#This Row],[1]:[31]],Code1)</f>
        <v>0</v>
      </c>
      <c r="AI154" s="331">
        <f>COUNTIF(ParticipationMars1[[#This Row],[1]:[31]],code22)</f>
        <v>0</v>
      </c>
      <c r="AJ154" s="30">
        <f>COUNTIF(ParticipationMars1[[#This Row],[1]:[31]],Code2)</f>
        <v>0</v>
      </c>
      <c r="AK154" s="30">
        <f>COUNTIF(ParticipationMars1[[#This Row],[1]:[31]],Code3)</f>
        <v>0</v>
      </c>
      <c r="AL154" s="30">
        <f>COUNTIF(ParticipationMars1[[#This Row],[1]:[31]],Code4)</f>
        <v>0</v>
      </c>
      <c r="AM154" s="307">
        <f>COUNTIF(ParticipationMars1[[#This Row],[1]:[31]],Code5)</f>
        <v>1</v>
      </c>
      <c r="AN154" s="307">
        <f>COUNTIF(ParticipationMars1[[#This Row],[1]:[31]],Code23)</f>
        <v>1</v>
      </c>
      <c r="AO154" s="307">
        <f>COUNTIF(ParticipationMars1[[#This Row],[1]:[31]],Code6)</f>
        <v>1</v>
      </c>
      <c r="AP154" s="307">
        <f>COUNTIF(ParticipationMars1[[#This Row],[1]:[31]],Code7)</f>
        <v>2</v>
      </c>
      <c r="AQ154" s="307">
        <f>COUNTIF(ParticipationMars1[[#This Row],[1]:[31]],Code8)</f>
        <v>0</v>
      </c>
      <c r="AR154" s="307">
        <f>COUNTIF(ParticipationMars1[[#This Row],[1]:[31]],Code9)</f>
        <v>0</v>
      </c>
      <c r="AS154" s="307">
        <f>COUNTIF(ParticipationMars1[[#This Row],[1]:[31]],Code10)</f>
        <v>0</v>
      </c>
      <c r="AT154" s="307">
        <f>COUNTIF(ParticipationMars1[[#This Row],[1]:[31]],Code11)</f>
        <v>1</v>
      </c>
      <c r="AU154" s="30">
        <f>COUNTIF(ParticipationMars1[[#This Row],[1]:[31]],Code12)</f>
        <v>1</v>
      </c>
      <c r="AV154" s="307">
        <f>COUNTIF(ParticipationMars1[[#This Row],[1]:[31]],Code13)</f>
        <v>0</v>
      </c>
      <c r="AW154" s="307">
        <f>COUNTIF(ParticipationMars1[[#This Row],[1]:[31]],Code14)</f>
        <v>2</v>
      </c>
      <c r="AX154" s="307">
        <f>COUNTIF(ParticipationMars1[[#This Row],[1]:[31]],Code15)</f>
        <v>0</v>
      </c>
      <c r="AY154" s="307">
        <f>COUNTIF(ParticipationMars1[[#This Row],[1]:[31]],Code16)</f>
        <v>0</v>
      </c>
      <c r="AZ154" s="307">
        <f>COUNTIF(ParticipationMars1[[#This Row],[1]:[31]],Code17)</f>
        <v>0</v>
      </c>
      <c r="BA154" s="30">
        <f>COUNTIF(ParticipationMars1[[#This Row],[1]:[31]],Code25)</f>
        <v>0</v>
      </c>
      <c r="BB154" s="307">
        <f>COUNTIF(ParticipationMars1[[#This Row],[1]:[31]],Code26)</f>
        <v>1</v>
      </c>
      <c r="BC154" s="307">
        <f>COUNTIF(ParticipationMars1[[#This Row],[1]:[31]],Code27)</f>
        <v>1</v>
      </c>
      <c r="BD154" s="30">
        <f>COUNTIF(ParticipationMars1[[#This Row],[1]:[31]],Code28)</f>
        <v>0</v>
      </c>
      <c r="BE154" s="30">
        <f>COUNTIF(ParticipationMars1[[#This Row],[1]:[31]],code30)</f>
        <v>0</v>
      </c>
      <c r="BF154" s="30">
        <f>COUNTIF(ParticipationMars1[[#This Row],[1]:[31]],Code31)</f>
        <v>0</v>
      </c>
      <c r="BG154" s="307">
        <f>COUNTIF(ParticipationMars1[[#This Row],[1]:[31]],code21)</f>
        <v>1</v>
      </c>
      <c r="BH154" s="307">
        <f>COUNTIF(ParticipationMars1[[#This Row],[1]:[31]],Code24)</f>
        <v>0</v>
      </c>
      <c r="BI154" s="307">
        <f>COUNTIF(ParticipationMars1[[#This Row],[1]:[31]],code18)</f>
        <v>0</v>
      </c>
      <c r="BJ154" s="307">
        <f>COUNTIF(ParticipationMars1[[#This Row],[1]:[31]],code19)</f>
        <v>0</v>
      </c>
      <c r="BK154" s="307">
        <f>COUNTIF(ParticipationMars1[[#This Row],[1]:[31]],code20)</f>
        <v>0</v>
      </c>
      <c r="BL154" s="300">
        <f>COUNTIF(ParticipationMars1[[#This Row],[1]:[31]],code29)</f>
        <v>0</v>
      </c>
      <c r="BM154" s="297"/>
      <c r="BN154" s="297">
        <v>1</v>
      </c>
      <c r="BO154" s="297"/>
      <c r="BP154" s="297"/>
      <c r="BQ154" s="297"/>
      <c r="BR154" s="297"/>
      <c r="BS154" s="297"/>
      <c r="BT154" s="297">
        <v>5</v>
      </c>
      <c r="BU154" s="297"/>
      <c r="BV154" s="297"/>
      <c r="BW154" s="297">
        <v>6</v>
      </c>
      <c r="BX154" s="297"/>
      <c r="BY154" s="297"/>
      <c r="BZ154" s="297">
        <v>2</v>
      </c>
      <c r="CA154" s="297"/>
      <c r="CB154" s="297">
        <v>2</v>
      </c>
      <c r="CC154" s="297"/>
      <c r="CD154" s="297"/>
      <c r="CE154" s="297"/>
      <c r="CF154" s="297"/>
      <c r="CG154" s="297">
        <v>4</v>
      </c>
      <c r="CH154" s="297"/>
      <c r="CI154" s="297"/>
      <c r="CJ154" s="297"/>
      <c r="CK154" s="297">
        <v>2</v>
      </c>
      <c r="CL154" s="297"/>
      <c r="CM154" s="297"/>
      <c r="CN154" s="297"/>
      <c r="CO154" s="297"/>
      <c r="CP154" s="297"/>
      <c r="CQ154" s="297"/>
      <c r="CR154" s="297"/>
      <c r="CS154" s="307"/>
      <c r="CT154" s="307"/>
      <c r="CU154" s="300"/>
      <c r="CV154" s="501">
        <f t="shared" si="9"/>
        <v>19</v>
      </c>
      <c r="CW154" s="501">
        <f t="shared" si="10"/>
        <v>47</v>
      </c>
      <c r="CX154" s="249">
        <f t="shared" si="11"/>
        <v>0</v>
      </c>
      <c r="CY154" s="327"/>
    </row>
    <row r="155" spans="1:103" ht="14.25" thickBot="1">
      <c r="A155" s="29" t="s">
        <v>617</v>
      </c>
      <c r="B155" s="339" t="str">
        <f>IFERROR(VLOOKUP(ParticipationMars1[[#This Row],[Référence]],ListeÉtudiants1[],18,FALSE),"")</f>
        <v/>
      </c>
      <c r="C155" s="19"/>
      <c r="D155" s="19"/>
      <c r="E155" s="19"/>
      <c r="F155" s="19"/>
      <c r="G155" s="19"/>
      <c r="H155" s="19"/>
      <c r="I155" s="19"/>
      <c r="J155" s="19"/>
      <c r="K155" s="19"/>
      <c r="L155" s="19"/>
      <c r="M155" s="19"/>
      <c r="N155" s="19"/>
      <c r="O155" s="19"/>
      <c r="P155" s="19"/>
      <c r="Q155" s="19"/>
      <c r="R155" s="19"/>
      <c r="S155" s="19"/>
      <c r="T155" s="19"/>
      <c r="U155" s="19"/>
      <c r="V155" s="19"/>
      <c r="W155" s="19" t="s">
        <v>108</v>
      </c>
      <c r="X155" s="19"/>
      <c r="Y155" s="19"/>
      <c r="Z155" s="19"/>
      <c r="AA155" s="19"/>
      <c r="AB155" s="19"/>
      <c r="AC155" s="19" t="s">
        <v>529</v>
      </c>
      <c r="AD155" s="19"/>
      <c r="AE155" s="19"/>
      <c r="AF155" s="19"/>
      <c r="AG155" s="340"/>
      <c r="AH155" s="6">
        <f>COUNTIF(ParticipationMars1[[#This Row],[1]:[31]],Code1)</f>
        <v>0</v>
      </c>
      <c r="AI155" s="331">
        <f>COUNTIF(ParticipationMars1[[#This Row],[1]:[31]],code22)</f>
        <v>0</v>
      </c>
      <c r="AJ155" s="30">
        <f>COUNTIF(ParticipationMars1[[#This Row],[1]:[31]],Code2)</f>
        <v>0</v>
      </c>
      <c r="AK155" s="30">
        <f>COUNTIF(ParticipationMars1[[#This Row],[1]:[31]],Code3)</f>
        <v>0</v>
      </c>
      <c r="AL155" s="30">
        <f>COUNTIF(ParticipationMars1[[#This Row],[1]:[31]],Code4)</f>
        <v>0</v>
      </c>
      <c r="AM155" s="307">
        <f>COUNTIF(ParticipationMars1[[#This Row],[1]:[31]],Code5)</f>
        <v>0</v>
      </c>
      <c r="AN155" s="307">
        <f>COUNTIF(ParticipationMars1[[#This Row],[1]:[31]],Code23)</f>
        <v>1</v>
      </c>
      <c r="AO155" s="307">
        <f>COUNTIF(ParticipationMars1[[#This Row],[1]:[31]],Code6)</f>
        <v>1</v>
      </c>
      <c r="AP155" s="307">
        <f>COUNTIF(ParticipationMars1[[#This Row],[1]:[31]],Code7)</f>
        <v>0</v>
      </c>
      <c r="AQ155" s="307">
        <f>COUNTIF(ParticipationMars1[[#This Row],[1]:[31]],Code8)</f>
        <v>0</v>
      </c>
      <c r="AR155" s="307">
        <f>COUNTIF(ParticipationMars1[[#This Row],[1]:[31]],Code9)</f>
        <v>0</v>
      </c>
      <c r="AS155" s="307">
        <f>COUNTIF(ParticipationMars1[[#This Row],[1]:[31]],Code10)</f>
        <v>0</v>
      </c>
      <c r="AT155" s="307">
        <f>COUNTIF(ParticipationMars1[[#This Row],[1]:[31]],Code11)</f>
        <v>0</v>
      </c>
      <c r="AU155" s="30">
        <f>COUNTIF(ParticipationMars1[[#This Row],[1]:[31]],Code12)</f>
        <v>0</v>
      </c>
      <c r="AV155" s="307">
        <f>COUNTIF(ParticipationMars1[[#This Row],[1]:[31]],Code13)</f>
        <v>0</v>
      </c>
      <c r="AW155" s="307">
        <f>COUNTIF(ParticipationMars1[[#This Row],[1]:[31]],Code14)</f>
        <v>0</v>
      </c>
      <c r="AX155" s="307">
        <f>COUNTIF(ParticipationMars1[[#This Row],[1]:[31]],Code15)</f>
        <v>0</v>
      </c>
      <c r="AY155" s="307">
        <f>COUNTIF(ParticipationMars1[[#This Row],[1]:[31]],Code16)</f>
        <v>0</v>
      </c>
      <c r="AZ155" s="307">
        <f>COUNTIF(ParticipationMars1[[#This Row],[1]:[31]],Code17)</f>
        <v>0</v>
      </c>
      <c r="BA155" s="307">
        <f>COUNTIF(ParticipationMars1[[#This Row],[1]:[31]],Code25)</f>
        <v>0</v>
      </c>
      <c r="BB155" s="307">
        <f>COUNTIF(ParticipationMars1[[#This Row],[1]:[31]],Code26)</f>
        <v>0</v>
      </c>
      <c r="BC155" s="307">
        <f>COUNTIF(ParticipationMars1[[#This Row],[1]:[31]],Code27)</f>
        <v>0</v>
      </c>
      <c r="BD155" s="307">
        <f>COUNTIF(ParticipationMars1[[#This Row],[1]:[31]],Code28)</f>
        <v>0</v>
      </c>
      <c r="BE155" s="307">
        <f>COUNTIF(ParticipationMars1[[#This Row],[1]:[31]],code30)</f>
        <v>0</v>
      </c>
      <c r="BF155" s="307">
        <f>COUNTIF(ParticipationMars1[[#This Row],[1]:[31]],Code31)</f>
        <v>0</v>
      </c>
      <c r="BG155" s="307">
        <f>COUNTIF(ParticipationMars1[[#This Row],[1]:[31]],code21)</f>
        <v>0</v>
      </c>
      <c r="BH155" s="307">
        <f>COUNTIF(ParticipationMars1[[#This Row],[1]:[31]],Code24)</f>
        <v>0</v>
      </c>
      <c r="BI155" s="307">
        <f>COUNTIF(ParticipationMars1[[#This Row],[1]:[31]],code18)</f>
        <v>0</v>
      </c>
      <c r="BJ155" s="307">
        <f>COUNTIF(ParticipationMars1[[#This Row],[1]:[31]],code19)</f>
        <v>0</v>
      </c>
      <c r="BK155" s="307">
        <f>COUNTIF(ParticipationMars1[[#This Row],[1]:[31]],code20)</f>
        <v>0</v>
      </c>
      <c r="BL155" s="300">
        <f>COUNTIF(ParticipationMars1[[#This Row],[1]:[31]],code29)</f>
        <v>0</v>
      </c>
      <c r="BM155" s="297"/>
      <c r="BN155" s="297"/>
      <c r="BO155" s="297"/>
      <c r="BP155" s="297"/>
      <c r="BQ155" s="297"/>
      <c r="BR155" s="297"/>
      <c r="BS155" s="297"/>
      <c r="BT155" s="297">
        <v>1</v>
      </c>
      <c r="BU155" s="297"/>
      <c r="BV155" s="297"/>
      <c r="BW155" s="297">
        <v>2</v>
      </c>
      <c r="BX155" s="297"/>
      <c r="BY155" s="297"/>
      <c r="BZ155" s="297"/>
      <c r="CA155" s="297"/>
      <c r="CB155" s="297"/>
      <c r="CC155" s="297"/>
      <c r="CD155" s="297"/>
      <c r="CE155" s="297"/>
      <c r="CF155" s="297"/>
      <c r="CG155" s="297"/>
      <c r="CH155" s="297"/>
      <c r="CI155" s="297"/>
      <c r="CJ155" s="297"/>
      <c r="CK155" s="297"/>
      <c r="CL155" s="297"/>
      <c r="CM155" s="297"/>
      <c r="CN155" s="297"/>
      <c r="CO155" s="297"/>
      <c r="CP155" s="297"/>
      <c r="CQ155" s="297"/>
      <c r="CR155" s="297"/>
      <c r="CS155" s="307"/>
      <c r="CT155" s="307"/>
      <c r="CU155" s="300"/>
      <c r="CV155" s="501">
        <f>SUM((AH155*1)+(AI155*1.5)+(AJ155*2)+(AK155*3)+(AP155*5)+(AQ155*6)+(AR155*7)+(AU155*2)+(AX155*3)+(AY155*4)+(AZ155*5)+(BB155*3)+(BA155*2)+(BG155*2)+(BC155*2)+(BD155*2)+(BE155*3)+(BF155*3))</f>
        <v>0</v>
      </c>
      <c r="CW155" s="501">
        <f>SUM((AN155*1)+(AM155*2)+(AO155*3)+(AP155*4)+(AT155*5)+(AU155*6)+(AV155*7)+(AW155*7)+(AX155*4)+(AY155*3)+(AZ155*2)+(BA155*4)+(BB155*1)+(BG155*2)+(BC155*5)+(BD155*1)+(BE155*2)+(BF155*3))</f>
        <v>4</v>
      </c>
      <c r="CX155" s="341">
        <f>BH155*1+BL155*3</f>
        <v>0</v>
      </c>
      <c r="CY155" s="327"/>
    </row>
    <row r="156" spans="1:103" ht="14.25" thickTop="1">
      <c r="A156" s="469"/>
      <c r="B156" s="470"/>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1"/>
      <c r="AJ156" s="471"/>
      <c r="AK156" s="471"/>
      <c r="AL156" s="471"/>
      <c r="AM156" s="471"/>
      <c r="AN156" s="471"/>
      <c r="AO156" s="471"/>
      <c r="AP156" s="471"/>
      <c r="AQ156" s="471"/>
      <c r="AR156" s="471"/>
      <c r="AS156" s="471"/>
      <c r="AT156" s="471"/>
      <c r="AU156" s="471"/>
      <c r="AV156" s="471"/>
      <c r="AW156" s="471"/>
      <c r="AX156" s="471"/>
      <c r="AY156" s="471"/>
      <c r="AZ156" s="471"/>
      <c r="BA156" s="471"/>
      <c r="BB156" s="471"/>
      <c r="BC156" s="471"/>
      <c r="BD156" s="471"/>
      <c r="BE156" s="471"/>
      <c r="BF156" s="471"/>
      <c r="BG156" s="524"/>
      <c r="BH156" s="524"/>
      <c r="BI156" s="469"/>
      <c r="BJ156" s="469"/>
      <c r="BK156" s="469"/>
      <c r="BL156" s="469"/>
      <c r="BM156" s="472"/>
      <c r="BN156" s="472"/>
      <c r="BO156" s="472"/>
      <c r="BP156" s="472"/>
      <c r="BQ156" s="472"/>
      <c r="BR156" s="472"/>
      <c r="BS156" s="472"/>
      <c r="BT156" s="472"/>
      <c r="BU156" s="472"/>
      <c r="BV156" s="472"/>
      <c r="BW156" s="472"/>
      <c r="BX156" s="472"/>
      <c r="BY156" s="472"/>
      <c r="BZ156" s="472"/>
      <c r="CA156" s="472"/>
      <c r="CB156" s="472"/>
      <c r="CC156" s="472"/>
      <c r="CD156" s="472"/>
      <c r="CE156" s="472"/>
      <c r="CF156" s="472"/>
      <c r="CG156" s="472"/>
      <c r="CH156" s="472"/>
      <c r="CI156" s="472"/>
      <c r="CJ156" s="472"/>
      <c r="CK156" s="472"/>
      <c r="CL156" s="472"/>
      <c r="CM156" s="472"/>
      <c r="CN156" s="472"/>
      <c r="CO156" s="472"/>
      <c r="CP156" s="472"/>
      <c r="CQ156" s="472"/>
      <c r="CR156" s="472"/>
      <c r="CS156" s="473"/>
      <c r="CT156" s="473"/>
      <c r="CU156" s="516"/>
      <c r="CV156" s="469"/>
      <c r="CW156" s="469"/>
      <c r="CX156" s="469"/>
      <c r="CY156" s="469"/>
    </row>
    <row r="157" spans="1:103">
      <c r="BM157" s="297"/>
      <c r="BN157" s="297"/>
      <c r="BO157" s="297"/>
      <c r="BP157" s="297"/>
      <c r="BQ157" s="297"/>
      <c r="BR157" s="297"/>
      <c r="BS157" s="297"/>
      <c r="BT157" s="297"/>
      <c r="BU157" s="297"/>
      <c r="BV157" s="297"/>
      <c r="BW157" s="297"/>
      <c r="BX157" s="297"/>
      <c r="BY157" s="297"/>
      <c r="BZ157" s="297"/>
      <c r="CA157" s="297"/>
      <c r="CB157" s="297"/>
      <c r="CC157" s="297"/>
      <c r="CD157" s="297"/>
      <c r="CE157" s="297"/>
      <c r="CF157" s="297"/>
      <c r="CG157" s="297"/>
      <c r="CH157" s="297"/>
      <c r="CI157" s="297"/>
      <c r="CJ157" s="297"/>
      <c r="CK157" s="297"/>
      <c r="CL157" s="297"/>
      <c r="CM157" s="297"/>
      <c r="CN157" s="297"/>
      <c r="CO157" s="297"/>
      <c r="CP157" s="297"/>
      <c r="CQ157" s="297"/>
      <c r="CR157" s="297"/>
      <c r="CS157" s="297"/>
      <c r="CT157" s="297"/>
      <c r="CU157" s="297"/>
    </row>
    <row r="158" spans="1:103">
      <c r="BM158" s="297"/>
      <c r="BN158" s="297"/>
      <c r="BO158" s="297"/>
      <c r="BP158" s="297"/>
      <c r="BQ158" s="297"/>
      <c r="BR158" s="297"/>
      <c r="BS158" s="297"/>
      <c r="BT158" s="297"/>
      <c r="BU158" s="297"/>
      <c r="BV158" s="297"/>
      <c r="BW158" s="297"/>
      <c r="BX158" s="297"/>
      <c r="BY158" s="297"/>
      <c r="BZ158" s="297"/>
      <c r="CA158" s="297"/>
      <c r="CB158" s="297"/>
      <c r="CC158" s="297"/>
      <c r="CD158" s="297"/>
      <c r="CE158" s="297"/>
      <c r="CF158" s="297"/>
      <c r="CG158" s="297"/>
      <c r="CH158" s="297"/>
      <c r="CI158" s="297"/>
      <c r="CJ158" s="297"/>
      <c r="CK158" s="297"/>
      <c r="CL158" s="297"/>
      <c r="CM158" s="297"/>
      <c r="CN158" s="297"/>
      <c r="CO158" s="297"/>
      <c r="CP158" s="297"/>
      <c r="CQ158" s="297"/>
      <c r="CR158" s="297"/>
      <c r="CS158" s="297"/>
      <c r="CT158" s="297"/>
      <c r="CU158" s="297"/>
    </row>
    <row r="159" spans="1:103">
      <c r="BM159" s="297"/>
      <c r="BN159" s="297"/>
      <c r="BO159" s="297"/>
      <c r="BP159" s="297"/>
      <c r="BQ159" s="297"/>
      <c r="BR159" s="297"/>
      <c r="BS159" s="297"/>
      <c r="BT159" s="297"/>
      <c r="BU159" s="297"/>
      <c r="BV159" s="297"/>
      <c r="BW159" s="297"/>
      <c r="BX159" s="297"/>
      <c r="BY159" s="297"/>
      <c r="BZ159" s="297"/>
      <c r="CA159" s="297"/>
      <c r="CB159" s="297"/>
      <c r="CC159" s="297"/>
      <c r="CD159" s="297"/>
      <c r="CE159" s="297"/>
      <c r="CF159" s="297"/>
      <c r="CG159" s="297"/>
      <c r="CH159" s="297"/>
      <c r="CI159" s="297"/>
      <c r="CJ159" s="297"/>
      <c r="CK159" s="297"/>
      <c r="CL159" s="297"/>
      <c r="CM159" s="297"/>
      <c r="CN159" s="297"/>
      <c r="CO159" s="297"/>
      <c r="CP159" s="297"/>
      <c r="CQ159" s="297"/>
      <c r="CR159" s="297"/>
      <c r="CS159" s="297"/>
      <c r="CT159" s="297"/>
      <c r="CU159" s="297"/>
    </row>
    <row r="160" spans="1:103">
      <c r="BM160" s="297"/>
      <c r="BN160" s="297"/>
      <c r="BO160" s="297"/>
      <c r="BP160" s="297"/>
      <c r="BQ160" s="297"/>
      <c r="BR160" s="297"/>
      <c r="BS160" s="297"/>
      <c r="BT160" s="297"/>
      <c r="BU160" s="297"/>
      <c r="BV160" s="297"/>
      <c r="BW160" s="297"/>
      <c r="BX160" s="297"/>
      <c r="BY160" s="297"/>
      <c r="BZ160" s="297"/>
      <c r="CA160" s="297"/>
      <c r="CB160" s="297"/>
      <c r="CC160" s="297"/>
      <c r="CD160" s="297"/>
      <c r="CE160" s="297"/>
      <c r="CF160" s="297"/>
      <c r="CG160" s="297"/>
      <c r="CH160" s="297"/>
      <c r="CI160" s="297"/>
      <c r="CJ160" s="297"/>
      <c r="CK160" s="297"/>
      <c r="CL160" s="297"/>
      <c r="CM160" s="297"/>
      <c r="CN160" s="297"/>
      <c r="CO160" s="297"/>
      <c r="CP160" s="297"/>
      <c r="CQ160" s="297"/>
      <c r="CR160" s="297"/>
      <c r="CS160" s="297"/>
      <c r="CT160" s="297"/>
      <c r="CU160" s="297"/>
    </row>
    <row r="161" spans="65:99">
      <c r="BM161" s="139">
        <f>SUM((AH161*1)+(AI162*1.5)+(AJ161*2)+(AK161*3)+(AL161*4)+(AQ161*5)+(AR161*6)+(AS161*7)+(AW161*2)+(AX161*3)+(AY161*4)+(AZ161*5)+(BG161*2))</f>
        <v>0</v>
      </c>
      <c r="BN161" s="30"/>
      <c r="BO161" s="30"/>
      <c r="BP161" s="30"/>
      <c r="BQ161" s="139"/>
      <c r="BR161" s="139"/>
      <c r="BS161" s="139"/>
      <c r="BT161" s="139"/>
      <c r="BU161" s="139"/>
      <c r="BV161" s="139"/>
      <c r="BW161" s="139"/>
      <c r="BX161" s="139"/>
      <c r="BY161" s="139"/>
      <c r="BZ161" s="139"/>
      <c r="CA161" s="139"/>
      <c r="CB161" s="139"/>
      <c r="CC161" s="139"/>
      <c r="CD161" s="139"/>
      <c r="CE161" s="139"/>
      <c r="CF161" s="139"/>
      <c r="CG161" s="139"/>
      <c r="CH161" s="139"/>
      <c r="CI161" s="139"/>
      <c r="CJ161" s="139"/>
      <c r="CK161" s="139"/>
      <c r="CL161" s="139"/>
      <c r="CM161" s="139"/>
      <c r="CN161" s="139"/>
      <c r="CO161" s="139"/>
      <c r="CP161" s="139"/>
      <c r="CQ161" s="139"/>
      <c r="CR161" s="139"/>
      <c r="CS161" s="139"/>
      <c r="CT161" s="139"/>
      <c r="CU161" s="139"/>
    </row>
    <row r="162" spans="65:99">
      <c r="BM162" s="293"/>
      <c r="BN162" s="293"/>
      <c r="BO162" s="293"/>
      <c r="BP162" s="292"/>
      <c r="BQ162" s="292"/>
      <c r="BR162" s="292"/>
      <c r="BS162" s="292"/>
      <c r="BT162" s="292"/>
      <c r="BU162" s="292"/>
      <c r="BV162" s="292"/>
      <c r="BW162" s="292"/>
      <c r="BX162" s="292"/>
      <c r="BY162" s="292"/>
      <c r="BZ162" s="292"/>
      <c r="CA162" s="292"/>
      <c r="CB162" s="292"/>
      <c r="CC162" s="292"/>
      <c r="CD162" s="292"/>
      <c r="CE162" s="292"/>
      <c r="CF162" s="292"/>
      <c r="CG162" s="292"/>
      <c r="CH162" s="292"/>
      <c r="CI162" s="292"/>
      <c r="CJ162" s="292"/>
      <c r="CK162" s="292"/>
      <c r="CL162" s="292"/>
      <c r="CM162" s="292"/>
      <c r="CN162" s="292"/>
      <c r="CO162" s="292"/>
      <c r="CP162" s="292"/>
      <c r="CQ162" s="292"/>
      <c r="CR162" s="292"/>
      <c r="CS162" s="292"/>
      <c r="CT162" s="292"/>
      <c r="CU162" s="292"/>
    </row>
    <row r="163" spans="65:99">
      <c r="BT163" s="88"/>
      <c r="BU163" s="88"/>
      <c r="BV163" s="88"/>
      <c r="BW163" s="30"/>
      <c r="BX163" s="88"/>
      <c r="BY163" s="88"/>
      <c r="BZ163" s="88"/>
      <c r="CA163" s="88"/>
      <c r="CB163" s="88"/>
      <c r="CC163" s="88"/>
      <c r="CD163" s="88"/>
      <c r="CE163" s="88"/>
      <c r="CF163" s="88"/>
      <c r="CG163" s="88"/>
      <c r="CH163" s="88"/>
      <c r="CI163" s="88"/>
      <c r="CJ163" s="88"/>
      <c r="CK163" s="88"/>
      <c r="CL163" s="88"/>
      <c r="CM163" s="88"/>
      <c r="CN163" s="88"/>
      <c r="CO163" s="88"/>
      <c r="CP163" s="88"/>
      <c r="CQ163" s="88"/>
      <c r="CR163" s="88"/>
      <c r="CS163" s="88"/>
      <c r="CT163" s="88"/>
      <c r="CU163" s="88"/>
    </row>
  </sheetData>
  <mergeCells count="5">
    <mergeCell ref="AH9:AX9"/>
    <mergeCell ref="A1:C1"/>
    <mergeCell ref="H7:I7"/>
    <mergeCell ref="L7:M7"/>
    <mergeCell ref="P7:Q7"/>
  </mergeCells>
  <conditionalFormatting sqref="T5">
    <cfRule type="cellIs" dxfId="314" priority="20" operator="equal">
      <formula>"St1"</formula>
    </cfRule>
  </conditionalFormatting>
  <conditionalFormatting sqref="V5">
    <cfRule type="cellIs" dxfId="313" priority="19" operator="equal">
      <formula>"St2"</formula>
    </cfRule>
  </conditionalFormatting>
  <conditionalFormatting sqref="X5">
    <cfRule type="cellIs" dxfId="312" priority="18" operator="equal">
      <formula>"St3"</formula>
    </cfRule>
  </conditionalFormatting>
  <conditionalFormatting sqref="C11:AH52 C54:AH162">
    <cfRule type="expression" dxfId="311" priority="1">
      <formula>C11=Code31</formula>
    </cfRule>
    <cfRule type="expression" dxfId="310" priority="2">
      <formula>C11=code30</formula>
    </cfRule>
    <cfRule type="expression" dxfId="309" priority="3">
      <formula>C11=code29</formula>
    </cfRule>
    <cfRule type="expression" dxfId="308" priority="4">
      <formula>C11=Code28</formula>
    </cfRule>
    <cfRule type="expression" dxfId="307" priority="9" stopIfTrue="1">
      <formula>C11=Code27</formula>
    </cfRule>
    <cfRule type="expression" dxfId="306" priority="11">
      <formula>C11=Code26</formula>
    </cfRule>
    <cfRule type="expression" dxfId="305" priority="430" stopIfTrue="1">
      <formula>C11=Code25</formula>
    </cfRule>
    <cfRule type="expression" dxfId="304" priority="431" stopIfTrue="1">
      <formula>C11=Code24</formula>
    </cfRule>
    <cfRule type="expression" dxfId="303" priority="432" stopIfTrue="1">
      <formula>C11=Code23</formula>
    </cfRule>
    <cfRule type="expression" dxfId="302" priority="433" stopIfTrue="1">
      <formula>C11=code22</formula>
    </cfRule>
    <cfRule type="expression" dxfId="301" priority="434" stopIfTrue="1">
      <formula>C11=code21</formula>
    </cfRule>
    <cfRule type="expression" dxfId="300" priority="435" stopIfTrue="1">
      <formula>C11=code18</formula>
    </cfRule>
    <cfRule type="expression" dxfId="299" priority="436" stopIfTrue="1">
      <formula>C11=code20</formula>
    </cfRule>
    <cfRule type="expression" dxfId="298" priority="437" stopIfTrue="1">
      <formula>C11=code19</formula>
    </cfRule>
    <cfRule type="expression" dxfId="297" priority="438" stopIfTrue="1">
      <formula>C11=Code17</formula>
    </cfRule>
    <cfRule type="expression" dxfId="296" priority="439" stopIfTrue="1">
      <formula>C11=Code16</formula>
    </cfRule>
    <cfRule type="expression" dxfId="295" priority="440" stopIfTrue="1">
      <formula>C11=Code15</formula>
    </cfRule>
    <cfRule type="expression" dxfId="294" priority="441" stopIfTrue="1">
      <formula>C11=Code13</formula>
    </cfRule>
    <cfRule type="expression" dxfId="293" priority="442" stopIfTrue="1">
      <formula>C11=Code14</formula>
    </cfRule>
    <cfRule type="expression" dxfId="292" priority="443" stopIfTrue="1">
      <formula>C11=Code12</formula>
    </cfRule>
    <cfRule type="expression" dxfId="291" priority="444" stopIfTrue="1">
      <formula>C11=Code11</formula>
    </cfRule>
    <cfRule type="expression" dxfId="290" priority="445" stopIfTrue="1">
      <formula>C11=Code10</formula>
    </cfRule>
    <cfRule type="expression" dxfId="289" priority="446" stopIfTrue="1">
      <formula>C11=Code9</formula>
    </cfRule>
    <cfRule type="expression" dxfId="288" priority="447" stopIfTrue="1">
      <formula>C11=Code7</formula>
    </cfRule>
    <cfRule type="expression" dxfId="287" priority="448" stopIfTrue="1">
      <formula>C11=Code6</formula>
    </cfRule>
    <cfRule type="expression" dxfId="286" priority="449" stopIfTrue="1">
      <formula>C11=Code2</formula>
    </cfRule>
    <cfRule type="expression" dxfId="285" priority="450" stopIfTrue="1">
      <formula>C11=Code5</formula>
    </cfRule>
    <cfRule type="expression" dxfId="284" priority="451" stopIfTrue="1">
      <formula>C11=Code4</formula>
    </cfRule>
    <cfRule type="expression" dxfId="283" priority="452" stopIfTrue="1">
      <formula>C11=Code3</formula>
    </cfRule>
    <cfRule type="expression" dxfId="282" priority="453" stopIfTrue="1">
      <formula>C11=Code1</formula>
    </cfRule>
  </conditionalFormatting>
  <conditionalFormatting sqref="V7">
    <cfRule type="cellIs" dxfId="281" priority="6" operator="equal">
      <formula>"St2"</formula>
    </cfRule>
  </conditionalFormatting>
  <conditionalFormatting sqref="X7">
    <cfRule type="cellIs" dxfId="280" priority="5" operator="equal">
      <formula>"St3"</formula>
    </cfRule>
  </conditionalFormatting>
  <conditionalFormatting sqref="CY11:CY14 CY16:CY34">
    <cfRule type="dataBar" priority="1940">
      <dataBar>
        <cfvo type="min"/>
        <cfvo type="num" val="31"/>
        <color theme="4"/>
      </dataBar>
      <extLst>
        <ext xmlns:x14="http://schemas.microsoft.com/office/spreadsheetml/2009/9/main" uri="{B025F937-C7B1-47D3-B67F-A62EFF666E3E}">
          <x14:id>{815198A2-C8C4-4BF0-9708-9AD843DB1E01}</x14:id>
        </ext>
      </extLst>
    </cfRule>
  </conditionalFormatting>
  <conditionalFormatting sqref="CY35:CY52 CY15 CY54:CY155">
    <cfRule type="dataBar" priority="3649">
      <dataBar>
        <cfvo type="min"/>
        <cfvo type="num" val="31"/>
        <color theme="4"/>
      </dataBar>
      <extLst>
        <ext xmlns:x14="http://schemas.microsoft.com/office/spreadsheetml/2009/9/main" uri="{B025F937-C7B1-47D3-B67F-A62EFF666E3E}">
          <x14:id>{46558E4A-D7FB-42FF-A3A0-9ABE1F889CFB}</x14:id>
        </ext>
      </extLst>
    </cfRule>
  </conditionalFormatting>
  <conditionalFormatting sqref="CV11:CV52 CV54:CV155">
    <cfRule type="dataBar" priority="3652">
      <dataBar>
        <cfvo type="min"/>
        <cfvo type="num" val="31"/>
        <color theme="4"/>
      </dataBar>
      <extLst>
        <ext xmlns:x14="http://schemas.microsoft.com/office/spreadsheetml/2009/9/main" uri="{B025F937-C7B1-47D3-B67F-A62EFF666E3E}">
          <x14:id>{BB2C1FF8-E51A-413C-9858-AE97F784A661}</x14:id>
        </ext>
      </extLst>
    </cfRule>
  </conditionalFormatting>
  <conditionalFormatting sqref="CW11:CX52 CW54:CX155">
    <cfRule type="dataBar" priority="3654">
      <dataBar>
        <cfvo type="min"/>
        <cfvo type="num" val="31"/>
        <color theme="4"/>
      </dataBar>
      <extLst>
        <ext xmlns:x14="http://schemas.microsoft.com/office/spreadsheetml/2009/9/main" uri="{B025F937-C7B1-47D3-B67F-A62EFF666E3E}">
          <x14:id>{704CCB7B-4553-4A39-BFB9-641229D5C1D7}</x14:id>
        </ext>
      </extLst>
    </cfRule>
  </conditionalFormatting>
  <dataValidations count="1">
    <dataValidation type="list" errorStyle="warning" allowBlank="1" showInputMessage="1" showErrorMessage="1" errorTitle="Whoops!" error="The Student ID you entered isn't on the Student List sheet. You can click Yes to use what you entered but that Student ID won't be available on the Student Attendance Report sheet." sqref="A11:A155">
      <formula1>IDÉtudiant1</formula1>
    </dataValidation>
  </dataValidations>
  <pageMargins left="0.7" right="0.7" top="0.75" bottom="0.75" header="0.3" footer="0.3"/>
  <pageSetup paperSize="9" orientation="portrait" r:id="rId1"/>
  <ignoredErrors>
    <ignoredError sqref="B89"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15198A2-C8C4-4BF0-9708-9AD843DB1E01}">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CY11:CY14 CY16:CY34</xm:sqref>
        </x14:conditionalFormatting>
        <x14:conditionalFormatting xmlns:xm="http://schemas.microsoft.com/office/excel/2006/main">
          <x14:cfRule type="dataBar" id="{46558E4A-D7FB-42FF-A3A0-9ABE1F889CFB}">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CY35:CY52 CY15 CY54:CY155</xm:sqref>
        </x14:conditionalFormatting>
        <x14:conditionalFormatting xmlns:xm="http://schemas.microsoft.com/office/excel/2006/main">
          <x14:cfRule type="dataBar" id="{BB2C1FF8-E51A-413C-9858-AE97F784A661}">
            <x14:dataBar minLength="0" maxLength="100" border="1" negativeBarBorderColorSameAsPositive="0">
              <x14:cfvo type="autoMin"/>
              <x14:cfvo type="num">
                <xm:f>31</xm:f>
              </x14:cfvo>
              <x14:borderColor theme="4"/>
              <x14:negativeFillColor rgb="FFFF0000"/>
              <x14:negativeBorderColor rgb="FFFF0000"/>
              <x14:axisColor rgb="FF000000"/>
            </x14:dataBar>
          </x14:cfRule>
          <xm:sqref>CV11:CV52 CV54:CV155</xm:sqref>
        </x14:conditionalFormatting>
        <x14:conditionalFormatting xmlns:xm="http://schemas.microsoft.com/office/excel/2006/main">
          <x14:cfRule type="dataBar" id="{704CCB7B-4553-4A39-BFB9-641229D5C1D7}">
            <x14:dataBar minLength="0" maxLength="100" border="1" negativeBarBorderColorSameAsPositive="0">
              <x14:cfvo type="autoMin"/>
              <x14:cfvo type="num">
                <xm:f>31</xm:f>
              </x14:cfvo>
              <x14:borderColor theme="4"/>
              <x14:negativeFillColor rgb="FFFF0000"/>
              <x14:negativeBorderColor rgb="FFFF0000"/>
              <x14:axisColor rgb="FF000000"/>
            </x14:dataBar>
          </x14:cfRule>
          <xm:sqref>CW11:CX52 CW54:CX155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EA163"/>
  <sheetViews>
    <sheetView topLeftCell="AM1" workbookViewId="0">
      <selection activeCell="A11" sqref="A11:XFD11"/>
    </sheetView>
  </sheetViews>
  <sheetFormatPr baseColWidth="10" defaultRowHeight="13.5"/>
  <cols>
    <col min="1" max="1" width="9.85546875" customWidth="1"/>
    <col min="2" max="2" width="32.85546875" customWidth="1"/>
    <col min="3" max="3" width="6.28515625" customWidth="1"/>
    <col min="4" max="4" width="5.140625" customWidth="1"/>
    <col min="5" max="5" width="6.140625" customWidth="1"/>
    <col min="6" max="6" width="5.7109375" customWidth="1"/>
    <col min="7" max="7" width="7.140625" customWidth="1"/>
    <col min="8" max="8" width="5.42578125" customWidth="1"/>
    <col min="9" max="9" width="6.28515625" customWidth="1"/>
    <col min="10" max="10" width="5" customWidth="1"/>
    <col min="11" max="11" width="5.85546875" customWidth="1"/>
    <col min="12" max="12" width="4.140625" customWidth="1"/>
    <col min="13" max="13" width="6.5703125" customWidth="1"/>
    <col min="14" max="14" width="6.42578125" customWidth="1"/>
    <col min="15" max="15" width="6.7109375" customWidth="1"/>
    <col min="16" max="16" width="4.7109375" customWidth="1"/>
    <col min="17" max="17" width="6.28515625" customWidth="1"/>
    <col min="18" max="18" width="4.7109375" customWidth="1"/>
    <col min="19" max="19" width="11.140625" customWidth="1"/>
    <col min="20" max="20" width="5.7109375" customWidth="1"/>
    <col min="21" max="21" width="10" customWidth="1"/>
    <col min="22" max="22" width="10.5703125" customWidth="1"/>
    <col min="23" max="23" width="10.140625" customWidth="1"/>
    <col min="24" max="24" width="9.28515625" customWidth="1"/>
    <col min="25" max="25" width="9.7109375" customWidth="1"/>
    <col min="26" max="26" width="5" customWidth="1"/>
    <col min="27" max="27" width="5.42578125" customWidth="1"/>
    <col min="28" max="28" width="5.28515625" customWidth="1"/>
    <col min="29" max="29" width="4.85546875" customWidth="1"/>
    <col min="30" max="30" width="5" customWidth="1"/>
    <col min="31" max="31" width="5.28515625" customWidth="1"/>
    <col min="32" max="34" width="4.85546875" customWidth="1"/>
    <col min="35" max="36" width="3.5703125" customWidth="1"/>
    <col min="37" max="37" width="3.140625" customWidth="1"/>
    <col min="38" max="38" width="3.42578125" customWidth="1"/>
    <col min="39" max="40" width="3.85546875" customWidth="1"/>
    <col min="41" max="41" width="3.5703125" customWidth="1"/>
    <col min="42" max="42" width="3.42578125" customWidth="1"/>
    <col min="43" max="43" width="3.5703125" customWidth="1"/>
    <col min="44" max="44" width="3.28515625" customWidth="1"/>
    <col min="45" max="45" width="2.85546875" customWidth="1"/>
    <col min="46" max="46" width="3" customWidth="1"/>
    <col min="47" max="48" width="2.85546875" customWidth="1"/>
    <col min="49" max="49" width="3.28515625" customWidth="1"/>
    <col min="50" max="50" width="3.5703125" customWidth="1"/>
    <col min="51" max="53" width="3.28515625" customWidth="1"/>
    <col min="54" max="59" width="3.42578125" customWidth="1"/>
    <col min="60" max="60" width="3.85546875" customWidth="1"/>
    <col min="61" max="61" width="4.5703125" customWidth="1"/>
    <col min="62" max="62" width="3.7109375" customWidth="1"/>
    <col min="63" max="64" width="4" customWidth="1"/>
    <col min="65" max="65" width="3.85546875" customWidth="1"/>
    <col min="66" max="66" width="3.28515625" customWidth="1"/>
    <col min="67" max="67" width="3.5703125" customWidth="1"/>
    <col min="68" max="69" width="3" customWidth="1"/>
    <col min="70" max="70" width="3.140625" customWidth="1"/>
    <col min="71" max="71" width="3.28515625" customWidth="1"/>
    <col min="72" max="73" width="3.140625" customWidth="1"/>
    <col min="74" max="75" width="3.28515625" customWidth="1"/>
    <col min="76" max="76" width="3.42578125" customWidth="1"/>
    <col min="77" max="77" width="4.42578125" customWidth="1"/>
    <col min="78" max="78" width="4.28515625" customWidth="1"/>
    <col min="79" max="79" width="4" customWidth="1"/>
    <col min="80" max="80" width="3.42578125" customWidth="1"/>
    <col min="81" max="81" width="3.28515625" customWidth="1"/>
    <col min="82" max="82" width="3.140625" customWidth="1"/>
    <col min="83" max="83" width="3.28515625" customWidth="1"/>
    <col min="84" max="84" width="3.42578125" customWidth="1"/>
    <col min="85" max="85" width="3.140625" customWidth="1"/>
    <col min="86" max="86" width="3.5703125" customWidth="1"/>
    <col min="87" max="87" width="3.42578125" customWidth="1"/>
    <col min="88" max="89" width="3.7109375" customWidth="1"/>
    <col min="90" max="90" width="3.5703125" customWidth="1"/>
    <col min="91" max="91" width="3" customWidth="1"/>
    <col min="92" max="95" width="3.140625" customWidth="1"/>
    <col min="96" max="96" width="3.5703125" customWidth="1"/>
    <col min="97" max="98" width="3.140625" customWidth="1"/>
    <col min="99" max="99" width="5.28515625" customWidth="1"/>
    <col min="100" max="100" width="16.28515625" customWidth="1"/>
    <col min="101" max="101" width="19.140625" customWidth="1"/>
    <col min="102" max="102" width="19.42578125" customWidth="1"/>
    <col min="103" max="103" width="20.5703125" customWidth="1"/>
    <col min="104" max="104" width="30" customWidth="1"/>
  </cols>
  <sheetData>
    <row r="1" spans="1:104" ht="28.5">
      <c r="A1" s="654" t="s">
        <v>504</v>
      </c>
      <c r="B1" s="655"/>
      <c r="C1" s="655"/>
      <c r="D1" s="655"/>
      <c r="E1" s="655"/>
      <c r="F1" s="654"/>
      <c r="G1" s="655"/>
      <c r="H1" s="655"/>
      <c r="I1" s="655"/>
      <c r="J1" s="655"/>
      <c r="K1" s="654"/>
      <c r="L1" s="655"/>
      <c r="M1" s="655"/>
      <c r="N1" s="655"/>
      <c r="O1" s="655"/>
      <c r="P1" s="22"/>
      <c r="Q1" s="22"/>
      <c r="R1" s="22"/>
      <c r="S1" s="22"/>
      <c r="T1" s="22"/>
      <c r="U1" s="22"/>
      <c r="V1" s="22"/>
      <c r="W1" s="22"/>
      <c r="X1" s="22"/>
      <c r="Y1" s="22"/>
      <c r="Z1" s="22"/>
      <c r="AA1" s="22"/>
      <c r="AB1" s="22"/>
      <c r="AC1" s="21"/>
      <c r="AD1" s="21"/>
      <c r="AE1" s="21"/>
      <c r="AF1" s="21"/>
      <c r="AG1" s="21"/>
      <c r="AH1" s="23"/>
      <c r="AI1" s="21"/>
      <c r="AJ1" s="24"/>
      <c r="AK1" s="21"/>
      <c r="AL1" s="32"/>
      <c r="AM1" s="32"/>
      <c r="AN1" s="32"/>
      <c r="AO1" s="32"/>
      <c r="AP1" s="32"/>
      <c r="AQ1" s="32"/>
      <c r="AR1" s="32"/>
      <c r="AS1" s="32"/>
      <c r="AT1" s="32"/>
      <c r="AU1" s="32"/>
      <c r="AV1" s="32"/>
      <c r="AW1" s="32"/>
      <c r="AX1" s="32"/>
      <c r="AY1" s="32"/>
      <c r="AZ1" s="32"/>
      <c r="BA1" s="32"/>
      <c r="BB1" s="32"/>
      <c r="BC1" s="32"/>
      <c r="BD1" s="32"/>
      <c r="BE1" s="32"/>
      <c r="BF1" s="32"/>
      <c r="BG1" s="32"/>
      <c r="BH1" s="32"/>
      <c r="BI1" s="32"/>
      <c r="BJ1" s="33"/>
      <c r="BK1" s="33"/>
      <c r="BL1" s="33"/>
      <c r="BM1" s="33"/>
      <c r="BN1" s="32"/>
      <c r="BO1" s="32"/>
      <c r="BP1" s="32"/>
      <c r="BQ1" s="32"/>
      <c r="BR1" s="32"/>
      <c r="BS1" s="32"/>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2"/>
      <c r="CX1" s="32"/>
      <c r="CY1" s="32"/>
      <c r="CZ1" s="32"/>
    </row>
    <row r="2" spans="1:104">
      <c r="BK2" s="88"/>
      <c r="BL2" s="88"/>
      <c r="BM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row>
    <row r="3" spans="1:104" ht="14.25">
      <c r="D3" s="31" t="s">
        <v>104</v>
      </c>
      <c r="E3" s="208" t="s">
        <v>514</v>
      </c>
      <c r="F3" s="236" t="s">
        <v>527</v>
      </c>
      <c r="G3" s="207" t="s">
        <v>528</v>
      </c>
      <c r="H3" s="209" t="s">
        <v>105</v>
      </c>
      <c r="I3" s="210" t="s">
        <v>515</v>
      </c>
      <c r="J3" s="211" t="s">
        <v>106</v>
      </c>
      <c r="K3" s="210" t="s">
        <v>516</v>
      </c>
      <c r="L3" s="212" t="s">
        <v>107</v>
      </c>
      <c r="M3" s="210" t="s">
        <v>517</v>
      </c>
      <c r="N3" s="213" t="s">
        <v>483</v>
      </c>
      <c r="O3" s="210" t="s">
        <v>518</v>
      </c>
      <c r="P3" s="214" t="s">
        <v>484</v>
      </c>
      <c r="Q3" s="207" t="s">
        <v>526</v>
      </c>
      <c r="R3" s="216" t="s">
        <v>485</v>
      </c>
      <c r="S3" s="207" t="s">
        <v>525</v>
      </c>
      <c r="T3" s="217" t="s">
        <v>489</v>
      </c>
      <c r="U3" s="207" t="s">
        <v>510</v>
      </c>
      <c r="V3" s="218" t="s">
        <v>490</v>
      </c>
      <c r="W3" s="207" t="s">
        <v>511</v>
      </c>
      <c r="X3" s="219" t="s">
        <v>491</v>
      </c>
      <c r="Y3" s="207" t="s">
        <v>512</v>
      </c>
      <c r="Z3" s="220" t="s">
        <v>492</v>
      </c>
      <c r="AA3" s="207" t="s">
        <v>513</v>
      </c>
      <c r="AB3" s="207"/>
      <c r="AH3" s="207"/>
      <c r="BK3" s="88"/>
      <c r="BL3" s="88"/>
      <c r="BM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row>
    <row r="4" spans="1:104" ht="15" thickBot="1">
      <c r="C4" t="s">
        <v>535</v>
      </c>
      <c r="E4" s="43"/>
      <c r="F4" s="43"/>
      <c r="G4" s="43"/>
      <c r="H4" s="43"/>
      <c r="I4" s="43"/>
      <c r="J4" s="43"/>
      <c r="K4" s="43"/>
      <c r="L4" s="43"/>
      <c r="M4" s="43"/>
      <c r="N4" s="43"/>
      <c r="O4" s="43"/>
      <c r="P4" s="43"/>
      <c r="Q4" s="43"/>
      <c r="R4" s="43"/>
      <c r="S4" s="43"/>
      <c r="T4" s="43"/>
      <c r="U4" s="43"/>
      <c r="V4" s="43"/>
      <c r="W4" s="43"/>
      <c r="X4" s="43"/>
      <c r="Y4" s="43"/>
      <c r="Z4" s="43"/>
      <c r="AA4" s="43"/>
      <c r="AB4" s="43"/>
      <c r="AH4" s="43"/>
      <c r="BK4" s="88"/>
      <c r="BL4" s="88"/>
      <c r="BM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row>
    <row r="5" spans="1:104" ht="14.25">
      <c r="D5" s="234" t="s">
        <v>529</v>
      </c>
      <c r="E5" s="266" t="s">
        <v>530</v>
      </c>
      <c r="F5" s="222" t="s">
        <v>35</v>
      </c>
      <c r="G5" s="210" t="s">
        <v>519</v>
      </c>
      <c r="H5" s="223" t="s">
        <v>108</v>
      </c>
      <c r="I5" s="43" t="s">
        <v>520</v>
      </c>
      <c r="J5" s="224" t="s">
        <v>109</v>
      </c>
      <c r="K5" s="207" t="s">
        <v>521</v>
      </c>
      <c r="L5" s="225" t="s">
        <v>486</v>
      </c>
      <c r="M5" s="207" t="s">
        <v>522</v>
      </c>
      <c r="N5" s="226" t="s">
        <v>487</v>
      </c>
      <c r="O5" s="207" t="s">
        <v>523</v>
      </c>
      <c r="P5" s="227" t="s">
        <v>488</v>
      </c>
      <c r="Q5" s="228" t="s">
        <v>524</v>
      </c>
      <c r="R5" s="233" t="s">
        <v>507</v>
      </c>
      <c r="S5" s="207" t="s">
        <v>508</v>
      </c>
      <c r="T5" s="229" t="s">
        <v>496</v>
      </c>
      <c r="U5" s="207" t="s">
        <v>499</v>
      </c>
      <c r="V5" s="230" t="s">
        <v>497</v>
      </c>
      <c r="W5" s="207" t="s">
        <v>500</v>
      </c>
      <c r="X5" s="231" t="s">
        <v>498</v>
      </c>
      <c r="Y5" s="207" t="s">
        <v>501</v>
      </c>
      <c r="Z5" s="235" t="s">
        <v>531</v>
      </c>
      <c r="AA5" s="43" t="s">
        <v>630</v>
      </c>
      <c r="AH5" s="43"/>
      <c r="BK5" s="88"/>
      <c r="BL5" s="88"/>
      <c r="BM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row>
    <row r="6" spans="1:104" ht="14.25">
      <c r="D6" s="349"/>
      <c r="E6" s="350"/>
      <c r="F6" s="351"/>
      <c r="G6" s="352"/>
      <c r="H6" s="353"/>
      <c r="I6" s="354"/>
      <c r="J6" s="355"/>
      <c r="K6" s="207"/>
      <c r="L6" s="355"/>
      <c r="M6" s="207"/>
      <c r="N6" s="355"/>
      <c r="O6" s="207"/>
      <c r="P6" s="355"/>
      <c r="Q6" s="228"/>
      <c r="R6" s="356"/>
      <c r="S6" s="207"/>
      <c r="T6" s="357"/>
      <c r="U6" s="207"/>
      <c r="V6" s="357"/>
      <c r="W6" s="207"/>
      <c r="X6" s="357"/>
      <c r="Y6" s="207"/>
      <c r="Z6" s="358"/>
      <c r="AA6" s="43"/>
      <c r="AB6" s="345"/>
      <c r="AH6" s="43"/>
      <c r="BK6" s="88"/>
      <c r="BL6" s="88"/>
      <c r="BM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row>
    <row r="7" spans="1:104" ht="14.25">
      <c r="D7" s="334" t="s">
        <v>604</v>
      </c>
      <c r="E7" s="335" t="s">
        <v>610</v>
      </c>
      <c r="F7" s="375"/>
      <c r="G7" s="375"/>
      <c r="H7" s="344" t="s">
        <v>620</v>
      </c>
      <c r="I7" s="656" t="s">
        <v>621</v>
      </c>
      <c r="J7" s="658"/>
      <c r="K7" s="374"/>
      <c r="L7" s="394" t="s">
        <v>627</v>
      </c>
      <c r="M7" s="656" t="s">
        <v>628</v>
      </c>
      <c r="N7" s="658"/>
      <c r="O7" s="418" t="s">
        <v>631</v>
      </c>
      <c r="P7" s="656" t="s">
        <v>632</v>
      </c>
      <c r="Q7" s="658"/>
      <c r="R7" s="356"/>
      <c r="S7" s="445" t="s">
        <v>634</v>
      </c>
      <c r="T7" s="43" t="s">
        <v>633</v>
      </c>
      <c r="U7" s="458" t="s">
        <v>637</v>
      </c>
      <c r="V7" s="357" t="s">
        <v>638</v>
      </c>
      <c r="W7" s="465" t="s">
        <v>639</v>
      </c>
      <c r="X7" s="357" t="s">
        <v>640</v>
      </c>
      <c r="Y7" s="207"/>
      <c r="Z7" s="358"/>
      <c r="AA7" s="43"/>
      <c r="AB7" s="345"/>
      <c r="AH7" s="43"/>
      <c r="BK7" s="88"/>
      <c r="BL7" s="88"/>
      <c r="BM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row>
    <row r="8" spans="1:104">
      <c r="D8" s="9"/>
      <c r="E8" s="446" t="s">
        <v>623</v>
      </c>
      <c r="F8" s="447" t="s">
        <v>623</v>
      </c>
      <c r="G8" s="9"/>
      <c r="H8" s="9"/>
      <c r="I8" s="447" t="s">
        <v>623</v>
      </c>
      <c r="J8" s="447" t="s">
        <v>623</v>
      </c>
      <c r="K8" s="9"/>
      <c r="L8" s="9"/>
      <c r="M8" s="9"/>
      <c r="N8" s="447" t="s">
        <v>623</v>
      </c>
      <c r="O8" s="447" t="s">
        <v>623</v>
      </c>
      <c r="P8" s="9"/>
      <c r="Q8" s="9"/>
      <c r="R8" s="578"/>
      <c r="S8" s="578"/>
      <c r="T8" s="578"/>
      <c r="U8" s="578"/>
      <c r="V8" s="578"/>
      <c r="W8" s="578"/>
      <c r="X8" s="578"/>
      <c r="Y8" s="578"/>
      <c r="Z8" s="578"/>
      <c r="AA8" s="578"/>
      <c r="AB8" s="578"/>
      <c r="AC8" s="578"/>
      <c r="AD8" s="578"/>
      <c r="AE8" s="578"/>
      <c r="AF8" s="9"/>
      <c r="AG8" s="367"/>
      <c r="AH8" s="9"/>
      <c r="BK8" s="88"/>
      <c r="BL8" s="88"/>
      <c r="BM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row>
    <row r="9" spans="1:104" ht="15" thickBot="1">
      <c r="A9" s="72">
        <f>DATE(2018,4,1)</f>
        <v>43191</v>
      </c>
      <c r="B9" s="153"/>
      <c r="C9" s="151" t="str">
        <f>TEXT(WEEKDAY(DATE(2018,4,1),1),"[$-40c]aaa")</f>
        <v>1900</v>
      </c>
      <c r="D9" s="25" t="str">
        <f>TEXT(WEEKDAY(DATE(2018,4,2),1),"[$-40c]aaa")</f>
        <v>1900</v>
      </c>
      <c r="E9" s="25" t="str">
        <f>TEXT(WEEKDAY(DATE(2018,4,3),1),"[$-40c]aaa")</f>
        <v>1900</v>
      </c>
      <c r="F9" s="25" t="str">
        <f>TEXT(WEEKDAY(DATE(2018,4,4),1),"[$-40c]aaa")</f>
        <v>1900</v>
      </c>
      <c r="G9" s="25" t="str">
        <f>TEXT(WEEKDAY(DATE(2018,4,5),1),"[$-40c]aaa")</f>
        <v>1900</v>
      </c>
      <c r="H9" s="25" t="str">
        <f>TEXT(WEEKDAY(DATE(2018,4,6),1),"[$-40c]aaa")</f>
        <v>1900</v>
      </c>
      <c r="I9" s="25" t="str">
        <f>TEXT(WEEKDAY(DATE(2018,4,7),1),"[$-40c]aaa")</f>
        <v>1900</v>
      </c>
      <c r="J9" s="25" t="str">
        <f>TEXT(WEEKDAY(DATE(2018,4,8),1),"[$-40c]aaa")</f>
        <v>1900</v>
      </c>
      <c r="K9" s="25" t="str">
        <f>TEXT(WEEKDAY(DATE(2018,4,9),1),"[$-40c]aaa")</f>
        <v>1900</v>
      </c>
      <c r="L9" s="25" t="str">
        <f>TEXT(WEEKDAY(DATE(2018,4,10),1),"[$-40c]aaa")</f>
        <v>1900</v>
      </c>
      <c r="M9" s="25" t="str">
        <f>TEXT(WEEKDAY(DATE(2018,4,11),1),"[$-40c]aaa")</f>
        <v>1900</v>
      </c>
      <c r="N9" s="25" t="str">
        <f>TEXT(WEEKDAY(DATE(2018,4,12),1),"[$-40c]aaa")</f>
        <v>1900</v>
      </c>
      <c r="O9" s="25" t="str">
        <f>TEXT(WEEKDAY(DATE(2018,4,13),1),"[$-40c]aaa")</f>
        <v>1900</v>
      </c>
      <c r="P9" s="25" t="str">
        <f>TEXT(WEEKDAY(DATE(2018,4,14),1),"[$-40c]aaa")</f>
        <v>1900</v>
      </c>
      <c r="Q9" s="25" t="str">
        <f>TEXT(WEEKDAY(DATE(2018,4,15),1),"[$-40c]aaa")</f>
        <v>1900</v>
      </c>
      <c r="R9" s="25" t="str">
        <f>TEXT(WEEKDAY(DATE(2018,4,16),1),"[$-40c]aaa")</f>
        <v>1900</v>
      </c>
      <c r="S9" s="25" t="str">
        <f>TEXT(WEEKDAY(DATE(2018,4,17),1),"[$-40c]aaa")</f>
        <v>1900</v>
      </c>
      <c r="T9" s="25" t="str">
        <f>TEXT(WEEKDAY(DATE(2018,4,18),1),"[$-40c]aaa")</f>
        <v>1900</v>
      </c>
      <c r="U9" s="25" t="str">
        <f>TEXT(WEEKDAY(DATE(2018,4,19),1),"[$-40c]aaa")</f>
        <v>1900</v>
      </c>
      <c r="V9" s="25" t="str">
        <f>TEXT(WEEKDAY(DATE(2018,4,20),1),"[$-40c]aaa")</f>
        <v>1900</v>
      </c>
      <c r="W9" s="25" t="str">
        <f>TEXT(WEEKDAY(DATE(2018,4,21),1),"[$-40c]aaa")</f>
        <v>1900</v>
      </c>
      <c r="X9" s="25" t="str">
        <f>TEXT(WEEKDAY(DATE(2018,4,22),1),"[$-40c]aaa")</f>
        <v>1900</v>
      </c>
      <c r="Y9" s="25" t="str">
        <f>TEXT(WEEKDAY(DATE(2018,4,23),1),"[$-40c]aaa")</f>
        <v>1900</v>
      </c>
      <c r="Z9" s="25" t="str">
        <f>TEXT(WEEKDAY(DATE(2018,4,24),1),"[$-40c]aaa")</f>
        <v>1900</v>
      </c>
      <c r="AA9" s="25" t="str">
        <f>TEXT(WEEKDAY(DATE(2018,4,25),1),"[$-40c]aaa")</f>
        <v>1900</v>
      </c>
      <c r="AB9" s="25" t="str">
        <f>TEXT(WEEKDAY(DATE(2018,4,26),1),"[$-40c]aaa")</f>
        <v>1900</v>
      </c>
      <c r="AC9" s="25" t="str">
        <f>TEXT(WEEKDAY(DATE(2018,4,27),1),"[$-40c]aaa")</f>
        <v>1900</v>
      </c>
      <c r="AD9" s="25" t="str">
        <f>TEXT(WEEKDAY(DATE(2018,4,28),1),"[$-40c]aaa")</f>
        <v>1900</v>
      </c>
      <c r="AE9" s="25" t="str">
        <f>TEXT(WEEKDAY(DATE(2018,4,29),1),"[$-40c]aaa")</f>
        <v>1900</v>
      </c>
      <c r="AF9" s="379" t="str">
        <f>TEXT(WEEKDAY(DATE(2018,4,30),1),"[$-40c]aaa")</f>
        <v>1900</v>
      </c>
      <c r="AG9" s="391"/>
      <c r="AH9" s="366" t="s">
        <v>36</v>
      </c>
      <c r="AI9" s="366"/>
      <c r="AJ9" s="366"/>
      <c r="AK9" s="366"/>
      <c r="AL9" s="366"/>
      <c r="AM9" s="366"/>
      <c r="AN9" s="366"/>
      <c r="AO9" s="366"/>
      <c r="AP9" s="366"/>
      <c r="AQ9" s="366"/>
      <c r="AR9" s="366"/>
      <c r="AS9" s="366"/>
      <c r="AT9" s="366"/>
      <c r="AU9" s="366"/>
      <c r="AV9" s="366"/>
      <c r="AW9" s="366"/>
      <c r="AX9" s="140"/>
      <c r="AY9" s="140"/>
      <c r="AZ9" s="140"/>
      <c r="BA9" s="140"/>
      <c r="BB9" s="140"/>
      <c r="BC9" s="140"/>
      <c r="BD9" s="140"/>
      <c r="BE9" s="140"/>
      <c r="BF9" s="140"/>
      <c r="BG9" s="140"/>
      <c r="BH9" s="140"/>
      <c r="BI9" s="85"/>
      <c r="BJ9" s="247"/>
      <c r="BK9" s="247"/>
      <c r="BL9" s="247"/>
      <c r="BM9" s="299"/>
      <c r="BN9" s="251"/>
      <c r="BO9" s="251"/>
      <c r="BP9" s="312"/>
      <c r="BQ9" s="251"/>
      <c r="BR9" s="251"/>
      <c r="BS9" s="251"/>
      <c r="BT9" s="251"/>
      <c r="BU9" s="251"/>
      <c r="BV9" s="251"/>
      <c r="BW9" s="251"/>
      <c r="BX9" s="251"/>
      <c r="BY9" s="251"/>
      <c r="BZ9" s="251"/>
      <c r="CA9" s="251" t="s">
        <v>575</v>
      </c>
      <c r="CB9" s="251"/>
      <c r="CC9" s="251"/>
      <c r="CD9" s="251"/>
      <c r="CE9" s="251"/>
      <c r="CF9" s="251"/>
      <c r="CG9" s="251"/>
      <c r="CH9" s="251"/>
      <c r="CI9" s="251"/>
      <c r="CJ9" s="251"/>
      <c r="CK9" s="251"/>
      <c r="CL9" s="251"/>
      <c r="CM9" s="251"/>
      <c r="CN9" s="251"/>
      <c r="CO9" s="251"/>
      <c r="CP9" s="251"/>
      <c r="CQ9" s="251"/>
      <c r="CR9" s="251"/>
      <c r="CS9" s="247"/>
      <c r="CT9" s="247"/>
      <c r="CU9" s="247"/>
      <c r="CV9" s="299"/>
      <c r="CW9" s="247"/>
      <c r="CX9" s="247"/>
      <c r="CY9" s="247"/>
    </row>
    <row r="10" spans="1:104" ht="15.75" thickTop="1" thickBot="1">
      <c r="A10" s="28" t="s">
        <v>33</v>
      </c>
      <c r="B10" s="154" t="s">
        <v>32</v>
      </c>
      <c r="C10" s="399" t="s">
        <v>0</v>
      </c>
      <c r="D10" s="399" t="s">
        <v>1</v>
      </c>
      <c r="E10" s="3" t="s">
        <v>2</v>
      </c>
      <c r="F10" s="3" t="s">
        <v>3</v>
      </c>
      <c r="G10" s="3" t="s">
        <v>4</v>
      </c>
      <c r="H10" s="3" t="s">
        <v>5</v>
      </c>
      <c r="I10" s="399" t="s">
        <v>6</v>
      </c>
      <c r="J10" s="399" t="s">
        <v>7</v>
      </c>
      <c r="K10" s="3" t="s">
        <v>8</v>
      </c>
      <c r="L10" s="3" t="s">
        <v>9</v>
      </c>
      <c r="M10" s="3" t="s">
        <v>10</v>
      </c>
      <c r="N10" s="3" t="s">
        <v>11</v>
      </c>
      <c r="O10" s="3" t="s">
        <v>12</v>
      </c>
      <c r="P10" s="399" t="s">
        <v>13</v>
      </c>
      <c r="Q10" s="399" t="s">
        <v>14</v>
      </c>
      <c r="R10" s="3" t="s">
        <v>15</v>
      </c>
      <c r="S10" s="3" t="s">
        <v>16</v>
      </c>
      <c r="T10" s="3" t="s">
        <v>17</v>
      </c>
      <c r="U10" s="3" t="s">
        <v>18</v>
      </c>
      <c r="V10" s="3" t="s">
        <v>19</v>
      </c>
      <c r="W10" s="399" t="s">
        <v>20</v>
      </c>
      <c r="X10" s="399" t="s">
        <v>21</v>
      </c>
      <c r="Y10" s="3" t="s">
        <v>22</v>
      </c>
      <c r="Z10" s="3" t="s">
        <v>23</v>
      </c>
      <c r="AA10" s="3" t="s">
        <v>24</v>
      </c>
      <c r="AB10" s="3" t="s">
        <v>25</v>
      </c>
      <c r="AC10" s="3" t="s">
        <v>26</v>
      </c>
      <c r="AD10" s="399" t="s">
        <v>27</v>
      </c>
      <c r="AE10" s="399" t="s">
        <v>28</v>
      </c>
      <c r="AF10" s="3" t="s">
        <v>29</v>
      </c>
      <c r="AG10" s="143" t="s">
        <v>30</v>
      </c>
      <c r="AH10" s="55" t="s">
        <v>104</v>
      </c>
      <c r="AI10" s="236" t="s">
        <v>527</v>
      </c>
      <c r="AJ10" s="40" t="s">
        <v>105</v>
      </c>
      <c r="AK10" s="41" t="s">
        <v>106</v>
      </c>
      <c r="AL10" s="42" t="s">
        <v>107</v>
      </c>
      <c r="AM10" s="75" t="s">
        <v>35</v>
      </c>
      <c r="AN10" s="234" t="s">
        <v>529</v>
      </c>
      <c r="AO10" s="76" t="s">
        <v>108</v>
      </c>
      <c r="AP10" s="77" t="s">
        <v>109</v>
      </c>
      <c r="AQ10" s="97" t="s">
        <v>483</v>
      </c>
      <c r="AR10" s="90" t="s">
        <v>484</v>
      </c>
      <c r="AS10" s="95" t="s">
        <v>485</v>
      </c>
      <c r="AT10" s="96" t="s">
        <v>486</v>
      </c>
      <c r="AU10" s="91" t="s">
        <v>487</v>
      </c>
      <c r="AV10" s="129" t="s">
        <v>489</v>
      </c>
      <c r="AW10" s="92" t="s">
        <v>488</v>
      </c>
      <c r="AX10" s="94" t="s">
        <v>491</v>
      </c>
      <c r="AY10" s="91" t="s">
        <v>490</v>
      </c>
      <c r="AZ10" s="111" t="s">
        <v>492</v>
      </c>
      <c r="BA10" s="359" t="s">
        <v>604</v>
      </c>
      <c r="BB10" s="346" t="s">
        <v>620</v>
      </c>
      <c r="BC10" s="544" t="s">
        <v>627</v>
      </c>
      <c r="BD10" s="420" t="s">
        <v>631</v>
      </c>
      <c r="BE10" s="459" t="s">
        <v>637</v>
      </c>
      <c r="BF10" s="105" t="s">
        <v>639</v>
      </c>
      <c r="BG10" s="198" t="s">
        <v>507</v>
      </c>
      <c r="BH10" s="235" t="s">
        <v>531</v>
      </c>
      <c r="BI10" s="133" t="s">
        <v>496</v>
      </c>
      <c r="BJ10" s="135" t="s">
        <v>497</v>
      </c>
      <c r="BK10" s="137" t="s">
        <v>498</v>
      </c>
      <c r="BL10" s="448" t="s">
        <v>634</v>
      </c>
      <c r="BM10" s="313" t="s">
        <v>544</v>
      </c>
      <c r="BN10" s="146" t="s">
        <v>545</v>
      </c>
      <c r="BO10" s="146" t="s">
        <v>546</v>
      </c>
      <c r="BP10" s="146" t="s">
        <v>542</v>
      </c>
      <c r="BQ10" s="146" t="s">
        <v>543</v>
      </c>
      <c r="BR10" s="146" t="s">
        <v>547</v>
      </c>
      <c r="BS10" s="146" t="s">
        <v>548</v>
      </c>
      <c r="BT10" s="146" t="s">
        <v>549</v>
      </c>
      <c r="BU10" s="146" t="s">
        <v>550</v>
      </c>
      <c r="BV10" s="146" t="s">
        <v>551</v>
      </c>
      <c r="BW10" s="146" t="s">
        <v>552</v>
      </c>
      <c r="BX10" s="146" t="s">
        <v>553</v>
      </c>
      <c r="BY10" s="146" t="s">
        <v>574</v>
      </c>
      <c r="BZ10" s="146" t="s">
        <v>554</v>
      </c>
      <c r="CA10" s="146" t="s">
        <v>555</v>
      </c>
      <c r="CB10" s="146" t="s">
        <v>556</v>
      </c>
      <c r="CC10" s="146" t="s">
        <v>558</v>
      </c>
      <c r="CD10" s="146" t="s">
        <v>557</v>
      </c>
      <c r="CE10" s="146" t="s">
        <v>559</v>
      </c>
      <c r="CF10" s="146" t="s">
        <v>560</v>
      </c>
      <c r="CG10" s="146" t="s">
        <v>561</v>
      </c>
      <c r="CH10" s="146" t="s">
        <v>562</v>
      </c>
      <c r="CI10" s="146" t="s">
        <v>563</v>
      </c>
      <c r="CJ10" s="146" t="s">
        <v>564</v>
      </c>
      <c r="CK10" s="146" t="s">
        <v>565</v>
      </c>
      <c r="CL10" s="146" t="s">
        <v>566</v>
      </c>
      <c r="CM10" s="146" t="s">
        <v>567</v>
      </c>
      <c r="CN10" s="146" t="s">
        <v>568</v>
      </c>
      <c r="CO10" s="146" t="s">
        <v>569</v>
      </c>
      <c r="CP10" s="146" t="s">
        <v>570</v>
      </c>
      <c r="CQ10" s="146" t="s">
        <v>571</v>
      </c>
      <c r="CR10" s="146" t="s">
        <v>572</v>
      </c>
      <c r="CS10" s="309" t="s">
        <v>573</v>
      </c>
      <c r="CT10" s="309" t="s">
        <v>642</v>
      </c>
      <c r="CU10" s="310" t="s">
        <v>611</v>
      </c>
      <c r="CV10" s="267" t="s">
        <v>494</v>
      </c>
      <c r="CW10" s="260" t="s">
        <v>495</v>
      </c>
      <c r="CX10" s="268" t="s">
        <v>540</v>
      </c>
      <c r="CY10" s="167" t="s">
        <v>502</v>
      </c>
      <c r="CZ10" t="s">
        <v>636</v>
      </c>
    </row>
    <row r="11" spans="1:104" ht="15" thickTop="1" thickBot="1">
      <c r="A11" s="510" t="s">
        <v>71</v>
      </c>
      <c r="B11" s="162" t="str">
        <f>IFERROR(VLOOKUP(ParticipationAvril1[[#This Row],[Référence]],ListeÉtudiants1[],18,FALSE),"")</f>
        <v>ABDESSEMED MOUNIA</v>
      </c>
      <c r="K11" s="456" t="s">
        <v>108</v>
      </c>
      <c r="L11" s="461" t="s">
        <v>487</v>
      </c>
      <c r="M11" s="479" t="s">
        <v>487</v>
      </c>
      <c r="N11" s="481" t="s">
        <v>637</v>
      </c>
      <c r="AF11" s="88"/>
      <c r="AG11" s="441"/>
      <c r="AH11" s="439">
        <f>COUNTIF(ParticipationAvril1[[#This Row],[1]:[30]],Code1)</f>
        <v>0</v>
      </c>
      <c r="AI11" s="435">
        <f>COUNTIF(ParticipationAvril1[[#This Row],[1]:[30]],code22)</f>
        <v>0</v>
      </c>
      <c r="AJ11" s="439">
        <f>COUNTIF(ParticipationAvril1[[#This Row],[1]:[30]],Code2)</f>
        <v>0</v>
      </c>
      <c r="AK11" s="439">
        <f>COUNTIF(ParticipationAvril1[[#This Row],[1]:[30]],Code3)</f>
        <v>0</v>
      </c>
      <c r="AL11" s="439">
        <f>COUNTIF(ParticipationAvril1[[#This Row],[1]:[30]],Code4)</f>
        <v>0</v>
      </c>
      <c r="AM11" s="435">
        <f>COUNTIF(ParticipationAvril1[[#This Row],[1]:[30]],Code5)</f>
        <v>0</v>
      </c>
      <c r="AN11" s="435">
        <f>COUNTIF(ParticipationAvril1[[#This Row],[1]:[30]],Code23)</f>
        <v>0</v>
      </c>
      <c r="AO11" s="435">
        <f>COUNTIF(ParticipationAvril1[[#This Row],[1]:[30]],Code6)</f>
        <v>1</v>
      </c>
      <c r="AP11" s="435">
        <f>COUNTIF(ParticipationAvril1[[#This Row],[1]:[30]],Code7)</f>
        <v>0</v>
      </c>
      <c r="AQ11" s="435">
        <f>COUNTIF(ParticipationAvril1[[#This Row],[1]:[30]],Code8)</f>
        <v>0</v>
      </c>
      <c r="AR11" s="435">
        <f>COUNTIF(ParticipationAvril1[[#This Row],[1]:[30]],Code9)</f>
        <v>0</v>
      </c>
      <c r="AS11" s="435">
        <f>COUNTIF(ParticipationAvril1[[#This Row],[1]:[30]],Code10)</f>
        <v>0</v>
      </c>
      <c r="AT11" s="435">
        <f>COUNTIF(ParticipationAvril1[[#This Row],[1]:[30]],Code11)</f>
        <v>0</v>
      </c>
      <c r="AU11" s="435">
        <f>COUNTIF(ParticipationAvril1[[#This Row],[1]:[30]],Code12)</f>
        <v>2</v>
      </c>
      <c r="AV11" s="435">
        <f>COUNTIF(ParticipationAvril1[[#This Row],[1]:[30]],Code13)</f>
        <v>0</v>
      </c>
      <c r="AW11" s="435">
        <f>COUNTIF(ParticipationAvril1[[#This Row],[1]:[30]],Code14)</f>
        <v>0</v>
      </c>
      <c r="AX11" s="435">
        <f>COUNTIF(ParticipationAvril1[[#This Row],[1]:[30]],Code16)</f>
        <v>0</v>
      </c>
      <c r="AY11" s="435">
        <f>COUNTIF(ParticipationAvril1[[#This Row],[1]:[30]],Code15)</f>
        <v>0</v>
      </c>
      <c r="AZ11" s="435">
        <f>COUNTIF(ParticipationAvril1[[#This Row],[1]:[30]],Code17)</f>
        <v>0</v>
      </c>
      <c r="BA11" s="435">
        <f>COUNTIF(ParticipationAvril1[[#This Row],[1]:[30]],Code25)</f>
        <v>0</v>
      </c>
      <c r="BB11" s="435">
        <f>COUNTIF(ParticipationAvril1[[#This Row],[1]:[30]],Code26)</f>
        <v>0</v>
      </c>
      <c r="BC11" s="435">
        <f>COUNTIF(ParticipationAvril1[[#This Row],[1]:[30]],Code27)</f>
        <v>0</v>
      </c>
      <c r="BD11" s="435">
        <f>COUNTIF(ParticipationAvril1[[#This Row],[1]:[30]],Code28)</f>
        <v>0</v>
      </c>
      <c r="BE11" s="435">
        <f>COUNTIF(ParticipationAvril1[[#This Row],[1]:[30]],code30)</f>
        <v>1</v>
      </c>
      <c r="BF11" s="435">
        <f>COUNTIF(ParticipationAvril1[[#This Row],[1]:[30]],Code31)</f>
        <v>0</v>
      </c>
      <c r="BG11" s="435">
        <f>COUNTIF(ParticipationAvril1[[#This Row],[1]:[30]],code21)</f>
        <v>0</v>
      </c>
      <c r="BH11" s="435">
        <f>COUNTIF(ParticipationAvril1[[#This Row],[1]:[30]],Code24)</f>
        <v>0</v>
      </c>
      <c r="BI11" s="435">
        <f>COUNTIF(ParticipationAvril1[[#This Row],[1]:[30]],code18)</f>
        <v>0</v>
      </c>
      <c r="BJ11" s="435">
        <f>COUNTIF(ParticipationAvril1[[#This Row],[1]:[30]],code19)</f>
        <v>0</v>
      </c>
      <c r="BK11" s="462">
        <f>COUNTIF(ParticipationAvril1[[#This Row],[1]:[30]],code20)</f>
        <v>0</v>
      </c>
      <c r="BL11" s="462">
        <f>COUNTIF(ParticipationAvril1[[#This Row],[1]:[30]],code29)</f>
        <v>0</v>
      </c>
      <c r="BM11" s="450"/>
      <c r="BN11" s="297">
        <v>2</v>
      </c>
      <c r="BO11" s="297"/>
      <c r="BP11" s="297"/>
      <c r="BQ11" s="297"/>
      <c r="BR11" s="297"/>
      <c r="BS11" s="297"/>
      <c r="BT11" s="297">
        <v>2</v>
      </c>
      <c r="BU11" s="297"/>
      <c r="BV11" s="297"/>
      <c r="BW11" s="297">
        <v>1</v>
      </c>
      <c r="BX11" s="297"/>
      <c r="BY11" s="297"/>
      <c r="BZ11" s="297"/>
      <c r="CA11" s="297"/>
      <c r="CB11" s="297"/>
      <c r="CC11" s="297"/>
      <c r="CD11" s="297"/>
      <c r="CE11" s="297"/>
      <c r="CF11" s="297"/>
      <c r="CG11" s="297">
        <v>1</v>
      </c>
      <c r="CH11" s="297"/>
      <c r="CI11" s="297"/>
      <c r="CJ11" s="297"/>
      <c r="CK11" s="297">
        <v>1</v>
      </c>
      <c r="CL11" s="297"/>
      <c r="CM11" s="297"/>
      <c r="CN11" s="297"/>
      <c r="CO11" s="297"/>
      <c r="CP11" s="297"/>
      <c r="CQ11" s="297"/>
      <c r="CR11" s="297"/>
      <c r="CS11" s="316"/>
      <c r="CT11" s="307"/>
      <c r="CU11" s="300"/>
      <c r="CV11" s="485">
        <f t="shared" ref="CV11:CV42" si="0">SUM((AH11*1)+(AI11*1.5)+(AJ11*2)+(AK11*3)+(AP11*5)+(AQ11*6)+(AR11*7)+(AX11*3)+(AY11*4)+(BB11*5)+(BA11*3)+(BD11*2)+(BH11*2)+(AZ11*2)+(BG11*2)+(BE11*3))</f>
        <v>3</v>
      </c>
      <c r="CW11" s="499">
        <f t="shared" ref="CW11:CW42" si="1">SUM((AN11*1)+(AM11*2)+(AO11*3)+(AP11*4)+(AT11*5)+(AU11*6)+(AV11*7)+(AW11*7)+(AX11*4)+(AY11*3)+(BB11*2)+(BD11*4)+(BA11*1)+(BH11*2)+(AZ11*5)+(BG11*1)+(BE11*2))</f>
        <v>17</v>
      </c>
      <c r="CX11" s="463">
        <f t="shared" ref="CX11:CX42" si="2">BH11*1+BL11*3</f>
        <v>0</v>
      </c>
      <c r="CY11" s="464"/>
    </row>
    <row r="12" spans="1:104" ht="15" thickTop="1" thickBot="1">
      <c r="A12" s="534" t="s">
        <v>72</v>
      </c>
      <c r="B12" s="162" t="str">
        <f>IFERROR(VLOOKUP(ParticipationAvril1[[#This Row],[Référence]],ListeÉtudiants1[],18,FALSE),"")</f>
        <v>ABOSI MAIWENN</v>
      </c>
      <c r="K12" s="510"/>
      <c r="L12" s="510"/>
      <c r="M12" s="510"/>
      <c r="N12" s="510"/>
      <c r="AF12" s="482"/>
      <c r="AG12" s="484"/>
      <c r="AH12" s="439">
        <f>COUNTIF(ParticipationAvril1[[#This Row],[1]:[30]],Code1)</f>
        <v>0</v>
      </c>
      <c r="AI12" s="474">
        <f>COUNTIF(ParticipationAvril1[[#This Row],[1]:[30]],code22)</f>
        <v>0</v>
      </c>
      <c r="AJ12" s="439">
        <f>COUNTIF(ParticipationAvril1[[#This Row],[1]:[30]],Code2)</f>
        <v>0</v>
      </c>
      <c r="AK12" s="439">
        <f>COUNTIF(ParticipationAvril1[[#This Row],[1]:[30]],Code3)</f>
        <v>0</v>
      </c>
      <c r="AL12" s="439">
        <f>COUNTIF(ParticipationAvril1[[#This Row],[1]:[30]],Code4)</f>
        <v>0</v>
      </c>
      <c r="AM12" s="474">
        <f>COUNTIF(ParticipationAvril1[[#This Row],[1]:[30]],Code5)</f>
        <v>0</v>
      </c>
      <c r="AN12" s="474">
        <f>COUNTIF(ParticipationAvril1[[#This Row],[1]:[30]],Code23)</f>
        <v>0</v>
      </c>
      <c r="AO12" s="474">
        <f>COUNTIF(ParticipationAvril1[[#This Row],[1]:[30]],Code6)</f>
        <v>0</v>
      </c>
      <c r="AP12" s="474">
        <f>COUNTIF(ParticipationAvril1[[#This Row],[1]:[30]],Code7)</f>
        <v>0</v>
      </c>
      <c r="AQ12" s="474">
        <f>COUNTIF(ParticipationAvril1[[#This Row],[1]:[30]],Code8)</f>
        <v>0</v>
      </c>
      <c r="AR12" s="474">
        <f>COUNTIF(ParticipationAvril1[[#This Row],[1]:[30]],Code9)</f>
        <v>0</v>
      </c>
      <c r="AS12" s="474">
        <f>COUNTIF(ParticipationAvril1[[#This Row],[1]:[30]],Code10)</f>
        <v>0</v>
      </c>
      <c r="AT12" s="474">
        <f>COUNTIF(ParticipationAvril1[[#This Row],[1]:[30]],Code11)</f>
        <v>0</v>
      </c>
      <c r="AU12" s="474">
        <f>COUNTIF(ParticipationAvril1[[#This Row],[1]:[30]],Code12)</f>
        <v>0</v>
      </c>
      <c r="AV12" s="474">
        <f>COUNTIF(ParticipationAvril1[[#This Row],[1]:[30]],Code13)</f>
        <v>0</v>
      </c>
      <c r="AW12" s="474">
        <f>COUNTIF(ParticipationAvril1[[#This Row],[1]:[30]],Code14)</f>
        <v>0</v>
      </c>
      <c r="AX12" s="474">
        <f>COUNTIF(ParticipationAvril1[[#This Row],[1]:[30]],Code16)</f>
        <v>0</v>
      </c>
      <c r="AY12" s="474">
        <f>COUNTIF(ParticipationAvril1[[#This Row],[1]:[30]],Code15)</f>
        <v>0</v>
      </c>
      <c r="AZ12" s="474">
        <f>COUNTIF(ParticipationAvril1[[#This Row],[1]:[30]],Code17)</f>
        <v>0</v>
      </c>
      <c r="BA12" s="474">
        <f>COUNTIF(ParticipationAvril1[[#This Row],[1]:[30]],Code25)</f>
        <v>0</v>
      </c>
      <c r="BB12" s="474">
        <f>COUNTIF(ParticipationAvril1[[#This Row],[1]:[30]],Code26)</f>
        <v>0</v>
      </c>
      <c r="BC12" s="474">
        <f>COUNTIF(ParticipationAvril1[[#This Row],[1]:[30]],Code27)</f>
        <v>0</v>
      </c>
      <c r="BD12" s="474">
        <f>COUNTIF(ParticipationAvril1[[#This Row],[1]:[30]],Code28)</f>
        <v>0</v>
      </c>
      <c r="BE12" s="474">
        <f>COUNTIF(ParticipationAvril1[[#This Row],[1]:[30]],code30)</f>
        <v>0</v>
      </c>
      <c r="BF12" s="474">
        <f>COUNTIF(ParticipationAvril1[[#This Row],[1]:[30]],Code31)</f>
        <v>0</v>
      </c>
      <c r="BG12" s="474">
        <f>COUNTIF(ParticipationAvril1[[#This Row],[1]:[30]],code21)</f>
        <v>0</v>
      </c>
      <c r="BH12" s="474">
        <f>COUNTIF(ParticipationAvril1[[#This Row],[1]:[30]],Code24)</f>
        <v>0</v>
      </c>
      <c r="BI12" s="474">
        <f>COUNTIF(ParticipationAvril1[[#This Row],[1]:[30]],code18)</f>
        <v>0</v>
      </c>
      <c r="BJ12" s="474">
        <f>COUNTIF(ParticipationAvril1[[#This Row],[1]:[30]],code19)</f>
        <v>0</v>
      </c>
      <c r="BK12" s="475">
        <f>COUNTIF(ParticipationAvril1[[#This Row],[1]:[30]],code20)</f>
        <v>0</v>
      </c>
      <c r="BL12" s="476">
        <f>COUNTIF(ParticipationAvril1[[#This Row],[1]:[30]],code29)</f>
        <v>0</v>
      </c>
      <c r="BM12" s="473"/>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3"/>
      <c r="CT12" s="473"/>
      <c r="CU12" s="554">
        <f>SUM((AH12*1)+(AI12*1.5)+(AJ12*2)+(AK12*4)+(AP12*5)+(AQ12*6)+(AR12*7)+(AU12*2)+(AX12*3)+(AY12*4)+(AZ12*5)+(BB12*3)+(BA12*2)+(BG12*2)+(BC12*2)+(BD12*2))</f>
        <v>0</v>
      </c>
      <c r="CV12" s="555">
        <f t="shared" si="0"/>
        <v>0</v>
      </c>
      <c r="CW12" s="556">
        <f t="shared" si="1"/>
        <v>0</v>
      </c>
      <c r="CX12" s="557">
        <f t="shared" si="2"/>
        <v>0</v>
      </c>
      <c r="CY12" s="477"/>
    </row>
    <row r="13" spans="1:104" ht="15" thickTop="1" thickBot="1">
      <c r="A13" s="510" t="s">
        <v>73</v>
      </c>
      <c r="B13" s="162" t="str">
        <f>IFERROR(VLOOKUP(ParticipationAvril1[[#This Row],[Référence]],ListeÉtudiants1[],18,FALSE),"")</f>
        <v>AFKIR SOUMIA</v>
      </c>
      <c r="K13" s="510"/>
      <c r="L13" s="510"/>
      <c r="M13" s="510"/>
      <c r="N13" s="510"/>
      <c r="AF13" s="482"/>
      <c r="AG13" s="484"/>
      <c r="AH13" s="439">
        <f>COUNTIF(ParticipationAvril1[[#This Row],[1]:[30]],Code1)</f>
        <v>0</v>
      </c>
      <c r="AI13" s="474">
        <f>COUNTIF(ParticipationAvril1[[#This Row],[1]:[30]],code22)</f>
        <v>0</v>
      </c>
      <c r="AJ13" s="439">
        <f>COUNTIF(ParticipationAvril1[[#This Row],[1]:[30]],Code2)</f>
        <v>0</v>
      </c>
      <c r="AK13" s="439">
        <f>COUNTIF(ParticipationAvril1[[#This Row],[1]:[30]],Code3)</f>
        <v>0</v>
      </c>
      <c r="AL13" s="439">
        <f>COUNTIF(ParticipationAvril1[[#This Row],[1]:[30]],Code4)</f>
        <v>0</v>
      </c>
      <c r="AM13" s="474">
        <f>COUNTIF(ParticipationAvril1[[#This Row],[1]:[30]],Code5)</f>
        <v>0</v>
      </c>
      <c r="AN13" s="474">
        <f>COUNTIF(ParticipationAvril1[[#This Row],[1]:[30]],Code23)</f>
        <v>0</v>
      </c>
      <c r="AO13" s="474">
        <f>COUNTIF(ParticipationAvril1[[#This Row],[1]:[30]],Code6)</f>
        <v>0</v>
      </c>
      <c r="AP13" s="474">
        <f>COUNTIF(ParticipationAvril1[[#This Row],[1]:[30]],Code7)</f>
        <v>0</v>
      </c>
      <c r="AQ13" s="474">
        <f>COUNTIF(ParticipationAvril1[[#This Row],[1]:[30]],Code8)</f>
        <v>0</v>
      </c>
      <c r="AR13" s="474">
        <f>COUNTIF(ParticipationAvril1[[#This Row],[1]:[30]],Code9)</f>
        <v>0</v>
      </c>
      <c r="AS13" s="474">
        <f>COUNTIF(ParticipationAvril1[[#This Row],[1]:[30]],Code10)</f>
        <v>0</v>
      </c>
      <c r="AT13" s="474">
        <f>COUNTIF(ParticipationAvril1[[#This Row],[1]:[30]],Code11)</f>
        <v>0</v>
      </c>
      <c r="AU13" s="474">
        <f>COUNTIF(ParticipationAvril1[[#This Row],[1]:[30]],Code12)</f>
        <v>0</v>
      </c>
      <c r="AV13" s="474">
        <f>COUNTIF(ParticipationAvril1[[#This Row],[1]:[30]],Code13)</f>
        <v>0</v>
      </c>
      <c r="AW13" s="474">
        <f>COUNTIF(ParticipationAvril1[[#This Row],[1]:[30]],Code14)</f>
        <v>0</v>
      </c>
      <c r="AX13" s="474">
        <f>COUNTIF(ParticipationAvril1[[#This Row],[1]:[30]],Code16)</f>
        <v>0</v>
      </c>
      <c r="AY13" s="474">
        <f>COUNTIF(ParticipationAvril1[[#This Row],[1]:[30]],Code15)</f>
        <v>0</v>
      </c>
      <c r="AZ13" s="474">
        <f>COUNTIF(ParticipationAvril1[[#This Row],[1]:[30]],Code17)</f>
        <v>0</v>
      </c>
      <c r="BA13" s="474">
        <f>COUNTIF(ParticipationAvril1[[#This Row],[1]:[30]],Code25)</f>
        <v>0</v>
      </c>
      <c r="BB13" s="474">
        <f>COUNTIF(ParticipationAvril1[[#This Row],[1]:[30]],Code26)</f>
        <v>0</v>
      </c>
      <c r="BC13" s="474">
        <f>COUNTIF(ParticipationAvril1[[#This Row],[1]:[30]],Code27)</f>
        <v>0</v>
      </c>
      <c r="BD13" s="474">
        <f>COUNTIF(ParticipationAvril1[[#This Row],[1]:[30]],Code28)</f>
        <v>0</v>
      </c>
      <c r="BE13" s="474">
        <f>COUNTIF(ParticipationAvril1[[#This Row],[1]:[30]],code30)</f>
        <v>0</v>
      </c>
      <c r="BF13" s="474">
        <f>COUNTIF(ParticipationAvril1[[#This Row],[1]:[30]],Code31)</f>
        <v>0</v>
      </c>
      <c r="BG13" s="474">
        <f>COUNTIF(ParticipationAvril1[[#This Row],[1]:[30]],code21)</f>
        <v>0</v>
      </c>
      <c r="BH13" s="474">
        <f>COUNTIF(ParticipationAvril1[[#This Row],[1]:[30]],Code24)</f>
        <v>0</v>
      </c>
      <c r="BI13" s="474">
        <f>COUNTIF(ParticipationAvril1[[#This Row],[1]:[30]],code18)</f>
        <v>0</v>
      </c>
      <c r="BJ13" s="474">
        <f>COUNTIF(ParticipationAvril1[[#This Row],[1]:[30]],code19)</f>
        <v>0</v>
      </c>
      <c r="BK13" s="475">
        <f>COUNTIF(ParticipationAvril1[[#This Row],[1]:[30]],code20)</f>
        <v>0</v>
      </c>
      <c r="BL13" s="476">
        <f>COUNTIF(ParticipationAvril1[[#This Row],[1]:[30]],code29)</f>
        <v>0</v>
      </c>
      <c r="BM13" s="473"/>
      <c r="BN13" s="472"/>
      <c r="BO13" s="472"/>
      <c r="BP13" s="472"/>
      <c r="BQ13" s="472"/>
      <c r="BR13" s="472"/>
      <c r="BS13" s="472"/>
      <c r="BT13" s="472"/>
      <c r="BU13" s="472"/>
      <c r="BV13" s="472"/>
      <c r="BW13" s="472"/>
      <c r="BX13" s="472"/>
      <c r="BY13" s="472"/>
      <c r="BZ13" s="472"/>
      <c r="CA13" s="472"/>
      <c r="CB13" s="472"/>
      <c r="CC13" s="472"/>
      <c r="CD13" s="472"/>
      <c r="CE13" s="472"/>
      <c r="CF13" s="472"/>
      <c r="CG13" s="472"/>
      <c r="CH13" s="472"/>
      <c r="CI13" s="472"/>
      <c r="CJ13" s="472"/>
      <c r="CK13" s="472"/>
      <c r="CL13" s="472"/>
      <c r="CM13" s="472"/>
      <c r="CN13" s="472"/>
      <c r="CO13" s="472"/>
      <c r="CP13" s="472"/>
      <c r="CQ13" s="472"/>
      <c r="CR13" s="472"/>
      <c r="CS13" s="473"/>
      <c r="CT13" s="473"/>
      <c r="CU13" s="554">
        <f>SUM((AH13*1)+(AI13*1.5)+(AJ13*2)+(AK13*4)+(AP13*5)+(AQ13*6)+(AR13*7)+(AU13*2)+(AX13*3)+(AY13*4)+(AZ13*5)+(BB13*3)+(BA13*2)+(BG13*2)+(BC13*2)+(BD13*2))</f>
        <v>0</v>
      </c>
      <c r="CV13" s="555">
        <f t="shared" si="0"/>
        <v>0</v>
      </c>
      <c r="CW13" s="556">
        <f t="shared" si="1"/>
        <v>0</v>
      </c>
      <c r="CX13" s="557">
        <f t="shared" si="2"/>
        <v>0</v>
      </c>
      <c r="CY13" s="477"/>
    </row>
    <row r="14" spans="1:104" ht="15" thickTop="1" thickBot="1">
      <c r="A14" s="534" t="s">
        <v>74</v>
      </c>
      <c r="B14" s="162" t="str">
        <f>IFERROR(VLOOKUP(ParticipationAvril1[[#This Row],[Référence]],ListeÉtudiants1[],18,FALSE),"")</f>
        <v>AFRICA NADINE</v>
      </c>
      <c r="K14" s="510"/>
      <c r="L14" s="510"/>
      <c r="M14" s="510"/>
      <c r="N14" s="510"/>
      <c r="AF14" s="482"/>
      <c r="AG14" s="484"/>
      <c r="AH14" s="439">
        <f>COUNTIF(ParticipationAvril1[[#This Row],[1]:[30]],Code1)</f>
        <v>0</v>
      </c>
      <c r="AI14" s="474">
        <f>COUNTIF(ParticipationAvril1[[#This Row],[1]:[30]],code22)</f>
        <v>0</v>
      </c>
      <c r="AJ14" s="439">
        <f>COUNTIF(ParticipationAvril1[[#This Row],[1]:[30]],Code2)</f>
        <v>0</v>
      </c>
      <c r="AK14" s="439">
        <f>COUNTIF(ParticipationAvril1[[#This Row],[1]:[30]],Code3)</f>
        <v>0</v>
      </c>
      <c r="AL14" s="439">
        <f>COUNTIF(ParticipationAvril1[[#This Row],[1]:[30]],Code4)</f>
        <v>0</v>
      </c>
      <c r="AM14" s="474">
        <f>COUNTIF(ParticipationAvril1[[#This Row],[1]:[30]],Code5)</f>
        <v>0</v>
      </c>
      <c r="AN14" s="474">
        <f>COUNTIF(ParticipationAvril1[[#This Row],[1]:[30]],Code23)</f>
        <v>0</v>
      </c>
      <c r="AO14" s="474">
        <f>COUNTIF(ParticipationAvril1[[#This Row],[1]:[30]],Code6)</f>
        <v>0</v>
      </c>
      <c r="AP14" s="474">
        <f>COUNTIF(ParticipationAvril1[[#This Row],[1]:[30]],Code7)</f>
        <v>0</v>
      </c>
      <c r="AQ14" s="474">
        <f>COUNTIF(ParticipationAvril1[[#This Row],[1]:[30]],Code8)</f>
        <v>0</v>
      </c>
      <c r="AR14" s="474">
        <f>COUNTIF(ParticipationAvril1[[#This Row],[1]:[30]],Code9)</f>
        <v>0</v>
      </c>
      <c r="AS14" s="474">
        <f>COUNTIF(ParticipationAvril1[[#This Row],[1]:[30]],Code10)</f>
        <v>0</v>
      </c>
      <c r="AT14" s="474">
        <f>COUNTIF(ParticipationAvril1[[#This Row],[1]:[30]],Code11)</f>
        <v>0</v>
      </c>
      <c r="AU14" s="474">
        <f>COUNTIF(ParticipationAvril1[[#This Row],[1]:[30]],Code12)</f>
        <v>0</v>
      </c>
      <c r="AV14" s="474">
        <f>COUNTIF(ParticipationAvril1[[#This Row],[1]:[30]],Code13)</f>
        <v>0</v>
      </c>
      <c r="AW14" s="474">
        <f>COUNTIF(ParticipationAvril1[[#This Row],[1]:[30]],Code14)</f>
        <v>0</v>
      </c>
      <c r="AX14" s="474">
        <f>COUNTIF(ParticipationAvril1[[#This Row],[1]:[30]],Code16)</f>
        <v>0</v>
      </c>
      <c r="AY14" s="474">
        <f>COUNTIF(ParticipationAvril1[[#This Row],[1]:[30]],Code15)</f>
        <v>0</v>
      </c>
      <c r="AZ14" s="474">
        <f>COUNTIF(ParticipationAvril1[[#This Row],[1]:[30]],Code17)</f>
        <v>0</v>
      </c>
      <c r="BA14" s="474">
        <f>COUNTIF(ParticipationAvril1[[#This Row],[1]:[30]],Code25)</f>
        <v>0</v>
      </c>
      <c r="BB14" s="474">
        <f>COUNTIF(ParticipationAvril1[[#This Row],[1]:[30]],Code26)</f>
        <v>0</v>
      </c>
      <c r="BC14" s="474">
        <f>COUNTIF(ParticipationAvril1[[#This Row],[1]:[30]],Code27)</f>
        <v>0</v>
      </c>
      <c r="BD14" s="474">
        <f>COUNTIF(ParticipationAvril1[[#This Row],[1]:[30]],Code28)</f>
        <v>0</v>
      </c>
      <c r="BE14" s="474">
        <f>COUNTIF(ParticipationAvril1[[#This Row],[1]:[30]],code30)</f>
        <v>0</v>
      </c>
      <c r="BF14" s="474">
        <f>COUNTIF(ParticipationAvril1[[#This Row],[1]:[30]],Code31)</f>
        <v>0</v>
      </c>
      <c r="BG14" s="474">
        <f>COUNTIF(ParticipationAvril1[[#This Row],[1]:[30]],code21)</f>
        <v>0</v>
      </c>
      <c r="BH14" s="474">
        <f>COUNTIF(ParticipationAvril1[[#This Row],[1]:[30]],Code24)</f>
        <v>0</v>
      </c>
      <c r="BI14" s="474">
        <f>COUNTIF(ParticipationAvril1[[#This Row],[1]:[30]],code18)</f>
        <v>0</v>
      </c>
      <c r="BJ14" s="474">
        <f>COUNTIF(ParticipationAvril1[[#This Row],[1]:[30]],code19)</f>
        <v>0</v>
      </c>
      <c r="BK14" s="475">
        <f>COUNTIF(ParticipationAvril1[[#This Row],[1]:[30]],code20)</f>
        <v>0</v>
      </c>
      <c r="BL14" s="476">
        <f>COUNTIF(ParticipationAvril1[[#This Row],[1]:[30]],code29)</f>
        <v>0</v>
      </c>
      <c r="BM14" s="473"/>
      <c r="BN14" s="472"/>
      <c r="BO14" s="472"/>
      <c r="BP14" s="472"/>
      <c r="BQ14" s="472"/>
      <c r="BR14" s="472"/>
      <c r="BS14" s="472"/>
      <c r="BT14" s="472"/>
      <c r="BU14" s="472"/>
      <c r="BV14" s="472"/>
      <c r="BW14" s="472"/>
      <c r="BX14" s="472"/>
      <c r="BY14" s="472"/>
      <c r="BZ14" s="472"/>
      <c r="CA14" s="472"/>
      <c r="CB14" s="472"/>
      <c r="CC14" s="472"/>
      <c r="CD14" s="472"/>
      <c r="CE14" s="472"/>
      <c r="CF14" s="472"/>
      <c r="CG14" s="472"/>
      <c r="CH14" s="472"/>
      <c r="CI14" s="472"/>
      <c r="CJ14" s="472"/>
      <c r="CK14" s="472"/>
      <c r="CL14" s="472"/>
      <c r="CM14" s="472"/>
      <c r="CN14" s="472"/>
      <c r="CO14" s="472"/>
      <c r="CP14" s="472"/>
      <c r="CQ14" s="472"/>
      <c r="CR14" s="472"/>
      <c r="CS14" s="473"/>
      <c r="CT14" s="473"/>
      <c r="CU14" s="554">
        <f>SUM((AH14*1)+(AI14*1.5)+(AJ14*2)+(AK14*4)+(AP14*5)+(AQ14*6)+(AR14*7)+(AU14*2)+(AX14*3)+(AY14*4)+(AZ14*5)+(BB14*3)+(BA14*2)+(BG14*2)+(BC14*2)+(BD14*2))</f>
        <v>0</v>
      </c>
      <c r="CV14" s="555">
        <f t="shared" si="0"/>
        <v>0</v>
      </c>
      <c r="CW14" s="556">
        <f t="shared" si="1"/>
        <v>0</v>
      </c>
      <c r="CX14" s="557">
        <f t="shared" si="2"/>
        <v>0</v>
      </c>
      <c r="CY14" s="477"/>
    </row>
    <row r="15" spans="1:104" ht="15" thickTop="1" thickBot="1">
      <c r="A15" s="510" t="s">
        <v>75</v>
      </c>
      <c r="B15" s="162" t="str">
        <f>IFERROR(VLOOKUP(ParticipationAvril1[[#This Row],[Référence]],ListeÉtudiants1[],18,FALSE),"")</f>
        <v>AINAUD  MATHILDE</v>
      </c>
      <c r="C15" s="19"/>
      <c r="D15" s="19"/>
      <c r="E15" s="19" t="s">
        <v>507</v>
      </c>
      <c r="F15" s="19" t="s">
        <v>483</v>
      </c>
      <c r="G15" s="19"/>
      <c r="H15" s="19" t="s">
        <v>35</v>
      </c>
      <c r="I15" s="19"/>
      <c r="J15" s="19"/>
      <c r="K15" s="19"/>
      <c r="L15" s="19" t="s">
        <v>108</v>
      </c>
      <c r="M15" s="19" t="s">
        <v>487</v>
      </c>
      <c r="N15" s="19"/>
      <c r="O15" s="19"/>
      <c r="P15" s="19"/>
      <c r="Q15" s="19"/>
      <c r="R15" s="19"/>
      <c r="S15" s="19"/>
      <c r="T15" s="19"/>
      <c r="U15" s="19"/>
      <c r="V15" s="19"/>
      <c r="W15" s="19"/>
      <c r="X15" s="19"/>
      <c r="Y15" s="19"/>
      <c r="Z15" s="19"/>
      <c r="AA15" s="19"/>
      <c r="AB15" s="19"/>
      <c r="AC15" s="19"/>
      <c r="AD15" s="19"/>
      <c r="AE15" s="19"/>
      <c r="AF15" s="19"/>
      <c r="AG15" s="144"/>
      <c r="AH15" s="6">
        <f>COUNTIF(ParticipationAvril1[[#This Row],[1]:[30]],Code1)</f>
        <v>0</v>
      </c>
      <c r="AI15" s="6">
        <f>COUNTIF(ParticipationAvril1[[#This Row],[1]:[30]],code22)</f>
        <v>0</v>
      </c>
      <c r="AJ15" s="6">
        <f>COUNTIF(ParticipationAvril1[[#This Row],[1]:[30]],Code2)</f>
        <v>0</v>
      </c>
      <c r="AK15" s="6">
        <f>COUNTIF(ParticipationAvril1[[#This Row],[1]:[30]],Code3)</f>
        <v>0</v>
      </c>
      <c r="AL15" s="6">
        <f>COUNTIF(ParticipationAvril1[[#This Row],[1]:[30]],Code4)</f>
        <v>0</v>
      </c>
      <c r="AM15" s="6">
        <f>COUNTIF(ParticipationAvril1[[#This Row],[1]:[30]],Code5)</f>
        <v>1</v>
      </c>
      <c r="AN15" s="6">
        <f>COUNTIF(ParticipationAvril1[[#This Row],[1]:[30]],Code23)</f>
        <v>0</v>
      </c>
      <c r="AO15" s="6">
        <f>COUNTIF(ParticipationAvril1[[#This Row],[1]:[30]],Code6)</f>
        <v>1</v>
      </c>
      <c r="AP15" s="6">
        <f>COUNTIF(ParticipationAvril1[[#This Row],[1]:[30]],Code7)</f>
        <v>0</v>
      </c>
      <c r="AQ15" s="6">
        <f>COUNTIF(ParticipationAvril1[[#This Row],[1]:[30]],Code8)</f>
        <v>1</v>
      </c>
      <c r="AR15" s="6">
        <f>COUNTIF(ParticipationAvril1[[#This Row],[1]:[30]],Code9)</f>
        <v>0</v>
      </c>
      <c r="AS15" s="6">
        <f>COUNTIF(ParticipationAvril1[[#This Row],[1]:[30]],Code10)</f>
        <v>0</v>
      </c>
      <c r="AT15" s="6">
        <f>COUNTIF(ParticipationAvril1[[#This Row],[1]:[30]],Code11)</f>
        <v>0</v>
      </c>
      <c r="AU15" s="6">
        <f>COUNTIF(ParticipationAvril1[[#This Row],[1]:[30]],Code12)</f>
        <v>1</v>
      </c>
      <c r="AV15" s="6">
        <f>COUNTIF(ParticipationAvril1[[#This Row],[1]:[30]],Code13)</f>
        <v>0</v>
      </c>
      <c r="AW15" s="6">
        <f>COUNTIF(ParticipationAvril1[[#This Row],[1]:[30]],Code14)</f>
        <v>0</v>
      </c>
      <c r="AX15" s="6">
        <f>COUNTIF(ParticipationAvril1[[#This Row],[1]:[30]],Code16)</f>
        <v>0</v>
      </c>
      <c r="AY15" s="6">
        <f>COUNTIF(ParticipationAvril1[[#This Row],[1]:[30]],Code15)</f>
        <v>0</v>
      </c>
      <c r="AZ15" s="6">
        <f>COUNTIF(ParticipationAvril1[[#This Row],[1]:[30]],Code17)</f>
        <v>0</v>
      </c>
      <c r="BA15" s="6">
        <f>COUNTIF(ParticipationAvril1[[#This Row],[1]:[30]],Code25)</f>
        <v>0</v>
      </c>
      <c r="BB15" s="6">
        <f>COUNTIF(ParticipationAvril1[[#This Row],[1]:[30]],Code26)</f>
        <v>0</v>
      </c>
      <c r="BC15" s="432">
        <f>COUNTIF(ParticipationAvril1[[#This Row],[1]:[30]],Code27)</f>
        <v>0</v>
      </c>
      <c r="BD15" s="6">
        <f>COUNTIF(ParticipationAvril1[[#This Row],[1]:[30]],Code28)</f>
        <v>0</v>
      </c>
      <c r="BE15" s="6">
        <f>COUNTIF(ParticipationAvril1[[#This Row],[1]:[30]],code30)</f>
        <v>0</v>
      </c>
      <c r="BF15" s="6">
        <f>COUNTIF(ParticipationAvril1[[#This Row],[1]:[30]],Code31)</f>
        <v>0</v>
      </c>
      <c r="BG15" s="6">
        <f>COUNTIF(ParticipationAvril1[[#This Row],[1]:[30]],code21)</f>
        <v>1</v>
      </c>
      <c r="BH15" s="6">
        <f>COUNTIF(ParticipationAvril1[[#This Row],[1]:[30]],Code24)</f>
        <v>0</v>
      </c>
      <c r="BI15" s="6">
        <f>COUNTIF(ParticipationAvril1[[#This Row],[1]:[30]],code18)</f>
        <v>0</v>
      </c>
      <c r="BJ15" s="6">
        <f>COUNTIF(ParticipationAvril1[[#This Row],[1]:[30]],code19)</f>
        <v>0</v>
      </c>
      <c r="BK15" s="6">
        <f>COUNTIF(ParticipationAvril1[[#This Row],[1]:[30]],code20)</f>
        <v>0</v>
      </c>
      <c r="BL15" s="182">
        <f>COUNTIF(ParticipationAvril1[[#This Row],[1]:[30]],code29)</f>
        <v>0</v>
      </c>
      <c r="BM15" s="307"/>
      <c r="BN15" s="297">
        <v>2</v>
      </c>
      <c r="BO15" s="297"/>
      <c r="BP15" s="297"/>
      <c r="BQ15" s="297"/>
      <c r="BR15" s="297"/>
      <c r="BS15" s="297"/>
      <c r="BT15" s="297">
        <v>2</v>
      </c>
      <c r="BU15" s="297"/>
      <c r="BV15" s="297"/>
      <c r="BW15" s="297">
        <v>1</v>
      </c>
      <c r="BX15" s="297"/>
      <c r="BY15" s="297"/>
      <c r="BZ15" s="297">
        <v>1</v>
      </c>
      <c r="CA15" s="297"/>
      <c r="CB15" s="297">
        <v>2</v>
      </c>
      <c r="CC15" s="297"/>
      <c r="CD15" s="297"/>
      <c r="CE15" s="297"/>
      <c r="CF15" s="297"/>
      <c r="CG15" s="297"/>
      <c r="CH15" s="297"/>
      <c r="CI15" s="297"/>
      <c r="CJ15" s="297"/>
      <c r="CK15" s="297"/>
      <c r="CL15" s="297"/>
      <c r="CM15" s="297"/>
      <c r="CN15" s="297"/>
      <c r="CO15" s="297"/>
      <c r="CP15" s="297"/>
      <c r="CQ15" s="297"/>
      <c r="CR15" s="297"/>
      <c r="CS15" s="307"/>
      <c r="CT15" s="307"/>
      <c r="CU15" s="300"/>
      <c r="CV15" s="485">
        <f t="shared" si="0"/>
        <v>8</v>
      </c>
      <c r="CW15" s="499">
        <f t="shared" si="1"/>
        <v>12</v>
      </c>
      <c r="CX15" s="178">
        <f t="shared" si="2"/>
        <v>0</v>
      </c>
      <c r="CY15" s="179">
        <f>SUM((BI15*7)+(BJ15*10)+(BK15*12))</f>
        <v>0</v>
      </c>
    </row>
    <row r="16" spans="1:104" ht="15" thickTop="1" thickBot="1">
      <c r="A16" s="534" t="s">
        <v>357</v>
      </c>
      <c r="B16" s="162" t="str">
        <f>IFERROR(VLOOKUP(ParticipationAvril1[[#This Row],[Référence]],ListeÉtudiants1[],18,FALSE),"")</f>
        <v>AIT CHALALET SELENA</v>
      </c>
      <c r="C16" s="19"/>
      <c r="D16" s="19"/>
      <c r="E16" s="19"/>
      <c r="F16" s="19" t="s">
        <v>108</v>
      </c>
      <c r="G16" s="19"/>
      <c r="H16" s="19" t="s">
        <v>35</v>
      </c>
      <c r="I16" s="19"/>
      <c r="J16" s="19"/>
      <c r="K16" s="19"/>
      <c r="L16" s="19" t="s">
        <v>487</v>
      </c>
      <c r="M16" s="19" t="s">
        <v>487</v>
      </c>
      <c r="N16" s="19" t="s">
        <v>35</v>
      </c>
      <c r="O16" s="19"/>
      <c r="P16" s="19"/>
      <c r="Q16" s="19"/>
      <c r="R16" s="19"/>
      <c r="S16" s="19"/>
      <c r="T16" s="19"/>
      <c r="U16" s="19"/>
      <c r="V16" s="19"/>
      <c r="W16" s="19"/>
      <c r="X16" s="19"/>
      <c r="Y16" s="19"/>
      <c r="Z16" s="19"/>
      <c r="AA16" s="19"/>
      <c r="AB16" s="19"/>
      <c r="AC16" s="19"/>
      <c r="AD16" s="19"/>
      <c r="AE16" s="19"/>
      <c r="AF16" s="19"/>
      <c r="AG16" s="144"/>
      <c r="AH16" s="6">
        <f>COUNTIF(ParticipationAvril1[[#This Row],[1]:[30]],Code1)</f>
        <v>0</v>
      </c>
      <c r="AI16" s="6">
        <f>COUNTIF(ParticipationAvril1[[#This Row],[1]:[30]],code22)</f>
        <v>0</v>
      </c>
      <c r="AJ16" s="6">
        <f>COUNTIF(ParticipationAvril1[[#This Row],[1]:[30]],Code2)</f>
        <v>0</v>
      </c>
      <c r="AK16" s="6">
        <f>COUNTIF(ParticipationAvril1[[#This Row],[1]:[30]],Code3)</f>
        <v>0</v>
      </c>
      <c r="AL16" s="6">
        <f>COUNTIF(ParticipationAvril1[[#This Row],[1]:[30]],Code4)</f>
        <v>0</v>
      </c>
      <c r="AM16" s="6">
        <f>COUNTIF(ParticipationAvril1[[#This Row],[1]:[30]],Code5)</f>
        <v>2</v>
      </c>
      <c r="AN16" s="6">
        <f>COUNTIF(ParticipationAvril1[[#This Row],[1]:[30]],Code23)</f>
        <v>0</v>
      </c>
      <c r="AO16" s="6">
        <f>COUNTIF(ParticipationAvril1[[#This Row],[1]:[30]],Code6)</f>
        <v>1</v>
      </c>
      <c r="AP16" s="6">
        <f>COUNTIF(ParticipationAvril1[[#This Row],[1]:[30]],Code7)</f>
        <v>0</v>
      </c>
      <c r="AQ16" s="6">
        <f>COUNTIF(ParticipationAvril1[[#This Row],[1]:[30]],Code8)</f>
        <v>0</v>
      </c>
      <c r="AR16" s="6">
        <f>COUNTIF(ParticipationAvril1[[#This Row],[1]:[30]],Code9)</f>
        <v>0</v>
      </c>
      <c r="AS16" s="6">
        <f>COUNTIF(ParticipationAvril1[[#This Row],[1]:[30]],Code10)</f>
        <v>0</v>
      </c>
      <c r="AT16" s="6">
        <f>COUNTIF(ParticipationAvril1[[#This Row],[1]:[30]],Code11)</f>
        <v>0</v>
      </c>
      <c r="AU16" s="6">
        <f>COUNTIF(ParticipationAvril1[[#This Row],[1]:[30]],Code12)</f>
        <v>2</v>
      </c>
      <c r="AV16" s="6">
        <f>COUNTIF(ParticipationAvril1[[#This Row],[1]:[30]],Code13)</f>
        <v>0</v>
      </c>
      <c r="AW16" s="6">
        <f>COUNTIF(ParticipationAvril1[[#This Row],[1]:[30]],Code14)</f>
        <v>0</v>
      </c>
      <c r="AX16" s="6">
        <f>COUNTIF(ParticipationAvril1[[#This Row],[1]:[30]],Code16)</f>
        <v>0</v>
      </c>
      <c r="AY16" s="6">
        <f>COUNTIF(ParticipationAvril1[[#This Row],[1]:[30]],Code15)</f>
        <v>0</v>
      </c>
      <c r="AZ16" s="6">
        <f>COUNTIF(ParticipationAvril1[[#This Row],[1]:[30]],Code17)</f>
        <v>0</v>
      </c>
      <c r="BA16" s="6">
        <f>COUNTIF(ParticipationAvril1[[#This Row],[1]:[30]],Code25)</f>
        <v>0</v>
      </c>
      <c r="BB16" s="6">
        <f>COUNTIF(ParticipationAvril1[[#This Row],[1]:[30]],Code26)</f>
        <v>0</v>
      </c>
      <c r="BC16" s="432">
        <f>COUNTIF(ParticipationAvril1[[#This Row],[1]:[30]],Code27)</f>
        <v>0</v>
      </c>
      <c r="BD16" s="6">
        <f>COUNTIF(ParticipationAvril1[[#This Row],[1]:[30]],Code28)</f>
        <v>0</v>
      </c>
      <c r="BE16" s="6">
        <f>COUNTIF(ParticipationAvril1[[#This Row],[1]:[30]],code30)</f>
        <v>0</v>
      </c>
      <c r="BF16" s="6">
        <f>COUNTIF(ParticipationAvril1[[#This Row],[1]:[30]],Code31)</f>
        <v>0</v>
      </c>
      <c r="BG16" s="6">
        <f>COUNTIF(ParticipationAvril1[[#This Row],[1]:[30]],code21)</f>
        <v>0</v>
      </c>
      <c r="BH16" s="6">
        <f>COUNTIF(ParticipationAvril1[[#This Row],[1]:[30]],Code24)</f>
        <v>0</v>
      </c>
      <c r="BI16" s="6">
        <f>COUNTIF(ParticipationAvril1[[#This Row],[1]:[30]],code18)</f>
        <v>0</v>
      </c>
      <c r="BJ16" s="6">
        <f>COUNTIF(ParticipationAvril1[[#This Row],[1]:[30]],code19)</f>
        <v>0</v>
      </c>
      <c r="BK16" s="6">
        <f>COUNTIF(ParticipationAvril1[[#This Row],[1]:[30]],code20)</f>
        <v>0</v>
      </c>
      <c r="BL16" s="182">
        <f>COUNTIF(ParticipationAvril1[[#This Row],[1]:[30]],code29)</f>
        <v>0</v>
      </c>
      <c r="BM16" s="297"/>
      <c r="BN16" s="297">
        <v>2</v>
      </c>
      <c r="BO16" s="297"/>
      <c r="BP16" s="297"/>
      <c r="BQ16" s="297"/>
      <c r="BR16" s="297"/>
      <c r="BS16" s="297"/>
      <c r="BT16" s="297">
        <v>4</v>
      </c>
      <c r="BU16" s="297"/>
      <c r="BV16" s="297"/>
      <c r="BW16" s="297">
        <v>1</v>
      </c>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307"/>
      <c r="CT16" s="307"/>
      <c r="CU16" s="300"/>
      <c r="CV16" s="485">
        <f t="shared" si="0"/>
        <v>0</v>
      </c>
      <c r="CW16" s="499">
        <f t="shared" si="1"/>
        <v>19</v>
      </c>
      <c r="CX16" s="178">
        <f t="shared" si="2"/>
        <v>0</v>
      </c>
      <c r="CY16" s="179">
        <f>SUM((BI16*7)+(BJ16*10)+(BK16*12))</f>
        <v>0</v>
      </c>
    </row>
    <row r="17" spans="1:104" ht="15" thickTop="1" thickBot="1">
      <c r="A17" s="534" t="s">
        <v>358</v>
      </c>
      <c r="B17" s="162" t="str">
        <f>IFERROR(VLOOKUP(ParticipationAvril1[[#This Row],[Référence]],ListeÉtudiants1[],18,FALSE),"")</f>
        <v>AJINCA NATHAN</v>
      </c>
      <c r="G17" s="456" t="s">
        <v>634</v>
      </c>
      <c r="AF17" s="88"/>
      <c r="AG17" s="441"/>
      <c r="AH17" s="439">
        <f>COUNTIF(ParticipationAvril1[[#This Row],[1]:[30]],Code1)</f>
        <v>0</v>
      </c>
      <c r="AI17" s="435">
        <f>COUNTIF(ParticipationAvril1[[#This Row],[1]:[30]],code22)</f>
        <v>0</v>
      </c>
      <c r="AJ17" s="439">
        <f>COUNTIF(ParticipationAvril1[[#This Row],[1]:[30]],Code2)</f>
        <v>0</v>
      </c>
      <c r="AK17" s="439">
        <f>COUNTIF(ParticipationAvril1[[#This Row],[1]:[30]],Code3)</f>
        <v>0</v>
      </c>
      <c r="AL17" s="439">
        <f>COUNTIF(ParticipationAvril1[[#This Row],[1]:[30]],Code4)</f>
        <v>0</v>
      </c>
      <c r="AM17" s="435">
        <f>COUNTIF(ParticipationAvril1[[#This Row],[1]:[30]],Code5)</f>
        <v>0</v>
      </c>
      <c r="AN17" s="435">
        <f>COUNTIF(ParticipationAvril1[[#This Row],[1]:[30]],Code23)</f>
        <v>0</v>
      </c>
      <c r="AO17" s="435">
        <f>COUNTIF(ParticipationAvril1[[#This Row],[1]:[30]],Code6)</f>
        <v>0</v>
      </c>
      <c r="AP17" s="435">
        <f>COUNTIF(ParticipationAvril1[[#This Row],[1]:[30]],Code7)</f>
        <v>0</v>
      </c>
      <c r="AQ17" s="435">
        <f>COUNTIF(ParticipationAvril1[[#This Row],[1]:[30]],Code8)</f>
        <v>0</v>
      </c>
      <c r="AR17" s="435">
        <f>COUNTIF(ParticipationAvril1[[#This Row],[1]:[30]],Code9)</f>
        <v>0</v>
      </c>
      <c r="AS17" s="435">
        <f>COUNTIF(ParticipationAvril1[[#This Row],[1]:[30]],Code10)</f>
        <v>0</v>
      </c>
      <c r="AT17" s="435">
        <f>COUNTIF(ParticipationAvril1[[#This Row],[1]:[30]],Code11)</f>
        <v>0</v>
      </c>
      <c r="AU17" s="435">
        <f>COUNTIF(ParticipationAvril1[[#This Row],[1]:[30]],Code12)</f>
        <v>0</v>
      </c>
      <c r="AV17" s="435">
        <f>COUNTIF(ParticipationAvril1[[#This Row],[1]:[30]],Code13)</f>
        <v>0</v>
      </c>
      <c r="AW17" s="435">
        <f>COUNTIF(ParticipationAvril1[[#This Row],[1]:[30]],Code14)</f>
        <v>0</v>
      </c>
      <c r="AX17" s="435">
        <f>COUNTIF(ParticipationAvril1[[#This Row],[1]:[30]],Code16)</f>
        <v>0</v>
      </c>
      <c r="AY17" s="435">
        <f>COUNTIF(ParticipationAvril1[[#This Row],[1]:[30]],Code15)</f>
        <v>0</v>
      </c>
      <c r="AZ17" s="435">
        <f>COUNTIF(ParticipationAvril1[[#This Row],[1]:[30]],Code17)</f>
        <v>0</v>
      </c>
      <c r="BA17" s="435">
        <f>COUNTIF(ParticipationAvril1[[#This Row],[1]:[30]],Code25)</f>
        <v>0</v>
      </c>
      <c r="BB17" s="435">
        <f>COUNTIF(ParticipationAvril1[[#This Row],[1]:[30]],Code26)</f>
        <v>0</v>
      </c>
      <c r="BC17" s="435">
        <f>COUNTIF(ParticipationAvril1[[#This Row],[1]:[30]],Code27)</f>
        <v>0</v>
      </c>
      <c r="BD17" s="435">
        <f>COUNTIF(ParticipationAvril1[[#This Row],[1]:[30]],Code28)</f>
        <v>0</v>
      </c>
      <c r="BE17" s="435">
        <f>COUNTIF(ParticipationAvril1[[#This Row],[1]:[30]],code30)</f>
        <v>0</v>
      </c>
      <c r="BF17" s="435">
        <f>COUNTIF(ParticipationAvril1[[#This Row],[1]:[30]],Code31)</f>
        <v>0</v>
      </c>
      <c r="BG17" s="435">
        <f>COUNTIF(ParticipationAvril1[[#This Row],[1]:[30]],code21)</f>
        <v>0</v>
      </c>
      <c r="BH17" s="435">
        <f>COUNTIF(ParticipationAvril1[[#This Row],[1]:[30]],Code24)</f>
        <v>0</v>
      </c>
      <c r="BI17" s="435">
        <f>COUNTIF(ParticipationAvril1[[#This Row],[1]:[30]],code18)</f>
        <v>0</v>
      </c>
      <c r="BJ17" s="435">
        <f>COUNTIF(ParticipationAvril1[[#This Row],[1]:[30]],code19)</f>
        <v>0</v>
      </c>
      <c r="BK17" s="435">
        <f>COUNTIF(ParticipationAvril1[[#This Row],[1]:[30]],code20)</f>
        <v>0</v>
      </c>
      <c r="BL17" s="436">
        <f>COUNTIF(ParticipationAvril1[[#This Row],[1]:[30]],code29)</f>
        <v>1</v>
      </c>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300"/>
      <c r="CV17" s="485">
        <f t="shared" si="0"/>
        <v>0</v>
      </c>
      <c r="CW17" s="499">
        <f t="shared" si="1"/>
        <v>0</v>
      </c>
      <c r="CX17" s="437">
        <f t="shared" si="2"/>
        <v>3</v>
      </c>
      <c r="CY17" s="438"/>
    </row>
    <row r="18" spans="1:104" ht="15" thickTop="1" thickBot="1">
      <c r="A18" s="510" t="s">
        <v>359</v>
      </c>
      <c r="B18" s="162" t="str">
        <f>IFERROR(VLOOKUP(ParticipationAvril1[[#This Row],[Référence]],ListeÉtudiants1[],18,FALSE),"")</f>
        <v>ALBINA IONA</v>
      </c>
      <c r="G18" s="510"/>
      <c r="AF18" s="482"/>
      <c r="AG18" s="484"/>
      <c r="AH18" s="439">
        <f>COUNTIF(ParticipationAvril1[[#This Row],[1]:[30]],Code1)</f>
        <v>0</v>
      </c>
      <c r="AI18" s="474">
        <f>COUNTIF(ParticipationAvril1[[#This Row],[1]:[30]],code22)</f>
        <v>0</v>
      </c>
      <c r="AJ18" s="439">
        <f>COUNTIF(ParticipationAvril1[[#This Row],[1]:[30]],Code2)</f>
        <v>0</v>
      </c>
      <c r="AK18" s="439">
        <f>COUNTIF(ParticipationAvril1[[#This Row],[1]:[30]],Code3)</f>
        <v>0</v>
      </c>
      <c r="AL18" s="439">
        <f>COUNTIF(ParticipationAvril1[[#This Row],[1]:[30]],Code4)</f>
        <v>0</v>
      </c>
      <c r="AM18" s="474">
        <f>COUNTIF(ParticipationAvril1[[#This Row],[1]:[30]],Code5)</f>
        <v>0</v>
      </c>
      <c r="AN18" s="474">
        <f>COUNTIF(ParticipationAvril1[[#This Row],[1]:[30]],Code23)</f>
        <v>0</v>
      </c>
      <c r="AO18" s="474">
        <f>COUNTIF(ParticipationAvril1[[#This Row],[1]:[30]],Code6)</f>
        <v>0</v>
      </c>
      <c r="AP18" s="474">
        <f>COUNTIF(ParticipationAvril1[[#This Row],[1]:[30]],Code7)</f>
        <v>0</v>
      </c>
      <c r="AQ18" s="474">
        <f>COUNTIF(ParticipationAvril1[[#This Row],[1]:[30]],Code8)</f>
        <v>0</v>
      </c>
      <c r="AR18" s="474">
        <f>COUNTIF(ParticipationAvril1[[#This Row],[1]:[30]],Code9)</f>
        <v>0</v>
      </c>
      <c r="AS18" s="474">
        <f>COUNTIF(ParticipationAvril1[[#This Row],[1]:[30]],Code10)</f>
        <v>0</v>
      </c>
      <c r="AT18" s="474">
        <f>COUNTIF(ParticipationAvril1[[#This Row],[1]:[30]],Code11)</f>
        <v>0</v>
      </c>
      <c r="AU18" s="474">
        <f>COUNTIF(ParticipationAvril1[[#This Row],[1]:[30]],Code12)</f>
        <v>0</v>
      </c>
      <c r="AV18" s="474">
        <f>COUNTIF(ParticipationAvril1[[#This Row],[1]:[30]],Code13)</f>
        <v>0</v>
      </c>
      <c r="AW18" s="474">
        <f>COUNTIF(ParticipationAvril1[[#This Row],[1]:[30]],Code14)</f>
        <v>0</v>
      </c>
      <c r="AX18" s="474">
        <f>COUNTIF(ParticipationAvril1[[#This Row],[1]:[30]],Code16)</f>
        <v>0</v>
      </c>
      <c r="AY18" s="474">
        <f>COUNTIF(ParticipationAvril1[[#This Row],[1]:[30]],Code15)</f>
        <v>0</v>
      </c>
      <c r="AZ18" s="474">
        <f>COUNTIF(ParticipationAvril1[[#This Row],[1]:[30]],Code17)</f>
        <v>0</v>
      </c>
      <c r="BA18" s="474">
        <f>COUNTIF(ParticipationAvril1[[#This Row],[1]:[30]],Code25)</f>
        <v>0</v>
      </c>
      <c r="BB18" s="474">
        <f>COUNTIF(ParticipationAvril1[[#This Row],[1]:[30]],Code26)</f>
        <v>0</v>
      </c>
      <c r="BC18" s="474">
        <f>COUNTIF(ParticipationAvril1[[#This Row],[1]:[30]],Code27)</f>
        <v>0</v>
      </c>
      <c r="BD18" s="474">
        <f>COUNTIF(ParticipationAvril1[[#This Row],[1]:[30]],Code28)</f>
        <v>0</v>
      </c>
      <c r="BE18" s="474">
        <f>COUNTIF(ParticipationAvril1[[#This Row],[1]:[30]],code30)</f>
        <v>0</v>
      </c>
      <c r="BF18" s="474">
        <f>COUNTIF(ParticipationAvril1[[#This Row],[1]:[30]],Code31)</f>
        <v>0</v>
      </c>
      <c r="BG18" s="474">
        <f>COUNTIF(ParticipationAvril1[[#This Row],[1]:[30]],code21)</f>
        <v>0</v>
      </c>
      <c r="BH18" s="474">
        <f>COUNTIF(ParticipationAvril1[[#This Row],[1]:[30]],Code24)</f>
        <v>0</v>
      </c>
      <c r="BI18" s="474">
        <f>COUNTIF(ParticipationAvril1[[#This Row],[1]:[30]],code18)</f>
        <v>0</v>
      </c>
      <c r="BJ18" s="474">
        <f>COUNTIF(ParticipationAvril1[[#This Row],[1]:[30]],code19)</f>
        <v>0</v>
      </c>
      <c r="BK18" s="474">
        <f>COUNTIF(ParticipationAvril1[[#This Row],[1]:[30]],code20)</f>
        <v>0</v>
      </c>
      <c r="BL18" s="476">
        <f>COUNTIF(ParticipationAvril1[[#This Row],[1]:[30]],code29)</f>
        <v>0</v>
      </c>
      <c r="BM18" s="472"/>
      <c r="BN18" s="472"/>
      <c r="BO18" s="472"/>
      <c r="BP18" s="472"/>
      <c r="BQ18" s="472"/>
      <c r="BR18" s="472"/>
      <c r="BS18" s="472"/>
      <c r="BT18" s="472"/>
      <c r="BU18" s="472"/>
      <c r="BV18" s="472"/>
      <c r="BW18" s="472"/>
      <c r="BX18" s="472"/>
      <c r="BY18" s="472"/>
      <c r="BZ18" s="472"/>
      <c r="CA18" s="472"/>
      <c r="CB18" s="472"/>
      <c r="CC18" s="472"/>
      <c r="CD18" s="472"/>
      <c r="CE18" s="472"/>
      <c r="CF18" s="472"/>
      <c r="CG18" s="472"/>
      <c r="CH18" s="472"/>
      <c r="CI18" s="472"/>
      <c r="CJ18" s="472"/>
      <c r="CK18" s="472"/>
      <c r="CL18" s="472"/>
      <c r="CM18" s="472"/>
      <c r="CN18" s="472"/>
      <c r="CO18" s="472"/>
      <c r="CP18" s="472"/>
      <c r="CQ18" s="472"/>
      <c r="CR18" s="472"/>
      <c r="CS18" s="472"/>
      <c r="CT18" s="472"/>
      <c r="CU18" s="554">
        <f>SUM((AH18*1)+(AI18*1.5)+(AJ18*2)+(AK18*4)+(AP18*5)+(AQ18*6)+(AR18*7)+(AU18*2)+(AX18*3)+(AY18*4)+(AZ18*5)+(BB18*3)+(BA18*2)+(BG18*2)+(BC18*2)+(BD18*2))</f>
        <v>0</v>
      </c>
      <c r="CV18" s="555">
        <f t="shared" si="0"/>
        <v>0</v>
      </c>
      <c r="CW18" s="556">
        <f t="shared" si="1"/>
        <v>0</v>
      </c>
      <c r="CX18" s="557">
        <f t="shared" si="2"/>
        <v>0</v>
      </c>
      <c r="CY18" s="477"/>
    </row>
    <row r="19" spans="1:104" ht="15" thickTop="1" thickBot="1">
      <c r="A19" s="534" t="s">
        <v>360</v>
      </c>
      <c r="B19" s="162" t="str">
        <f>IFERROR(VLOOKUP(ParticipationAvril1[[#This Row],[Référence]],ListeÉtudiants1[],18,FALSE),"")</f>
        <v>ALCHEK MONA</v>
      </c>
      <c r="C19" s="19"/>
      <c r="D19" s="19"/>
      <c r="E19" s="19"/>
      <c r="F19" s="19" t="s">
        <v>108</v>
      </c>
      <c r="G19" s="19"/>
      <c r="H19" s="19" t="s">
        <v>35</v>
      </c>
      <c r="I19" s="19"/>
      <c r="J19" s="19"/>
      <c r="K19" s="19" t="s">
        <v>527</v>
      </c>
      <c r="L19" s="19" t="s">
        <v>487</v>
      </c>
      <c r="M19" s="19" t="s">
        <v>487</v>
      </c>
      <c r="N19" s="19"/>
      <c r="O19" s="19"/>
      <c r="P19" s="19"/>
      <c r="Q19" s="19"/>
      <c r="R19" s="19"/>
      <c r="S19" s="19"/>
      <c r="T19" s="19"/>
      <c r="U19" s="19"/>
      <c r="V19" s="19"/>
      <c r="W19" s="19"/>
      <c r="X19" s="19"/>
      <c r="Y19" s="19"/>
      <c r="Z19" s="19"/>
      <c r="AA19" s="19"/>
      <c r="AB19" s="19"/>
      <c r="AC19" s="19"/>
      <c r="AD19" s="19"/>
      <c r="AE19" s="19"/>
      <c r="AF19" s="19"/>
      <c r="AG19" s="144"/>
      <c r="AH19" s="6">
        <f>COUNTIF(ParticipationAvril1[[#This Row],[1]:[30]],Code1)</f>
        <v>0</v>
      </c>
      <c r="AI19" s="6">
        <f>COUNTIF(ParticipationAvril1[[#This Row],[1]:[30]],code22)</f>
        <v>1</v>
      </c>
      <c r="AJ19" s="6">
        <f>COUNTIF(ParticipationAvril1[[#This Row],[1]:[30]],Code2)</f>
        <v>0</v>
      </c>
      <c r="AK19" s="6">
        <f>COUNTIF(ParticipationAvril1[[#This Row],[1]:[30]],Code3)</f>
        <v>0</v>
      </c>
      <c r="AL19" s="6">
        <f>COUNTIF(ParticipationAvril1[[#This Row],[1]:[30]],Code4)</f>
        <v>0</v>
      </c>
      <c r="AM19" s="6">
        <f>COUNTIF(ParticipationAvril1[[#This Row],[1]:[30]],Code5)</f>
        <v>1</v>
      </c>
      <c r="AN19" s="6">
        <f>COUNTIF(ParticipationAvril1[[#This Row],[1]:[30]],Code23)</f>
        <v>0</v>
      </c>
      <c r="AO19" s="6">
        <f>COUNTIF(ParticipationAvril1[[#This Row],[1]:[30]],Code6)</f>
        <v>1</v>
      </c>
      <c r="AP19" s="6">
        <f>COUNTIF(ParticipationAvril1[[#This Row],[1]:[30]],Code7)</f>
        <v>0</v>
      </c>
      <c r="AQ19" s="6">
        <f>COUNTIF(ParticipationAvril1[[#This Row],[1]:[30]],Code8)</f>
        <v>0</v>
      </c>
      <c r="AR19" s="6">
        <f>COUNTIF(ParticipationAvril1[[#This Row],[1]:[30]],Code9)</f>
        <v>0</v>
      </c>
      <c r="AS19" s="6">
        <f>COUNTIF(ParticipationAvril1[[#This Row],[1]:[30]],Code10)</f>
        <v>0</v>
      </c>
      <c r="AT19" s="6">
        <f>COUNTIF(ParticipationAvril1[[#This Row],[1]:[30]],Code11)</f>
        <v>0</v>
      </c>
      <c r="AU19" s="6">
        <f>COUNTIF(ParticipationAvril1[[#This Row],[1]:[30]],Code12)</f>
        <v>2</v>
      </c>
      <c r="AV19" s="6">
        <f>COUNTIF(ParticipationAvril1[[#This Row],[1]:[30]],Code13)</f>
        <v>0</v>
      </c>
      <c r="AW19" s="6">
        <f>COUNTIF(ParticipationAvril1[[#This Row],[1]:[30]],Code14)</f>
        <v>0</v>
      </c>
      <c r="AX19" s="6">
        <f>COUNTIF(ParticipationAvril1[[#This Row],[1]:[30]],Code16)</f>
        <v>0</v>
      </c>
      <c r="AY19" s="6">
        <f>COUNTIF(ParticipationAvril1[[#This Row],[1]:[30]],Code15)</f>
        <v>0</v>
      </c>
      <c r="AZ19" s="6">
        <f>COUNTIF(ParticipationAvril1[[#This Row],[1]:[30]],Code17)</f>
        <v>0</v>
      </c>
      <c r="BA19" s="6">
        <f>COUNTIF(ParticipationAvril1[[#This Row],[1]:[30]],Code25)</f>
        <v>0</v>
      </c>
      <c r="BB19" s="6">
        <f>COUNTIF(ParticipationAvril1[[#This Row],[1]:[30]],Code26)</f>
        <v>0</v>
      </c>
      <c r="BC19" s="432">
        <f>COUNTIF(ParticipationAvril1[[#This Row],[1]:[30]],Code27)</f>
        <v>0</v>
      </c>
      <c r="BD19" s="6">
        <f>COUNTIF(ParticipationAvril1[[#This Row],[1]:[30]],Code28)</f>
        <v>0</v>
      </c>
      <c r="BE19" s="6">
        <f>COUNTIF(ParticipationAvril1[[#This Row],[1]:[30]],code30)</f>
        <v>0</v>
      </c>
      <c r="BF19" s="6">
        <f>COUNTIF(ParticipationAvril1[[#This Row],[1]:[30]],Code31)</f>
        <v>0</v>
      </c>
      <c r="BG19" s="6">
        <f>COUNTIF(ParticipationAvril1[[#This Row],[1]:[30]],code21)</f>
        <v>0</v>
      </c>
      <c r="BH19" s="6">
        <f>COUNTIF(ParticipationAvril1[[#This Row],[1]:[30]],Code24)</f>
        <v>0</v>
      </c>
      <c r="BI19" s="6">
        <f>COUNTIF(ParticipationAvril1[[#This Row],[1]:[30]],code18)</f>
        <v>0</v>
      </c>
      <c r="BJ19" s="6">
        <f>COUNTIF(ParticipationAvril1[[#This Row],[1]:[30]],code19)</f>
        <v>0</v>
      </c>
      <c r="BK19" s="6">
        <f>COUNTIF(ParticipationAvril1[[#This Row],[1]:[30]],code20)</f>
        <v>0</v>
      </c>
      <c r="BL19" s="182">
        <f>COUNTIF(ParticipationAvril1[[#This Row],[1]:[30]],code29)</f>
        <v>0</v>
      </c>
      <c r="BM19" s="297"/>
      <c r="BN19" s="297">
        <v>1</v>
      </c>
      <c r="BO19" s="297"/>
      <c r="BP19" s="297"/>
      <c r="BQ19" s="297"/>
      <c r="BR19" s="297"/>
      <c r="BS19" s="297"/>
      <c r="BT19" s="297">
        <v>5</v>
      </c>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307"/>
      <c r="CT19" s="307"/>
      <c r="CU19" s="300"/>
      <c r="CV19" s="485">
        <f t="shared" si="0"/>
        <v>1.5</v>
      </c>
      <c r="CW19" s="499">
        <f t="shared" si="1"/>
        <v>17</v>
      </c>
      <c r="CX19" s="178">
        <f t="shared" si="2"/>
        <v>0</v>
      </c>
      <c r="CY19" s="179">
        <f>SUM((BI19*7)+(BJ19*10)+(BK19*12))</f>
        <v>0</v>
      </c>
    </row>
    <row r="20" spans="1:104" ht="15" thickTop="1" thickBot="1">
      <c r="A20" s="510" t="s">
        <v>361</v>
      </c>
      <c r="B20" s="162" t="str">
        <f>IFERROR(VLOOKUP(ParticipationAvril1[[#This Row],[Référence]],ListeÉtudiants1[],18,FALSE),"")</f>
        <v>ALLOUCH EINAT</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558"/>
      <c r="AG20" s="484"/>
      <c r="AH20" s="6">
        <f>COUNTIF(ParticipationAvril1[[#This Row],[1]:[30]],Code1)</f>
        <v>0</v>
      </c>
      <c r="AI20" s="475">
        <f>COUNTIF(ParticipationAvril1[[#This Row],[1]:[30]],code22)</f>
        <v>0</v>
      </c>
      <c r="AJ20" s="6">
        <f>COUNTIF(ParticipationAvril1[[#This Row],[1]:[30]],Code2)</f>
        <v>0</v>
      </c>
      <c r="AK20" s="6">
        <f>COUNTIF(ParticipationAvril1[[#This Row],[1]:[30]],Code3)</f>
        <v>0</v>
      </c>
      <c r="AL20" s="6">
        <f>COUNTIF(ParticipationAvril1[[#This Row],[1]:[30]],Code4)</f>
        <v>0</v>
      </c>
      <c r="AM20" s="475">
        <f>COUNTIF(ParticipationAvril1[[#This Row],[1]:[30]],Code5)</f>
        <v>0</v>
      </c>
      <c r="AN20" s="475">
        <f>COUNTIF(ParticipationAvril1[[#This Row],[1]:[30]],Code23)</f>
        <v>0</v>
      </c>
      <c r="AO20" s="475">
        <f>COUNTIF(ParticipationAvril1[[#This Row],[1]:[30]],Code6)</f>
        <v>0</v>
      </c>
      <c r="AP20" s="475">
        <f>COUNTIF(ParticipationAvril1[[#This Row],[1]:[30]],Code7)</f>
        <v>0</v>
      </c>
      <c r="AQ20" s="475">
        <f>COUNTIF(ParticipationAvril1[[#This Row],[1]:[30]],Code8)</f>
        <v>0</v>
      </c>
      <c r="AR20" s="475">
        <f>COUNTIF(ParticipationAvril1[[#This Row],[1]:[30]],Code9)</f>
        <v>0</v>
      </c>
      <c r="AS20" s="475">
        <f>COUNTIF(ParticipationAvril1[[#This Row],[1]:[30]],Code10)</f>
        <v>0</v>
      </c>
      <c r="AT20" s="475">
        <f>COUNTIF(ParticipationAvril1[[#This Row],[1]:[30]],Code11)</f>
        <v>0</v>
      </c>
      <c r="AU20" s="475">
        <f>COUNTIF(ParticipationAvril1[[#This Row],[1]:[30]],Code12)</f>
        <v>0</v>
      </c>
      <c r="AV20" s="475">
        <f>COUNTIF(ParticipationAvril1[[#This Row],[1]:[30]],Code13)</f>
        <v>0</v>
      </c>
      <c r="AW20" s="475">
        <f>COUNTIF(ParticipationAvril1[[#This Row],[1]:[30]],Code14)</f>
        <v>0</v>
      </c>
      <c r="AX20" s="475">
        <f>COUNTIF(ParticipationAvril1[[#This Row],[1]:[30]],Code16)</f>
        <v>0</v>
      </c>
      <c r="AY20" s="475">
        <f>COUNTIF(ParticipationAvril1[[#This Row],[1]:[30]],Code15)</f>
        <v>0</v>
      </c>
      <c r="AZ20" s="475">
        <f>COUNTIF(ParticipationAvril1[[#This Row],[1]:[30]],Code17)</f>
        <v>0</v>
      </c>
      <c r="BA20" s="475">
        <f>COUNTIF(ParticipationAvril1[[#This Row],[1]:[30]],Code25)</f>
        <v>0</v>
      </c>
      <c r="BB20" s="475">
        <f>COUNTIF(ParticipationAvril1[[#This Row],[1]:[30]],Code26)</f>
        <v>0</v>
      </c>
      <c r="BC20" s="474">
        <f>COUNTIF(ParticipationAvril1[[#This Row],[1]:[30]],Code27)</f>
        <v>0</v>
      </c>
      <c r="BD20" s="475">
        <f>COUNTIF(ParticipationAvril1[[#This Row],[1]:[30]],Code28)</f>
        <v>0</v>
      </c>
      <c r="BE20" s="475">
        <f>COUNTIF(ParticipationAvril1[[#This Row],[1]:[30]],code30)</f>
        <v>0</v>
      </c>
      <c r="BF20" s="475">
        <f>COUNTIF(ParticipationAvril1[[#This Row],[1]:[30]],Code31)</f>
        <v>0</v>
      </c>
      <c r="BG20" s="475">
        <f>COUNTIF(ParticipationAvril1[[#This Row],[1]:[30]],code21)</f>
        <v>0</v>
      </c>
      <c r="BH20" s="475">
        <f>COUNTIF(ParticipationAvril1[[#This Row],[1]:[30]],Code24)</f>
        <v>0</v>
      </c>
      <c r="BI20" s="475">
        <f>COUNTIF(ParticipationAvril1[[#This Row],[1]:[30]],code18)</f>
        <v>0</v>
      </c>
      <c r="BJ20" s="475">
        <f>COUNTIF(ParticipationAvril1[[#This Row],[1]:[30]],code19)</f>
        <v>0</v>
      </c>
      <c r="BK20" s="475">
        <f>COUNTIF(ParticipationAvril1[[#This Row],[1]:[30]],code20)</f>
        <v>0</v>
      </c>
      <c r="BL20" s="476">
        <f>COUNTIF(ParticipationAvril1[[#This Row],[1]:[30]],code29)</f>
        <v>0</v>
      </c>
      <c r="BM20" s="472"/>
      <c r="BN20" s="472"/>
      <c r="BO20" s="472"/>
      <c r="BP20" s="472"/>
      <c r="BQ20" s="472"/>
      <c r="BR20" s="472"/>
      <c r="BS20" s="472"/>
      <c r="BT20" s="472"/>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2"/>
      <c r="CR20" s="472"/>
      <c r="CS20" s="473"/>
      <c r="CT20" s="473"/>
      <c r="CU20" s="554">
        <f>SUM((AH20*1)+(AI20*1.5)+(AJ20*2)+(AK20*4)+(AP20*5)+(AQ20*6)+(AR20*7)+(AU20*2)+(AX20*3)+(AY20*4)+(AZ20*5)+(BB20*3)+(BA20*2)+(BG20*2)+(BC20*2)+(BD20*2))</f>
        <v>0</v>
      </c>
      <c r="CV20" s="555">
        <f t="shared" si="0"/>
        <v>0</v>
      </c>
      <c r="CW20" s="556">
        <f t="shared" si="1"/>
        <v>0</v>
      </c>
      <c r="CX20" s="557">
        <f t="shared" si="2"/>
        <v>0</v>
      </c>
      <c r="CY20" s="477"/>
    </row>
    <row r="21" spans="1:104" ht="15" thickTop="1" thickBot="1">
      <c r="A21" s="534" t="s">
        <v>362</v>
      </c>
      <c r="B21" s="162" t="str">
        <f>IFERROR(VLOOKUP(ParticipationAvril1[[#This Row],[Référence]],ListeÉtudiants1[],18,FALSE),"")</f>
        <v>ANCELE-VALCIN KATIANA</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558"/>
      <c r="AG21" s="484"/>
      <c r="AH21" s="6">
        <f>COUNTIF(ParticipationAvril1[[#This Row],[1]:[30]],Code1)</f>
        <v>0</v>
      </c>
      <c r="AI21" s="475">
        <f>COUNTIF(ParticipationAvril1[[#This Row],[1]:[30]],code22)</f>
        <v>0</v>
      </c>
      <c r="AJ21" s="6">
        <f>COUNTIF(ParticipationAvril1[[#This Row],[1]:[30]],Code2)</f>
        <v>0</v>
      </c>
      <c r="AK21" s="6">
        <f>COUNTIF(ParticipationAvril1[[#This Row],[1]:[30]],Code3)</f>
        <v>0</v>
      </c>
      <c r="AL21" s="6">
        <f>COUNTIF(ParticipationAvril1[[#This Row],[1]:[30]],Code4)</f>
        <v>0</v>
      </c>
      <c r="AM21" s="475">
        <f>COUNTIF(ParticipationAvril1[[#This Row],[1]:[30]],Code5)</f>
        <v>0</v>
      </c>
      <c r="AN21" s="475">
        <f>COUNTIF(ParticipationAvril1[[#This Row],[1]:[30]],Code23)</f>
        <v>0</v>
      </c>
      <c r="AO21" s="475">
        <f>COUNTIF(ParticipationAvril1[[#This Row],[1]:[30]],Code6)</f>
        <v>0</v>
      </c>
      <c r="AP21" s="475">
        <f>COUNTIF(ParticipationAvril1[[#This Row],[1]:[30]],Code7)</f>
        <v>0</v>
      </c>
      <c r="AQ21" s="475">
        <f>COUNTIF(ParticipationAvril1[[#This Row],[1]:[30]],Code8)</f>
        <v>0</v>
      </c>
      <c r="AR21" s="475">
        <f>COUNTIF(ParticipationAvril1[[#This Row],[1]:[30]],Code9)</f>
        <v>0</v>
      </c>
      <c r="AS21" s="475">
        <f>COUNTIF(ParticipationAvril1[[#This Row],[1]:[30]],Code10)</f>
        <v>0</v>
      </c>
      <c r="AT21" s="475">
        <f>COUNTIF(ParticipationAvril1[[#This Row],[1]:[30]],Code11)</f>
        <v>0</v>
      </c>
      <c r="AU21" s="475">
        <f>COUNTIF(ParticipationAvril1[[#This Row],[1]:[30]],Code12)</f>
        <v>0</v>
      </c>
      <c r="AV21" s="475">
        <f>COUNTIF(ParticipationAvril1[[#This Row],[1]:[30]],Code13)</f>
        <v>0</v>
      </c>
      <c r="AW21" s="475">
        <f>COUNTIF(ParticipationAvril1[[#This Row],[1]:[30]],Code14)</f>
        <v>0</v>
      </c>
      <c r="AX21" s="475">
        <f>COUNTIF(ParticipationAvril1[[#This Row],[1]:[30]],Code16)</f>
        <v>0</v>
      </c>
      <c r="AY21" s="475">
        <f>COUNTIF(ParticipationAvril1[[#This Row],[1]:[30]],Code15)</f>
        <v>0</v>
      </c>
      <c r="AZ21" s="475">
        <f>COUNTIF(ParticipationAvril1[[#This Row],[1]:[30]],Code17)</f>
        <v>0</v>
      </c>
      <c r="BA21" s="475">
        <f>COUNTIF(ParticipationAvril1[[#This Row],[1]:[30]],Code25)</f>
        <v>0</v>
      </c>
      <c r="BB21" s="475">
        <f>COUNTIF(ParticipationAvril1[[#This Row],[1]:[30]],Code26)</f>
        <v>0</v>
      </c>
      <c r="BC21" s="474">
        <f>COUNTIF(ParticipationAvril1[[#This Row],[1]:[30]],Code27)</f>
        <v>0</v>
      </c>
      <c r="BD21" s="475">
        <f>COUNTIF(ParticipationAvril1[[#This Row],[1]:[30]],Code28)</f>
        <v>0</v>
      </c>
      <c r="BE21" s="475">
        <f>COUNTIF(ParticipationAvril1[[#This Row],[1]:[30]],code30)</f>
        <v>0</v>
      </c>
      <c r="BF21" s="475">
        <f>COUNTIF(ParticipationAvril1[[#This Row],[1]:[30]],Code31)</f>
        <v>0</v>
      </c>
      <c r="BG21" s="475">
        <f>COUNTIF(ParticipationAvril1[[#This Row],[1]:[30]],code21)</f>
        <v>0</v>
      </c>
      <c r="BH21" s="475">
        <f>COUNTIF(ParticipationAvril1[[#This Row],[1]:[30]],Code24)</f>
        <v>0</v>
      </c>
      <c r="BI21" s="475">
        <f>COUNTIF(ParticipationAvril1[[#This Row],[1]:[30]],code18)</f>
        <v>0</v>
      </c>
      <c r="BJ21" s="475">
        <f>COUNTIF(ParticipationAvril1[[#This Row],[1]:[30]],code19)</f>
        <v>0</v>
      </c>
      <c r="BK21" s="475">
        <f>COUNTIF(ParticipationAvril1[[#This Row],[1]:[30]],code20)</f>
        <v>0</v>
      </c>
      <c r="BL21" s="476">
        <f>COUNTIF(ParticipationAvril1[[#This Row],[1]:[30]],code29)</f>
        <v>0</v>
      </c>
      <c r="BM21" s="472"/>
      <c r="BN21" s="472"/>
      <c r="BO21" s="472"/>
      <c r="BP21" s="472"/>
      <c r="BQ21" s="472"/>
      <c r="BR21" s="472"/>
      <c r="BS21" s="472"/>
      <c r="BT21" s="472"/>
      <c r="BU21" s="472"/>
      <c r="BV21" s="472"/>
      <c r="BW21" s="472"/>
      <c r="BX21" s="472"/>
      <c r="BY21" s="472"/>
      <c r="BZ21" s="472"/>
      <c r="CA21" s="472"/>
      <c r="CB21" s="472"/>
      <c r="CC21" s="472"/>
      <c r="CD21" s="472"/>
      <c r="CE21" s="472"/>
      <c r="CF21" s="472"/>
      <c r="CG21" s="472"/>
      <c r="CH21" s="472"/>
      <c r="CI21" s="472"/>
      <c r="CJ21" s="472"/>
      <c r="CK21" s="472"/>
      <c r="CL21" s="472"/>
      <c r="CM21" s="472"/>
      <c r="CN21" s="472"/>
      <c r="CO21" s="472"/>
      <c r="CP21" s="472"/>
      <c r="CQ21" s="472"/>
      <c r="CR21" s="472"/>
      <c r="CS21" s="473"/>
      <c r="CT21" s="473"/>
      <c r="CU21" s="554">
        <f>SUM((AH21*1)+(AI21*1.5)+(AJ21*2)+(AK21*4)+(AP21*5)+(AQ21*6)+(AR21*7)+(AU21*2)+(AX21*3)+(AY21*4)+(AZ21*5)+(BB21*3)+(BA21*2)+(BG21*2)+(BC21*2)+(BD21*2))</f>
        <v>0</v>
      </c>
      <c r="CV21" s="555">
        <f t="shared" si="0"/>
        <v>0</v>
      </c>
      <c r="CW21" s="556">
        <f t="shared" si="1"/>
        <v>0</v>
      </c>
      <c r="CX21" s="557">
        <f t="shared" si="2"/>
        <v>0</v>
      </c>
      <c r="CY21" s="477"/>
    </row>
    <row r="22" spans="1:104" ht="15" thickTop="1" thickBot="1">
      <c r="A22" s="510" t="s">
        <v>363</v>
      </c>
      <c r="B22" s="162" t="str">
        <f>IFERROR(VLOOKUP(ParticipationAvril1[[#This Row],[Référence]],ListeÉtudiants1[],18,FALSE),"")</f>
        <v>ANDRE ORNELLA</v>
      </c>
      <c r="C22" s="202"/>
      <c r="D22" s="202"/>
      <c r="E22" s="202"/>
      <c r="F22" s="202"/>
      <c r="G22" s="202"/>
      <c r="H22" s="202"/>
      <c r="I22" s="202"/>
      <c r="J22" s="202"/>
      <c r="K22" s="202"/>
      <c r="L22" s="202" t="s">
        <v>108</v>
      </c>
      <c r="M22" s="202"/>
      <c r="N22" s="202"/>
      <c r="O22" s="202"/>
      <c r="P22" s="202"/>
      <c r="Q22" s="202"/>
      <c r="R22" s="202"/>
      <c r="S22" s="202"/>
      <c r="T22" s="202"/>
      <c r="U22" s="202"/>
      <c r="V22" s="202"/>
      <c r="W22" s="202"/>
      <c r="X22" s="202"/>
      <c r="Y22" s="202"/>
      <c r="Z22" s="202"/>
      <c r="AA22" s="202"/>
      <c r="AB22" s="202"/>
      <c r="AC22" s="202"/>
      <c r="AD22" s="202"/>
      <c r="AE22" s="202"/>
      <c r="AF22" s="19"/>
      <c r="AG22" s="144"/>
      <c r="AH22" s="202">
        <f>COUNTIF(ParticipationAvril1[[#This Row],[1]:[30]],Code1)</f>
        <v>0</v>
      </c>
      <c r="AI22" s="6">
        <f>COUNTIF(ParticipationAvril1[[#This Row],[1]:[30]],code22)</f>
        <v>0</v>
      </c>
      <c r="AJ22" s="202">
        <f>COUNTIF(ParticipationAvril1[[#This Row],[1]:[30]],Code2)</f>
        <v>0</v>
      </c>
      <c r="AK22" s="202">
        <f>COUNTIF(ParticipationAvril1[[#This Row],[1]:[30]],Code3)</f>
        <v>0</v>
      </c>
      <c r="AL22" s="202">
        <f>COUNTIF(ParticipationAvril1[[#This Row],[1]:[30]],Code4)</f>
        <v>0</v>
      </c>
      <c r="AM22" s="6">
        <f>COUNTIF(ParticipationAvril1[[#This Row],[1]:[30]],Code5)</f>
        <v>0</v>
      </c>
      <c r="AN22" s="6">
        <f>COUNTIF(ParticipationAvril1[[#This Row],[1]:[30]],Code23)</f>
        <v>0</v>
      </c>
      <c r="AO22" s="6">
        <f>COUNTIF(ParticipationAvril1[[#This Row],[1]:[30]],Code6)</f>
        <v>1</v>
      </c>
      <c r="AP22" s="6">
        <f>COUNTIF(ParticipationAvril1[[#This Row],[1]:[30]],Code7)</f>
        <v>0</v>
      </c>
      <c r="AQ22" s="6">
        <f>COUNTIF(ParticipationAvril1[[#This Row],[1]:[30]],Code8)</f>
        <v>0</v>
      </c>
      <c r="AR22" s="6">
        <f>COUNTIF(ParticipationAvril1[[#This Row],[1]:[30]],Code9)</f>
        <v>0</v>
      </c>
      <c r="AS22" s="6">
        <f>COUNTIF(ParticipationAvril1[[#This Row],[1]:[30]],Code10)</f>
        <v>0</v>
      </c>
      <c r="AT22" s="6">
        <f>COUNTIF(ParticipationAvril1[[#This Row],[1]:[30]],Code11)</f>
        <v>0</v>
      </c>
      <c r="AU22" s="6">
        <f>COUNTIF(ParticipationAvril1[[#This Row],[1]:[30]],Code12)</f>
        <v>0</v>
      </c>
      <c r="AV22" s="6">
        <f>COUNTIF(ParticipationAvril1[[#This Row],[1]:[30]],Code13)</f>
        <v>0</v>
      </c>
      <c r="AW22" s="6">
        <f>COUNTIF(ParticipationAvril1[[#This Row],[1]:[30]],Code14)</f>
        <v>0</v>
      </c>
      <c r="AX22" s="6">
        <f>COUNTIF(ParticipationAvril1[[#This Row],[1]:[30]],Code16)</f>
        <v>0</v>
      </c>
      <c r="AY22" s="6">
        <f>COUNTIF(ParticipationAvril1[[#This Row],[1]:[30]],Code15)</f>
        <v>0</v>
      </c>
      <c r="AZ22" s="6">
        <f>COUNTIF(ParticipationAvril1[[#This Row],[1]:[30]],Code17)</f>
        <v>0</v>
      </c>
      <c r="BA22" s="6">
        <f>COUNTIF(ParticipationAvril1[[#This Row],[1]:[30]],Code25)</f>
        <v>0</v>
      </c>
      <c r="BB22" s="6">
        <f>COUNTIF(ParticipationAvril1[[#This Row],[1]:[30]],Code26)</f>
        <v>0</v>
      </c>
      <c r="BC22" s="6">
        <f>COUNTIF(ParticipationAvril1[[#This Row],[1]:[30]],Code27)</f>
        <v>0</v>
      </c>
      <c r="BD22" s="6">
        <f>COUNTIF(ParticipationAvril1[[#This Row],[1]:[30]],Code28)</f>
        <v>0</v>
      </c>
      <c r="BE22" s="6">
        <f>COUNTIF(ParticipationAvril1[[#This Row],[1]:[30]],code30)</f>
        <v>0</v>
      </c>
      <c r="BF22" s="6">
        <f>COUNTIF(ParticipationAvril1[[#This Row],[1]:[30]],Code31)</f>
        <v>0</v>
      </c>
      <c r="BG22" s="6">
        <f>COUNTIF(ParticipationAvril1[[#This Row],[1]:[30]],code21)</f>
        <v>0</v>
      </c>
      <c r="BH22" s="6">
        <f>COUNTIF(ParticipationAvril1[[#This Row],[1]:[30]],Code24)</f>
        <v>0</v>
      </c>
      <c r="BI22" s="6">
        <f>COUNTIF(ParticipationAvril1[[#This Row],[1]:[30]],code18)</f>
        <v>0</v>
      </c>
      <c r="BJ22" s="6">
        <f>COUNTIF(ParticipationAvril1[[#This Row],[1]:[30]],code19)</f>
        <v>0</v>
      </c>
      <c r="BK22" s="6">
        <f>COUNTIF(ParticipationAvril1[[#This Row],[1]:[30]],code20)</f>
        <v>0</v>
      </c>
      <c r="BL22" s="182">
        <f>COUNTIF(ParticipationAvril1[[#This Row],[1]:[30]],code29)</f>
        <v>0</v>
      </c>
      <c r="BM22" s="139"/>
      <c r="BN22" s="139">
        <v>1</v>
      </c>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30"/>
      <c r="CT22" s="30"/>
      <c r="CU22" s="300"/>
      <c r="CV22" s="485">
        <f t="shared" si="0"/>
        <v>0</v>
      </c>
      <c r="CW22" s="499">
        <f t="shared" si="1"/>
        <v>3</v>
      </c>
      <c r="CX22" s="178">
        <f t="shared" si="2"/>
        <v>0</v>
      </c>
      <c r="CY22" s="179"/>
      <c r="CZ22" s="200"/>
    </row>
    <row r="23" spans="1:104" ht="15" thickTop="1" thickBot="1">
      <c r="A23" s="534" t="s">
        <v>364</v>
      </c>
      <c r="B23" s="162" t="str">
        <f>IFERROR(VLOOKUP(ParticipationAvril1[[#This Row],[Référence]],ListeÉtudiants1[],18,FALSE),"")</f>
        <v>ANGRE GRACE</v>
      </c>
      <c r="C23" s="202"/>
      <c r="D23" s="202"/>
      <c r="E23" s="202"/>
      <c r="F23" s="202"/>
      <c r="G23" s="202"/>
      <c r="H23" s="202"/>
      <c r="I23" s="202"/>
      <c r="J23" s="202"/>
      <c r="K23" s="202"/>
      <c r="L23" s="202" t="s">
        <v>487</v>
      </c>
      <c r="M23" s="202"/>
      <c r="N23" s="202" t="s">
        <v>35</v>
      </c>
      <c r="O23" s="202"/>
      <c r="P23" s="202"/>
      <c r="Q23" s="202"/>
      <c r="R23" s="202"/>
      <c r="S23" s="202"/>
      <c r="T23" s="202"/>
      <c r="U23" s="202"/>
      <c r="V23" s="202"/>
      <c r="W23" s="202"/>
      <c r="X23" s="202"/>
      <c r="Y23" s="202"/>
      <c r="Z23" s="202"/>
      <c r="AA23" s="202"/>
      <c r="AB23" s="202"/>
      <c r="AC23" s="202"/>
      <c r="AD23" s="202"/>
      <c r="AE23" s="202"/>
      <c r="AF23" s="19"/>
      <c r="AG23" s="144"/>
      <c r="AH23" s="202">
        <f>COUNTIF(ParticipationAvril1[[#This Row],[1]:[30]],Code1)</f>
        <v>0</v>
      </c>
      <c r="AI23" s="6">
        <f>COUNTIF(ParticipationAvril1[[#This Row],[1]:[30]],code22)</f>
        <v>0</v>
      </c>
      <c r="AJ23" s="202">
        <f>COUNTIF(ParticipationAvril1[[#This Row],[1]:[30]],Code2)</f>
        <v>0</v>
      </c>
      <c r="AK23" s="202">
        <f>COUNTIF(ParticipationAvril1[[#This Row],[1]:[30]],Code3)</f>
        <v>0</v>
      </c>
      <c r="AL23" s="202">
        <f>COUNTIF(ParticipationAvril1[[#This Row],[1]:[30]],Code4)</f>
        <v>0</v>
      </c>
      <c r="AM23" s="6">
        <f>COUNTIF(ParticipationAvril1[[#This Row],[1]:[30]],Code5)</f>
        <v>1</v>
      </c>
      <c r="AN23" s="6">
        <f>COUNTIF(ParticipationAvril1[[#This Row],[1]:[30]],Code23)</f>
        <v>0</v>
      </c>
      <c r="AO23" s="6">
        <f>COUNTIF(ParticipationAvril1[[#This Row],[1]:[30]],Code6)</f>
        <v>0</v>
      </c>
      <c r="AP23" s="6">
        <f>COUNTIF(ParticipationAvril1[[#This Row],[1]:[30]],Code7)</f>
        <v>0</v>
      </c>
      <c r="AQ23" s="6">
        <f>COUNTIF(ParticipationAvril1[[#This Row],[1]:[30]],Code8)</f>
        <v>0</v>
      </c>
      <c r="AR23" s="6">
        <f>COUNTIF(ParticipationAvril1[[#This Row],[1]:[30]],Code9)</f>
        <v>0</v>
      </c>
      <c r="AS23" s="6">
        <f>COUNTIF(ParticipationAvril1[[#This Row],[1]:[30]],Code10)</f>
        <v>0</v>
      </c>
      <c r="AT23" s="6">
        <f>COUNTIF(ParticipationAvril1[[#This Row],[1]:[30]],Code11)</f>
        <v>0</v>
      </c>
      <c r="AU23" s="6">
        <f>COUNTIF(ParticipationAvril1[[#This Row],[1]:[30]],Code12)</f>
        <v>1</v>
      </c>
      <c r="AV23" s="6">
        <f>COUNTIF(ParticipationAvril1[[#This Row],[1]:[30]],Code13)</f>
        <v>0</v>
      </c>
      <c r="AW23" s="6">
        <f>COUNTIF(ParticipationAvril1[[#This Row],[1]:[30]],Code14)</f>
        <v>0</v>
      </c>
      <c r="AX23" s="6">
        <f>COUNTIF(ParticipationAvril1[[#This Row],[1]:[30]],Code16)</f>
        <v>0</v>
      </c>
      <c r="AY23" s="6">
        <f>COUNTIF(ParticipationAvril1[[#This Row],[1]:[30]],Code15)</f>
        <v>0</v>
      </c>
      <c r="AZ23" s="6">
        <f>COUNTIF(ParticipationAvril1[[#This Row],[1]:[30]],Code17)</f>
        <v>0</v>
      </c>
      <c r="BA23" s="6">
        <f>COUNTIF(ParticipationAvril1[[#This Row],[1]:[30]],Code25)</f>
        <v>0</v>
      </c>
      <c r="BB23" s="6">
        <f>COUNTIF(ParticipationAvril1[[#This Row],[1]:[30]],Code26)</f>
        <v>0</v>
      </c>
      <c r="BC23" s="6">
        <f>COUNTIF(ParticipationAvril1[[#This Row],[1]:[30]],Code27)</f>
        <v>0</v>
      </c>
      <c r="BD23" s="6">
        <f>COUNTIF(ParticipationAvril1[[#This Row],[1]:[30]],Code28)</f>
        <v>0</v>
      </c>
      <c r="BE23" s="6">
        <f>COUNTIF(ParticipationAvril1[[#This Row],[1]:[30]],code30)</f>
        <v>0</v>
      </c>
      <c r="BF23" s="6">
        <f>COUNTIF(ParticipationAvril1[[#This Row],[1]:[30]],Code31)</f>
        <v>0</v>
      </c>
      <c r="BG23" s="6">
        <f>COUNTIF(ParticipationAvril1[[#This Row],[1]:[30]],code21)</f>
        <v>0</v>
      </c>
      <c r="BH23" s="6">
        <f>COUNTIF(ParticipationAvril1[[#This Row],[1]:[30]],Code24)</f>
        <v>0</v>
      </c>
      <c r="BI23" s="6">
        <f>COUNTIF(ParticipationAvril1[[#This Row],[1]:[30]],code18)</f>
        <v>0</v>
      </c>
      <c r="BJ23" s="6">
        <f>COUNTIF(ParticipationAvril1[[#This Row],[1]:[30]],code19)</f>
        <v>0</v>
      </c>
      <c r="BK23" s="6">
        <f>COUNTIF(ParticipationAvril1[[#This Row],[1]:[30]],code20)</f>
        <v>0</v>
      </c>
      <c r="BL23" s="182">
        <f>COUNTIF(ParticipationAvril1[[#This Row],[1]:[30]],code29)</f>
        <v>0</v>
      </c>
      <c r="BM23" s="139"/>
      <c r="BN23" s="139">
        <v>1</v>
      </c>
      <c r="BO23" s="139"/>
      <c r="BP23" s="139"/>
      <c r="BQ23" s="139"/>
      <c r="BR23" s="139"/>
      <c r="BS23" s="139"/>
      <c r="BT23" s="139">
        <v>1</v>
      </c>
      <c r="BU23" s="139"/>
      <c r="BV23" s="139"/>
      <c r="BW23" s="139">
        <v>1</v>
      </c>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30"/>
      <c r="CT23" s="30"/>
      <c r="CU23" s="300"/>
      <c r="CV23" s="485">
        <f t="shared" si="0"/>
        <v>0</v>
      </c>
      <c r="CW23" s="499">
        <f t="shared" si="1"/>
        <v>8</v>
      </c>
      <c r="CX23" s="178">
        <f t="shared" si="2"/>
        <v>0</v>
      </c>
      <c r="CY23" s="179"/>
      <c r="CZ23" s="200"/>
    </row>
    <row r="24" spans="1:104" ht="15" thickTop="1" thickBot="1">
      <c r="A24" s="534" t="s">
        <v>365</v>
      </c>
      <c r="B24" s="162" t="str">
        <f>IFERROR(VLOOKUP(ParticipationAvril1[[#This Row],[Référence]],ListeÉtudiants1[],18,FALSE),"")</f>
        <v>BAESSA ELISA</v>
      </c>
      <c r="C24" s="202"/>
      <c r="D24" s="202"/>
      <c r="E24" s="202"/>
      <c r="F24" s="202"/>
      <c r="G24" s="202"/>
      <c r="H24" s="202"/>
      <c r="I24" s="202"/>
      <c r="J24" s="202"/>
      <c r="K24" s="202"/>
      <c r="L24" s="202" t="s">
        <v>108</v>
      </c>
      <c r="M24" s="202"/>
      <c r="N24" s="202"/>
      <c r="O24" s="202"/>
      <c r="P24" s="202"/>
      <c r="Q24" s="202"/>
      <c r="R24" s="202"/>
      <c r="S24" s="202"/>
      <c r="T24" s="202"/>
      <c r="U24" s="202"/>
      <c r="V24" s="202"/>
      <c r="W24" s="202"/>
      <c r="X24" s="202"/>
      <c r="Y24" s="202"/>
      <c r="Z24" s="202"/>
      <c r="AA24" s="202"/>
      <c r="AB24" s="202"/>
      <c r="AC24" s="202"/>
      <c r="AD24" s="202"/>
      <c r="AE24" s="202"/>
      <c r="AF24" s="19"/>
      <c r="AG24" s="144"/>
      <c r="AH24" s="202">
        <f>COUNTIF(ParticipationAvril1[[#This Row],[1]:[30]],Code1)</f>
        <v>0</v>
      </c>
      <c r="AI24" s="6">
        <f>COUNTIF(ParticipationAvril1[[#This Row],[1]:[30]],code22)</f>
        <v>0</v>
      </c>
      <c r="AJ24" s="202">
        <f>COUNTIF(ParticipationAvril1[[#This Row],[1]:[30]],Code2)</f>
        <v>0</v>
      </c>
      <c r="AK24" s="202">
        <f>COUNTIF(ParticipationAvril1[[#This Row],[1]:[30]],Code3)</f>
        <v>0</v>
      </c>
      <c r="AL24" s="202">
        <f>COUNTIF(ParticipationAvril1[[#This Row],[1]:[30]],Code4)</f>
        <v>0</v>
      </c>
      <c r="AM24" s="6">
        <f>COUNTIF(ParticipationAvril1[[#This Row],[1]:[30]],Code5)</f>
        <v>0</v>
      </c>
      <c r="AN24" s="6">
        <f>COUNTIF(ParticipationAvril1[[#This Row],[1]:[30]],Code23)</f>
        <v>0</v>
      </c>
      <c r="AO24" s="6">
        <f>COUNTIF(ParticipationAvril1[[#This Row],[1]:[30]],Code6)</f>
        <v>1</v>
      </c>
      <c r="AP24" s="6">
        <f>COUNTIF(ParticipationAvril1[[#This Row],[1]:[30]],Code7)</f>
        <v>0</v>
      </c>
      <c r="AQ24" s="6">
        <f>COUNTIF(ParticipationAvril1[[#This Row],[1]:[30]],Code8)</f>
        <v>0</v>
      </c>
      <c r="AR24" s="6">
        <f>COUNTIF(ParticipationAvril1[[#This Row],[1]:[30]],Code9)</f>
        <v>0</v>
      </c>
      <c r="AS24" s="6">
        <f>COUNTIF(ParticipationAvril1[[#This Row],[1]:[30]],Code10)</f>
        <v>0</v>
      </c>
      <c r="AT24" s="6">
        <f>COUNTIF(ParticipationAvril1[[#This Row],[1]:[30]],Code11)</f>
        <v>0</v>
      </c>
      <c r="AU24" s="6">
        <f>COUNTIF(ParticipationAvril1[[#This Row],[1]:[30]],Code12)</f>
        <v>0</v>
      </c>
      <c r="AV24" s="6">
        <f>COUNTIF(ParticipationAvril1[[#This Row],[1]:[30]],Code13)</f>
        <v>0</v>
      </c>
      <c r="AW24" s="6">
        <f>COUNTIF(ParticipationAvril1[[#This Row],[1]:[30]],Code14)</f>
        <v>0</v>
      </c>
      <c r="AX24" s="6">
        <f>COUNTIF(ParticipationAvril1[[#This Row],[1]:[30]],Code16)</f>
        <v>0</v>
      </c>
      <c r="AY24" s="6">
        <f>COUNTIF(ParticipationAvril1[[#This Row],[1]:[30]],Code15)</f>
        <v>0</v>
      </c>
      <c r="AZ24" s="6">
        <f>COUNTIF(ParticipationAvril1[[#This Row],[1]:[30]],Code17)</f>
        <v>0</v>
      </c>
      <c r="BA24" s="6">
        <f>COUNTIF(ParticipationAvril1[[#This Row],[1]:[30]],Code25)</f>
        <v>0</v>
      </c>
      <c r="BB24" s="6">
        <f>COUNTIF(ParticipationAvril1[[#This Row],[1]:[30]],Code26)</f>
        <v>0</v>
      </c>
      <c r="BC24" s="6">
        <f>COUNTIF(ParticipationAvril1[[#This Row],[1]:[30]],Code27)</f>
        <v>0</v>
      </c>
      <c r="BD24" s="6">
        <f>COUNTIF(ParticipationAvril1[[#This Row],[1]:[30]],Code28)</f>
        <v>0</v>
      </c>
      <c r="BE24" s="6">
        <f>COUNTIF(ParticipationAvril1[[#This Row],[1]:[30]],code30)</f>
        <v>0</v>
      </c>
      <c r="BF24" s="6">
        <f>COUNTIF(ParticipationAvril1[[#This Row],[1]:[30]],Code31)</f>
        <v>0</v>
      </c>
      <c r="BG24" s="6">
        <f>COUNTIF(ParticipationAvril1[[#This Row],[1]:[30]],code21)</f>
        <v>0</v>
      </c>
      <c r="BH24" s="6">
        <f>COUNTIF(ParticipationAvril1[[#This Row],[1]:[30]],Code24)</f>
        <v>0</v>
      </c>
      <c r="BI24" s="6">
        <f>COUNTIF(ParticipationAvril1[[#This Row],[1]:[30]],code18)</f>
        <v>0</v>
      </c>
      <c r="BJ24" s="6">
        <f>COUNTIF(ParticipationAvril1[[#This Row],[1]:[30]],code19)</f>
        <v>0</v>
      </c>
      <c r="BK24" s="6">
        <f>COUNTIF(ParticipationAvril1[[#This Row],[1]:[30]],code20)</f>
        <v>0</v>
      </c>
      <c r="BL24" s="182">
        <f>COUNTIF(ParticipationAvril1[[#This Row],[1]:[30]],code29)</f>
        <v>0</v>
      </c>
      <c r="BM24" s="139"/>
      <c r="BN24" s="139"/>
      <c r="BO24" s="139"/>
      <c r="BP24" s="139"/>
      <c r="BQ24" s="139"/>
      <c r="BR24" s="139"/>
      <c r="BS24" s="139"/>
      <c r="BT24" s="139">
        <v>1</v>
      </c>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30"/>
      <c r="CT24" s="30"/>
      <c r="CU24" s="300"/>
      <c r="CV24" s="485">
        <f t="shared" si="0"/>
        <v>0</v>
      </c>
      <c r="CW24" s="499">
        <f t="shared" si="1"/>
        <v>3</v>
      </c>
      <c r="CX24" s="178">
        <f t="shared" si="2"/>
        <v>0</v>
      </c>
      <c r="CY24" s="179"/>
      <c r="CZ24" s="200"/>
    </row>
    <row r="25" spans="1:104" ht="15" thickTop="1" thickBot="1">
      <c r="A25" s="510" t="s">
        <v>366</v>
      </c>
      <c r="B25" s="162" t="str">
        <f>IFERROR(VLOOKUP(ParticipationAvril1[[#This Row],[Référence]],ListeÉtudiants1[],18,FALSE),"")</f>
        <v>BARREIROS  KATIE</v>
      </c>
      <c r="C25" s="19"/>
      <c r="D25" s="19"/>
      <c r="E25" s="19"/>
      <c r="F25" s="19" t="s">
        <v>483</v>
      </c>
      <c r="G25" s="19" t="s">
        <v>105</v>
      </c>
      <c r="H25" s="19"/>
      <c r="I25" s="19"/>
      <c r="J25" s="19"/>
      <c r="K25" s="19" t="s">
        <v>108</v>
      </c>
      <c r="L25" s="19" t="s">
        <v>108</v>
      </c>
      <c r="M25" s="19"/>
      <c r="N25" s="19" t="s">
        <v>35</v>
      </c>
      <c r="O25" s="19" t="s">
        <v>484</v>
      </c>
      <c r="P25" s="19"/>
      <c r="Q25" s="19"/>
      <c r="R25" s="19"/>
      <c r="S25" s="19"/>
      <c r="T25" s="19"/>
      <c r="U25" s="19"/>
      <c r="V25" s="19"/>
      <c r="W25" s="19"/>
      <c r="X25" s="19"/>
      <c r="Y25" s="19"/>
      <c r="Z25" s="19"/>
      <c r="AA25" s="19"/>
      <c r="AB25" s="19"/>
      <c r="AC25" s="19"/>
      <c r="AD25" s="19"/>
      <c r="AE25" s="19"/>
      <c r="AF25" s="19"/>
      <c r="AG25" s="144"/>
      <c r="AH25" s="6">
        <f>COUNTIF(ParticipationAvril1[[#This Row],[1]:[30]],Code1)</f>
        <v>0</v>
      </c>
      <c r="AI25" s="6">
        <f>COUNTIF(ParticipationAvril1[[#This Row],[1]:[30]],code22)</f>
        <v>0</v>
      </c>
      <c r="AJ25" s="6">
        <f>COUNTIF(ParticipationAvril1[[#This Row],[1]:[30]],Code2)</f>
        <v>1</v>
      </c>
      <c r="AK25" s="6">
        <f>COUNTIF(ParticipationAvril1[[#This Row],[1]:[30]],Code3)</f>
        <v>0</v>
      </c>
      <c r="AL25" s="6">
        <f>COUNTIF(ParticipationAvril1[[#This Row],[1]:[30]],Code4)</f>
        <v>0</v>
      </c>
      <c r="AM25" s="6">
        <f>COUNTIF(ParticipationAvril1[[#This Row],[1]:[30]],Code5)</f>
        <v>1</v>
      </c>
      <c r="AN25" s="6">
        <f>COUNTIF(ParticipationAvril1[[#This Row],[1]:[30]],Code23)</f>
        <v>0</v>
      </c>
      <c r="AO25" s="6">
        <f>COUNTIF(ParticipationAvril1[[#This Row],[1]:[30]],Code6)</f>
        <v>2</v>
      </c>
      <c r="AP25" s="6">
        <f>COUNTIF(ParticipationAvril1[[#This Row],[1]:[30]],Code7)</f>
        <v>0</v>
      </c>
      <c r="AQ25" s="6">
        <f>COUNTIF(ParticipationAvril1[[#This Row],[1]:[30]],Code8)</f>
        <v>1</v>
      </c>
      <c r="AR25" s="6">
        <f>COUNTIF(ParticipationAvril1[[#This Row],[1]:[30]],Code9)</f>
        <v>1</v>
      </c>
      <c r="AS25" s="6">
        <f>COUNTIF(ParticipationAvril1[[#This Row],[1]:[30]],Code10)</f>
        <v>0</v>
      </c>
      <c r="AT25" s="6">
        <f>COUNTIF(ParticipationAvril1[[#This Row],[1]:[30]],Code11)</f>
        <v>0</v>
      </c>
      <c r="AU25" s="6">
        <f>COUNTIF(ParticipationAvril1[[#This Row],[1]:[30]],Code12)</f>
        <v>0</v>
      </c>
      <c r="AV25" s="6">
        <f>COUNTIF(ParticipationAvril1[[#This Row],[1]:[30]],Code13)</f>
        <v>0</v>
      </c>
      <c r="AW25" s="6">
        <f>COUNTIF(ParticipationAvril1[[#This Row],[1]:[30]],Code14)</f>
        <v>0</v>
      </c>
      <c r="AX25" s="6">
        <f>COUNTIF(ParticipationAvril1[[#This Row],[1]:[30]],Code16)</f>
        <v>0</v>
      </c>
      <c r="AY25" s="6">
        <f>COUNTIF(ParticipationAvril1[[#This Row],[1]:[30]],Code15)</f>
        <v>0</v>
      </c>
      <c r="AZ25" s="6">
        <f>COUNTIF(ParticipationAvril1[[#This Row],[1]:[30]],Code17)</f>
        <v>0</v>
      </c>
      <c r="BA25" s="6">
        <f>COUNTIF(ParticipationAvril1[[#This Row],[1]:[30]],Code25)</f>
        <v>0</v>
      </c>
      <c r="BB25" s="6">
        <f>COUNTIF(ParticipationAvril1[[#This Row],[1]:[30]],Code26)</f>
        <v>0</v>
      </c>
      <c r="BC25" s="432">
        <f>COUNTIF(ParticipationAvril1[[#This Row],[1]:[30]],Code27)</f>
        <v>0</v>
      </c>
      <c r="BD25" s="6">
        <f>COUNTIF(ParticipationAvril1[[#This Row],[1]:[30]],Code28)</f>
        <v>0</v>
      </c>
      <c r="BE25" s="6">
        <f>COUNTIF(ParticipationAvril1[[#This Row],[1]:[30]],code30)</f>
        <v>0</v>
      </c>
      <c r="BF25" s="6">
        <f>COUNTIF(ParticipationAvril1[[#This Row],[1]:[30]],Code31)</f>
        <v>0</v>
      </c>
      <c r="BG25" s="6">
        <f>COUNTIF(ParticipationAvril1[[#This Row],[1]:[30]],code21)</f>
        <v>0</v>
      </c>
      <c r="BH25" s="6">
        <f>COUNTIF(ParticipationAvril1[[#This Row],[1]:[30]],Code24)</f>
        <v>0</v>
      </c>
      <c r="BI25" s="6">
        <f>COUNTIF(ParticipationAvril1[[#This Row],[1]:[30]],code18)</f>
        <v>0</v>
      </c>
      <c r="BJ25" s="6">
        <f>COUNTIF(ParticipationAvril1[[#This Row],[1]:[30]],code19)</f>
        <v>0</v>
      </c>
      <c r="BK25" s="6">
        <f>COUNTIF(ParticipationAvril1[[#This Row],[1]:[30]],code20)</f>
        <v>0</v>
      </c>
      <c r="BL25" s="182">
        <f>COUNTIF(ParticipationAvril1[[#This Row],[1]:[30]],code29)</f>
        <v>0</v>
      </c>
      <c r="BM25" s="297"/>
      <c r="BN25" s="297">
        <v>1</v>
      </c>
      <c r="BO25" s="297"/>
      <c r="BP25" s="297"/>
      <c r="BQ25" s="297"/>
      <c r="BR25" s="297"/>
      <c r="BS25" s="297"/>
      <c r="BT25" s="297">
        <v>1</v>
      </c>
      <c r="BU25" s="297"/>
      <c r="BV25" s="297"/>
      <c r="BW25" s="297">
        <v>3</v>
      </c>
      <c r="BX25" s="297"/>
      <c r="BY25" s="297"/>
      <c r="BZ25" s="297">
        <v>1</v>
      </c>
      <c r="CA25" s="297"/>
      <c r="CB25" s="297">
        <v>1</v>
      </c>
      <c r="CC25" s="297"/>
      <c r="CD25" s="297"/>
      <c r="CE25" s="297"/>
      <c r="CF25" s="297"/>
      <c r="CG25" s="297"/>
      <c r="CH25" s="297"/>
      <c r="CI25" s="297"/>
      <c r="CJ25" s="297"/>
      <c r="CK25" s="297"/>
      <c r="CL25" s="297"/>
      <c r="CM25" s="297"/>
      <c r="CN25" s="297"/>
      <c r="CO25" s="297"/>
      <c r="CP25" s="297"/>
      <c r="CQ25" s="297"/>
      <c r="CR25" s="297"/>
      <c r="CS25" s="307"/>
      <c r="CT25" s="307">
        <v>1</v>
      </c>
      <c r="CU25" s="300"/>
      <c r="CV25" s="485">
        <f t="shared" si="0"/>
        <v>15</v>
      </c>
      <c r="CW25" s="499">
        <f t="shared" si="1"/>
        <v>8</v>
      </c>
      <c r="CX25" s="178">
        <f t="shared" si="2"/>
        <v>0</v>
      </c>
      <c r="CY25" s="179">
        <f>SUM((BI25*7)+(BJ25*10)+(BK25*12))</f>
        <v>0</v>
      </c>
    </row>
    <row r="26" spans="1:104" ht="15" thickTop="1" thickBot="1">
      <c r="A26" s="510" t="s">
        <v>367</v>
      </c>
      <c r="B26" s="162" t="str">
        <f>IFERROR(VLOOKUP(ParticipationAvril1[[#This Row],[Référence]],ListeÉtudiants1[],18,FALSE),"")</f>
        <v>BASTARDIE JULIEN</v>
      </c>
      <c r="C26" s="202"/>
      <c r="D26" s="202"/>
      <c r="E26" s="202"/>
      <c r="F26" s="202"/>
      <c r="G26" s="202"/>
      <c r="H26" s="202"/>
      <c r="I26" s="202"/>
      <c r="J26" s="202"/>
      <c r="K26" s="202"/>
      <c r="L26" s="202" t="s">
        <v>108</v>
      </c>
      <c r="M26" s="202"/>
      <c r="N26" s="202"/>
      <c r="O26" s="202"/>
      <c r="P26" s="202"/>
      <c r="Q26" s="202"/>
      <c r="R26" s="202"/>
      <c r="S26" s="202"/>
      <c r="T26" s="202"/>
      <c r="U26" s="202"/>
      <c r="V26" s="202"/>
      <c r="W26" s="202"/>
      <c r="X26" s="202"/>
      <c r="Y26" s="202"/>
      <c r="Z26" s="202"/>
      <c r="AA26" s="202"/>
      <c r="AB26" s="202"/>
      <c r="AC26" s="202"/>
      <c r="AD26" s="202"/>
      <c r="AE26" s="202"/>
      <c r="AF26" s="19"/>
      <c r="AG26" s="144"/>
      <c r="AH26" s="202">
        <f>COUNTIF(ParticipationAvril1[[#This Row],[1]:[30]],Code1)</f>
        <v>0</v>
      </c>
      <c r="AI26" s="6">
        <f>COUNTIF(ParticipationAvril1[[#This Row],[1]:[30]],code22)</f>
        <v>0</v>
      </c>
      <c r="AJ26" s="202">
        <f>COUNTIF(ParticipationAvril1[[#This Row],[1]:[30]],Code2)</f>
        <v>0</v>
      </c>
      <c r="AK26" s="202">
        <f>COUNTIF(ParticipationAvril1[[#This Row],[1]:[30]],Code3)</f>
        <v>0</v>
      </c>
      <c r="AL26" s="202">
        <f>COUNTIF(ParticipationAvril1[[#This Row],[1]:[30]],Code4)</f>
        <v>0</v>
      </c>
      <c r="AM26" s="6">
        <f>COUNTIF(ParticipationAvril1[[#This Row],[1]:[30]],Code5)</f>
        <v>0</v>
      </c>
      <c r="AN26" s="6">
        <f>COUNTIF(ParticipationAvril1[[#This Row],[1]:[30]],Code23)</f>
        <v>0</v>
      </c>
      <c r="AO26" s="6">
        <f>COUNTIF(ParticipationAvril1[[#This Row],[1]:[30]],Code6)</f>
        <v>1</v>
      </c>
      <c r="AP26" s="6">
        <f>COUNTIF(ParticipationAvril1[[#This Row],[1]:[30]],Code7)</f>
        <v>0</v>
      </c>
      <c r="AQ26" s="6">
        <f>COUNTIF(ParticipationAvril1[[#This Row],[1]:[30]],Code8)</f>
        <v>0</v>
      </c>
      <c r="AR26" s="6">
        <f>COUNTIF(ParticipationAvril1[[#This Row],[1]:[30]],Code9)</f>
        <v>0</v>
      </c>
      <c r="AS26" s="6">
        <f>COUNTIF(ParticipationAvril1[[#This Row],[1]:[30]],Code10)</f>
        <v>0</v>
      </c>
      <c r="AT26" s="6">
        <f>COUNTIF(ParticipationAvril1[[#This Row],[1]:[30]],Code11)</f>
        <v>0</v>
      </c>
      <c r="AU26" s="6">
        <f>COUNTIF(ParticipationAvril1[[#This Row],[1]:[30]],Code12)</f>
        <v>0</v>
      </c>
      <c r="AV26" s="6">
        <f>COUNTIF(ParticipationAvril1[[#This Row],[1]:[30]],Code13)</f>
        <v>0</v>
      </c>
      <c r="AW26" s="6">
        <f>COUNTIF(ParticipationAvril1[[#This Row],[1]:[30]],Code14)</f>
        <v>0</v>
      </c>
      <c r="AX26" s="6">
        <f>COUNTIF(ParticipationAvril1[[#This Row],[1]:[30]],Code16)</f>
        <v>0</v>
      </c>
      <c r="AY26" s="6">
        <f>COUNTIF(ParticipationAvril1[[#This Row],[1]:[30]],Code15)</f>
        <v>0</v>
      </c>
      <c r="AZ26" s="6">
        <f>COUNTIF(ParticipationAvril1[[#This Row],[1]:[30]],Code17)</f>
        <v>0</v>
      </c>
      <c r="BA26" s="6">
        <f>COUNTIF(ParticipationAvril1[[#This Row],[1]:[30]],Code25)</f>
        <v>0</v>
      </c>
      <c r="BB26" s="6">
        <f>COUNTIF(ParticipationAvril1[[#This Row],[1]:[30]],Code26)</f>
        <v>0</v>
      </c>
      <c r="BC26" s="6">
        <f>COUNTIF(ParticipationAvril1[[#This Row],[1]:[30]],Code27)</f>
        <v>0</v>
      </c>
      <c r="BD26" s="6">
        <f>COUNTIF(ParticipationAvril1[[#This Row],[1]:[30]],Code28)</f>
        <v>0</v>
      </c>
      <c r="BE26" s="6">
        <f>COUNTIF(ParticipationAvril1[[#This Row],[1]:[30]],code30)</f>
        <v>0</v>
      </c>
      <c r="BF26" s="6">
        <f>COUNTIF(ParticipationAvril1[[#This Row],[1]:[30]],Code31)</f>
        <v>0</v>
      </c>
      <c r="BG26" s="6">
        <f>COUNTIF(ParticipationAvril1[[#This Row],[1]:[30]],code21)</f>
        <v>0</v>
      </c>
      <c r="BH26" s="6">
        <f>COUNTIF(ParticipationAvril1[[#This Row],[1]:[30]],Code24)</f>
        <v>0</v>
      </c>
      <c r="BI26" s="6">
        <f>COUNTIF(ParticipationAvril1[[#This Row],[1]:[30]],code18)</f>
        <v>0</v>
      </c>
      <c r="BJ26" s="6">
        <f>COUNTIF(ParticipationAvril1[[#This Row],[1]:[30]],code19)</f>
        <v>0</v>
      </c>
      <c r="BK26" s="6">
        <f>COUNTIF(ParticipationAvril1[[#This Row],[1]:[30]],code20)</f>
        <v>0</v>
      </c>
      <c r="BL26" s="182">
        <f>COUNTIF(ParticipationAvril1[[#This Row],[1]:[30]],code29)</f>
        <v>0</v>
      </c>
      <c r="BM26" s="139"/>
      <c r="BN26" s="139">
        <v>1</v>
      </c>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30"/>
      <c r="CT26" s="30"/>
      <c r="CU26" s="300"/>
      <c r="CV26" s="485">
        <f t="shared" si="0"/>
        <v>0</v>
      </c>
      <c r="CW26" s="499">
        <f t="shared" si="1"/>
        <v>3</v>
      </c>
      <c r="CX26" s="178">
        <f t="shared" si="2"/>
        <v>0</v>
      </c>
      <c r="CY26" s="179"/>
      <c r="CZ26" s="200"/>
    </row>
    <row r="27" spans="1:104" ht="15" thickTop="1" thickBot="1">
      <c r="A27" s="510" t="s">
        <v>368</v>
      </c>
      <c r="B27" s="162" t="str">
        <f>IFERROR(VLOOKUP(ParticipationAvril1[[#This Row],[Référence]],ListeÉtudiants1[],18,FALSE),"")</f>
        <v>BAUDET M0RGANE</v>
      </c>
      <c r="C27" s="202"/>
      <c r="D27" s="202"/>
      <c r="E27" s="202"/>
      <c r="F27" s="202" t="s">
        <v>108</v>
      </c>
      <c r="G27" s="202"/>
      <c r="H27" s="202"/>
      <c r="I27" s="202"/>
      <c r="J27" s="202"/>
      <c r="K27" s="202"/>
      <c r="L27" s="202" t="s">
        <v>108</v>
      </c>
      <c r="M27" s="202" t="s">
        <v>108</v>
      </c>
      <c r="N27" s="202" t="s">
        <v>35</v>
      </c>
      <c r="O27" s="202"/>
      <c r="P27" s="202"/>
      <c r="Q27" s="202"/>
      <c r="R27" s="202"/>
      <c r="S27" s="202"/>
      <c r="T27" s="202"/>
      <c r="U27" s="202"/>
      <c r="V27" s="202"/>
      <c r="W27" s="202"/>
      <c r="X27" s="202"/>
      <c r="Y27" s="202"/>
      <c r="Z27" s="202"/>
      <c r="AA27" s="202"/>
      <c r="AB27" s="202"/>
      <c r="AC27" s="202"/>
      <c r="AD27" s="202"/>
      <c r="AE27" s="202"/>
      <c r="AF27" s="19"/>
      <c r="AG27" s="144"/>
      <c r="AH27" s="202">
        <f>COUNTIF(ParticipationAvril1[[#This Row],[1]:[30]],Code1)</f>
        <v>0</v>
      </c>
      <c r="AI27" s="6">
        <f>COUNTIF(ParticipationAvril1[[#This Row],[1]:[30]],code22)</f>
        <v>0</v>
      </c>
      <c r="AJ27" s="202">
        <f>COUNTIF(ParticipationAvril1[[#This Row],[1]:[30]],Code2)</f>
        <v>0</v>
      </c>
      <c r="AK27" s="202">
        <f>COUNTIF(ParticipationAvril1[[#This Row],[1]:[30]],Code3)</f>
        <v>0</v>
      </c>
      <c r="AL27" s="202">
        <f>COUNTIF(ParticipationAvril1[[#This Row],[1]:[30]],Code4)</f>
        <v>0</v>
      </c>
      <c r="AM27" s="6">
        <f>COUNTIF(ParticipationAvril1[[#This Row],[1]:[30]],Code5)</f>
        <v>1</v>
      </c>
      <c r="AN27" s="6">
        <f>COUNTIF(ParticipationAvril1[[#This Row],[1]:[30]],Code23)</f>
        <v>0</v>
      </c>
      <c r="AO27" s="6">
        <f>COUNTIF(ParticipationAvril1[[#This Row],[1]:[30]],Code6)</f>
        <v>3</v>
      </c>
      <c r="AP27" s="6">
        <f>COUNTIF(ParticipationAvril1[[#This Row],[1]:[30]],Code7)</f>
        <v>0</v>
      </c>
      <c r="AQ27" s="6">
        <f>COUNTIF(ParticipationAvril1[[#This Row],[1]:[30]],Code8)</f>
        <v>0</v>
      </c>
      <c r="AR27" s="6">
        <f>COUNTIF(ParticipationAvril1[[#This Row],[1]:[30]],Code9)</f>
        <v>0</v>
      </c>
      <c r="AS27" s="6">
        <f>COUNTIF(ParticipationAvril1[[#This Row],[1]:[30]],Code10)</f>
        <v>0</v>
      </c>
      <c r="AT27" s="6">
        <f>COUNTIF(ParticipationAvril1[[#This Row],[1]:[30]],Code11)</f>
        <v>0</v>
      </c>
      <c r="AU27" s="6">
        <f>COUNTIF(ParticipationAvril1[[#This Row],[1]:[30]],Code12)</f>
        <v>0</v>
      </c>
      <c r="AV27" s="6">
        <f>COUNTIF(ParticipationAvril1[[#This Row],[1]:[30]],Code13)</f>
        <v>0</v>
      </c>
      <c r="AW27" s="6">
        <f>COUNTIF(ParticipationAvril1[[#This Row],[1]:[30]],Code14)</f>
        <v>0</v>
      </c>
      <c r="AX27" s="6">
        <f>COUNTIF(ParticipationAvril1[[#This Row],[1]:[30]],Code16)</f>
        <v>0</v>
      </c>
      <c r="AY27" s="6">
        <f>COUNTIF(ParticipationAvril1[[#This Row],[1]:[30]],Code15)</f>
        <v>0</v>
      </c>
      <c r="AZ27" s="6">
        <f>COUNTIF(ParticipationAvril1[[#This Row],[1]:[30]],Code17)</f>
        <v>0</v>
      </c>
      <c r="BA27" s="6">
        <f>COUNTIF(ParticipationAvril1[[#This Row],[1]:[30]],Code25)</f>
        <v>0</v>
      </c>
      <c r="BB27" s="6">
        <f>COUNTIF(ParticipationAvril1[[#This Row],[1]:[30]],Code26)</f>
        <v>0</v>
      </c>
      <c r="BC27" s="6">
        <f>COUNTIF(ParticipationAvril1[[#This Row],[1]:[30]],Code27)</f>
        <v>0</v>
      </c>
      <c r="BD27" s="6">
        <f>COUNTIF(ParticipationAvril1[[#This Row],[1]:[30]],Code28)</f>
        <v>0</v>
      </c>
      <c r="BE27" s="6">
        <f>COUNTIF(ParticipationAvril1[[#This Row],[1]:[30]],code30)</f>
        <v>0</v>
      </c>
      <c r="BF27" s="6">
        <f>COUNTIF(ParticipationAvril1[[#This Row],[1]:[30]],Code31)</f>
        <v>0</v>
      </c>
      <c r="BG27" s="6">
        <f>COUNTIF(ParticipationAvril1[[#This Row],[1]:[30]],code21)</f>
        <v>0</v>
      </c>
      <c r="BH27" s="6">
        <f>COUNTIF(ParticipationAvril1[[#This Row],[1]:[30]],Code24)</f>
        <v>0</v>
      </c>
      <c r="BI27" s="6">
        <f>COUNTIF(ParticipationAvril1[[#This Row],[1]:[30]],code18)</f>
        <v>0</v>
      </c>
      <c r="BJ27" s="6">
        <f>COUNTIF(ParticipationAvril1[[#This Row],[1]:[30]],code19)</f>
        <v>0</v>
      </c>
      <c r="BK27" s="6">
        <f>COUNTIF(ParticipationAvril1[[#This Row],[1]:[30]],code20)</f>
        <v>0</v>
      </c>
      <c r="BL27" s="182">
        <f>COUNTIF(ParticipationAvril1[[#This Row],[1]:[30]],code29)</f>
        <v>0</v>
      </c>
      <c r="BM27" s="139"/>
      <c r="BN27" s="139">
        <v>2</v>
      </c>
      <c r="BO27" s="139"/>
      <c r="BP27" s="139"/>
      <c r="BQ27" s="139"/>
      <c r="BR27" s="139"/>
      <c r="BS27" s="139"/>
      <c r="BT27" s="139">
        <v>1</v>
      </c>
      <c r="BU27" s="139"/>
      <c r="BV27" s="139"/>
      <c r="BW27" s="139">
        <v>1</v>
      </c>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30"/>
      <c r="CT27" s="30"/>
      <c r="CU27" s="300"/>
      <c r="CV27" s="485">
        <f t="shared" si="0"/>
        <v>0</v>
      </c>
      <c r="CW27" s="499">
        <f t="shared" si="1"/>
        <v>11</v>
      </c>
      <c r="CX27" s="178">
        <f t="shared" si="2"/>
        <v>0</v>
      </c>
      <c r="CY27" s="179"/>
      <c r="CZ27" s="200"/>
    </row>
    <row r="28" spans="1:104" ht="15" thickTop="1" thickBot="1">
      <c r="A28" s="510" t="s">
        <v>369</v>
      </c>
      <c r="B28" s="162" t="str">
        <f>IFERROR(VLOOKUP(ParticipationAvril1[[#This Row],[Référence]],ListeÉtudiants1[],18,FALSE),"")</f>
        <v>BENOIST SANDY</v>
      </c>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558"/>
      <c r="AG28" s="484"/>
      <c r="AH28" s="202">
        <f>COUNTIF(ParticipationAvril1[[#This Row],[1]:[30]],Code1)</f>
        <v>0</v>
      </c>
      <c r="AI28" s="475">
        <f>COUNTIF(ParticipationAvril1[[#This Row],[1]:[30]],code22)</f>
        <v>0</v>
      </c>
      <c r="AJ28" s="202">
        <f>COUNTIF(ParticipationAvril1[[#This Row],[1]:[30]],Code2)</f>
        <v>0</v>
      </c>
      <c r="AK28" s="202">
        <f>COUNTIF(ParticipationAvril1[[#This Row],[1]:[30]],Code3)</f>
        <v>0</v>
      </c>
      <c r="AL28" s="202">
        <f>COUNTIF(ParticipationAvril1[[#This Row],[1]:[30]],Code4)</f>
        <v>0</v>
      </c>
      <c r="AM28" s="475">
        <f>COUNTIF(ParticipationAvril1[[#This Row],[1]:[30]],Code5)</f>
        <v>0</v>
      </c>
      <c r="AN28" s="475">
        <f>COUNTIF(ParticipationAvril1[[#This Row],[1]:[30]],Code23)</f>
        <v>0</v>
      </c>
      <c r="AO28" s="475">
        <f>COUNTIF(ParticipationAvril1[[#This Row],[1]:[30]],Code6)</f>
        <v>0</v>
      </c>
      <c r="AP28" s="475">
        <f>COUNTIF(ParticipationAvril1[[#This Row],[1]:[30]],Code7)</f>
        <v>0</v>
      </c>
      <c r="AQ28" s="475">
        <f>COUNTIF(ParticipationAvril1[[#This Row],[1]:[30]],Code8)</f>
        <v>0</v>
      </c>
      <c r="AR28" s="475">
        <f>COUNTIF(ParticipationAvril1[[#This Row],[1]:[30]],Code9)</f>
        <v>0</v>
      </c>
      <c r="AS28" s="475">
        <f>COUNTIF(ParticipationAvril1[[#This Row],[1]:[30]],Code10)</f>
        <v>0</v>
      </c>
      <c r="AT28" s="475">
        <f>COUNTIF(ParticipationAvril1[[#This Row],[1]:[30]],Code11)</f>
        <v>0</v>
      </c>
      <c r="AU28" s="475">
        <f>COUNTIF(ParticipationAvril1[[#This Row],[1]:[30]],Code12)</f>
        <v>0</v>
      </c>
      <c r="AV28" s="475">
        <f>COUNTIF(ParticipationAvril1[[#This Row],[1]:[30]],Code13)</f>
        <v>0</v>
      </c>
      <c r="AW28" s="475">
        <f>COUNTIF(ParticipationAvril1[[#This Row],[1]:[30]],Code14)</f>
        <v>0</v>
      </c>
      <c r="AX28" s="475">
        <f>COUNTIF(ParticipationAvril1[[#This Row],[1]:[30]],Code16)</f>
        <v>0</v>
      </c>
      <c r="AY28" s="475">
        <f>COUNTIF(ParticipationAvril1[[#This Row],[1]:[30]],Code15)</f>
        <v>0</v>
      </c>
      <c r="AZ28" s="475">
        <f>COUNTIF(ParticipationAvril1[[#This Row],[1]:[30]],Code17)</f>
        <v>0</v>
      </c>
      <c r="BA28" s="475">
        <f>COUNTIF(ParticipationAvril1[[#This Row],[1]:[30]],Code25)</f>
        <v>0</v>
      </c>
      <c r="BB28" s="475">
        <f>COUNTIF(ParticipationAvril1[[#This Row],[1]:[30]],Code26)</f>
        <v>0</v>
      </c>
      <c r="BC28" s="475">
        <f>COUNTIF(ParticipationAvril1[[#This Row],[1]:[30]],Code27)</f>
        <v>0</v>
      </c>
      <c r="BD28" s="475">
        <f>COUNTIF(ParticipationAvril1[[#This Row],[1]:[30]],Code28)</f>
        <v>0</v>
      </c>
      <c r="BE28" s="475">
        <f>COUNTIF(ParticipationAvril1[[#This Row],[1]:[30]],code30)</f>
        <v>0</v>
      </c>
      <c r="BF28" s="475">
        <f>COUNTIF(ParticipationAvril1[[#This Row],[1]:[30]],Code31)</f>
        <v>0</v>
      </c>
      <c r="BG28" s="475">
        <f>COUNTIF(ParticipationAvril1[[#This Row],[1]:[30]],code21)</f>
        <v>0</v>
      </c>
      <c r="BH28" s="475">
        <f>COUNTIF(ParticipationAvril1[[#This Row],[1]:[30]],Code24)</f>
        <v>0</v>
      </c>
      <c r="BI28" s="475">
        <f>COUNTIF(ParticipationAvril1[[#This Row],[1]:[30]],code18)</f>
        <v>0</v>
      </c>
      <c r="BJ28" s="475">
        <f>COUNTIF(ParticipationAvril1[[#This Row],[1]:[30]],code19)</f>
        <v>0</v>
      </c>
      <c r="BK28" s="475">
        <f>COUNTIF(ParticipationAvril1[[#This Row],[1]:[30]],code20)</f>
        <v>0</v>
      </c>
      <c r="BL28" s="476">
        <f>COUNTIF(ParticipationAvril1[[#This Row],[1]:[30]],code29)</f>
        <v>0</v>
      </c>
      <c r="BM28" s="472"/>
      <c r="BN28" s="472"/>
      <c r="BO28" s="472"/>
      <c r="BP28" s="472"/>
      <c r="BQ28" s="472"/>
      <c r="BR28" s="472"/>
      <c r="BS28" s="472"/>
      <c r="BT28" s="472"/>
      <c r="BU28" s="472"/>
      <c r="BV28" s="472"/>
      <c r="BW28" s="472"/>
      <c r="BX28" s="472"/>
      <c r="BY28" s="472"/>
      <c r="BZ28" s="472"/>
      <c r="CA28" s="472"/>
      <c r="CB28" s="472"/>
      <c r="CC28" s="472"/>
      <c r="CD28" s="472"/>
      <c r="CE28" s="472"/>
      <c r="CF28" s="472"/>
      <c r="CG28" s="472"/>
      <c r="CH28" s="472"/>
      <c r="CI28" s="472"/>
      <c r="CJ28" s="472"/>
      <c r="CK28" s="472"/>
      <c r="CL28" s="472"/>
      <c r="CM28" s="472"/>
      <c r="CN28" s="472"/>
      <c r="CO28" s="472"/>
      <c r="CP28" s="472"/>
      <c r="CQ28" s="472"/>
      <c r="CR28" s="472"/>
      <c r="CS28" s="473"/>
      <c r="CT28" s="473"/>
      <c r="CU28" s="554">
        <f>SUM((AH28*1)+(AI28*1.5)+(AJ28*2)+(AK28*4)+(AP28*5)+(AQ28*6)+(AR28*7)+(AU28*2)+(AX28*3)+(AY28*4)+(AZ28*5)+(BB28*3)+(BA28*2)+(BG28*2)+(BC28*2)+(BD28*2))</f>
        <v>0</v>
      </c>
      <c r="CV28" s="555">
        <f t="shared" si="0"/>
        <v>0</v>
      </c>
      <c r="CW28" s="556">
        <f t="shared" si="1"/>
        <v>0</v>
      </c>
      <c r="CX28" s="557">
        <f t="shared" si="2"/>
        <v>0</v>
      </c>
      <c r="CY28" s="477"/>
      <c r="CZ28" s="200"/>
    </row>
    <row r="29" spans="1:104" ht="15" thickTop="1" thickBot="1">
      <c r="A29" s="534" t="s">
        <v>370</v>
      </c>
      <c r="B29" s="162" t="str">
        <f>IFERROR(VLOOKUP(ParticipationAvril1[[#This Row],[Référence]],ListeÉtudiants1[],18,FALSE),"")</f>
        <v>BENOUARETH NAWEL</v>
      </c>
      <c r="C29" s="19"/>
      <c r="D29" s="19"/>
      <c r="E29" s="19"/>
      <c r="F29" s="19" t="s">
        <v>108</v>
      </c>
      <c r="G29" s="19"/>
      <c r="H29" s="19"/>
      <c r="I29" s="19"/>
      <c r="J29" s="19"/>
      <c r="K29" s="19" t="s">
        <v>108</v>
      </c>
      <c r="L29" s="19" t="s">
        <v>487</v>
      </c>
      <c r="M29" s="19" t="s">
        <v>108</v>
      </c>
      <c r="N29" s="19" t="s">
        <v>35</v>
      </c>
      <c r="O29" s="19"/>
      <c r="P29" s="19"/>
      <c r="Q29" s="19"/>
      <c r="R29" s="19"/>
      <c r="S29" s="19"/>
      <c r="T29" s="19"/>
      <c r="U29" s="19"/>
      <c r="V29" s="19"/>
      <c r="W29" s="19"/>
      <c r="X29" s="19"/>
      <c r="Y29" s="19"/>
      <c r="Z29" s="19"/>
      <c r="AA29" s="19"/>
      <c r="AB29" s="19"/>
      <c r="AC29" s="19"/>
      <c r="AD29" s="19"/>
      <c r="AE29" s="19"/>
      <c r="AF29" s="19"/>
      <c r="AG29" s="144"/>
      <c r="AH29" s="6">
        <f>COUNTIF(ParticipationAvril1[[#This Row],[1]:[30]],Code1)</f>
        <v>0</v>
      </c>
      <c r="AI29" s="6">
        <f>COUNTIF(ParticipationAvril1[[#This Row],[1]:[30]],code22)</f>
        <v>0</v>
      </c>
      <c r="AJ29" s="6">
        <f>COUNTIF(ParticipationAvril1[[#This Row],[1]:[30]],Code2)</f>
        <v>0</v>
      </c>
      <c r="AK29" s="6">
        <f>COUNTIF(ParticipationAvril1[[#This Row],[1]:[30]],Code3)</f>
        <v>0</v>
      </c>
      <c r="AL29" s="6">
        <f>COUNTIF(ParticipationAvril1[[#This Row],[1]:[30]],Code4)</f>
        <v>0</v>
      </c>
      <c r="AM29" s="6">
        <f>COUNTIF(ParticipationAvril1[[#This Row],[1]:[30]],Code5)</f>
        <v>1</v>
      </c>
      <c r="AN29" s="6">
        <f>COUNTIF(ParticipationAvril1[[#This Row],[1]:[30]],Code23)</f>
        <v>0</v>
      </c>
      <c r="AO29" s="6">
        <f>COUNTIF(ParticipationAvril1[[#This Row],[1]:[30]],Code6)</f>
        <v>3</v>
      </c>
      <c r="AP29" s="6">
        <f>COUNTIF(ParticipationAvril1[[#This Row],[1]:[30]],Code7)</f>
        <v>0</v>
      </c>
      <c r="AQ29" s="6">
        <f>COUNTIF(ParticipationAvril1[[#This Row],[1]:[30]],Code8)</f>
        <v>0</v>
      </c>
      <c r="AR29" s="6">
        <f>COUNTIF(ParticipationAvril1[[#This Row],[1]:[30]],Code9)</f>
        <v>0</v>
      </c>
      <c r="AS29" s="6">
        <f>COUNTIF(ParticipationAvril1[[#This Row],[1]:[30]],Code10)</f>
        <v>0</v>
      </c>
      <c r="AT29" s="6">
        <f>COUNTIF(ParticipationAvril1[[#This Row],[1]:[30]],Code11)</f>
        <v>0</v>
      </c>
      <c r="AU29" s="6">
        <f>COUNTIF(ParticipationAvril1[[#This Row],[1]:[30]],Code12)</f>
        <v>1</v>
      </c>
      <c r="AV29" s="6">
        <f>COUNTIF(ParticipationAvril1[[#This Row],[1]:[30]],Code13)</f>
        <v>0</v>
      </c>
      <c r="AW29" s="6">
        <f>COUNTIF(ParticipationAvril1[[#This Row],[1]:[30]],Code14)</f>
        <v>0</v>
      </c>
      <c r="AX29" s="6">
        <f>COUNTIF(ParticipationAvril1[[#This Row],[1]:[30]],Code16)</f>
        <v>0</v>
      </c>
      <c r="AY29" s="6">
        <f>COUNTIF(ParticipationAvril1[[#This Row],[1]:[30]],Code15)</f>
        <v>0</v>
      </c>
      <c r="AZ29" s="6">
        <f>COUNTIF(ParticipationAvril1[[#This Row],[1]:[30]],Code17)</f>
        <v>0</v>
      </c>
      <c r="BA29" s="6">
        <f>COUNTIF(ParticipationAvril1[[#This Row],[1]:[30]],Code25)</f>
        <v>0</v>
      </c>
      <c r="BB29" s="6">
        <f>COUNTIF(ParticipationAvril1[[#This Row],[1]:[30]],Code26)</f>
        <v>0</v>
      </c>
      <c r="BC29" s="432">
        <f>COUNTIF(ParticipationAvril1[[#This Row],[1]:[30]],Code27)</f>
        <v>0</v>
      </c>
      <c r="BD29" s="6">
        <f>COUNTIF(ParticipationAvril1[[#This Row],[1]:[30]],Code28)</f>
        <v>0</v>
      </c>
      <c r="BE29" s="6">
        <f>COUNTIF(ParticipationAvril1[[#This Row],[1]:[30]],code30)</f>
        <v>0</v>
      </c>
      <c r="BF29" s="6">
        <f>COUNTIF(ParticipationAvril1[[#This Row],[1]:[30]],Code31)</f>
        <v>0</v>
      </c>
      <c r="BG29" s="6">
        <f>COUNTIF(ParticipationAvril1[[#This Row],[1]:[30]],code21)</f>
        <v>0</v>
      </c>
      <c r="BH29" s="6">
        <f>COUNTIF(ParticipationAvril1[[#This Row],[1]:[30]],Code24)</f>
        <v>0</v>
      </c>
      <c r="BI29" s="6">
        <f>COUNTIF(ParticipationAvril1[[#This Row],[1]:[30]],code18)</f>
        <v>0</v>
      </c>
      <c r="BJ29" s="6">
        <f>COUNTIF(ParticipationAvril1[[#This Row],[1]:[30]],code19)</f>
        <v>0</v>
      </c>
      <c r="BK29" s="6">
        <f>COUNTIF(ParticipationAvril1[[#This Row],[1]:[30]],code20)</f>
        <v>0</v>
      </c>
      <c r="BL29" s="182">
        <f>COUNTIF(ParticipationAvril1[[#This Row],[1]:[30]],code29)</f>
        <v>0</v>
      </c>
      <c r="BM29" s="297"/>
      <c r="BN29" s="297">
        <v>2</v>
      </c>
      <c r="BO29" s="297"/>
      <c r="BP29" s="297"/>
      <c r="BQ29" s="297"/>
      <c r="BR29" s="297"/>
      <c r="BS29" s="297"/>
      <c r="BT29" s="297">
        <v>2</v>
      </c>
      <c r="BU29" s="297"/>
      <c r="BV29" s="297"/>
      <c r="BW29" s="297">
        <v>2</v>
      </c>
      <c r="BX29" s="297"/>
      <c r="BY29" s="297"/>
      <c r="BZ29" s="297"/>
      <c r="CA29" s="297"/>
      <c r="CB29" s="297"/>
      <c r="CC29" s="297"/>
      <c r="CD29" s="297"/>
      <c r="CE29" s="297"/>
      <c r="CF29" s="297"/>
      <c r="CG29" s="297"/>
      <c r="CH29" s="297"/>
      <c r="CI29" s="297"/>
      <c r="CJ29" s="297"/>
      <c r="CK29" s="297"/>
      <c r="CL29" s="297"/>
      <c r="CM29" s="297"/>
      <c r="CN29" s="297"/>
      <c r="CO29" s="297"/>
      <c r="CP29" s="297"/>
      <c r="CQ29" s="297"/>
      <c r="CR29" s="297"/>
      <c r="CS29" s="307"/>
      <c r="CT29" s="307"/>
      <c r="CU29" s="300"/>
      <c r="CV29" s="485">
        <f t="shared" si="0"/>
        <v>0</v>
      </c>
      <c r="CW29" s="499">
        <f t="shared" si="1"/>
        <v>17</v>
      </c>
      <c r="CX29" s="178">
        <f t="shared" si="2"/>
        <v>0</v>
      </c>
      <c r="CY29" s="179">
        <f>SUM((BI29*7)+(BJ29*10)+(BK29*12))</f>
        <v>0</v>
      </c>
    </row>
    <row r="30" spans="1:104" ht="15" thickTop="1" thickBot="1">
      <c r="A30" s="510" t="s">
        <v>371</v>
      </c>
      <c r="B30" s="162" t="str">
        <f>IFERROR(VLOOKUP(ParticipationAvril1[[#This Row],[Référence]],ListeÉtudiants1[],18,FALSE),"")</f>
        <v>BERNARD LUDOVIC</v>
      </c>
      <c r="C30" s="471"/>
      <c r="D30" s="471"/>
      <c r="E30" s="471"/>
      <c r="F30" s="471"/>
      <c r="G30" s="471"/>
      <c r="H30" s="471"/>
      <c r="I30" s="471"/>
      <c r="J30" s="471"/>
      <c r="K30" s="471"/>
      <c r="L30" s="471"/>
      <c r="M30" s="471"/>
      <c r="N30" s="471" t="s">
        <v>35</v>
      </c>
      <c r="O30" s="471"/>
      <c r="P30" s="471"/>
      <c r="Q30" s="471"/>
      <c r="R30" s="471"/>
      <c r="S30" s="471"/>
      <c r="T30" s="471"/>
      <c r="U30" s="471"/>
      <c r="V30" s="471"/>
      <c r="W30" s="471"/>
      <c r="X30" s="471"/>
      <c r="Y30" s="471"/>
      <c r="Z30" s="471"/>
      <c r="AA30" s="471"/>
      <c r="AB30" s="471"/>
      <c r="AC30" s="471"/>
      <c r="AD30" s="471"/>
      <c r="AE30" s="471"/>
      <c r="AF30" s="471"/>
      <c r="AG30" s="478"/>
      <c r="AH30" s="471">
        <f>COUNTIF(ParticipationAvril1[[#This Row],[1]:[30]],Code1)</f>
        <v>0</v>
      </c>
      <c r="AI30" s="475">
        <f>COUNTIF(ParticipationAvril1[[#This Row],[1]:[30]],code22)</f>
        <v>0</v>
      </c>
      <c r="AJ30" s="471">
        <f>COUNTIF(ParticipationAvril1[[#This Row],[1]:[30]],Code2)</f>
        <v>0</v>
      </c>
      <c r="AK30" s="471">
        <f>COUNTIF(ParticipationAvril1[[#This Row],[1]:[30]],Code3)</f>
        <v>0</v>
      </c>
      <c r="AL30" s="471">
        <f>COUNTIF(ParticipationAvril1[[#This Row],[1]:[30]],Code4)</f>
        <v>0</v>
      </c>
      <c r="AM30" s="475">
        <f>COUNTIF(ParticipationAvril1[[#This Row],[1]:[30]],Code5)</f>
        <v>1</v>
      </c>
      <c r="AN30" s="475">
        <f>COUNTIF(ParticipationAvril1[[#This Row],[1]:[30]],Code23)</f>
        <v>0</v>
      </c>
      <c r="AO30" s="475">
        <f>COUNTIF(ParticipationAvril1[[#This Row],[1]:[30]],Code6)</f>
        <v>0</v>
      </c>
      <c r="AP30" s="475">
        <f>COUNTIF(ParticipationAvril1[[#This Row],[1]:[30]],Code7)</f>
        <v>0</v>
      </c>
      <c r="AQ30" s="475">
        <f>COUNTIF(ParticipationAvril1[[#This Row],[1]:[30]],Code8)</f>
        <v>0</v>
      </c>
      <c r="AR30" s="475">
        <f>COUNTIF(ParticipationAvril1[[#This Row],[1]:[30]],Code9)</f>
        <v>0</v>
      </c>
      <c r="AS30" s="475">
        <f>COUNTIF(ParticipationAvril1[[#This Row],[1]:[30]],Code10)</f>
        <v>0</v>
      </c>
      <c r="AT30" s="475">
        <f>COUNTIF(ParticipationAvril1[[#This Row],[1]:[30]],Code11)</f>
        <v>0</v>
      </c>
      <c r="AU30" s="475">
        <f>COUNTIF(ParticipationAvril1[[#This Row],[1]:[30]],Code12)</f>
        <v>0</v>
      </c>
      <c r="AV30" s="475">
        <f>COUNTIF(ParticipationAvril1[[#This Row],[1]:[30]],Code13)</f>
        <v>0</v>
      </c>
      <c r="AW30" s="475">
        <f>COUNTIF(ParticipationAvril1[[#This Row],[1]:[30]],Code14)</f>
        <v>0</v>
      </c>
      <c r="AX30" s="475">
        <f>COUNTIF(ParticipationAvril1[[#This Row],[1]:[30]],Code16)</f>
        <v>0</v>
      </c>
      <c r="AY30" s="475">
        <f>COUNTIF(ParticipationAvril1[[#This Row],[1]:[30]],Code15)</f>
        <v>0</v>
      </c>
      <c r="AZ30" s="475">
        <f>COUNTIF(ParticipationAvril1[[#This Row],[1]:[30]],Code17)</f>
        <v>0</v>
      </c>
      <c r="BA30" s="475">
        <f>COUNTIF(ParticipationAvril1[[#This Row],[1]:[30]],Code25)</f>
        <v>0</v>
      </c>
      <c r="BB30" s="475">
        <f>COUNTIF(ParticipationAvril1[[#This Row],[1]:[30]],Code26)</f>
        <v>0</v>
      </c>
      <c r="BC30" s="475">
        <f>COUNTIF(ParticipationAvril1[[#This Row],[1]:[30]],Code27)</f>
        <v>0</v>
      </c>
      <c r="BD30" s="475">
        <f>COUNTIF(ParticipationAvril1[[#This Row],[1]:[30]],Code28)</f>
        <v>0</v>
      </c>
      <c r="BE30" s="475">
        <f>COUNTIF(ParticipationAvril1[[#This Row],[1]:[30]],code30)</f>
        <v>0</v>
      </c>
      <c r="BF30" s="475">
        <f>COUNTIF(ParticipationAvril1[[#This Row],[1]:[30]],Code31)</f>
        <v>0</v>
      </c>
      <c r="BG30" s="475">
        <f>COUNTIF(ParticipationAvril1[[#This Row],[1]:[30]],code21)</f>
        <v>0</v>
      </c>
      <c r="BH30" s="475">
        <f>COUNTIF(ParticipationAvril1[[#This Row],[1]:[30]],Code24)</f>
        <v>0</v>
      </c>
      <c r="BI30" s="475">
        <f>COUNTIF(ParticipationAvril1[[#This Row],[1]:[30]],code18)</f>
        <v>0</v>
      </c>
      <c r="BJ30" s="475">
        <f>COUNTIF(ParticipationAvril1[[#This Row],[1]:[30]],code19)</f>
        <v>0</v>
      </c>
      <c r="BK30" s="475">
        <f>COUNTIF(ParticipationAvril1[[#This Row],[1]:[30]],code20)</f>
        <v>0</v>
      </c>
      <c r="BL30" s="476">
        <f>COUNTIF(ParticipationAvril1[[#This Row],[1]:[30]],code29)</f>
        <v>0</v>
      </c>
      <c r="BM30" s="472"/>
      <c r="BN30" s="472"/>
      <c r="BO30" s="472"/>
      <c r="BP30" s="472"/>
      <c r="BQ30" s="472"/>
      <c r="BR30" s="472"/>
      <c r="BS30" s="472"/>
      <c r="BT30" s="472"/>
      <c r="BU30" s="472"/>
      <c r="BV30" s="472"/>
      <c r="BW30" s="472">
        <v>1</v>
      </c>
      <c r="BX30" s="472"/>
      <c r="BY30" s="472"/>
      <c r="BZ30" s="472"/>
      <c r="CA30" s="472"/>
      <c r="CB30" s="472"/>
      <c r="CC30" s="472"/>
      <c r="CD30" s="472"/>
      <c r="CE30" s="472"/>
      <c r="CF30" s="472"/>
      <c r="CG30" s="472"/>
      <c r="CH30" s="472"/>
      <c r="CI30" s="472"/>
      <c r="CJ30" s="472"/>
      <c r="CK30" s="472"/>
      <c r="CL30" s="472"/>
      <c r="CM30" s="472"/>
      <c r="CN30" s="472"/>
      <c r="CO30" s="472"/>
      <c r="CP30" s="472"/>
      <c r="CQ30" s="472"/>
      <c r="CR30" s="472"/>
      <c r="CS30" s="473"/>
      <c r="CT30" s="473"/>
      <c r="CU30" s="300"/>
      <c r="CV30" s="485">
        <f t="shared" si="0"/>
        <v>0</v>
      </c>
      <c r="CW30" s="499">
        <f t="shared" si="1"/>
        <v>2</v>
      </c>
      <c r="CX30" s="557">
        <f t="shared" si="2"/>
        <v>0</v>
      </c>
      <c r="CY30" s="477"/>
      <c r="CZ30" s="469"/>
    </row>
    <row r="31" spans="1:104" ht="15" thickTop="1" thickBot="1">
      <c r="A31" s="534" t="s">
        <v>372</v>
      </c>
      <c r="B31" s="162" t="str">
        <f>IFERROR(VLOOKUP(ParticipationAvril1[[#This Row],[Référence]],ListeÉtudiants1[],18,FALSE),"")</f>
        <v>BESTEL AGATHE</v>
      </c>
      <c r="H31" s="510" t="s">
        <v>35</v>
      </c>
      <c r="K31" s="510" t="s">
        <v>108</v>
      </c>
      <c r="L31" s="510" t="s">
        <v>108</v>
      </c>
      <c r="N31" s="510" t="s">
        <v>35</v>
      </c>
      <c r="AF31" s="88"/>
      <c r="AG31" s="441"/>
      <c r="AH31" s="439">
        <f>COUNTIF(ParticipationAvril1[[#This Row],[1]:[30]],Code1)</f>
        <v>0</v>
      </c>
      <c r="AI31" s="435">
        <f>COUNTIF(ParticipationAvril1[[#This Row],[1]:[30]],code22)</f>
        <v>0</v>
      </c>
      <c r="AJ31" s="439">
        <f>COUNTIF(ParticipationAvril1[[#This Row],[1]:[30]],Code2)</f>
        <v>0</v>
      </c>
      <c r="AK31" s="439">
        <f>COUNTIF(ParticipationAvril1[[#This Row],[1]:[30]],Code3)</f>
        <v>0</v>
      </c>
      <c r="AL31" s="439">
        <f>COUNTIF(ParticipationAvril1[[#This Row],[1]:[30]],Code4)</f>
        <v>0</v>
      </c>
      <c r="AM31" s="435">
        <f>COUNTIF(ParticipationAvril1[[#This Row],[1]:[30]],Code5)</f>
        <v>2</v>
      </c>
      <c r="AN31" s="435">
        <f>COUNTIF(ParticipationAvril1[[#This Row],[1]:[30]],Code23)</f>
        <v>0</v>
      </c>
      <c r="AO31" s="435">
        <f>COUNTIF(ParticipationAvril1[[#This Row],[1]:[30]],Code6)</f>
        <v>2</v>
      </c>
      <c r="AP31" s="435">
        <f>COUNTIF(ParticipationAvril1[[#This Row],[1]:[30]],Code7)</f>
        <v>0</v>
      </c>
      <c r="AQ31" s="435">
        <f>COUNTIF(ParticipationAvril1[[#This Row],[1]:[30]],Code8)</f>
        <v>0</v>
      </c>
      <c r="AR31" s="435">
        <f>COUNTIF(ParticipationAvril1[[#This Row],[1]:[30]],Code9)</f>
        <v>0</v>
      </c>
      <c r="AS31" s="435">
        <f>COUNTIF(ParticipationAvril1[[#This Row],[1]:[30]],Code10)</f>
        <v>0</v>
      </c>
      <c r="AT31" s="435">
        <f>COUNTIF(ParticipationAvril1[[#This Row],[1]:[30]],Code11)</f>
        <v>0</v>
      </c>
      <c r="AU31" s="435">
        <f>COUNTIF(ParticipationAvril1[[#This Row],[1]:[30]],Code12)</f>
        <v>0</v>
      </c>
      <c r="AV31" s="435">
        <f>COUNTIF(ParticipationAvril1[[#This Row],[1]:[30]],Code13)</f>
        <v>0</v>
      </c>
      <c r="AW31" s="435">
        <f>COUNTIF(ParticipationAvril1[[#This Row],[1]:[30]],Code14)</f>
        <v>0</v>
      </c>
      <c r="AX31" s="435">
        <f>COUNTIF(ParticipationAvril1[[#This Row],[1]:[30]],Code16)</f>
        <v>0</v>
      </c>
      <c r="AY31" s="435">
        <f>COUNTIF(ParticipationAvril1[[#This Row],[1]:[30]],Code15)</f>
        <v>0</v>
      </c>
      <c r="AZ31" s="435">
        <f>COUNTIF(ParticipationAvril1[[#This Row],[1]:[30]],Code17)</f>
        <v>0</v>
      </c>
      <c r="BA31" s="435">
        <f>COUNTIF(ParticipationAvril1[[#This Row],[1]:[30]],Code25)</f>
        <v>0</v>
      </c>
      <c r="BB31" s="435">
        <f>COUNTIF(ParticipationAvril1[[#This Row],[1]:[30]],Code26)</f>
        <v>0</v>
      </c>
      <c r="BC31" s="435">
        <f>COUNTIF(ParticipationAvril1[[#This Row],[1]:[30]],Code27)</f>
        <v>0</v>
      </c>
      <c r="BD31" s="435">
        <f>COUNTIF(ParticipationAvril1[[#This Row],[1]:[30]],Code28)</f>
        <v>0</v>
      </c>
      <c r="BE31" s="435">
        <f>COUNTIF(ParticipationAvril1[[#This Row],[1]:[30]],code30)</f>
        <v>0</v>
      </c>
      <c r="BF31" s="435">
        <f>COUNTIF(ParticipationAvril1[[#This Row],[1]:[30]],Code31)</f>
        <v>0</v>
      </c>
      <c r="BG31" s="435">
        <f>COUNTIF(ParticipationAvril1[[#This Row],[1]:[30]],code21)</f>
        <v>0</v>
      </c>
      <c r="BH31" s="435">
        <f>COUNTIF(ParticipationAvril1[[#This Row],[1]:[30]],Code24)</f>
        <v>0</v>
      </c>
      <c r="BI31" s="435">
        <f>COUNTIF(ParticipationAvril1[[#This Row],[1]:[30]],code18)</f>
        <v>0</v>
      </c>
      <c r="BJ31" s="435">
        <f>COUNTIF(ParticipationAvril1[[#This Row],[1]:[30]],code19)</f>
        <v>0</v>
      </c>
      <c r="BK31" s="435">
        <f>COUNTIF(ParticipationAvril1[[#This Row],[1]:[30]],code20)</f>
        <v>0</v>
      </c>
      <c r="BL31" s="436">
        <f>COUNTIF(ParticipationAvril1[[#This Row],[1]:[30]],code29)</f>
        <v>0</v>
      </c>
      <c r="BM31" s="297"/>
      <c r="BN31" s="297">
        <v>1</v>
      </c>
      <c r="BO31" s="297"/>
      <c r="BP31" s="297"/>
      <c r="BQ31" s="297"/>
      <c r="BR31" s="297"/>
      <c r="BS31" s="297"/>
      <c r="BT31" s="297">
        <v>1</v>
      </c>
      <c r="BU31" s="297"/>
      <c r="BV31" s="297"/>
      <c r="BW31" s="297">
        <v>2</v>
      </c>
      <c r="BX31" s="297"/>
      <c r="BY31" s="297"/>
      <c r="BZ31" s="297"/>
      <c r="CA31" s="297"/>
      <c r="CB31" s="297"/>
      <c r="CC31" s="297"/>
      <c r="CD31" s="297"/>
      <c r="CE31" s="297"/>
      <c r="CF31" s="297"/>
      <c r="CG31" s="297"/>
      <c r="CH31" s="297"/>
      <c r="CI31" s="297"/>
      <c r="CJ31" s="297"/>
      <c r="CK31" s="297"/>
      <c r="CL31" s="297"/>
      <c r="CM31" s="297"/>
      <c r="CN31" s="297"/>
      <c r="CO31" s="297"/>
      <c r="CP31" s="297"/>
      <c r="CQ31" s="297"/>
      <c r="CR31" s="297"/>
      <c r="CS31" s="297"/>
      <c r="CT31" s="297"/>
      <c r="CU31" s="300"/>
      <c r="CV31" s="485">
        <f t="shared" si="0"/>
        <v>0</v>
      </c>
      <c r="CW31" s="499">
        <f t="shared" si="1"/>
        <v>10</v>
      </c>
      <c r="CX31" s="437">
        <f t="shared" si="2"/>
        <v>0</v>
      </c>
      <c r="CY31" s="438"/>
    </row>
    <row r="32" spans="1:104" ht="15" thickTop="1" thickBot="1">
      <c r="A32" s="510" t="s">
        <v>373</v>
      </c>
      <c r="B32" s="162" t="str">
        <f>IFERROR(VLOOKUP(ParticipationAvril1[[#This Row],[Référence]],ListeÉtudiants1[],18,FALSE),"")</f>
        <v>BLOT  WENDY</v>
      </c>
      <c r="C32" s="88"/>
      <c r="D32" s="88"/>
      <c r="E32" s="88"/>
      <c r="F32" s="444" t="s">
        <v>108</v>
      </c>
      <c r="G32" s="88"/>
      <c r="H32" s="444" t="s">
        <v>106</v>
      </c>
      <c r="I32" s="88"/>
      <c r="J32" s="88"/>
      <c r="K32" s="444" t="s">
        <v>108</v>
      </c>
      <c r="L32" s="444" t="s">
        <v>487</v>
      </c>
      <c r="M32" s="444" t="s">
        <v>108</v>
      </c>
      <c r="N32" s="88"/>
      <c r="O32" s="88"/>
      <c r="P32" s="88"/>
      <c r="Q32" s="88"/>
      <c r="R32" s="88"/>
      <c r="S32" s="88"/>
      <c r="T32" s="88"/>
      <c r="U32" s="88"/>
      <c r="V32" s="88"/>
      <c r="W32" s="88"/>
      <c r="X32" s="88"/>
      <c r="Y32" s="88"/>
      <c r="Z32" s="88"/>
      <c r="AA32" s="88"/>
      <c r="AB32" s="88"/>
      <c r="AC32" s="88"/>
      <c r="AD32" s="88"/>
      <c r="AE32" s="88"/>
      <c r="AF32" s="88"/>
      <c r="AG32" s="441"/>
      <c r="AH32" s="440">
        <f>COUNTIF(ParticipationAvril1[[#This Row],[1]:[30]],Code1)</f>
        <v>0</v>
      </c>
      <c r="AI32" s="331">
        <f>COUNTIF(ParticipationAvril1[[#This Row],[1]:[30]],code22)</f>
        <v>0</v>
      </c>
      <c r="AJ32" s="440">
        <f>COUNTIF(ParticipationAvril1[[#This Row],[1]:[30]],Code2)</f>
        <v>0</v>
      </c>
      <c r="AK32" s="440">
        <f>COUNTIF(ParticipationAvril1[[#This Row],[1]:[30]],Code3)</f>
        <v>1</v>
      </c>
      <c r="AL32" s="440">
        <f>COUNTIF(ParticipationAvril1[[#This Row],[1]:[30]],Code4)</f>
        <v>0</v>
      </c>
      <c r="AM32" s="331">
        <f>COUNTIF(ParticipationAvril1[[#This Row],[1]:[30]],Code5)</f>
        <v>0</v>
      </c>
      <c r="AN32" s="331">
        <f>COUNTIF(ParticipationAvril1[[#This Row],[1]:[30]],Code23)</f>
        <v>0</v>
      </c>
      <c r="AO32" s="331">
        <f>COUNTIF(ParticipationAvril1[[#This Row],[1]:[30]],Code6)</f>
        <v>3</v>
      </c>
      <c r="AP32" s="331">
        <f>COUNTIF(ParticipationAvril1[[#This Row],[1]:[30]],Code7)</f>
        <v>0</v>
      </c>
      <c r="AQ32" s="331">
        <f>COUNTIF(ParticipationAvril1[[#This Row],[1]:[30]],Code8)</f>
        <v>0</v>
      </c>
      <c r="AR32" s="331">
        <f>COUNTIF(ParticipationAvril1[[#This Row],[1]:[30]],Code9)</f>
        <v>0</v>
      </c>
      <c r="AS32" s="331">
        <f>COUNTIF(ParticipationAvril1[[#This Row],[1]:[30]],Code10)</f>
        <v>0</v>
      </c>
      <c r="AT32" s="331">
        <f>COUNTIF(ParticipationAvril1[[#This Row],[1]:[30]],Code11)</f>
        <v>0</v>
      </c>
      <c r="AU32" s="331">
        <f>COUNTIF(ParticipationAvril1[[#This Row],[1]:[30]],Code12)</f>
        <v>1</v>
      </c>
      <c r="AV32" s="331">
        <f>COUNTIF(ParticipationAvril1[[#This Row],[1]:[30]],Code13)</f>
        <v>0</v>
      </c>
      <c r="AW32" s="331">
        <f>COUNTIF(ParticipationAvril1[[#This Row],[1]:[30]],Code14)</f>
        <v>0</v>
      </c>
      <c r="AX32" s="331">
        <f>COUNTIF(ParticipationAvril1[[#This Row],[1]:[30]],Code16)</f>
        <v>0</v>
      </c>
      <c r="AY32" s="331">
        <f>COUNTIF(ParticipationAvril1[[#This Row],[1]:[30]],Code15)</f>
        <v>0</v>
      </c>
      <c r="AZ32" s="331">
        <f>COUNTIF(ParticipationAvril1[[#This Row],[1]:[30]],Code17)</f>
        <v>0</v>
      </c>
      <c r="BA32" s="331">
        <f>COUNTIF(ParticipationAvril1[[#This Row],[1]:[30]],Code25)</f>
        <v>0</v>
      </c>
      <c r="BB32" s="331">
        <f>COUNTIF(ParticipationAvril1[[#This Row],[1]:[30]],Code26)</f>
        <v>0</v>
      </c>
      <c r="BC32" s="331">
        <f>COUNTIF(ParticipationAvril1[[#This Row],[1]:[30]],Code27)</f>
        <v>0</v>
      </c>
      <c r="BD32" s="331">
        <f>COUNTIF(ParticipationAvril1[[#This Row],[1]:[30]],Code28)</f>
        <v>0</v>
      </c>
      <c r="BE32" s="331">
        <f>COUNTIF(ParticipationAvril1[[#This Row],[1]:[30]],code30)</f>
        <v>0</v>
      </c>
      <c r="BF32" s="331">
        <f>COUNTIF(ParticipationAvril1[[#This Row],[1]:[30]],Code31)</f>
        <v>0</v>
      </c>
      <c r="BG32" s="331">
        <f>COUNTIF(ParticipationAvril1[[#This Row],[1]:[30]],code21)</f>
        <v>0</v>
      </c>
      <c r="BH32" s="331">
        <f>COUNTIF(ParticipationAvril1[[#This Row],[1]:[30]],Code24)</f>
        <v>0</v>
      </c>
      <c r="BI32" s="331">
        <f>COUNTIF(ParticipationAvril1[[#This Row],[1]:[30]],code18)</f>
        <v>0</v>
      </c>
      <c r="BJ32" s="331">
        <f>COUNTIF(ParticipationAvril1[[#This Row],[1]:[30]],code19)</f>
        <v>0</v>
      </c>
      <c r="BK32" s="331">
        <f>COUNTIF(ParticipationAvril1[[#This Row],[1]:[30]],code20)</f>
        <v>0</v>
      </c>
      <c r="BL32" s="436">
        <f>COUNTIF(ParticipationAvril1[[#This Row],[1]:[30]],code29)</f>
        <v>0</v>
      </c>
      <c r="BM32" s="307"/>
      <c r="BN32" s="307">
        <v>2</v>
      </c>
      <c r="BO32" s="307"/>
      <c r="BP32" s="307"/>
      <c r="BQ32" s="307"/>
      <c r="BR32" s="307"/>
      <c r="BS32" s="307"/>
      <c r="BT32" s="297">
        <v>3</v>
      </c>
      <c r="BU32" s="307"/>
      <c r="BV32" s="307"/>
      <c r="BW32" s="307">
        <v>1</v>
      </c>
      <c r="BX32" s="307"/>
      <c r="BY32" s="307"/>
      <c r="BZ32" s="307"/>
      <c r="CA32" s="307"/>
      <c r="CB32" s="307">
        <v>1</v>
      </c>
      <c r="CC32" s="307"/>
      <c r="CD32" s="307"/>
      <c r="CE32" s="307"/>
      <c r="CF32" s="307"/>
      <c r="CG32" s="307"/>
      <c r="CH32" s="307"/>
      <c r="CI32" s="307"/>
      <c r="CJ32" s="307"/>
      <c r="CK32" s="307"/>
      <c r="CL32" s="307"/>
      <c r="CM32" s="307"/>
      <c r="CN32" s="307"/>
      <c r="CO32" s="307"/>
      <c r="CP32" s="307"/>
      <c r="CQ32" s="307"/>
      <c r="CR32" s="307"/>
      <c r="CS32" s="307"/>
      <c r="CT32" s="307"/>
      <c r="CU32" s="300"/>
      <c r="CV32" s="485">
        <f t="shared" si="0"/>
        <v>3</v>
      </c>
      <c r="CW32" s="499">
        <f t="shared" si="1"/>
        <v>15</v>
      </c>
      <c r="CX32" s="437">
        <f t="shared" si="2"/>
        <v>0</v>
      </c>
      <c r="CY32" s="438"/>
      <c r="CZ32" t="s">
        <v>635</v>
      </c>
    </row>
    <row r="33" spans="1:104" ht="15" thickTop="1" thickBot="1">
      <c r="A33" s="510" t="s">
        <v>374</v>
      </c>
      <c r="B33" s="162" t="str">
        <f>IFERROR(VLOOKUP(ParticipationAvril1[[#This Row],[Référence]],ListeÉtudiants1[],18,FALSE),"")</f>
        <v>BOISSELET CHRISTELLE</v>
      </c>
      <c r="C33" s="19"/>
      <c r="D33" s="19"/>
      <c r="E33" s="19"/>
      <c r="F33" s="19" t="s">
        <v>108</v>
      </c>
      <c r="G33" s="19"/>
      <c r="H33" s="19" t="s">
        <v>35</v>
      </c>
      <c r="I33" s="19"/>
      <c r="J33" s="19"/>
      <c r="K33" s="19" t="s">
        <v>108</v>
      </c>
      <c r="L33" s="19"/>
      <c r="M33" s="19" t="s">
        <v>487</v>
      </c>
      <c r="N33" s="19" t="s">
        <v>35</v>
      </c>
      <c r="O33" s="19"/>
      <c r="P33" s="19"/>
      <c r="Q33" s="19"/>
      <c r="R33" s="19"/>
      <c r="S33" s="19"/>
      <c r="T33" s="19"/>
      <c r="U33" s="19"/>
      <c r="V33" s="19"/>
      <c r="W33" s="19"/>
      <c r="X33" s="19"/>
      <c r="Y33" s="19"/>
      <c r="Z33" s="19"/>
      <c r="AA33" s="19"/>
      <c r="AB33" s="19"/>
      <c r="AC33" s="19"/>
      <c r="AD33" s="19"/>
      <c r="AE33" s="19"/>
      <c r="AF33" s="19"/>
      <c r="AG33" s="144"/>
      <c r="AH33" s="6">
        <f>COUNTIF(ParticipationAvril1[[#This Row],[1]:[30]],Code1)</f>
        <v>0</v>
      </c>
      <c r="AI33" s="6">
        <f>COUNTIF(ParticipationAvril1[[#This Row],[1]:[30]],code22)</f>
        <v>0</v>
      </c>
      <c r="AJ33" s="6">
        <f>COUNTIF(ParticipationAvril1[[#This Row],[1]:[30]],Code2)</f>
        <v>0</v>
      </c>
      <c r="AK33" s="6">
        <f>COUNTIF(ParticipationAvril1[[#This Row],[1]:[30]],Code3)</f>
        <v>0</v>
      </c>
      <c r="AL33" s="6">
        <f>COUNTIF(ParticipationAvril1[[#This Row],[1]:[30]],Code4)</f>
        <v>0</v>
      </c>
      <c r="AM33" s="6">
        <f>COUNTIF(ParticipationAvril1[[#This Row],[1]:[30]],Code5)</f>
        <v>2</v>
      </c>
      <c r="AN33" s="6">
        <f>COUNTIF(ParticipationAvril1[[#This Row],[1]:[30]],Code23)</f>
        <v>0</v>
      </c>
      <c r="AO33" s="6">
        <f>COUNTIF(ParticipationAvril1[[#This Row],[1]:[30]],Code6)</f>
        <v>2</v>
      </c>
      <c r="AP33" s="6">
        <f>COUNTIF(ParticipationAvril1[[#This Row],[1]:[30]],Code7)</f>
        <v>0</v>
      </c>
      <c r="AQ33" s="6">
        <f>COUNTIF(ParticipationAvril1[[#This Row],[1]:[30]],Code8)</f>
        <v>0</v>
      </c>
      <c r="AR33" s="6">
        <f>COUNTIF(ParticipationAvril1[[#This Row],[1]:[30]],Code9)</f>
        <v>0</v>
      </c>
      <c r="AS33" s="6">
        <f>COUNTIF(ParticipationAvril1[[#This Row],[1]:[30]],Code10)</f>
        <v>0</v>
      </c>
      <c r="AT33" s="6">
        <f>COUNTIF(ParticipationAvril1[[#This Row],[1]:[30]],Code11)</f>
        <v>0</v>
      </c>
      <c r="AU33" s="6">
        <f>COUNTIF(ParticipationAvril1[[#This Row],[1]:[30]],Code12)</f>
        <v>1</v>
      </c>
      <c r="AV33" s="6">
        <f>COUNTIF(ParticipationAvril1[[#This Row],[1]:[30]],Code13)</f>
        <v>0</v>
      </c>
      <c r="AW33" s="6">
        <f>COUNTIF(ParticipationAvril1[[#This Row],[1]:[30]],Code14)</f>
        <v>0</v>
      </c>
      <c r="AX33" s="6">
        <f>COUNTIF(ParticipationAvril1[[#This Row],[1]:[30]],Code16)</f>
        <v>0</v>
      </c>
      <c r="AY33" s="6">
        <f>COUNTIF(ParticipationAvril1[[#This Row],[1]:[30]],Code15)</f>
        <v>0</v>
      </c>
      <c r="AZ33" s="6">
        <f>COUNTIF(ParticipationAvril1[[#This Row],[1]:[30]],Code17)</f>
        <v>0</v>
      </c>
      <c r="BA33" s="6">
        <f>COUNTIF(ParticipationAvril1[[#This Row],[1]:[30]],Code25)</f>
        <v>0</v>
      </c>
      <c r="BB33" s="6">
        <f>COUNTIF(ParticipationAvril1[[#This Row],[1]:[30]],Code26)</f>
        <v>0</v>
      </c>
      <c r="BC33" s="432">
        <f>COUNTIF(ParticipationAvril1[[#This Row],[1]:[30]],Code27)</f>
        <v>0</v>
      </c>
      <c r="BD33" s="6">
        <f>COUNTIF(ParticipationAvril1[[#This Row],[1]:[30]],Code28)</f>
        <v>0</v>
      </c>
      <c r="BE33" s="6">
        <f>COUNTIF(ParticipationAvril1[[#This Row],[1]:[30]],code30)</f>
        <v>0</v>
      </c>
      <c r="BF33" s="6">
        <f>COUNTIF(ParticipationAvril1[[#This Row],[1]:[30]],Code31)</f>
        <v>0</v>
      </c>
      <c r="BG33" s="6">
        <f>COUNTIF(ParticipationAvril1[[#This Row],[1]:[30]],code21)</f>
        <v>0</v>
      </c>
      <c r="BH33" s="6">
        <f>COUNTIF(ParticipationAvril1[[#This Row],[1]:[30]],Code24)</f>
        <v>0</v>
      </c>
      <c r="BI33" s="6">
        <f>COUNTIF(ParticipationAvril1[[#This Row],[1]:[30]],code18)</f>
        <v>0</v>
      </c>
      <c r="BJ33" s="6">
        <f>COUNTIF(ParticipationAvril1[[#This Row],[1]:[30]],code19)</f>
        <v>0</v>
      </c>
      <c r="BK33" s="6">
        <f>COUNTIF(ParticipationAvril1[[#This Row],[1]:[30]],code20)</f>
        <v>0</v>
      </c>
      <c r="BL33" s="182">
        <f>COUNTIF(ParticipationAvril1[[#This Row],[1]:[30]],code29)</f>
        <v>0</v>
      </c>
      <c r="BM33" s="297"/>
      <c r="BN33" s="297">
        <v>1</v>
      </c>
      <c r="BO33" s="297"/>
      <c r="BP33" s="297"/>
      <c r="BQ33" s="297"/>
      <c r="BR33" s="297"/>
      <c r="BS33" s="297"/>
      <c r="BT33" s="297">
        <v>3</v>
      </c>
      <c r="BU33" s="297"/>
      <c r="BV33" s="297"/>
      <c r="BW33" s="297">
        <v>2</v>
      </c>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307"/>
      <c r="CT33" s="307"/>
      <c r="CU33" s="300"/>
      <c r="CV33" s="485">
        <f t="shared" si="0"/>
        <v>0</v>
      </c>
      <c r="CW33" s="499">
        <f t="shared" si="1"/>
        <v>16</v>
      </c>
      <c r="CX33" s="178">
        <f t="shared" si="2"/>
        <v>0</v>
      </c>
      <c r="CY33" s="179">
        <f>SUM((BI33*7)+(BJ33*10)+(BK33*12))</f>
        <v>0</v>
      </c>
    </row>
    <row r="34" spans="1:104" ht="15" thickTop="1" thickBot="1">
      <c r="A34" s="534" t="s">
        <v>375</v>
      </c>
      <c r="B34" s="162" t="str">
        <f>IFERROR(VLOOKUP(ParticipationAvril1[[#This Row],[Référence]],ListeÉtudiants1[],18,FALSE),"")</f>
        <v>BOUCAUD  CHRISTINE</v>
      </c>
      <c r="H34" s="510" t="s">
        <v>527</v>
      </c>
      <c r="AF34" s="88"/>
      <c r="AG34" s="441"/>
      <c r="AH34" s="439">
        <f>COUNTIF(ParticipationAvril1[[#This Row],[1]:[30]],Code1)</f>
        <v>0</v>
      </c>
      <c r="AI34" s="435">
        <f>COUNTIF(ParticipationAvril1[[#This Row],[1]:[30]],code22)</f>
        <v>1</v>
      </c>
      <c r="AJ34" s="439">
        <f>COUNTIF(ParticipationAvril1[[#This Row],[1]:[30]],Code2)</f>
        <v>0</v>
      </c>
      <c r="AK34" s="439">
        <f>COUNTIF(ParticipationAvril1[[#This Row],[1]:[30]],Code3)</f>
        <v>0</v>
      </c>
      <c r="AL34" s="439">
        <f>COUNTIF(ParticipationAvril1[[#This Row],[1]:[30]],Code4)</f>
        <v>0</v>
      </c>
      <c r="AM34" s="435">
        <f>COUNTIF(ParticipationAvril1[[#This Row],[1]:[30]],Code5)</f>
        <v>0</v>
      </c>
      <c r="AN34" s="435">
        <f>COUNTIF(ParticipationAvril1[[#This Row],[1]:[30]],Code23)</f>
        <v>0</v>
      </c>
      <c r="AO34" s="435">
        <f>COUNTIF(ParticipationAvril1[[#This Row],[1]:[30]],Code6)</f>
        <v>0</v>
      </c>
      <c r="AP34" s="435">
        <f>COUNTIF(ParticipationAvril1[[#This Row],[1]:[30]],Code7)</f>
        <v>0</v>
      </c>
      <c r="AQ34" s="435">
        <f>COUNTIF(ParticipationAvril1[[#This Row],[1]:[30]],Code8)</f>
        <v>0</v>
      </c>
      <c r="AR34" s="435">
        <f>COUNTIF(ParticipationAvril1[[#This Row],[1]:[30]],Code9)</f>
        <v>0</v>
      </c>
      <c r="AS34" s="435">
        <f>COUNTIF(ParticipationAvril1[[#This Row],[1]:[30]],Code10)</f>
        <v>0</v>
      </c>
      <c r="AT34" s="435">
        <f>COUNTIF(ParticipationAvril1[[#This Row],[1]:[30]],Code11)</f>
        <v>0</v>
      </c>
      <c r="AU34" s="435">
        <f>COUNTIF(ParticipationAvril1[[#This Row],[1]:[30]],Code12)</f>
        <v>0</v>
      </c>
      <c r="AV34" s="435">
        <f>COUNTIF(ParticipationAvril1[[#This Row],[1]:[30]],Code13)</f>
        <v>0</v>
      </c>
      <c r="AW34" s="435">
        <f>COUNTIF(ParticipationAvril1[[#This Row],[1]:[30]],Code14)</f>
        <v>0</v>
      </c>
      <c r="AX34" s="435">
        <f>COUNTIF(ParticipationAvril1[[#This Row],[1]:[30]],Code16)</f>
        <v>0</v>
      </c>
      <c r="AY34" s="435">
        <f>COUNTIF(ParticipationAvril1[[#This Row],[1]:[30]],Code15)</f>
        <v>0</v>
      </c>
      <c r="AZ34" s="435">
        <f>COUNTIF(ParticipationAvril1[[#This Row],[1]:[30]],Code17)</f>
        <v>0</v>
      </c>
      <c r="BA34" s="435">
        <f>COUNTIF(ParticipationAvril1[[#This Row],[1]:[30]],Code25)</f>
        <v>0</v>
      </c>
      <c r="BB34" s="435">
        <f>COUNTIF(ParticipationAvril1[[#This Row],[1]:[30]],Code26)</f>
        <v>0</v>
      </c>
      <c r="BC34" s="435">
        <f>COUNTIF(ParticipationAvril1[[#This Row],[1]:[30]],Code27)</f>
        <v>0</v>
      </c>
      <c r="BD34" s="435">
        <f>COUNTIF(ParticipationAvril1[[#This Row],[1]:[30]],Code28)</f>
        <v>0</v>
      </c>
      <c r="BE34" s="435">
        <f>COUNTIF(ParticipationAvril1[[#This Row],[1]:[30]],code30)</f>
        <v>0</v>
      </c>
      <c r="BF34" s="435">
        <f>COUNTIF(ParticipationAvril1[[#This Row],[1]:[30]],Code31)</f>
        <v>0</v>
      </c>
      <c r="BG34" s="435">
        <f>COUNTIF(ParticipationAvril1[[#This Row],[1]:[30]],code21)</f>
        <v>0</v>
      </c>
      <c r="BH34" s="435">
        <f>COUNTIF(ParticipationAvril1[[#This Row],[1]:[30]],Code24)</f>
        <v>0</v>
      </c>
      <c r="BI34" s="435">
        <f>COUNTIF(ParticipationAvril1[[#This Row],[1]:[30]],code18)</f>
        <v>0</v>
      </c>
      <c r="BJ34" s="435">
        <f>COUNTIF(ParticipationAvril1[[#This Row],[1]:[30]],code19)</f>
        <v>0</v>
      </c>
      <c r="BK34" s="435">
        <f>COUNTIF(ParticipationAvril1[[#This Row],[1]:[30]],code20)</f>
        <v>0</v>
      </c>
      <c r="BL34" s="436">
        <f>COUNTIF(ParticipationAvril1[[#This Row],[1]:[30]],code29)</f>
        <v>0</v>
      </c>
      <c r="BM34" s="297"/>
      <c r="BN34" s="297"/>
      <c r="BO34" s="297"/>
      <c r="BP34" s="297"/>
      <c r="BQ34" s="297"/>
      <c r="BR34" s="297"/>
      <c r="BS34" s="297"/>
      <c r="BT34" s="297"/>
      <c r="BU34" s="297"/>
      <c r="BV34" s="297"/>
      <c r="BW34" s="297"/>
      <c r="BX34" s="297"/>
      <c r="BY34" s="297"/>
      <c r="BZ34" s="297"/>
      <c r="CA34" s="297"/>
      <c r="CB34" s="297"/>
      <c r="CC34" s="297"/>
      <c r="CD34" s="297"/>
      <c r="CE34" s="297"/>
      <c r="CF34" s="297"/>
      <c r="CG34" s="297"/>
      <c r="CH34" s="297"/>
      <c r="CI34" s="297"/>
      <c r="CJ34" s="297"/>
      <c r="CK34" s="297"/>
      <c r="CL34" s="297"/>
      <c r="CM34" s="297"/>
      <c r="CN34" s="297"/>
      <c r="CO34" s="297"/>
      <c r="CP34" s="297"/>
      <c r="CQ34" s="297"/>
      <c r="CR34" s="297"/>
      <c r="CS34" s="297"/>
      <c r="CT34" s="297"/>
      <c r="CU34" s="300"/>
      <c r="CV34" s="485">
        <f t="shared" si="0"/>
        <v>1.5</v>
      </c>
      <c r="CW34" s="499">
        <f t="shared" si="1"/>
        <v>0</v>
      </c>
      <c r="CX34" s="437">
        <f t="shared" si="2"/>
        <v>0</v>
      </c>
      <c r="CY34" s="438"/>
    </row>
    <row r="35" spans="1:104" ht="15" thickTop="1" thickBot="1">
      <c r="A35" s="510" t="s">
        <v>376</v>
      </c>
      <c r="B35" s="162" t="str">
        <f>IFERROR(VLOOKUP(ParticipationAvril1[[#This Row],[Référence]],ListeÉtudiants1[],18,FALSE),"")</f>
        <v>BOUKHARAZ MARINA</v>
      </c>
      <c r="C35" s="19"/>
      <c r="D35" s="19"/>
      <c r="E35" s="19"/>
      <c r="F35" s="19" t="s">
        <v>108</v>
      </c>
      <c r="G35" s="19"/>
      <c r="H35" s="19"/>
      <c r="I35" s="19"/>
      <c r="J35" s="19"/>
      <c r="K35" s="19" t="s">
        <v>108</v>
      </c>
      <c r="L35" s="19" t="s">
        <v>487</v>
      </c>
      <c r="M35" s="19"/>
      <c r="N35" s="19" t="s">
        <v>35</v>
      </c>
      <c r="O35" s="19"/>
      <c r="P35" s="19"/>
      <c r="Q35" s="19"/>
      <c r="R35" s="19"/>
      <c r="S35" s="19"/>
      <c r="T35" s="19"/>
      <c r="U35" s="19"/>
      <c r="V35" s="19"/>
      <c r="W35" s="19"/>
      <c r="X35" s="19"/>
      <c r="Y35" s="19"/>
      <c r="Z35" s="19"/>
      <c r="AA35" s="19"/>
      <c r="AB35" s="19"/>
      <c r="AC35" s="19"/>
      <c r="AD35" s="19"/>
      <c r="AE35" s="19"/>
      <c r="AF35" s="558"/>
      <c r="AG35" s="340"/>
      <c r="AH35" s="6">
        <f>COUNTIF(ParticipationAvril1[[#This Row],[1]:[30]],Code1)</f>
        <v>0</v>
      </c>
      <c r="AI35" s="6">
        <f>COUNTIF(ParticipationAvril1[[#This Row],[1]:[30]],code22)</f>
        <v>0</v>
      </c>
      <c r="AJ35" s="6">
        <f>COUNTIF(ParticipationAvril1[[#This Row],[1]:[30]],Code2)</f>
        <v>0</v>
      </c>
      <c r="AK35" s="6">
        <f>COUNTIF(ParticipationAvril1[[#This Row],[1]:[30]],Code3)</f>
        <v>0</v>
      </c>
      <c r="AL35" s="6">
        <f>COUNTIF(ParticipationAvril1[[#This Row],[1]:[30]],Code4)</f>
        <v>0</v>
      </c>
      <c r="AM35" s="6">
        <f>COUNTIF(ParticipationAvril1[[#This Row],[1]:[30]],Code5)</f>
        <v>1</v>
      </c>
      <c r="AN35" s="6">
        <f>COUNTIF(ParticipationAvril1[[#This Row],[1]:[30]],Code23)</f>
        <v>0</v>
      </c>
      <c r="AO35" s="6">
        <f>COUNTIF(ParticipationAvril1[[#This Row],[1]:[30]],Code6)</f>
        <v>2</v>
      </c>
      <c r="AP35" s="6">
        <f>COUNTIF(ParticipationAvril1[[#This Row],[1]:[30]],Code7)</f>
        <v>0</v>
      </c>
      <c r="AQ35" s="6">
        <f>COUNTIF(ParticipationAvril1[[#This Row],[1]:[30]],Code8)</f>
        <v>0</v>
      </c>
      <c r="AR35" s="6">
        <f>COUNTIF(ParticipationAvril1[[#This Row],[1]:[30]],Code9)</f>
        <v>0</v>
      </c>
      <c r="AS35" s="6">
        <f>COUNTIF(ParticipationAvril1[[#This Row],[1]:[30]],Code10)</f>
        <v>0</v>
      </c>
      <c r="AT35" s="6">
        <f>COUNTIF(ParticipationAvril1[[#This Row],[1]:[30]],Code11)</f>
        <v>0</v>
      </c>
      <c r="AU35" s="6">
        <f>COUNTIF(ParticipationAvril1[[#This Row],[1]:[30]],Code12)</f>
        <v>1</v>
      </c>
      <c r="AV35" s="6">
        <f>COUNTIF(ParticipationAvril1[[#This Row],[1]:[30]],Code13)</f>
        <v>0</v>
      </c>
      <c r="AW35" s="6">
        <f>COUNTIF(ParticipationAvril1[[#This Row],[1]:[30]],Code14)</f>
        <v>0</v>
      </c>
      <c r="AX35" s="6">
        <f>COUNTIF(ParticipationAvril1[[#This Row],[1]:[30]],Code16)</f>
        <v>0</v>
      </c>
      <c r="AY35" s="6">
        <f>COUNTIF(ParticipationAvril1[[#This Row],[1]:[30]],Code15)</f>
        <v>0</v>
      </c>
      <c r="AZ35" s="6">
        <f>COUNTIF(ParticipationAvril1[[#This Row],[1]:[30]],Code17)</f>
        <v>0</v>
      </c>
      <c r="BA35" s="6">
        <f>COUNTIF(ParticipationAvril1[[#This Row],[1]:[30]],Code25)</f>
        <v>0</v>
      </c>
      <c r="BB35" s="6">
        <f>COUNTIF(ParticipationAvril1[[#This Row],[1]:[30]],Code26)</f>
        <v>0</v>
      </c>
      <c r="BC35" s="432">
        <f>COUNTIF(ParticipationAvril1[[#This Row],[1]:[30]],Code27)</f>
        <v>0</v>
      </c>
      <c r="BD35" s="6">
        <f>COUNTIF(ParticipationAvril1[[#This Row],[1]:[30]],Code28)</f>
        <v>0</v>
      </c>
      <c r="BE35" s="6">
        <f>COUNTIF(ParticipationAvril1[[#This Row],[1]:[30]],code30)</f>
        <v>0</v>
      </c>
      <c r="BF35" s="6">
        <f>COUNTIF(ParticipationAvril1[[#This Row],[1]:[30]],Code31)</f>
        <v>0</v>
      </c>
      <c r="BG35" s="6">
        <f>COUNTIF(ParticipationAvril1[[#This Row],[1]:[30]],code21)</f>
        <v>0</v>
      </c>
      <c r="BH35" s="6">
        <f>COUNTIF(ParticipationAvril1[[#This Row],[1]:[30]],Code24)</f>
        <v>0</v>
      </c>
      <c r="BI35" s="6">
        <f>COUNTIF(ParticipationAvril1[[#This Row],[1]:[30]],code18)</f>
        <v>0</v>
      </c>
      <c r="BJ35" s="6">
        <f>COUNTIF(ParticipationAvril1[[#This Row],[1]:[30]],code19)</f>
        <v>0</v>
      </c>
      <c r="BK35" s="6">
        <f>COUNTIF(ParticipationAvril1[[#This Row],[1]:[30]],code20)</f>
        <v>0</v>
      </c>
      <c r="BL35" s="182">
        <f>COUNTIF(ParticipationAvril1[[#This Row],[1]:[30]],code29)</f>
        <v>0</v>
      </c>
      <c r="BM35" s="297"/>
      <c r="BN35" s="297">
        <v>1</v>
      </c>
      <c r="BO35" s="297"/>
      <c r="BP35" s="297"/>
      <c r="BQ35" s="297"/>
      <c r="BR35" s="297"/>
      <c r="BS35" s="297"/>
      <c r="BT35" s="297">
        <v>2</v>
      </c>
      <c r="BU35" s="297"/>
      <c r="BV35" s="297"/>
      <c r="BW35" s="297">
        <v>2</v>
      </c>
      <c r="BX35" s="297"/>
      <c r="BY35" s="297"/>
      <c r="BZ35" s="297"/>
      <c r="CA35" s="297"/>
      <c r="CB35" s="297"/>
      <c r="CC35" s="297"/>
      <c r="CD35" s="297"/>
      <c r="CE35" s="297"/>
      <c r="CF35" s="297"/>
      <c r="CG35" s="297"/>
      <c r="CH35" s="297"/>
      <c r="CI35" s="297"/>
      <c r="CJ35" s="297"/>
      <c r="CK35" s="297"/>
      <c r="CL35" s="297"/>
      <c r="CM35" s="297"/>
      <c r="CN35" s="297"/>
      <c r="CO35" s="297"/>
      <c r="CP35" s="297"/>
      <c r="CQ35" s="297"/>
      <c r="CR35" s="297"/>
      <c r="CS35" s="307"/>
      <c r="CT35" s="307"/>
      <c r="CU35" s="561"/>
      <c r="CV35" s="485">
        <f t="shared" si="0"/>
        <v>0</v>
      </c>
      <c r="CW35" s="563">
        <f t="shared" si="1"/>
        <v>14</v>
      </c>
      <c r="CX35" s="178">
        <f t="shared" si="2"/>
        <v>0</v>
      </c>
      <c r="CY35" s="179">
        <f>SUM((BI35*7)+(BJ35*10)+(BK35*12))</f>
        <v>0</v>
      </c>
    </row>
    <row r="36" spans="1:104" ht="15" thickTop="1" thickBot="1">
      <c r="A36" s="510" t="s">
        <v>377</v>
      </c>
      <c r="B36" s="162" t="str">
        <f>IFERROR(VLOOKUP(ParticipationAvril1[[#This Row],[Référence]],ListeÉtudiants1[],18,FALSE),"")</f>
        <v>BOUTILLIER LAETITIA</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558"/>
      <c r="AG36" s="484"/>
      <c r="AH36" s="6">
        <f>COUNTIF(ParticipationAvril1[[#This Row],[1]:[30]],Code1)</f>
        <v>0</v>
      </c>
      <c r="AI36" s="475">
        <f>COUNTIF(ParticipationAvril1[[#This Row],[1]:[30]],code22)</f>
        <v>0</v>
      </c>
      <c r="AJ36" s="6">
        <f>COUNTIF(ParticipationAvril1[[#This Row],[1]:[30]],Code2)</f>
        <v>0</v>
      </c>
      <c r="AK36" s="6">
        <f>COUNTIF(ParticipationAvril1[[#This Row],[1]:[30]],Code3)</f>
        <v>0</v>
      </c>
      <c r="AL36" s="6">
        <f>COUNTIF(ParticipationAvril1[[#This Row],[1]:[30]],Code4)</f>
        <v>0</v>
      </c>
      <c r="AM36" s="475">
        <f>COUNTIF(ParticipationAvril1[[#This Row],[1]:[30]],Code5)</f>
        <v>0</v>
      </c>
      <c r="AN36" s="475">
        <f>COUNTIF(ParticipationAvril1[[#This Row],[1]:[30]],Code23)</f>
        <v>0</v>
      </c>
      <c r="AO36" s="475">
        <f>COUNTIF(ParticipationAvril1[[#This Row],[1]:[30]],Code6)</f>
        <v>0</v>
      </c>
      <c r="AP36" s="475">
        <f>COUNTIF(ParticipationAvril1[[#This Row],[1]:[30]],Code7)</f>
        <v>0</v>
      </c>
      <c r="AQ36" s="475">
        <f>COUNTIF(ParticipationAvril1[[#This Row],[1]:[30]],Code8)</f>
        <v>0</v>
      </c>
      <c r="AR36" s="475">
        <f>COUNTIF(ParticipationAvril1[[#This Row],[1]:[30]],Code9)</f>
        <v>0</v>
      </c>
      <c r="AS36" s="475">
        <f>COUNTIF(ParticipationAvril1[[#This Row],[1]:[30]],Code10)</f>
        <v>0</v>
      </c>
      <c r="AT36" s="475">
        <f>COUNTIF(ParticipationAvril1[[#This Row],[1]:[30]],Code11)</f>
        <v>0</v>
      </c>
      <c r="AU36" s="475">
        <f>COUNTIF(ParticipationAvril1[[#This Row],[1]:[30]],Code12)</f>
        <v>0</v>
      </c>
      <c r="AV36" s="475">
        <f>COUNTIF(ParticipationAvril1[[#This Row],[1]:[30]],Code13)</f>
        <v>0</v>
      </c>
      <c r="AW36" s="475">
        <f>COUNTIF(ParticipationAvril1[[#This Row],[1]:[30]],Code14)</f>
        <v>0</v>
      </c>
      <c r="AX36" s="475">
        <f>COUNTIF(ParticipationAvril1[[#This Row],[1]:[30]],Code16)</f>
        <v>0</v>
      </c>
      <c r="AY36" s="475">
        <f>COUNTIF(ParticipationAvril1[[#This Row],[1]:[30]],Code15)</f>
        <v>0</v>
      </c>
      <c r="AZ36" s="475">
        <f>COUNTIF(ParticipationAvril1[[#This Row],[1]:[30]],Code17)</f>
        <v>0</v>
      </c>
      <c r="BA36" s="475">
        <f>COUNTIF(ParticipationAvril1[[#This Row],[1]:[30]],Code25)</f>
        <v>0</v>
      </c>
      <c r="BB36" s="475">
        <f>COUNTIF(ParticipationAvril1[[#This Row],[1]:[30]],Code26)</f>
        <v>0</v>
      </c>
      <c r="BC36" s="474">
        <f>COUNTIF(ParticipationAvril1[[#This Row],[1]:[30]],Code27)</f>
        <v>0</v>
      </c>
      <c r="BD36" s="475">
        <f>COUNTIF(ParticipationAvril1[[#This Row],[1]:[30]],Code28)</f>
        <v>0</v>
      </c>
      <c r="BE36" s="475">
        <f>COUNTIF(ParticipationAvril1[[#This Row],[1]:[30]],code30)</f>
        <v>0</v>
      </c>
      <c r="BF36" s="475">
        <f>COUNTIF(ParticipationAvril1[[#This Row],[1]:[30]],Code31)</f>
        <v>0</v>
      </c>
      <c r="BG36" s="475">
        <f>COUNTIF(ParticipationAvril1[[#This Row],[1]:[30]],code21)</f>
        <v>0</v>
      </c>
      <c r="BH36" s="475">
        <f>COUNTIF(ParticipationAvril1[[#This Row],[1]:[30]],Code24)</f>
        <v>0</v>
      </c>
      <c r="BI36" s="475">
        <f>COUNTIF(ParticipationAvril1[[#This Row],[1]:[30]],code18)</f>
        <v>0</v>
      </c>
      <c r="BJ36" s="475">
        <f>COUNTIF(ParticipationAvril1[[#This Row],[1]:[30]],code19)</f>
        <v>0</v>
      </c>
      <c r="BK36" s="475">
        <f>COUNTIF(ParticipationAvril1[[#This Row],[1]:[30]],code20)</f>
        <v>0</v>
      </c>
      <c r="BL36" s="476">
        <f>COUNTIF(ParticipationAvril1[[#This Row],[1]:[30]],code29)</f>
        <v>0</v>
      </c>
      <c r="BM36" s="472"/>
      <c r="BN36" s="472"/>
      <c r="BO36" s="472"/>
      <c r="BP36" s="472"/>
      <c r="BQ36" s="472"/>
      <c r="BR36" s="472"/>
      <c r="BS36" s="472"/>
      <c r="BT36" s="472"/>
      <c r="BU36" s="472"/>
      <c r="BV36" s="472"/>
      <c r="BW36" s="472"/>
      <c r="BX36" s="472"/>
      <c r="BY36" s="472"/>
      <c r="BZ36" s="472"/>
      <c r="CA36" s="472"/>
      <c r="CB36" s="472"/>
      <c r="CC36" s="472"/>
      <c r="CD36" s="472"/>
      <c r="CE36" s="472"/>
      <c r="CF36" s="472"/>
      <c r="CG36" s="472"/>
      <c r="CH36" s="472"/>
      <c r="CI36" s="472"/>
      <c r="CJ36" s="472"/>
      <c r="CK36" s="472"/>
      <c r="CL36" s="472"/>
      <c r="CM36" s="472"/>
      <c r="CN36" s="472"/>
      <c r="CO36" s="472"/>
      <c r="CP36" s="472"/>
      <c r="CQ36" s="472"/>
      <c r="CR36" s="472"/>
      <c r="CS36" s="473"/>
      <c r="CT36" s="473"/>
      <c r="CU36" s="554">
        <f>SUM((AH36*1)+(AI36*1.5)+(AJ36*2)+(AK36*4)+(AP36*5)+(AQ36*6)+(AR36*7)+(AU36*2)+(AX36*3)+(AY36*4)+(AZ36*5)+(BB36*3)+(BA36*2)+(BG36*2)+(BC36*2)+(BD36*2))</f>
        <v>0</v>
      </c>
      <c r="CV36" s="555">
        <f t="shared" si="0"/>
        <v>0</v>
      </c>
      <c r="CW36" s="556">
        <f t="shared" si="1"/>
        <v>0</v>
      </c>
      <c r="CX36" s="557">
        <f t="shared" si="2"/>
        <v>0</v>
      </c>
      <c r="CY36" s="477"/>
    </row>
    <row r="37" spans="1:104" ht="15" thickTop="1" thickBot="1">
      <c r="A37" s="510" t="s">
        <v>378</v>
      </c>
      <c r="B37" s="162" t="str">
        <f>IFERROR(VLOOKUP(ParticipationAvril1[[#This Row],[Référence]],ListeÉtudiants1[],18,FALSE),"")</f>
        <v>BRIAND OCEANE</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558"/>
      <c r="AG37" s="484"/>
      <c r="AH37" s="6">
        <f>COUNTIF(ParticipationAvril1[[#This Row],[1]:[30]],Code1)</f>
        <v>0</v>
      </c>
      <c r="AI37" s="475">
        <f>COUNTIF(ParticipationAvril1[[#This Row],[1]:[30]],code22)</f>
        <v>0</v>
      </c>
      <c r="AJ37" s="6">
        <f>COUNTIF(ParticipationAvril1[[#This Row],[1]:[30]],Code2)</f>
        <v>0</v>
      </c>
      <c r="AK37" s="6">
        <f>COUNTIF(ParticipationAvril1[[#This Row],[1]:[30]],Code3)</f>
        <v>0</v>
      </c>
      <c r="AL37" s="6">
        <f>COUNTIF(ParticipationAvril1[[#This Row],[1]:[30]],Code4)</f>
        <v>0</v>
      </c>
      <c r="AM37" s="475">
        <f>COUNTIF(ParticipationAvril1[[#This Row],[1]:[30]],Code5)</f>
        <v>0</v>
      </c>
      <c r="AN37" s="475">
        <f>COUNTIF(ParticipationAvril1[[#This Row],[1]:[30]],Code23)</f>
        <v>0</v>
      </c>
      <c r="AO37" s="475">
        <f>COUNTIF(ParticipationAvril1[[#This Row],[1]:[30]],Code6)</f>
        <v>0</v>
      </c>
      <c r="AP37" s="475">
        <f>COUNTIF(ParticipationAvril1[[#This Row],[1]:[30]],Code7)</f>
        <v>0</v>
      </c>
      <c r="AQ37" s="475">
        <f>COUNTIF(ParticipationAvril1[[#This Row],[1]:[30]],Code8)</f>
        <v>0</v>
      </c>
      <c r="AR37" s="475">
        <f>COUNTIF(ParticipationAvril1[[#This Row],[1]:[30]],Code9)</f>
        <v>0</v>
      </c>
      <c r="AS37" s="475">
        <f>COUNTIF(ParticipationAvril1[[#This Row],[1]:[30]],Code10)</f>
        <v>0</v>
      </c>
      <c r="AT37" s="475">
        <f>COUNTIF(ParticipationAvril1[[#This Row],[1]:[30]],Code11)</f>
        <v>0</v>
      </c>
      <c r="AU37" s="475">
        <f>COUNTIF(ParticipationAvril1[[#This Row],[1]:[30]],Code12)</f>
        <v>0</v>
      </c>
      <c r="AV37" s="475">
        <f>COUNTIF(ParticipationAvril1[[#This Row],[1]:[30]],Code13)</f>
        <v>0</v>
      </c>
      <c r="AW37" s="475">
        <f>COUNTIF(ParticipationAvril1[[#This Row],[1]:[30]],Code14)</f>
        <v>0</v>
      </c>
      <c r="AX37" s="475">
        <f>COUNTIF(ParticipationAvril1[[#This Row],[1]:[30]],Code16)</f>
        <v>0</v>
      </c>
      <c r="AY37" s="475">
        <f>COUNTIF(ParticipationAvril1[[#This Row],[1]:[30]],Code15)</f>
        <v>0</v>
      </c>
      <c r="AZ37" s="475">
        <f>COUNTIF(ParticipationAvril1[[#This Row],[1]:[30]],Code17)</f>
        <v>0</v>
      </c>
      <c r="BA37" s="475">
        <f>COUNTIF(ParticipationAvril1[[#This Row],[1]:[30]],Code25)</f>
        <v>0</v>
      </c>
      <c r="BB37" s="475">
        <f>COUNTIF(ParticipationAvril1[[#This Row],[1]:[30]],Code26)</f>
        <v>0</v>
      </c>
      <c r="BC37" s="474">
        <f>COUNTIF(ParticipationAvril1[[#This Row],[1]:[30]],Code27)</f>
        <v>0</v>
      </c>
      <c r="BD37" s="475">
        <f>COUNTIF(ParticipationAvril1[[#This Row],[1]:[30]],Code28)</f>
        <v>0</v>
      </c>
      <c r="BE37" s="475">
        <f>COUNTIF(ParticipationAvril1[[#This Row],[1]:[30]],code30)</f>
        <v>0</v>
      </c>
      <c r="BF37" s="475">
        <f>COUNTIF(ParticipationAvril1[[#This Row],[1]:[30]],Code31)</f>
        <v>0</v>
      </c>
      <c r="BG37" s="475">
        <f>COUNTIF(ParticipationAvril1[[#This Row],[1]:[30]],code21)</f>
        <v>0</v>
      </c>
      <c r="BH37" s="475">
        <f>COUNTIF(ParticipationAvril1[[#This Row],[1]:[30]],Code24)</f>
        <v>0</v>
      </c>
      <c r="BI37" s="475">
        <f>COUNTIF(ParticipationAvril1[[#This Row],[1]:[30]],code18)</f>
        <v>0</v>
      </c>
      <c r="BJ37" s="475">
        <f>COUNTIF(ParticipationAvril1[[#This Row],[1]:[30]],code19)</f>
        <v>0</v>
      </c>
      <c r="BK37" s="475">
        <f>COUNTIF(ParticipationAvril1[[#This Row],[1]:[30]],code20)</f>
        <v>0</v>
      </c>
      <c r="BL37" s="476">
        <f>COUNTIF(ParticipationAvril1[[#This Row],[1]:[30]],code29)</f>
        <v>0</v>
      </c>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2"/>
      <c r="CM37" s="472"/>
      <c r="CN37" s="472"/>
      <c r="CO37" s="472"/>
      <c r="CP37" s="472"/>
      <c r="CQ37" s="472"/>
      <c r="CR37" s="472"/>
      <c r="CS37" s="473"/>
      <c r="CT37" s="473"/>
      <c r="CU37" s="554">
        <f>SUM((AH37*1)+(AI37*1.5)+(AJ37*2)+(AK37*4)+(AP37*5)+(AQ37*6)+(AR37*7)+(AU37*2)+(AX37*3)+(AY37*4)+(AZ37*5)+(BB37*3)+(BA37*2)+(BG37*2)+(BC37*2)+(BD37*2))</f>
        <v>0</v>
      </c>
      <c r="CV37" s="555">
        <f t="shared" si="0"/>
        <v>0</v>
      </c>
      <c r="CW37" s="556">
        <f t="shared" si="1"/>
        <v>0</v>
      </c>
      <c r="CX37" s="557">
        <f t="shared" si="2"/>
        <v>0</v>
      </c>
      <c r="CY37" s="477"/>
    </row>
    <row r="38" spans="1:104" ht="15" thickTop="1" thickBot="1">
      <c r="A38" s="534" t="s">
        <v>379</v>
      </c>
      <c r="B38" s="162" t="str">
        <f>IFERROR(VLOOKUP(ParticipationAvril1[[#This Row],[Référence]],ListeÉtudiants1[],18,FALSE),"")</f>
        <v>BRITES TRACA ELODIE</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558"/>
      <c r="AG38" s="484"/>
      <c r="AH38" s="6">
        <f>COUNTIF(ParticipationAvril1[[#This Row],[1]:[30]],Code1)</f>
        <v>0</v>
      </c>
      <c r="AI38" s="475">
        <f>COUNTIF(ParticipationAvril1[[#This Row],[1]:[30]],code22)</f>
        <v>0</v>
      </c>
      <c r="AJ38" s="6">
        <f>COUNTIF(ParticipationAvril1[[#This Row],[1]:[30]],Code2)</f>
        <v>0</v>
      </c>
      <c r="AK38" s="6">
        <f>COUNTIF(ParticipationAvril1[[#This Row],[1]:[30]],Code3)</f>
        <v>0</v>
      </c>
      <c r="AL38" s="6">
        <f>COUNTIF(ParticipationAvril1[[#This Row],[1]:[30]],Code4)</f>
        <v>0</v>
      </c>
      <c r="AM38" s="475">
        <f>COUNTIF(ParticipationAvril1[[#This Row],[1]:[30]],Code5)</f>
        <v>0</v>
      </c>
      <c r="AN38" s="475">
        <f>COUNTIF(ParticipationAvril1[[#This Row],[1]:[30]],Code23)</f>
        <v>0</v>
      </c>
      <c r="AO38" s="475">
        <f>COUNTIF(ParticipationAvril1[[#This Row],[1]:[30]],Code6)</f>
        <v>0</v>
      </c>
      <c r="AP38" s="475">
        <f>COUNTIF(ParticipationAvril1[[#This Row],[1]:[30]],Code7)</f>
        <v>0</v>
      </c>
      <c r="AQ38" s="475">
        <f>COUNTIF(ParticipationAvril1[[#This Row],[1]:[30]],Code8)</f>
        <v>0</v>
      </c>
      <c r="AR38" s="475">
        <f>COUNTIF(ParticipationAvril1[[#This Row],[1]:[30]],Code9)</f>
        <v>0</v>
      </c>
      <c r="AS38" s="475">
        <f>COUNTIF(ParticipationAvril1[[#This Row],[1]:[30]],Code10)</f>
        <v>0</v>
      </c>
      <c r="AT38" s="475">
        <f>COUNTIF(ParticipationAvril1[[#This Row],[1]:[30]],Code11)</f>
        <v>0</v>
      </c>
      <c r="AU38" s="475">
        <f>COUNTIF(ParticipationAvril1[[#This Row],[1]:[30]],Code12)</f>
        <v>0</v>
      </c>
      <c r="AV38" s="475">
        <f>COUNTIF(ParticipationAvril1[[#This Row],[1]:[30]],Code13)</f>
        <v>0</v>
      </c>
      <c r="AW38" s="475">
        <f>COUNTIF(ParticipationAvril1[[#This Row],[1]:[30]],Code14)</f>
        <v>0</v>
      </c>
      <c r="AX38" s="475">
        <f>COUNTIF(ParticipationAvril1[[#This Row],[1]:[30]],Code16)</f>
        <v>0</v>
      </c>
      <c r="AY38" s="475">
        <f>COUNTIF(ParticipationAvril1[[#This Row],[1]:[30]],Code15)</f>
        <v>0</v>
      </c>
      <c r="AZ38" s="475">
        <f>COUNTIF(ParticipationAvril1[[#This Row],[1]:[30]],Code17)</f>
        <v>0</v>
      </c>
      <c r="BA38" s="475">
        <f>COUNTIF(ParticipationAvril1[[#This Row],[1]:[30]],Code25)</f>
        <v>0</v>
      </c>
      <c r="BB38" s="475">
        <f>COUNTIF(ParticipationAvril1[[#This Row],[1]:[30]],Code26)</f>
        <v>0</v>
      </c>
      <c r="BC38" s="474">
        <f>COUNTIF(ParticipationAvril1[[#This Row],[1]:[30]],Code27)</f>
        <v>0</v>
      </c>
      <c r="BD38" s="475">
        <f>COUNTIF(ParticipationAvril1[[#This Row],[1]:[30]],Code28)</f>
        <v>0</v>
      </c>
      <c r="BE38" s="475">
        <f>COUNTIF(ParticipationAvril1[[#This Row],[1]:[30]],code30)</f>
        <v>0</v>
      </c>
      <c r="BF38" s="475">
        <f>COUNTIF(ParticipationAvril1[[#This Row],[1]:[30]],Code31)</f>
        <v>0</v>
      </c>
      <c r="BG38" s="475">
        <f>COUNTIF(ParticipationAvril1[[#This Row],[1]:[30]],code21)</f>
        <v>0</v>
      </c>
      <c r="BH38" s="475">
        <f>COUNTIF(ParticipationAvril1[[#This Row],[1]:[30]],Code24)</f>
        <v>0</v>
      </c>
      <c r="BI38" s="475">
        <f>COUNTIF(ParticipationAvril1[[#This Row],[1]:[30]],code18)</f>
        <v>0</v>
      </c>
      <c r="BJ38" s="475">
        <f>COUNTIF(ParticipationAvril1[[#This Row],[1]:[30]],code19)</f>
        <v>0</v>
      </c>
      <c r="BK38" s="475">
        <f>COUNTIF(ParticipationAvril1[[#This Row],[1]:[30]],code20)</f>
        <v>0</v>
      </c>
      <c r="BL38" s="476">
        <f>COUNTIF(ParticipationAvril1[[#This Row],[1]:[30]],code29)</f>
        <v>0</v>
      </c>
      <c r="BM38" s="472"/>
      <c r="BN38" s="472"/>
      <c r="BO38" s="472"/>
      <c r="BP38" s="472"/>
      <c r="BQ38" s="472"/>
      <c r="BR38" s="472"/>
      <c r="BS38" s="472"/>
      <c r="BT38" s="472"/>
      <c r="BU38" s="472"/>
      <c r="BV38" s="472"/>
      <c r="BW38" s="472"/>
      <c r="BX38" s="472"/>
      <c r="BY38" s="472"/>
      <c r="BZ38" s="472"/>
      <c r="CA38" s="472"/>
      <c r="CB38" s="472"/>
      <c r="CC38" s="472"/>
      <c r="CD38" s="472"/>
      <c r="CE38" s="472"/>
      <c r="CF38" s="472"/>
      <c r="CG38" s="472"/>
      <c r="CH38" s="472"/>
      <c r="CI38" s="472"/>
      <c r="CJ38" s="472"/>
      <c r="CK38" s="472"/>
      <c r="CL38" s="472"/>
      <c r="CM38" s="472"/>
      <c r="CN38" s="472"/>
      <c r="CO38" s="472"/>
      <c r="CP38" s="472"/>
      <c r="CQ38" s="472"/>
      <c r="CR38" s="472"/>
      <c r="CS38" s="473"/>
      <c r="CT38" s="473"/>
      <c r="CU38" s="554">
        <f>SUM((AH38*1)+(AI38*1.5)+(AJ38*2)+(AK38*4)+(AP38*5)+(AQ38*6)+(AR38*7)+(AU38*2)+(AX38*3)+(AY38*4)+(AZ38*5)+(BB38*3)+(BA38*2)+(BG38*2)+(BC38*2)+(BD38*2))</f>
        <v>0</v>
      </c>
      <c r="CV38" s="555">
        <f t="shared" si="0"/>
        <v>0</v>
      </c>
      <c r="CW38" s="556">
        <f t="shared" si="1"/>
        <v>0</v>
      </c>
      <c r="CX38" s="557">
        <f t="shared" si="2"/>
        <v>0</v>
      </c>
      <c r="CY38" s="477"/>
    </row>
    <row r="39" spans="1:104" ht="15" thickTop="1" thickBot="1">
      <c r="A39" s="510" t="s">
        <v>380</v>
      </c>
      <c r="B39" s="162" t="str">
        <f>IFERROR(VLOOKUP(ParticipationAvril1[[#This Row],[Référence]],ListeÉtudiants1[],18,FALSE),"")</f>
        <v>BRONZE  MARINE</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478"/>
      <c r="AH39" s="6">
        <f>COUNTIF(ParticipationAvril1[[#This Row],[1]:[30]],Code1)</f>
        <v>0</v>
      </c>
      <c r="AI39" s="475">
        <f>COUNTIF(ParticipationAvril1[[#This Row],[1]:[30]],code22)</f>
        <v>0</v>
      </c>
      <c r="AJ39" s="6">
        <f>COUNTIF(ParticipationAvril1[[#This Row],[1]:[30]],Code2)</f>
        <v>0</v>
      </c>
      <c r="AK39" s="6">
        <f>COUNTIF(ParticipationAvril1[[#This Row],[1]:[30]],Code3)</f>
        <v>0</v>
      </c>
      <c r="AL39" s="6">
        <f>COUNTIF(ParticipationAvril1[[#This Row],[1]:[30]],Code4)</f>
        <v>0</v>
      </c>
      <c r="AM39" s="475">
        <f>COUNTIF(ParticipationAvril1[[#This Row],[1]:[30]],Code5)</f>
        <v>0</v>
      </c>
      <c r="AN39" s="475">
        <f>COUNTIF(ParticipationAvril1[[#This Row],[1]:[30]],Code23)</f>
        <v>0</v>
      </c>
      <c r="AO39" s="475">
        <f>COUNTIF(ParticipationAvril1[[#This Row],[1]:[30]],Code6)</f>
        <v>0</v>
      </c>
      <c r="AP39" s="475">
        <f>COUNTIF(ParticipationAvril1[[#This Row],[1]:[30]],Code7)</f>
        <v>0</v>
      </c>
      <c r="AQ39" s="475">
        <f>COUNTIF(ParticipationAvril1[[#This Row],[1]:[30]],Code8)</f>
        <v>0</v>
      </c>
      <c r="AR39" s="475">
        <f>COUNTIF(ParticipationAvril1[[#This Row],[1]:[30]],Code9)</f>
        <v>0</v>
      </c>
      <c r="AS39" s="475">
        <f>COUNTIF(ParticipationAvril1[[#This Row],[1]:[30]],Code10)</f>
        <v>0</v>
      </c>
      <c r="AT39" s="475">
        <f>COUNTIF(ParticipationAvril1[[#This Row],[1]:[30]],Code11)</f>
        <v>0</v>
      </c>
      <c r="AU39" s="475">
        <f>COUNTIF(ParticipationAvril1[[#This Row],[1]:[30]],Code12)</f>
        <v>0</v>
      </c>
      <c r="AV39" s="475">
        <f>COUNTIF(ParticipationAvril1[[#This Row],[1]:[30]],Code13)</f>
        <v>0</v>
      </c>
      <c r="AW39" s="475">
        <f>COUNTIF(ParticipationAvril1[[#This Row],[1]:[30]],Code14)</f>
        <v>0</v>
      </c>
      <c r="AX39" s="475">
        <f>COUNTIF(ParticipationAvril1[[#This Row],[1]:[30]],Code16)</f>
        <v>0</v>
      </c>
      <c r="AY39" s="475">
        <f>COUNTIF(ParticipationAvril1[[#This Row],[1]:[30]],Code15)</f>
        <v>0</v>
      </c>
      <c r="AZ39" s="475">
        <f>COUNTIF(ParticipationAvril1[[#This Row],[1]:[30]],Code17)</f>
        <v>0</v>
      </c>
      <c r="BA39" s="475">
        <f>COUNTIF(ParticipationAvril1[[#This Row],[1]:[30]],Code25)</f>
        <v>0</v>
      </c>
      <c r="BB39" s="475">
        <f>COUNTIF(ParticipationAvril1[[#This Row],[1]:[30]],Code26)</f>
        <v>0</v>
      </c>
      <c r="BC39" s="474">
        <f>COUNTIF(ParticipationAvril1[[#This Row],[1]:[30]],Code27)</f>
        <v>0</v>
      </c>
      <c r="BD39" s="475">
        <f>COUNTIF(ParticipationAvril1[[#This Row],[1]:[30]],Code28)</f>
        <v>0</v>
      </c>
      <c r="BE39" s="475">
        <f>COUNTIF(ParticipationAvril1[[#This Row],[1]:[30]],code30)</f>
        <v>0</v>
      </c>
      <c r="BF39" s="475">
        <f>COUNTIF(ParticipationAvril1[[#This Row],[1]:[30]],Code31)</f>
        <v>0</v>
      </c>
      <c r="BG39" s="475">
        <f>COUNTIF(ParticipationAvril1[[#This Row],[1]:[30]],code21)</f>
        <v>0</v>
      </c>
      <c r="BH39" s="475">
        <f>COUNTIF(ParticipationAvril1[[#This Row],[1]:[30]],Code24)</f>
        <v>0</v>
      </c>
      <c r="BI39" s="475">
        <f>COUNTIF(ParticipationAvril1[[#This Row],[1]:[30]],code18)</f>
        <v>0</v>
      </c>
      <c r="BJ39" s="475">
        <f>COUNTIF(ParticipationAvril1[[#This Row],[1]:[30]],code19)</f>
        <v>0</v>
      </c>
      <c r="BK39" s="475">
        <f>COUNTIF(ParticipationAvril1[[#This Row],[1]:[30]],code20)</f>
        <v>0</v>
      </c>
      <c r="BL39" s="476">
        <f>COUNTIF(ParticipationAvril1[[#This Row],[1]:[30]],code29)</f>
        <v>0</v>
      </c>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2"/>
      <c r="CM39" s="472"/>
      <c r="CN39" s="472"/>
      <c r="CO39" s="472"/>
      <c r="CP39" s="472"/>
      <c r="CQ39" s="472"/>
      <c r="CR39" s="472"/>
      <c r="CS39" s="473"/>
      <c r="CT39" s="473"/>
      <c r="CU39" s="516">
        <f>SUM((AH39*1)+(AI39*1.5)+(AJ39*2)+(AK39*4)+(AP39*5)+(AQ39*6)+(AR39*7)+(AU39*2)+(AX39*3)+(AY39*4)+(AZ39*5)+(BB39*3)+(BA39*2)+(BG39*2)+(BC39*2)+(BD39*2))</f>
        <v>0</v>
      </c>
      <c r="CV39" s="555">
        <f t="shared" si="0"/>
        <v>0</v>
      </c>
      <c r="CW39" s="562">
        <f t="shared" si="1"/>
        <v>0</v>
      </c>
      <c r="CX39" s="557">
        <f t="shared" si="2"/>
        <v>0</v>
      </c>
      <c r="CY39" s="477"/>
    </row>
    <row r="40" spans="1:104" ht="15" thickTop="1" thickBot="1">
      <c r="A40" s="510" t="s">
        <v>381</v>
      </c>
      <c r="B40" s="162" t="str">
        <f>IFERROR(VLOOKUP(ParticipationAvril1[[#This Row],[Référence]],ListeÉtudiants1[],18,FALSE),"")</f>
        <v>CAMISON VICTORIA</v>
      </c>
      <c r="C40" s="19"/>
      <c r="D40" s="19"/>
      <c r="E40" s="19"/>
      <c r="F40" s="19" t="s">
        <v>485</v>
      </c>
      <c r="G40" s="19" t="s">
        <v>483</v>
      </c>
      <c r="H40" s="19" t="s">
        <v>637</v>
      </c>
      <c r="I40" s="19"/>
      <c r="J40" s="19"/>
      <c r="K40" s="19"/>
      <c r="L40" s="19" t="s">
        <v>108</v>
      </c>
      <c r="M40" s="19" t="s">
        <v>108</v>
      </c>
      <c r="N40" s="19" t="s">
        <v>35</v>
      </c>
      <c r="O40" s="19"/>
      <c r="P40" s="19"/>
      <c r="Q40" s="19"/>
      <c r="R40" s="19"/>
      <c r="S40" s="19"/>
      <c r="T40" s="19"/>
      <c r="U40" s="19"/>
      <c r="V40" s="19"/>
      <c r="W40" s="19"/>
      <c r="X40" s="19"/>
      <c r="Y40" s="19"/>
      <c r="Z40" s="19"/>
      <c r="AA40" s="19"/>
      <c r="AB40" s="19"/>
      <c r="AC40" s="19"/>
      <c r="AD40" s="19"/>
      <c r="AE40" s="19"/>
      <c r="AF40" s="19"/>
      <c r="AG40" s="144"/>
      <c r="AH40" s="6">
        <f>COUNTIF(ParticipationAvril1[[#This Row],[1]:[30]],Code1)</f>
        <v>0</v>
      </c>
      <c r="AI40" s="6">
        <f>COUNTIF(ParticipationAvril1[[#This Row],[1]:[30]],code22)</f>
        <v>0</v>
      </c>
      <c r="AJ40" s="6">
        <f>COUNTIF(ParticipationAvril1[[#This Row],[1]:[30]],Code2)</f>
        <v>0</v>
      </c>
      <c r="AK40" s="6">
        <f>COUNTIF(ParticipationAvril1[[#This Row],[1]:[30]],Code3)</f>
        <v>0</v>
      </c>
      <c r="AL40" s="6">
        <f>COUNTIF(ParticipationAvril1[[#This Row],[1]:[30]],Code4)</f>
        <v>0</v>
      </c>
      <c r="AM40" s="6">
        <f>COUNTIF(ParticipationAvril1[[#This Row],[1]:[30]],Code5)</f>
        <v>1</v>
      </c>
      <c r="AN40" s="6">
        <f>COUNTIF(ParticipationAvril1[[#This Row],[1]:[30]],Code23)</f>
        <v>0</v>
      </c>
      <c r="AO40" s="6">
        <f>COUNTIF(ParticipationAvril1[[#This Row],[1]:[30]],Code6)</f>
        <v>2</v>
      </c>
      <c r="AP40" s="6">
        <f>COUNTIF(ParticipationAvril1[[#This Row],[1]:[30]],Code7)</f>
        <v>0</v>
      </c>
      <c r="AQ40" s="6">
        <f>COUNTIF(ParticipationAvril1[[#This Row],[1]:[30]],Code8)</f>
        <v>1</v>
      </c>
      <c r="AR40" s="6">
        <f>COUNTIF(ParticipationAvril1[[#This Row],[1]:[30]],Code9)</f>
        <v>0</v>
      </c>
      <c r="AS40" s="6">
        <f>COUNTIF(ParticipationAvril1[[#This Row],[1]:[30]],Code10)</f>
        <v>1</v>
      </c>
      <c r="AT40" s="6">
        <f>COUNTIF(ParticipationAvril1[[#This Row],[1]:[30]],Code11)</f>
        <v>0</v>
      </c>
      <c r="AU40" s="6">
        <f>COUNTIF(ParticipationAvril1[[#This Row],[1]:[30]],Code12)</f>
        <v>0</v>
      </c>
      <c r="AV40" s="6">
        <f>COUNTIF(ParticipationAvril1[[#This Row],[1]:[30]],Code13)</f>
        <v>0</v>
      </c>
      <c r="AW40" s="6">
        <f>COUNTIF(ParticipationAvril1[[#This Row],[1]:[30]],Code14)</f>
        <v>0</v>
      </c>
      <c r="AX40" s="6">
        <f>COUNTIF(ParticipationAvril1[[#This Row],[1]:[30]],Code16)</f>
        <v>0</v>
      </c>
      <c r="AY40" s="6">
        <f>COUNTIF(ParticipationAvril1[[#This Row],[1]:[30]],Code15)</f>
        <v>0</v>
      </c>
      <c r="AZ40" s="6">
        <f>COUNTIF(ParticipationAvril1[[#This Row],[1]:[30]],Code17)</f>
        <v>0</v>
      </c>
      <c r="BA40" s="6">
        <f>COUNTIF(ParticipationAvril1[[#This Row],[1]:[30]],Code25)</f>
        <v>0</v>
      </c>
      <c r="BB40" s="6">
        <f>COUNTIF(ParticipationAvril1[[#This Row],[1]:[30]],Code26)</f>
        <v>0</v>
      </c>
      <c r="BC40" s="432">
        <f>COUNTIF(ParticipationAvril1[[#This Row],[1]:[30]],Code27)</f>
        <v>0</v>
      </c>
      <c r="BD40" s="6">
        <f>COUNTIF(ParticipationAvril1[[#This Row],[1]:[30]],Code28)</f>
        <v>0</v>
      </c>
      <c r="BE40" s="6">
        <f>COUNTIF(ParticipationAvril1[[#This Row],[1]:[30]],code30)</f>
        <v>1</v>
      </c>
      <c r="BF40" s="6">
        <f>COUNTIF(ParticipationAvril1[[#This Row],[1]:[30]],Code31)</f>
        <v>0</v>
      </c>
      <c r="BG40" s="6">
        <f>COUNTIF(ParticipationAvril1[[#This Row],[1]:[30]],code21)</f>
        <v>0</v>
      </c>
      <c r="BH40" s="6">
        <f>COUNTIF(ParticipationAvril1[[#This Row],[1]:[30]],Code24)</f>
        <v>0</v>
      </c>
      <c r="BI40" s="6">
        <f>COUNTIF(ParticipationAvril1[[#This Row],[1]:[30]],code18)</f>
        <v>0</v>
      </c>
      <c r="BJ40" s="6">
        <f>COUNTIF(ParticipationAvril1[[#This Row],[1]:[30]],code19)</f>
        <v>0</v>
      </c>
      <c r="BK40" s="6">
        <f>COUNTIF(ParticipationAvril1[[#This Row],[1]:[30]],code20)</f>
        <v>0</v>
      </c>
      <c r="BL40" s="182">
        <f>COUNTIF(ParticipationAvril1[[#This Row],[1]:[30]],code29)</f>
        <v>0</v>
      </c>
      <c r="BM40" s="297"/>
      <c r="BN40" s="297">
        <v>2</v>
      </c>
      <c r="BO40" s="297"/>
      <c r="BP40" s="297"/>
      <c r="BQ40" s="297"/>
      <c r="BR40" s="297"/>
      <c r="BS40" s="297"/>
      <c r="BT40" s="297">
        <v>2</v>
      </c>
      <c r="BU40" s="297"/>
      <c r="BV40" s="297"/>
      <c r="BW40" s="297">
        <v>1</v>
      </c>
      <c r="BX40" s="297"/>
      <c r="BY40" s="297"/>
      <c r="BZ40" s="297">
        <v>1</v>
      </c>
      <c r="CA40" s="297"/>
      <c r="CB40" s="297">
        <v>2</v>
      </c>
      <c r="CC40" s="297"/>
      <c r="CD40" s="297"/>
      <c r="CE40" s="297"/>
      <c r="CF40" s="297"/>
      <c r="CG40" s="297">
        <v>1</v>
      </c>
      <c r="CH40" s="297"/>
      <c r="CI40" s="297"/>
      <c r="CJ40" s="297"/>
      <c r="CK40" s="297"/>
      <c r="CL40" s="297"/>
      <c r="CM40" s="297"/>
      <c r="CN40" s="297"/>
      <c r="CO40" s="297"/>
      <c r="CP40" s="297"/>
      <c r="CQ40" s="297"/>
      <c r="CR40" s="297"/>
      <c r="CS40" s="307"/>
      <c r="CT40" s="307"/>
      <c r="CU40" s="300"/>
      <c r="CV40" s="485">
        <f t="shared" si="0"/>
        <v>9</v>
      </c>
      <c r="CW40" s="499">
        <f t="shared" si="1"/>
        <v>10</v>
      </c>
      <c r="CX40" s="178">
        <f t="shared" si="2"/>
        <v>0</v>
      </c>
      <c r="CY40" s="179">
        <f>SUM((BI40*7)+(BJ40*10)+(BK40*12))</f>
        <v>0</v>
      </c>
    </row>
    <row r="41" spans="1:104" ht="15" thickTop="1" thickBot="1">
      <c r="A41" s="510" t="s">
        <v>382</v>
      </c>
      <c r="B41" s="162" t="str">
        <f>IFERROR(VLOOKUP(ParticipationAvril1[[#This Row],[Référence]],ListeÉtudiants1[],18,FALSE),"")</f>
        <v>CEBIN AMANDINE</v>
      </c>
      <c r="C41" s="202"/>
      <c r="D41" s="202"/>
      <c r="E41" s="202"/>
      <c r="F41" s="202"/>
      <c r="G41" s="202"/>
      <c r="H41" s="202"/>
      <c r="I41" s="202"/>
      <c r="J41" s="202"/>
      <c r="K41" s="202"/>
      <c r="L41" s="202" t="s">
        <v>487</v>
      </c>
      <c r="M41" s="202" t="s">
        <v>627</v>
      </c>
      <c r="N41" s="202" t="s">
        <v>507</v>
      </c>
      <c r="O41" s="202" t="s">
        <v>106</v>
      </c>
      <c r="P41" s="202"/>
      <c r="Q41" s="202"/>
      <c r="R41" s="202"/>
      <c r="S41" s="202"/>
      <c r="T41" s="202"/>
      <c r="U41" s="202"/>
      <c r="V41" s="202"/>
      <c r="W41" s="202"/>
      <c r="X41" s="202"/>
      <c r="Y41" s="202"/>
      <c r="Z41" s="202"/>
      <c r="AA41" s="202"/>
      <c r="AB41" s="202"/>
      <c r="AC41" s="202"/>
      <c r="AD41" s="202"/>
      <c r="AE41" s="202"/>
      <c r="AF41" s="558"/>
      <c r="AG41" s="340"/>
      <c r="AH41" s="202">
        <f>COUNTIF(ParticipationAvril1[[#This Row],[1]:[30]],Code1)</f>
        <v>0</v>
      </c>
      <c r="AI41" s="6">
        <f>COUNTIF(ParticipationAvril1[[#This Row],[1]:[30]],code22)</f>
        <v>0</v>
      </c>
      <c r="AJ41" s="202">
        <f>COUNTIF(ParticipationAvril1[[#This Row],[1]:[30]],Code2)</f>
        <v>0</v>
      </c>
      <c r="AK41" s="202">
        <f>COUNTIF(ParticipationAvril1[[#This Row],[1]:[30]],Code3)</f>
        <v>1</v>
      </c>
      <c r="AL41" s="202">
        <f>COUNTIF(ParticipationAvril1[[#This Row],[1]:[30]],Code4)</f>
        <v>0</v>
      </c>
      <c r="AM41" s="6">
        <f>COUNTIF(ParticipationAvril1[[#This Row],[1]:[30]],Code5)</f>
        <v>0</v>
      </c>
      <c r="AN41" s="6">
        <f>COUNTIF(ParticipationAvril1[[#This Row],[1]:[30]],Code23)</f>
        <v>0</v>
      </c>
      <c r="AO41" s="6">
        <f>COUNTIF(ParticipationAvril1[[#This Row],[1]:[30]],Code6)</f>
        <v>0</v>
      </c>
      <c r="AP41" s="6">
        <f>COUNTIF(ParticipationAvril1[[#This Row],[1]:[30]],Code7)</f>
        <v>0</v>
      </c>
      <c r="AQ41" s="6">
        <f>COUNTIF(ParticipationAvril1[[#This Row],[1]:[30]],Code8)</f>
        <v>0</v>
      </c>
      <c r="AR41" s="6">
        <f>COUNTIF(ParticipationAvril1[[#This Row],[1]:[30]],Code9)</f>
        <v>0</v>
      </c>
      <c r="AS41" s="6">
        <f>COUNTIF(ParticipationAvril1[[#This Row],[1]:[30]],Code10)</f>
        <v>0</v>
      </c>
      <c r="AT41" s="6">
        <f>COUNTIF(ParticipationAvril1[[#This Row],[1]:[30]],Code11)</f>
        <v>0</v>
      </c>
      <c r="AU41" s="6">
        <f>COUNTIF(ParticipationAvril1[[#This Row],[1]:[30]],Code12)</f>
        <v>1</v>
      </c>
      <c r="AV41" s="6">
        <f>COUNTIF(ParticipationAvril1[[#This Row],[1]:[30]],Code13)</f>
        <v>0</v>
      </c>
      <c r="AW41" s="6">
        <f>COUNTIF(ParticipationAvril1[[#This Row],[1]:[30]],Code14)</f>
        <v>0</v>
      </c>
      <c r="AX41" s="6">
        <f>COUNTIF(ParticipationAvril1[[#This Row],[1]:[30]],Code16)</f>
        <v>0</v>
      </c>
      <c r="AY41" s="6">
        <f>COUNTIF(ParticipationAvril1[[#This Row],[1]:[30]],Code15)</f>
        <v>0</v>
      </c>
      <c r="AZ41" s="6">
        <f>COUNTIF(ParticipationAvril1[[#This Row],[1]:[30]],Code17)</f>
        <v>0</v>
      </c>
      <c r="BA41" s="6">
        <f>COUNTIF(ParticipationAvril1[[#This Row],[1]:[30]],Code25)</f>
        <v>0</v>
      </c>
      <c r="BB41" s="6">
        <f>COUNTIF(ParticipationAvril1[[#This Row],[1]:[30]],Code26)</f>
        <v>0</v>
      </c>
      <c r="BC41" s="6">
        <f>COUNTIF(ParticipationAvril1[[#This Row],[1]:[30]],Code27)</f>
        <v>1</v>
      </c>
      <c r="BD41" s="6">
        <f>COUNTIF(ParticipationAvril1[[#This Row],[1]:[30]],Code28)</f>
        <v>0</v>
      </c>
      <c r="BE41" s="6">
        <f>COUNTIF(ParticipationAvril1[[#This Row],[1]:[30]],code30)</f>
        <v>0</v>
      </c>
      <c r="BF41" s="6">
        <f>COUNTIF(ParticipationAvril1[[#This Row],[1]:[30]],Code31)</f>
        <v>0</v>
      </c>
      <c r="BG41" s="6">
        <f>COUNTIF(ParticipationAvril1[[#This Row],[1]:[30]],code21)</f>
        <v>1</v>
      </c>
      <c r="BH41" s="6">
        <f>COUNTIF(ParticipationAvril1[[#This Row],[1]:[30]],Code24)</f>
        <v>0</v>
      </c>
      <c r="BI41" s="6">
        <f>COUNTIF(ParticipationAvril1[[#This Row],[1]:[30]],code18)</f>
        <v>0</v>
      </c>
      <c r="BJ41" s="6">
        <f>COUNTIF(ParticipationAvril1[[#This Row],[1]:[30]],code19)</f>
        <v>0</v>
      </c>
      <c r="BK41" s="6">
        <f>COUNTIF(ParticipationAvril1[[#This Row],[1]:[30]],code20)</f>
        <v>0</v>
      </c>
      <c r="BL41" s="182">
        <f>COUNTIF(ParticipationAvril1[[#This Row],[1]:[30]],code29)</f>
        <v>0</v>
      </c>
      <c r="BM41" s="139"/>
      <c r="BN41" s="139">
        <v>2</v>
      </c>
      <c r="BO41" s="139"/>
      <c r="BP41" s="139"/>
      <c r="BQ41" s="139"/>
      <c r="BR41" s="139"/>
      <c r="BS41" s="139"/>
      <c r="BT41" s="139">
        <v>2</v>
      </c>
      <c r="BU41" s="139"/>
      <c r="BV41" s="139"/>
      <c r="BW41" s="139">
        <v>2</v>
      </c>
      <c r="BX41" s="139"/>
      <c r="BY41" s="139"/>
      <c r="BZ41" s="139"/>
      <c r="CA41" s="139"/>
      <c r="CB41" s="139"/>
      <c r="CC41" s="139"/>
      <c r="CD41" s="139"/>
      <c r="CE41" s="139"/>
      <c r="CF41" s="139"/>
      <c r="CG41" s="139">
        <v>1</v>
      </c>
      <c r="CH41" s="139"/>
      <c r="CI41" s="139"/>
      <c r="CJ41" s="139"/>
      <c r="CK41" s="139">
        <v>1</v>
      </c>
      <c r="CL41" s="139"/>
      <c r="CM41" s="139"/>
      <c r="CN41" s="139"/>
      <c r="CO41" s="139"/>
      <c r="CP41" s="139"/>
      <c r="CQ41" s="139"/>
      <c r="CR41" s="139"/>
      <c r="CS41" s="30"/>
      <c r="CT41" s="30"/>
      <c r="CU41" s="561"/>
      <c r="CV41" s="485">
        <f t="shared" si="0"/>
        <v>5</v>
      </c>
      <c r="CW41" s="563">
        <f t="shared" si="1"/>
        <v>7</v>
      </c>
      <c r="CX41" s="6">
        <f t="shared" si="2"/>
        <v>0</v>
      </c>
      <c r="CY41" s="179"/>
      <c r="CZ41" s="200"/>
    </row>
    <row r="42" spans="1:104" ht="15" thickTop="1" thickBot="1">
      <c r="A42" s="534" t="s">
        <v>383</v>
      </c>
      <c r="B42" s="162" t="str">
        <f>IFERROR(VLOOKUP(ParticipationAvril1[[#This Row],[Référence]],ListeÉtudiants1[],18,FALSE),"")</f>
        <v>CHARPAGNE MORGANE</v>
      </c>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558"/>
      <c r="AG42" s="484"/>
      <c r="AH42" s="202">
        <f>COUNTIF(ParticipationAvril1[[#This Row],[1]:[30]],Code1)</f>
        <v>0</v>
      </c>
      <c r="AI42" s="475">
        <f>COUNTIF(ParticipationAvril1[[#This Row],[1]:[30]],code22)</f>
        <v>0</v>
      </c>
      <c r="AJ42" s="202">
        <f>COUNTIF(ParticipationAvril1[[#This Row],[1]:[30]],Code2)</f>
        <v>0</v>
      </c>
      <c r="AK42" s="202">
        <f>COUNTIF(ParticipationAvril1[[#This Row],[1]:[30]],Code3)</f>
        <v>0</v>
      </c>
      <c r="AL42" s="202">
        <f>COUNTIF(ParticipationAvril1[[#This Row],[1]:[30]],Code4)</f>
        <v>0</v>
      </c>
      <c r="AM42" s="475">
        <f>COUNTIF(ParticipationAvril1[[#This Row],[1]:[30]],Code5)</f>
        <v>0</v>
      </c>
      <c r="AN42" s="475">
        <f>COUNTIF(ParticipationAvril1[[#This Row],[1]:[30]],Code23)</f>
        <v>0</v>
      </c>
      <c r="AO42" s="475">
        <f>COUNTIF(ParticipationAvril1[[#This Row],[1]:[30]],Code6)</f>
        <v>0</v>
      </c>
      <c r="AP42" s="475">
        <f>COUNTIF(ParticipationAvril1[[#This Row],[1]:[30]],Code7)</f>
        <v>0</v>
      </c>
      <c r="AQ42" s="475">
        <f>COUNTIF(ParticipationAvril1[[#This Row],[1]:[30]],Code8)</f>
        <v>0</v>
      </c>
      <c r="AR42" s="475">
        <f>COUNTIF(ParticipationAvril1[[#This Row],[1]:[30]],Code9)</f>
        <v>0</v>
      </c>
      <c r="AS42" s="475">
        <f>COUNTIF(ParticipationAvril1[[#This Row],[1]:[30]],Code10)</f>
        <v>0</v>
      </c>
      <c r="AT42" s="475">
        <f>COUNTIF(ParticipationAvril1[[#This Row],[1]:[30]],Code11)</f>
        <v>0</v>
      </c>
      <c r="AU42" s="475">
        <f>COUNTIF(ParticipationAvril1[[#This Row],[1]:[30]],Code12)</f>
        <v>0</v>
      </c>
      <c r="AV42" s="475">
        <f>COUNTIF(ParticipationAvril1[[#This Row],[1]:[30]],Code13)</f>
        <v>0</v>
      </c>
      <c r="AW42" s="475">
        <f>COUNTIF(ParticipationAvril1[[#This Row],[1]:[30]],Code14)</f>
        <v>0</v>
      </c>
      <c r="AX42" s="475">
        <f>COUNTIF(ParticipationAvril1[[#This Row],[1]:[30]],Code16)</f>
        <v>0</v>
      </c>
      <c r="AY42" s="475">
        <f>COUNTIF(ParticipationAvril1[[#This Row],[1]:[30]],Code15)</f>
        <v>0</v>
      </c>
      <c r="AZ42" s="475">
        <f>COUNTIF(ParticipationAvril1[[#This Row],[1]:[30]],Code17)</f>
        <v>0</v>
      </c>
      <c r="BA42" s="475">
        <f>COUNTIF(ParticipationAvril1[[#This Row],[1]:[30]],Code25)</f>
        <v>0</v>
      </c>
      <c r="BB42" s="475">
        <f>COUNTIF(ParticipationAvril1[[#This Row],[1]:[30]],Code26)</f>
        <v>0</v>
      </c>
      <c r="BC42" s="475">
        <f>COUNTIF(ParticipationAvril1[[#This Row],[1]:[30]],Code27)</f>
        <v>0</v>
      </c>
      <c r="BD42" s="475">
        <f>COUNTIF(ParticipationAvril1[[#This Row],[1]:[30]],Code28)</f>
        <v>0</v>
      </c>
      <c r="BE42" s="475">
        <f>COUNTIF(ParticipationAvril1[[#This Row],[1]:[30]],code30)</f>
        <v>0</v>
      </c>
      <c r="BF42" s="475">
        <f>COUNTIF(ParticipationAvril1[[#This Row],[1]:[30]],Code31)</f>
        <v>0</v>
      </c>
      <c r="BG42" s="475">
        <f>COUNTIF(ParticipationAvril1[[#This Row],[1]:[30]],code21)</f>
        <v>0</v>
      </c>
      <c r="BH42" s="475">
        <f>COUNTIF(ParticipationAvril1[[#This Row],[1]:[30]],Code24)</f>
        <v>0</v>
      </c>
      <c r="BI42" s="475">
        <f>COUNTIF(ParticipationAvril1[[#This Row],[1]:[30]],code18)</f>
        <v>0</v>
      </c>
      <c r="BJ42" s="475">
        <f>COUNTIF(ParticipationAvril1[[#This Row],[1]:[30]],code19)</f>
        <v>0</v>
      </c>
      <c r="BK42" s="475">
        <f>COUNTIF(ParticipationAvril1[[#This Row],[1]:[30]],code20)</f>
        <v>0</v>
      </c>
      <c r="BL42" s="476">
        <f>COUNTIF(ParticipationAvril1[[#This Row],[1]:[30]],code29)</f>
        <v>0</v>
      </c>
      <c r="BM42" s="472"/>
      <c r="BN42" s="472"/>
      <c r="BO42" s="472"/>
      <c r="BP42" s="472"/>
      <c r="BQ42" s="472"/>
      <c r="BR42" s="472"/>
      <c r="BS42" s="472"/>
      <c r="BT42" s="472"/>
      <c r="BU42" s="472"/>
      <c r="BV42" s="472"/>
      <c r="BW42" s="472"/>
      <c r="BX42" s="472"/>
      <c r="BY42" s="472"/>
      <c r="BZ42" s="472"/>
      <c r="CA42" s="472"/>
      <c r="CB42" s="472"/>
      <c r="CC42" s="472"/>
      <c r="CD42" s="472"/>
      <c r="CE42" s="472"/>
      <c r="CF42" s="472"/>
      <c r="CG42" s="472"/>
      <c r="CH42" s="472"/>
      <c r="CI42" s="472"/>
      <c r="CJ42" s="472"/>
      <c r="CK42" s="472"/>
      <c r="CL42" s="472"/>
      <c r="CM42" s="472"/>
      <c r="CN42" s="472"/>
      <c r="CO42" s="472"/>
      <c r="CP42" s="472"/>
      <c r="CQ42" s="472"/>
      <c r="CR42" s="472"/>
      <c r="CS42" s="473"/>
      <c r="CT42" s="473"/>
      <c r="CU42" s="554">
        <f>SUM((AH42*1)+(AI42*1.5)+(AJ42*2)+(AK42*4)+(AP42*5)+(AQ42*6)+(AR42*7)+(AU42*2)+(AX42*3)+(AY42*4)+(AZ42*5)+(BB42*3)+(BA42*2)+(BG42*2)+(BC42*2)+(BD42*2))</f>
        <v>0</v>
      </c>
      <c r="CV42" s="555">
        <f t="shared" si="0"/>
        <v>0</v>
      </c>
      <c r="CW42" s="556">
        <f t="shared" si="1"/>
        <v>0</v>
      </c>
      <c r="CX42" s="475">
        <f t="shared" si="2"/>
        <v>0</v>
      </c>
      <c r="CY42" s="477"/>
      <c r="CZ42" s="200"/>
    </row>
    <row r="43" spans="1:104" ht="15" thickTop="1" thickBot="1">
      <c r="A43" s="534" t="s">
        <v>384</v>
      </c>
      <c r="B43" s="162" t="str">
        <f>IFERROR(VLOOKUP(ParticipationAvril1[[#This Row],[Référence]],ListeÉtudiants1[],18,FALSE),"")</f>
        <v>CIRACI AYLA</v>
      </c>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558"/>
      <c r="AG43" s="484"/>
      <c r="AH43" s="202">
        <f>COUNTIF(ParticipationAvril1[[#This Row],[1]:[30]],Code1)</f>
        <v>0</v>
      </c>
      <c r="AI43" s="475">
        <f>COUNTIF(ParticipationAvril1[[#This Row],[1]:[30]],code22)</f>
        <v>0</v>
      </c>
      <c r="AJ43" s="202">
        <f>COUNTIF(ParticipationAvril1[[#This Row],[1]:[30]],Code2)</f>
        <v>0</v>
      </c>
      <c r="AK43" s="202">
        <f>COUNTIF(ParticipationAvril1[[#This Row],[1]:[30]],Code3)</f>
        <v>0</v>
      </c>
      <c r="AL43" s="202">
        <f>COUNTIF(ParticipationAvril1[[#This Row],[1]:[30]],Code4)</f>
        <v>0</v>
      </c>
      <c r="AM43" s="475">
        <f>COUNTIF(ParticipationAvril1[[#This Row],[1]:[30]],Code5)</f>
        <v>0</v>
      </c>
      <c r="AN43" s="475">
        <f>COUNTIF(ParticipationAvril1[[#This Row],[1]:[30]],Code23)</f>
        <v>0</v>
      </c>
      <c r="AO43" s="475">
        <f>COUNTIF(ParticipationAvril1[[#This Row],[1]:[30]],Code6)</f>
        <v>0</v>
      </c>
      <c r="AP43" s="475">
        <f>COUNTIF(ParticipationAvril1[[#This Row],[1]:[30]],Code7)</f>
        <v>0</v>
      </c>
      <c r="AQ43" s="475">
        <f>COUNTIF(ParticipationAvril1[[#This Row],[1]:[30]],Code8)</f>
        <v>0</v>
      </c>
      <c r="AR43" s="475">
        <f>COUNTIF(ParticipationAvril1[[#This Row],[1]:[30]],Code9)</f>
        <v>0</v>
      </c>
      <c r="AS43" s="475">
        <f>COUNTIF(ParticipationAvril1[[#This Row],[1]:[30]],Code10)</f>
        <v>0</v>
      </c>
      <c r="AT43" s="475">
        <f>COUNTIF(ParticipationAvril1[[#This Row],[1]:[30]],Code11)</f>
        <v>0</v>
      </c>
      <c r="AU43" s="475">
        <f>COUNTIF(ParticipationAvril1[[#This Row],[1]:[30]],Code12)</f>
        <v>0</v>
      </c>
      <c r="AV43" s="475">
        <f>COUNTIF(ParticipationAvril1[[#This Row],[1]:[30]],Code13)</f>
        <v>0</v>
      </c>
      <c r="AW43" s="475">
        <f>COUNTIF(ParticipationAvril1[[#This Row],[1]:[30]],Code14)</f>
        <v>0</v>
      </c>
      <c r="AX43" s="475">
        <f>COUNTIF(ParticipationAvril1[[#This Row],[1]:[30]],Code16)</f>
        <v>0</v>
      </c>
      <c r="AY43" s="475">
        <f>COUNTIF(ParticipationAvril1[[#This Row],[1]:[30]],Code15)</f>
        <v>0</v>
      </c>
      <c r="AZ43" s="475">
        <f>COUNTIF(ParticipationAvril1[[#This Row],[1]:[30]],Code17)</f>
        <v>0</v>
      </c>
      <c r="BA43" s="475">
        <f>COUNTIF(ParticipationAvril1[[#This Row],[1]:[30]],Code25)</f>
        <v>0</v>
      </c>
      <c r="BB43" s="475">
        <f>COUNTIF(ParticipationAvril1[[#This Row],[1]:[30]],Code26)</f>
        <v>0</v>
      </c>
      <c r="BC43" s="475">
        <f>COUNTIF(ParticipationAvril1[[#This Row],[1]:[30]],Code27)</f>
        <v>0</v>
      </c>
      <c r="BD43" s="475">
        <f>COUNTIF(ParticipationAvril1[[#This Row],[1]:[30]],Code28)</f>
        <v>0</v>
      </c>
      <c r="BE43" s="475">
        <f>COUNTIF(ParticipationAvril1[[#This Row],[1]:[30]],code30)</f>
        <v>0</v>
      </c>
      <c r="BF43" s="475">
        <f>COUNTIF(ParticipationAvril1[[#This Row],[1]:[30]],Code31)</f>
        <v>0</v>
      </c>
      <c r="BG43" s="475">
        <f>COUNTIF(ParticipationAvril1[[#This Row],[1]:[30]],code21)</f>
        <v>0</v>
      </c>
      <c r="BH43" s="475">
        <f>COUNTIF(ParticipationAvril1[[#This Row],[1]:[30]],Code24)</f>
        <v>0</v>
      </c>
      <c r="BI43" s="475">
        <f>COUNTIF(ParticipationAvril1[[#This Row],[1]:[30]],code18)</f>
        <v>0</v>
      </c>
      <c r="BJ43" s="475">
        <f>COUNTIF(ParticipationAvril1[[#This Row],[1]:[30]],code19)</f>
        <v>0</v>
      </c>
      <c r="BK43" s="475">
        <f>COUNTIF(ParticipationAvril1[[#This Row],[1]:[30]],code20)</f>
        <v>0</v>
      </c>
      <c r="BL43" s="476">
        <f>COUNTIF(ParticipationAvril1[[#This Row],[1]:[30]],code29)</f>
        <v>0</v>
      </c>
      <c r="BM43" s="472"/>
      <c r="BN43" s="472"/>
      <c r="BO43" s="472"/>
      <c r="BP43" s="472"/>
      <c r="BQ43" s="472"/>
      <c r="BR43" s="472"/>
      <c r="BS43" s="472"/>
      <c r="BT43" s="472"/>
      <c r="BU43" s="472"/>
      <c r="BV43" s="472"/>
      <c r="BW43" s="472"/>
      <c r="BX43" s="472"/>
      <c r="BY43" s="472"/>
      <c r="BZ43" s="472"/>
      <c r="CA43" s="472"/>
      <c r="CB43" s="472"/>
      <c r="CC43" s="472"/>
      <c r="CD43" s="472"/>
      <c r="CE43" s="472"/>
      <c r="CF43" s="472"/>
      <c r="CG43" s="472"/>
      <c r="CH43" s="472"/>
      <c r="CI43" s="472"/>
      <c r="CJ43" s="472"/>
      <c r="CK43" s="472"/>
      <c r="CL43" s="472"/>
      <c r="CM43" s="472"/>
      <c r="CN43" s="472"/>
      <c r="CO43" s="472"/>
      <c r="CP43" s="472"/>
      <c r="CQ43" s="472"/>
      <c r="CR43" s="472"/>
      <c r="CS43" s="473"/>
      <c r="CT43" s="473"/>
      <c r="CU43" s="554">
        <f>SUM((AH43*1)+(AI43*1.5)+(AJ43*2)+(AK43*4)+(AP43*5)+(AQ43*6)+(AR43*7)+(AU43*2)+(AX43*3)+(AY43*4)+(AZ43*5)+(BB43*3)+(BA43*2)+(BG43*2)+(BC43*2)+(BD43*2))</f>
        <v>0</v>
      </c>
      <c r="CV43" s="555">
        <f t="shared" ref="CV43:CV74" si="3">SUM((AH43*1)+(AI43*1.5)+(AJ43*2)+(AK43*3)+(AP43*5)+(AQ43*6)+(AR43*7)+(AX43*3)+(AY43*4)+(BB43*5)+(BA43*3)+(BD43*2)+(BH43*2)+(AZ43*2)+(BG43*2)+(BE43*3))</f>
        <v>0</v>
      </c>
      <c r="CW43" s="556">
        <f t="shared" ref="CW43:CW74" si="4">SUM((AN43*1)+(AM43*2)+(AO43*3)+(AP43*4)+(AT43*5)+(AU43*6)+(AV43*7)+(AW43*7)+(AX43*4)+(AY43*3)+(BB43*2)+(BD43*4)+(BA43*1)+(BH43*2)+(AZ43*5)+(BG43*1)+(BE43*2))</f>
        <v>0</v>
      </c>
      <c r="CX43" s="475">
        <f t="shared" ref="CX43:CX74" si="5">BH43*1+BL43*3</f>
        <v>0</v>
      </c>
      <c r="CY43" s="477"/>
      <c r="CZ43" s="200"/>
    </row>
    <row r="44" spans="1:104" ht="15" thickTop="1" thickBot="1">
      <c r="A44" s="510" t="s">
        <v>385</v>
      </c>
      <c r="B44" s="162" t="str">
        <f>IFERROR(VLOOKUP(ParticipationAvril1[[#This Row],[Référence]],ListeÉtudiants1[],18,FALSE),"")</f>
        <v>CLARY VERONIQUE</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558"/>
      <c r="AG44" s="484"/>
      <c r="AH44" s="202">
        <f>COUNTIF(ParticipationAvril1[[#This Row],[1]:[30]],Code1)</f>
        <v>0</v>
      </c>
      <c r="AI44" s="475">
        <f>COUNTIF(ParticipationAvril1[[#This Row],[1]:[30]],code22)</f>
        <v>0</v>
      </c>
      <c r="AJ44" s="202">
        <f>COUNTIF(ParticipationAvril1[[#This Row],[1]:[30]],Code2)</f>
        <v>0</v>
      </c>
      <c r="AK44" s="202">
        <f>COUNTIF(ParticipationAvril1[[#This Row],[1]:[30]],Code3)</f>
        <v>0</v>
      </c>
      <c r="AL44" s="202">
        <f>COUNTIF(ParticipationAvril1[[#This Row],[1]:[30]],Code4)</f>
        <v>0</v>
      </c>
      <c r="AM44" s="475">
        <f>COUNTIF(ParticipationAvril1[[#This Row],[1]:[30]],Code5)</f>
        <v>0</v>
      </c>
      <c r="AN44" s="475">
        <f>COUNTIF(ParticipationAvril1[[#This Row],[1]:[30]],Code23)</f>
        <v>0</v>
      </c>
      <c r="AO44" s="475">
        <f>COUNTIF(ParticipationAvril1[[#This Row],[1]:[30]],Code6)</f>
        <v>0</v>
      </c>
      <c r="AP44" s="475">
        <f>COUNTIF(ParticipationAvril1[[#This Row],[1]:[30]],Code7)</f>
        <v>0</v>
      </c>
      <c r="AQ44" s="475">
        <f>COUNTIF(ParticipationAvril1[[#This Row],[1]:[30]],Code8)</f>
        <v>0</v>
      </c>
      <c r="AR44" s="475">
        <f>COUNTIF(ParticipationAvril1[[#This Row],[1]:[30]],Code9)</f>
        <v>0</v>
      </c>
      <c r="AS44" s="475">
        <f>COUNTIF(ParticipationAvril1[[#This Row],[1]:[30]],Code10)</f>
        <v>0</v>
      </c>
      <c r="AT44" s="475">
        <f>COUNTIF(ParticipationAvril1[[#This Row],[1]:[30]],Code11)</f>
        <v>0</v>
      </c>
      <c r="AU44" s="475">
        <f>COUNTIF(ParticipationAvril1[[#This Row],[1]:[30]],Code12)</f>
        <v>0</v>
      </c>
      <c r="AV44" s="475">
        <f>COUNTIF(ParticipationAvril1[[#This Row],[1]:[30]],Code13)</f>
        <v>0</v>
      </c>
      <c r="AW44" s="475">
        <f>COUNTIF(ParticipationAvril1[[#This Row],[1]:[30]],Code14)</f>
        <v>0</v>
      </c>
      <c r="AX44" s="475">
        <f>COUNTIF(ParticipationAvril1[[#This Row],[1]:[30]],Code16)</f>
        <v>0</v>
      </c>
      <c r="AY44" s="475">
        <f>COUNTIF(ParticipationAvril1[[#This Row],[1]:[30]],Code15)</f>
        <v>0</v>
      </c>
      <c r="AZ44" s="475">
        <f>COUNTIF(ParticipationAvril1[[#This Row],[1]:[30]],Code17)</f>
        <v>0</v>
      </c>
      <c r="BA44" s="475">
        <f>COUNTIF(ParticipationAvril1[[#This Row],[1]:[30]],Code25)</f>
        <v>0</v>
      </c>
      <c r="BB44" s="475">
        <f>COUNTIF(ParticipationAvril1[[#This Row],[1]:[30]],Code26)</f>
        <v>0</v>
      </c>
      <c r="BC44" s="475">
        <f>COUNTIF(ParticipationAvril1[[#This Row],[1]:[30]],Code27)</f>
        <v>0</v>
      </c>
      <c r="BD44" s="475">
        <f>COUNTIF(ParticipationAvril1[[#This Row],[1]:[30]],Code28)</f>
        <v>0</v>
      </c>
      <c r="BE44" s="475">
        <f>COUNTIF(ParticipationAvril1[[#This Row],[1]:[30]],code30)</f>
        <v>0</v>
      </c>
      <c r="BF44" s="475">
        <f>COUNTIF(ParticipationAvril1[[#This Row],[1]:[30]],Code31)</f>
        <v>0</v>
      </c>
      <c r="BG44" s="475">
        <f>COUNTIF(ParticipationAvril1[[#This Row],[1]:[30]],code21)</f>
        <v>0</v>
      </c>
      <c r="BH44" s="475">
        <f>COUNTIF(ParticipationAvril1[[#This Row],[1]:[30]],Code24)</f>
        <v>0</v>
      </c>
      <c r="BI44" s="475">
        <f>COUNTIF(ParticipationAvril1[[#This Row],[1]:[30]],code18)</f>
        <v>0</v>
      </c>
      <c r="BJ44" s="475">
        <f>COUNTIF(ParticipationAvril1[[#This Row],[1]:[30]],code19)</f>
        <v>0</v>
      </c>
      <c r="BK44" s="475">
        <f>COUNTIF(ParticipationAvril1[[#This Row],[1]:[30]],code20)</f>
        <v>0</v>
      </c>
      <c r="BL44" s="476">
        <f>COUNTIF(ParticipationAvril1[[#This Row],[1]:[30]],code29)</f>
        <v>0</v>
      </c>
      <c r="BM44" s="472"/>
      <c r="BN44" s="472"/>
      <c r="BO44" s="472"/>
      <c r="BP44" s="472"/>
      <c r="BQ44" s="472"/>
      <c r="BR44" s="472"/>
      <c r="BS44" s="472"/>
      <c r="BT44" s="472"/>
      <c r="BU44" s="472"/>
      <c r="BV44" s="472"/>
      <c r="BW44" s="472"/>
      <c r="BX44" s="472"/>
      <c r="BY44" s="472"/>
      <c r="BZ44" s="472"/>
      <c r="CA44" s="472"/>
      <c r="CB44" s="472"/>
      <c r="CC44" s="472"/>
      <c r="CD44" s="472"/>
      <c r="CE44" s="472"/>
      <c r="CF44" s="472"/>
      <c r="CG44" s="472"/>
      <c r="CH44" s="472"/>
      <c r="CI44" s="472"/>
      <c r="CJ44" s="472"/>
      <c r="CK44" s="472"/>
      <c r="CL44" s="472"/>
      <c r="CM44" s="472"/>
      <c r="CN44" s="472"/>
      <c r="CO44" s="472"/>
      <c r="CP44" s="472"/>
      <c r="CQ44" s="472"/>
      <c r="CR44" s="472"/>
      <c r="CS44" s="473"/>
      <c r="CT44" s="473"/>
      <c r="CU44" s="554">
        <f>SUM((AH44*1)+(AI44*1.5)+(AJ44*2)+(AK44*4)+(AP44*5)+(AQ44*6)+(AR44*7)+(AU44*2)+(AX44*3)+(AY44*4)+(AZ44*5)+(BB44*3)+(BA44*2)+(BG44*2)+(BC44*2)+(BD44*2))</f>
        <v>0</v>
      </c>
      <c r="CV44" s="555">
        <f t="shared" si="3"/>
        <v>0</v>
      </c>
      <c r="CW44" s="556">
        <f t="shared" si="4"/>
        <v>0</v>
      </c>
      <c r="CX44" s="475">
        <f t="shared" si="5"/>
        <v>0</v>
      </c>
      <c r="CY44" s="477"/>
      <c r="CZ44" s="200"/>
    </row>
    <row r="45" spans="1:104" ht="15" thickTop="1" thickBot="1">
      <c r="A45" s="534" t="s">
        <v>386</v>
      </c>
      <c r="B45" s="162" t="str">
        <f>IFERROR(VLOOKUP(ParticipationAvril1[[#This Row],[Référence]],ListeÉtudiants1[],18,FALSE),"")</f>
        <v>CLAUDIN LAURENE</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19"/>
      <c r="AG45" s="478"/>
      <c r="AH45" s="202">
        <f>COUNTIF(ParticipationAvril1[[#This Row],[1]:[30]],Code1)</f>
        <v>0</v>
      </c>
      <c r="AI45" s="475">
        <f>COUNTIF(ParticipationAvril1[[#This Row],[1]:[30]],code22)</f>
        <v>0</v>
      </c>
      <c r="AJ45" s="202">
        <f>COUNTIF(ParticipationAvril1[[#This Row],[1]:[30]],Code2)</f>
        <v>0</v>
      </c>
      <c r="AK45" s="202">
        <f>COUNTIF(ParticipationAvril1[[#This Row],[1]:[30]],Code3)</f>
        <v>0</v>
      </c>
      <c r="AL45" s="202">
        <f>COUNTIF(ParticipationAvril1[[#This Row],[1]:[30]],Code4)</f>
        <v>0</v>
      </c>
      <c r="AM45" s="475">
        <f>COUNTIF(ParticipationAvril1[[#This Row],[1]:[30]],Code5)</f>
        <v>0</v>
      </c>
      <c r="AN45" s="475">
        <f>COUNTIF(ParticipationAvril1[[#This Row],[1]:[30]],Code23)</f>
        <v>0</v>
      </c>
      <c r="AO45" s="475">
        <f>COUNTIF(ParticipationAvril1[[#This Row],[1]:[30]],Code6)</f>
        <v>0</v>
      </c>
      <c r="AP45" s="475">
        <f>COUNTIF(ParticipationAvril1[[#This Row],[1]:[30]],Code7)</f>
        <v>0</v>
      </c>
      <c r="AQ45" s="475">
        <f>COUNTIF(ParticipationAvril1[[#This Row],[1]:[30]],Code8)</f>
        <v>0</v>
      </c>
      <c r="AR45" s="475">
        <f>COUNTIF(ParticipationAvril1[[#This Row],[1]:[30]],Code9)</f>
        <v>0</v>
      </c>
      <c r="AS45" s="475">
        <f>COUNTIF(ParticipationAvril1[[#This Row],[1]:[30]],Code10)</f>
        <v>0</v>
      </c>
      <c r="AT45" s="475">
        <f>COUNTIF(ParticipationAvril1[[#This Row],[1]:[30]],Code11)</f>
        <v>0</v>
      </c>
      <c r="AU45" s="475">
        <f>COUNTIF(ParticipationAvril1[[#This Row],[1]:[30]],Code12)</f>
        <v>0</v>
      </c>
      <c r="AV45" s="475">
        <f>COUNTIF(ParticipationAvril1[[#This Row],[1]:[30]],Code13)</f>
        <v>0</v>
      </c>
      <c r="AW45" s="475">
        <f>COUNTIF(ParticipationAvril1[[#This Row],[1]:[30]],Code14)</f>
        <v>0</v>
      </c>
      <c r="AX45" s="475">
        <f>COUNTIF(ParticipationAvril1[[#This Row],[1]:[30]],Code16)</f>
        <v>0</v>
      </c>
      <c r="AY45" s="475">
        <f>COUNTIF(ParticipationAvril1[[#This Row],[1]:[30]],Code15)</f>
        <v>0</v>
      </c>
      <c r="AZ45" s="475">
        <f>COUNTIF(ParticipationAvril1[[#This Row],[1]:[30]],Code17)</f>
        <v>0</v>
      </c>
      <c r="BA45" s="475">
        <f>COUNTIF(ParticipationAvril1[[#This Row],[1]:[30]],Code25)</f>
        <v>0</v>
      </c>
      <c r="BB45" s="475">
        <f>COUNTIF(ParticipationAvril1[[#This Row],[1]:[30]],Code26)</f>
        <v>0</v>
      </c>
      <c r="BC45" s="475">
        <f>COUNTIF(ParticipationAvril1[[#This Row],[1]:[30]],Code27)</f>
        <v>0</v>
      </c>
      <c r="BD45" s="475">
        <f>COUNTIF(ParticipationAvril1[[#This Row],[1]:[30]],Code28)</f>
        <v>0</v>
      </c>
      <c r="BE45" s="475">
        <f>COUNTIF(ParticipationAvril1[[#This Row],[1]:[30]],code30)</f>
        <v>0</v>
      </c>
      <c r="BF45" s="475">
        <f>COUNTIF(ParticipationAvril1[[#This Row],[1]:[30]],Code31)</f>
        <v>0</v>
      </c>
      <c r="BG45" s="475">
        <f>COUNTIF(ParticipationAvril1[[#This Row],[1]:[30]],code21)</f>
        <v>0</v>
      </c>
      <c r="BH45" s="475">
        <f>COUNTIF(ParticipationAvril1[[#This Row],[1]:[30]],Code24)</f>
        <v>0</v>
      </c>
      <c r="BI45" s="475">
        <f>COUNTIF(ParticipationAvril1[[#This Row],[1]:[30]],code18)</f>
        <v>0</v>
      </c>
      <c r="BJ45" s="475">
        <f>COUNTIF(ParticipationAvril1[[#This Row],[1]:[30]],code19)</f>
        <v>0</v>
      </c>
      <c r="BK45" s="475">
        <f>COUNTIF(ParticipationAvril1[[#This Row],[1]:[30]],code20)</f>
        <v>0</v>
      </c>
      <c r="BL45" s="476">
        <f>COUNTIF(ParticipationAvril1[[#This Row],[1]:[30]],code29)</f>
        <v>0</v>
      </c>
      <c r="BM45" s="472"/>
      <c r="BN45" s="472"/>
      <c r="BO45" s="472"/>
      <c r="BP45" s="472"/>
      <c r="BQ45" s="472"/>
      <c r="BR45" s="472"/>
      <c r="BS45" s="472"/>
      <c r="BT45" s="472"/>
      <c r="BU45" s="472"/>
      <c r="BV45" s="472"/>
      <c r="BW45" s="472"/>
      <c r="BX45" s="472"/>
      <c r="BY45" s="472"/>
      <c r="BZ45" s="472"/>
      <c r="CA45" s="472"/>
      <c r="CB45" s="472"/>
      <c r="CC45" s="472"/>
      <c r="CD45" s="472"/>
      <c r="CE45" s="472"/>
      <c r="CF45" s="472"/>
      <c r="CG45" s="472"/>
      <c r="CH45" s="472"/>
      <c r="CI45" s="472"/>
      <c r="CJ45" s="472"/>
      <c r="CK45" s="472"/>
      <c r="CL45" s="472"/>
      <c r="CM45" s="472"/>
      <c r="CN45" s="472"/>
      <c r="CO45" s="472"/>
      <c r="CP45" s="472"/>
      <c r="CQ45" s="472"/>
      <c r="CR45" s="472"/>
      <c r="CS45" s="473"/>
      <c r="CT45" s="473"/>
      <c r="CU45" s="516">
        <f>SUM((AH45*1)+(AI45*1.5)+(AJ45*2)+(AK45*4)+(AP45*5)+(AQ45*6)+(AR45*7)+(AU45*2)+(AX45*3)+(AY45*4)+(AZ45*5)+(BB45*3)+(BA45*2)+(BG45*2)+(BC45*2)+(BD45*2))</f>
        <v>0</v>
      </c>
      <c r="CV45" s="555">
        <f t="shared" si="3"/>
        <v>0</v>
      </c>
      <c r="CW45" s="562">
        <f t="shared" si="4"/>
        <v>0</v>
      </c>
      <c r="CX45" s="475">
        <f t="shared" si="5"/>
        <v>0</v>
      </c>
      <c r="CY45" s="477"/>
      <c r="CZ45" s="200"/>
    </row>
    <row r="46" spans="1:104" ht="15" thickTop="1" thickBot="1">
      <c r="A46" s="510" t="s">
        <v>387</v>
      </c>
      <c r="B46" s="162" t="str">
        <f>IFERROR(VLOOKUP(ParticipationAvril1[[#This Row],[Référence]],ListeÉtudiants1[],18,FALSE),"")</f>
        <v>CORDEREIX MARIE</v>
      </c>
      <c r="C46" s="19"/>
      <c r="D46" s="19"/>
      <c r="E46" s="19" t="s">
        <v>527</v>
      </c>
      <c r="F46" s="19" t="s">
        <v>483</v>
      </c>
      <c r="G46" s="19" t="s">
        <v>105</v>
      </c>
      <c r="H46" s="19" t="s">
        <v>491</v>
      </c>
      <c r="I46" s="19"/>
      <c r="J46" s="19"/>
      <c r="K46" s="19"/>
      <c r="L46" s="19" t="s">
        <v>108</v>
      </c>
      <c r="M46" s="19" t="s">
        <v>487</v>
      </c>
      <c r="N46" s="19" t="s">
        <v>35</v>
      </c>
      <c r="O46" s="19"/>
      <c r="P46" s="19"/>
      <c r="Q46" s="19"/>
      <c r="R46" s="19"/>
      <c r="S46" s="19"/>
      <c r="T46" s="19"/>
      <c r="U46" s="19"/>
      <c r="V46" s="19"/>
      <c r="W46" s="19"/>
      <c r="X46" s="19"/>
      <c r="Y46" s="19"/>
      <c r="Z46" s="19"/>
      <c r="AA46" s="19"/>
      <c r="AB46" s="19"/>
      <c r="AC46" s="19"/>
      <c r="AD46" s="19"/>
      <c r="AE46" s="19"/>
      <c r="AF46" s="558"/>
      <c r="AG46" s="340"/>
      <c r="AH46" s="6">
        <f>COUNTIF(ParticipationAvril1[[#This Row],[1]:[30]],Code1)</f>
        <v>0</v>
      </c>
      <c r="AI46" s="6">
        <f>COUNTIF(ParticipationAvril1[[#This Row],[1]:[30]],code22)</f>
        <v>1</v>
      </c>
      <c r="AJ46" s="6">
        <f>COUNTIF(ParticipationAvril1[[#This Row],[1]:[30]],Code2)</f>
        <v>1</v>
      </c>
      <c r="AK46" s="6">
        <f>COUNTIF(ParticipationAvril1[[#This Row],[1]:[30]],Code3)</f>
        <v>0</v>
      </c>
      <c r="AL46" s="6">
        <f>COUNTIF(ParticipationAvril1[[#This Row],[1]:[30]],Code4)</f>
        <v>0</v>
      </c>
      <c r="AM46" s="6">
        <f>COUNTIF(ParticipationAvril1[[#This Row],[1]:[30]],Code5)</f>
        <v>1</v>
      </c>
      <c r="AN46" s="6">
        <f>COUNTIF(ParticipationAvril1[[#This Row],[1]:[30]],Code23)</f>
        <v>0</v>
      </c>
      <c r="AO46" s="6">
        <f>COUNTIF(ParticipationAvril1[[#This Row],[1]:[30]],Code6)</f>
        <v>1</v>
      </c>
      <c r="AP46" s="6">
        <f>COUNTIF(ParticipationAvril1[[#This Row],[1]:[30]],Code7)</f>
        <v>0</v>
      </c>
      <c r="AQ46" s="6">
        <f>COUNTIF(ParticipationAvril1[[#This Row],[1]:[30]],Code8)</f>
        <v>1</v>
      </c>
      <c r="AR46" s="6">
        <f>COUNTIF(ParticipationAvril1[[#This Row],[1]:[30]],Code9)</f>
        <v>0</v>
      </c>
      <c r="AS46" s="6">
        <f>COUNTIF(ParticipationAvril1[[#This Row],[1]:[30]],Code10)</f>
        <v>0</v>
      </c>
      <c r="AT46" s="6">
        <f>COUNTIF(ParticipationAvril1[[#This Row],[1]:[30]],Code11)</f>
        <v>0</v>
      </c>
      <c r="AU46" s="6">
        <f>COUNTIF(ParticipationAvril1[[#This Row],[1]:[30]],Code12)</f>
        <v>1</v>
      </c>
      <c r="AV46" s="6">
        <f>COUNTIF(ParticipationAvril1[[#This Row],[1]:[30]],Code13)</f>
        <v>0</v>
      </c>
      <c r="AW46" s="6">
        <f>COUNTIF(ParticipationAvril1[[#This Row],[1]:[30]],Code14)</f>
        <v>0</v>
      </c>
      <c r="AX46" s="6">
        <f>COUNTIF(ParticipationAvril1[[#This Row],[1]:[30]],Code16)</f>
        <v>1</v>
      </c>
      <c r="AY46" s="6">
        <f>COUNTIF(ParticipationAvril1[[#This Row],[1]:[30]],Code15)</f>
        <v>0</v>
      </c>
      <c r="AZ46" s="6">
        <f>COUNTIF(ParticipationAvril1[[#This Row],[1]:[30]],Code17)</f>
        <v>0</v>
      </c>
      <c r="BA46" s="6">
        <f>COUNTIF(ParticipationAvril1[[#This Row],[1]:[30]],Code25)</f>
        <v>0</v>
      </c>
      <c r="BB46" s="6">
        <f>COUNTIF(ParticipationAvril1[[#This Row],[1]:[30]],Code26)</f>
        <v>0</v>
      </c>
      <c r="BC46" s="432">
        <f>COUNTIF(ParticipationAvril1[[#This Row],[1]:[30]],Code27)</f>
        <v>0</v>
      </c>
      <c r="BD46" s="6">
        <f>COUNTIF(ParticipationAvril1[[#This Row],[1]:[30]],Code28)</f>
        <v>0</v>
      </c>
      <c r="BE46" s="6">
        <f>COUNTIF(ParticipationAvril1[[#This Row],[1]:[30]],code30)</f>
        <v>0</v>
      </c>
      <c r="BF46" s="6">
        <f>COUNTIF(ParticipationAvril1[[#This Row],[1]:[30]],Code31)</f>
        <v>0</v>
      </c>
      <c r="BG46" s="6">
        <f>COUNTIF(ParticipationAvril1[[#This Row],[1]:[30]],code21)</f>
        <v>0</v>
      </c>
      <c r="BH46" s="6">
        <f>COUNTIF(ParticipationAvril1[[#This Row],[1]:[30]],Code24)</f>
        <v>0</v>
      </c>
      <c r="BI46" s="6">
        <f>COUNTIF(ParticipationAvril1[[#This Row],[1]:[30]],code18)</f>
        <v>0</v>
      </c>
      <c r="BJ46" s="6">
        <f>COUNTIF(ParticipationAvril1[[#This Row],[1]:[30]],code19)</f>
        <v>0</v>
      </c>
      <c r="BK46" s="6">
        <f>COUNTIF(ParticipationAvril1[[#This Row],[1]:[30]],code20)</f>
        <v>0</v>
      </c>
      <c r="BL46" s="182">
        <f>COUNTIF(ParticipationAvril1[[#This Row],[1]:[30]],code29)</f>
        <v>0</v>
      </c>
      <c r="BM46" s="297"/>
      <c r="BN46" s="297">
        <v>2</v>
      </c>
      <c r="BO46" s="297"/>
      <c r="BP46" s="297"/>
      <c r="BQ46" s="297"/>
      <c r="BR46" s="297"/>
      <c r="BS46" s="297"/>
      <c r="BT46" s="297">
        <v>1</v>
      </c>
      <c r="BU46" s="297"/>
      <c r="BV46" s="297"/>
      <c r="BW46" s="297">
        <v>1</v>
      </c>
      <c r="BX46" s="297"/>
      <c r="BY46" s="297"/>
      <c r="BZ46" s="297"/>
      <c r="CA46" s="297"/>
      <c r="CB46" s="297">
        <v>1</v>
      </c>
      <c r="CC46" s="297"/>
      <c r="CD46" s="297"/>
      <c r="CE46" s="297"/>
      <c r="CF46" s="297"/>
      <c r="CG46" s="297">
        <v>1</v>
      </c>
      <c r="CH46" s="297"/>
      <c r="CI46" s="297"/>
      <c r="CJ46" s="297"/>
      <c r="CK46" s="297"/>
      <c r="CL46" s="297"/>
      <c r="CM46" s="297"/>
      <c r="CN46" s="297"/>
      <c r="CO46" s="297"/>
      <c r="CP46" s="297"/>
      <c r="CQ46" s="297"/>
      <c r="CR46" s="297"/>
      <c r="CS46" s="307"/>
      <c r="CT46" s="307"/>
      <c r="CU46" s="561"/>
      <c r="CV46" s="485">
        <f t="shared" si="3"/>
        <v>12.5</v>
      </c>
      <c r="CW46" s="563">
        <f t="shared" si="4"/>
        <v>15</v>
      </c>
      <c r="CX46" s="6">
        <f t="shared" si="5"/>
        <v>0</v>
      </c>
      <c r="CY46" s="179">
        <f>SUM((BI46*7)+(BJ46*10)+(BK46*12))</f>
        <v>0</v>
      </c>
    </row>
    <row r="47" spans="1:104" ht="15" thickTop="1" thickBot="1">
      <c r="A47" s="510" t="s">
        <v>388</v>
      </c>
      <c r="B47" s="162" t="str">
        <f>IFERROR(VLOOKUP(ParticipationAvril1[[#This Row],[Référence]],ListeÉtudiants1[],18,FALSE),"")</f>
        <v>CORNELIS  ESTELLE</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558"/>
      <c r="AG47" s="484"/>
      <c r="AH47" s="6">
        <f>COUNTIF(ParticipationAvril1[[#This Row],[1]:[30]],Code1)</f>
        <v>0</v>
      </c>
      <c r="AI47" s="475">
        <f>COUNTIF(ParticipationAvril1[[#This Row],[1]:[30]],code22)</f>
        <v>0</v>
      </c>
      <c r="AJ47" s="6">
        <f>COUNTIF(ParticipationAvril1[[#This Row],[1]:[30]],Code2)</f>
        <v>0</v>
      </c>
      <c r="AK47" s="6">
        <f>COUNTIF(ParticipationAvril1[[#This Row],[1]:[30]],Code3)</f>
        <v>0</v>
      </c>
      <c r="AL47" s="6">
        <f>COUNTIF(ParticipationAvril1[[#This Row],[1]:[30]],Code4)</f>
        <v>0</v>
      </c>
      <c r="AM47" s="475">
        <f>COUNTIF(ParticipationAvril1[[#This Row],[1]:[30]],Code5)</f>
        <v>0</v>
      </c>
      <c r="AN47" s="475">
        <f>COUNTIF(ParticipationAvril1[[#This Row],[1]:[30]],Code23)</f>
        <v>0</v>
      </c>
      <c r="AO47" s="475">
        <f>COUNTIF(ParticipationAvril1[[#This Row],[1]:[30]],Code6)</f>
        <v>0</v>
      </c>
      <c r="AP47" s="475">
        <f>COUNTIF(ParticipationAvril1[[#This Row],[1]:[30]],Code7)</f>
        <v>0</v>
      </c>
      <c r="AQ47" s="475">
        <f>COUNTIF(ParticipationAvril1[[#This Row],[1]:[30]],Code8)</f>
        <v>0</v>
      </c>
      <c r="AR47" s="475">
        <f>COUNTIF(ParticipationAvril1[[#This Row],[1]:[30]],Code9)</f>
        <v>0</v>
      </c>
      <c r="AS47" s="475">
        <f>COUNTIF(ParticipationAvril1[[#This Row],[1]:[30]],Code10)</f>
        <v>0</v>
      </c>
      <c r="AT47" s="475">
        <f>COUNTIF(ParticipationAvril1[[#This Row],[1]:[30]],Code11)</f>
        <v>0</v>
      </c>
      <c r="AU47" s="475">
        <f>COUNTIF(ParticipationAvril1[[#This Row],[1]:[30]],Code12)</f>
        <v>0</v>
      </c>
      <c r="AV47" s="475">
        <f>COUNTIF(ParticipationAvril1[[#This Row],[1]:[30]],Code13)</f>
        <v>0</v>
      </c>
      <c r="AW47" s="475">
        <f>COUNTIF(ParticipationAvril1[[#This Row],[1]:[30]],Code14)</f>
        <v>0</v>
      </c>
      <c r="AX47" s="475">
        <f>COUNTIF(ParticipationAvril1[[#This Row],[1]:[30]],Code16)</f>
        <v>0</v>
      </c>
      <c r="AY47" s="475">
        <f>COUNTIF(ParticipationAvril1[[#This Row],[1]:[30]],Code15)</f>
        <v>0</v>
      </c>
      <c r="AZ47" s="475">
        <f>COUNTIF(ParticipationAvril1[[#This Row],[1]:[30]],Code17)</f>
        <v>0</v>
      </c>
      <c r="BA47" s="475">
        <f>COUNTIF(ParticipationAvril1[[#This Row],[1]:[30]],Code25)</f>
        <v>0</v>
      </c>
      <c r="BB47" s="475">
        <f>COUNTIF(ParticipationAvril1[[#This Row],[1]:[30]],Code26)</f>
        <v>0</v>
      </c>
      <c r="BC47" s="474">
        <f>COUNTIF(ParticipationAvril1[[#This Row],[1]:[30]],Code27)</f>
        <v>0</v>
      </c>
      <c r="BD47" s="475">
        <f>COUNTIF(ParticipationAvril1[[#This Row],[1]:[30]],Code28)</f>
        <v>0</v>
      </c>
      <c r="BE47" s="475">
        <f>COUNTIF(ParticipationAvril1[[#This Row],[1]:[30]],code30)</f>
        <v>0</v>
      </c>
      <c r="BF47" s="475">
        <f>COUNTIF(ParticipationAvril1[[#This Row],[1]:[30]],Code31)</f>
        <v>0</v>
      </c>
      <c r="BG47" s="475">
        <f>COUNTIF(ParticipationAvril1[[#This Row],[1]:[30]],code21)</f>
        <v>0</v>
      </c>
      <c r="BH47" s="475">
        <f>COUNTIF(ParticipationAvril1[[#This Row],[1]:[30]],Code24)</f>
        <v>0</v>
      </c>
      <c r="BI47" s="475">
        <f>COUNTIF(ParticipationAvril1[[#This Row],[1]:[30]],code18)</f>
        <v>0</v>
      </c>
      <c r="BJ47" s="475">
        <f>COUNTIF(ParticipationAvril1[[#This Row],[1]:[30]],code19)</f>
        <v>0</v>
      </c>
      <c r="BK47" s="475">
        <f>COUNTIF(ParticipationAvril1[[#This Row],[1]:[30]],code20)</f>
        <v>0</v>
      </c>
      <c r="BL47" s="476">
        <f>COUNTIF(ParticipationAvril1[[#This Row],[1]:[30]],code29)</f>
        <v>0</v>
      </c>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3"/>
      <c r="CT47" s="473"/>
      <c r="CU47" s="554">
        <f t="shared" ref="CU47:CU53" si="6">SUM((AH47*1)+(AI47*1.5)+(AJ47*2)+(AK47*4)+(AP47*5)+(AQ47*6)+(AR47*7)+(AU47*2)+(AX47*3)+(AY47*4)+(AZ47*5)+(BB47*3)+(BA47*2)+(BG47*2)+(BC47*2)+(BD47*2))</f>
        <v>0</v>
      </c>
      <c r="CV47" s="555">
        <f t="shared" si="3"/>
        <v>0</v>
      </c>
      <c r="CW47" s="556">
        <f t="shared" si="4"/>
        <v>0</v>
      </c>
      <c r="CX47" s="475">
        <f t="shared" si="5"/>
        <v>0</v>
      </c>
      <c r="CY47" s="477"/>
    </row>
    <row r="48" spans="1:104" ht="15" thickTop="1" thickBot="1">
      <c r="A48" s="510" t="s">
        <v>389</v>
      </c>
      <c r="B48" s="162" t="str">
        <f>IFERROR(VLOOKUP(ParticipationAvril1[[#This Row],[Référence]],ListeÉtudiants1[],18,FALSE),"")</f>
        <v>COULIBALY COLLO</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558"/>
      <c r="AG48" s="484"/>
      <c r="AH48" s="6">
        <f>COUNTIF(ParticipationAvril1[[#This Row],[1]:[30]],Code1)</f>
        <v>0</v>
      </c>
      <c r="AI48" s="475">
        <f>COUNTIF(ParticipationAvril1[[#This Row],[1]:[30]],code22)</f>
        <v>0</v>
      </c>
      <c r="AJ48" s="6">
        <f>COUNTIF(ParticipationAvril1[[#This Row],[1]:[30]],Code2)</f>
        <v>0</v>
      </c>
      <c r="AK48" s="6">
        <f>COUNTIF(ParticipationAvril1[[#This Row],[1]:[30]],Code3)</f>
        <v>0</v>
      </c>
      <c r="AL48" s="6">
        <f>COUNTIF(ParticipationAvril1[[#This Row],[1]:[30]],Code4)</f>
        <v>0</v>
      </c>
      <c r="AM48" s="475">
        <f>COUNTIF(ParticipationAvril1[[#This Row],[1]:[30]],Code5)</f>
        <v>0</v>
      </c>
      <c r="AN48" s="475">
        <f>COUNTIF(ParticipationAvril1[[#This Row],[1]:[30]],Code23)</f>
        <v>0</v>
      </c>
      <c r="AO48" s="475">
        <f>COUNTIF(ParticipationAvril1[[#This Row],[1]:[30]],Code6)</f>
        <v>0</v>
      </c>
      <c r="AP48" s="475">
        <f>COUNTIF(ParticipationAvril1[[#This Row],[1]:[30]],Code7)</f>
        <v>0</v>
      </c>
      <c r="AQ48" s="475">
        <f>COUNTIF(ParticipationAvril1[[#This Row],[1]:[30]],Code8)</f>
        <v>0</v>
      </c>
      <c r="AR48" s="475">
        <f>COUNTIF(ParticipationAvril1[[#This Row],[1]:[30]],Code9)</f>
        <v>0</v>
      </c>
      <c r="AS48" s="475">
        <f>COUNTIF(ParticipationAvril1[[#This Row],[1]:[30]],Code10)</f>
        <v>0</v>
      </c>
      <c r="AT48" s="475">
        <f>COUNTIF(ParticipationAvril1[[#This Row],[1]:[30]],Code11)</f>
        <v>0</v>
      </c>
      <c r="AU48" s="475">
        <f>COUNTIF(ParticipationAvril1[[#This Row],[1]:[30]],Code12)</f>
        <v>0</v>
      </c>
      <c r="AV48" s="475">
        <f>COUNTIF(ParticipationAvril1[[#This Row],[1]:[30]],Code13)</f>
        <v>0</v>
      </c>
      <c r="AW48" s="475">
        <f>COUNTIF(ParticipationAvril1[[#This Row],[1]:[30]],Code14)</f>
        <v>0</v>
      </c>
      <c r="AX48" s="475">
        <f>COUNTIF(ParticipationAvril1[[#This Row],[1]:[30]],Code16)</f>
        <v>0</v>
      </c>
      <c r="AY48" s="475">
        <f>COUNTIF(ParticipationAvril1[[#This Row],[1]:[30]],Code15)</f>
        <v>0</v>
      </c>
      <c r="AZ48" s="475">
        <f>COUNTIF(ParticipationAvril1[[#This Row],[1]:[30]],Code17)</f>
        <v>0</v>
      </c>
      <c r="BA48" s="475">
        <f>COUNTIF(ParticipationAvril1[[#This Row],[1]:[30]],Code25)</f>
        <v>0</v>
      </c>
      <c r="BB48" s="475">
        <f>COUNTIF(ParticipationAvril1[[#This Row],[1]:[30]],Code26)</f>
        <v>0</v>
      </c>
      <c r="BC48" s="474">
        <f>COUNTIF(ParticipationAvril1[[#This Row],[1]:[30]],Code27)</f>
        <v>0</v>
      </c>
      <c r="BD48" s="475">
        <f>COUNTIF(ParticipationAvril1[[#This Row],[1]:[30]],Code28)</f>
        <v>0</v>
      </c>
      <c r="BE48" s="475">
        <f>COUNTIF(ParticipationAvril1[[#This Row],[1]:[30]],code30)</f>
        <v>0</v>
      </c>
      <c r="BF48" s="475">
        <f>COUNTIF(ParticipationAvril1[[#This Row],[1]:[30]],Code31)</f>
        <v>0</v>
      </c>
      <c r="BG48" s="475">
        <f>COUNTIF(ParticipationAvril1[[#This Row],[1]:[30]],code21)</f>
        <v>0</v>
      </c>
      <c r="BH48" s="475">
        <f>COUNTIF(ParticipationAvril1[[#This Row],[1]:[30]],Code24)</f>
        <v>0</v>
      </c>
      <c r="BI48" s="475">
        <f>COUNTIF(ParticipationAvril1[[#This Row],[1]:[30]],code18)</f>
        <v>0</v>
      </c>
      <c r="BJ48" s="475">
        <f>COUNTIF(ParticipationAvril1[[#This Row],[1]:[30]],code19)</f>
        <v>0</v>
      </c>
      <c r="BK48" s="475">
        <f>COUNTIF(ParticipationAvril1[[#This Row],[1]:[30]],code20)</f>
        <v>0</v>
      </c>
      <c r="BL48" s="476">
        <f>COUNTIF(ParticipationAvril1[[#This Row],[1]:[30]],code29)</f>
        <v>0</v>
      </c>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3"/>
      <c r="CT48" s="473"/>
      <c r="CU48" s="554">
        <f t="shared" si="6"/>
        <v>0</v>
      </c>
      <c r="CV48" s="555">
        <f t="shared" si="3"/>
        <v>0</v>
      </c>
      <c r="CW48" s="556">
        <f t="shared" si="4"/>
        <v>0</v>
      </c>
      <c r="CX48" s="475">
        <f t="shared" si="5"/>
        <v>0</v>
      </c>
      <c r="CY48" s="477"/>
    </row>
    <row r="49" spans="1:104" ht="15" thickTop="1" thickBot="1">
      <c r="A49" s="510" t="s">
        <v>390</v>
      </c>
      <c r="B49" s="162" t="str">
        <f>IFERROR(VLOOKUP(ParticipationAvril1[[#This Row],[Référence]],ListeÉtudiants1[],18,FALSE),"")</f>
        <v>DAGNET ANNAH</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558"/>
      <c r="AG49" s="484"/>
      <c r="AH49" s="6">
        <f>COUNTIF(ParticipationAvril1[[#This Row],[1]:[30]],Code1)</f>
        <v>0</v>
      </c>
      <c r="AI49" s="475">
        <f>COUNTIF(ParticipationAvril1[[#This Row],[1]:[30]],code22)</f>
        <v>0</v>
      </c>
      <c r="AJ49" s="6">
        <f>COUNTIF(ParticipationAvril1[[#This Row],[1]:[30]],Code2)</f>
        <v>0</v>
      </c>
      <c r="AK49" s="6">
        <f>COUNTIF(ParticipationAvril1[[#This Row],[1]:[30]],Code3)</f>
        <v>0</v>
      </c>
      <c r="AL49" s="6">
        <f>COUNTIF(ParticipationAvril1[[#This Row],[1]:[30]],Code4)</f>
        <v>0</v>
      </c>
      <c r="AM49" s="475">
        <f>COUNTIF(ParticipationAvril1[[#This Row],[1]:[30]],Code5)</f>
        <v>0</v>
      </c>
      <c r="AN49" s="475">
        <f>COUNTIF(ParticipationAvril1[[#This Row],[1]:[30]],Code23)</f>
        <v>0</v>
      </c>
      <c r="AO49" s="475">
        <f>COUNTIF(ParticipationAvril1[[#This Row],[1]:[30]],Code6)</f>
        <v>0</v>
      </c>
      <c r="AP49" s="475">
        <f>COUNTIF(ParticipationAvril1[[#This Row],[1]:[30]],Code7)</f>
        <v>0</v>
      </c>
      <c r="AQ49" s="475">
        <f>COUNTIF(ParticipationAvril1[[#This Row],[1]:[30]],Code8)</f>
        <v>0</v>
      </c>
      <c r="AR49" s="475">
        <f>COUNTIF(ParticipationAvril1[[#This Row],[1]:[30]],Code9)</f>
        <v>0</v>
      </c>
      <c r="AS49" s="475">
        <f>COUNTIF(ParticipationAvril1[[#This Row],[1]:[30]],Code10)</f>
        <v>0</v>
      </c>
      <c r="AT49" s="475">
        <f>COUNTIF(ParticipationAvril1[[#This Row],[1]:[30]],Code11)</f>
        <v>0</v>
      </c>
      <c r="AU49" s="475">
        <f>COUNTIF(ParticipationAvril1[[#This Row],[1]:[30]],Code12)</f>
        <v>0</v>
      </c>
      <c r="AV49" s="475">
        <f>COUNTIF(ParticipationAvril1[[#This Row],[1]:[30]],Code13)</f>
        <v>0</v>
      </c>
      <c r="AW49" s="475">
        <f>COUNTIF(ParticipationAvril1[[#This Row],[1]:[30]],Code14)</f>
        <v>0</v>
      </c>
      <c r="AX49" s="475">
        <f>COUNTIF(ParticipationAvril1[[#This Row],[1]:[30]],Code16)</f>
        <v>0</v>
      </c>
      <c r="AY49" s="475">
        <f>COUNTIF(ParticipationAvril1[[#This Row],[1]:[30]],Code15)</f>
        <v>0</v>
      </c>
      <c r="AZ49" s="475">
        <f>COUNTIF(ParticipationAvril1[[#This Row],[1]:[30]],Code17)</f>
        <v>0</v>
      </c>
      <c r="BA49" s="475">
        <f>COUNTIF(ParticipationAvril1[[#This Row],[1]:[30]],Code25)</f>
        <v>0</v>
      </c>
      <c r="BB49" s="475">
        <f>COUNTIF(ParticipationAvril1[[#This Row],[1]:[30]],Code26)</f>
        <v>0</v>
      </c>
      <c r="BC49" s="474">
        <f>COUNTIF(ParticipationAvril1[[#This Row],[1]:[30]],Code27)</f>
        <v>0</v>
      </c>
      <c r="BD49" s="475">
        <f>COUNTIF(ParticipationAvril1[[#This Row],[1]:[30]],Code28)</f>
        <v>0</v>
      </c>
      <c r="BE49" s="475">
        <f>COUNTIF(ParticipationAvril1[[#This Row],[1]:[30]],code30)</f>
        <v>0</v>
      </c>
      <c r="BF49" s="475">
        <f>COUNTIF(ParticipationAvril1[[#This Row],[1]:[30]],Code31)</f>
        <v>0</v>
      </c>
      <c r="BG49" s="475">
        <f>COUNTIF(ParticipationAvril1[[#This Row],[1]:[30]],code21)</f>
        <v>0</v>
      </c>
      <c r="BH49" s="475">
        <f>COUNTIF(ParticipationAvril1[[#This Row],[1]:[30]],Code24)</f>
        <v>0</v>
      </c>
      <c r="BI49" s="475">
        <f>COUNTIF(ParticipationAvril1[[#This Row],[1]:[30]],code18)</f>
        <v>0</v>
      </c>
      <c r="BJ49" s="475">
        <f>COUNTIF(ParticipationAvril1[[#This Row],[1]:[30]],code19)</f>
        <v>0</v>
      </c>
      <c r="BK49" s="475">
        <f>COUNTIF(ParticipationAvril1[[#This Row],[1]:[30]],code20)</f>
        <v>0</v>
      </c>
      <c r="BL49" s="476">
        <f>COUNTIF(ParticipationAvril1[[#This Row],[1]:[30]],code29)</f>
        <v>0</v>
      </c>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3"/>
      <c r="CT49" s="473"/>
      <c r="CU49" s="554">
        <f t="shared" si="6"/>
        <v>0</v>
      </c>
      <c r="CV49" s="555">
        <f t="shared" si="3"/>
        <v>0</v>
      </c>
      <c r="CW49" s="556">
        <f t="shared" si="4"/>
        <v>0</v>
      </c>
      <c r="CX49" s="475">
        <f t="shared" si="5"/>
        <v>0</v>
      </c>
      <c r="CY49" s="477"/>
    </row>
    <row r="50" spans="1:104" ht="15" thickTop="1" thickBot="1">
      <c r="A50" s="510" t="s">
        <v>391</v>
      </c>
      <c r="B50" s="162" t="str">
        <f>IFERROR(VLOOKUP(ParticipationAvril1[[#This Row],[Référence]],ListeÉtudiants1[],18,FALSE),"")</f>
        <v>DAHMANI LUANA</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558"/>
      <c r="AG50" s="484"/>
      <c r="AH50" s="6">
        <f>COUNTIF(ParticipationAvril1[[#This Row],[1]:[30]],Code1)</f>
        <v>0</v>
      </c>
      <c r="AI50" s="475">
        <f>COUNTIF(ParticipationAvril1[[#This Row],[1]:[30]],code22)</f>
        <v>0</v>
      </c>
      <c r="AJ50" s="6">
        <f>COUNTIF(ParticipationAvril1[[#This Row],[1]:[30]],Code2)</f>
        <v>0</v>
      </c>
      <c r="AK50" s="6">
        <f>COUNTIF(ParticipationAvril1[[#This Row],[1]:[30]],Code3)</f>
        <v>0</v>
      </c>
      <c r="AL50" s="6">
        <f>COUNTIF(ParticipationAvril1[[#This Row],[1]:[30]],Code4)</f>
        <v>0</v>
      </c>
      <c r="AM50" s="475">
        <f>COUNTIF(ParticipationAvril1[[#This Row],[1]:[30]],Code5)</f>
        <v>0</v>
      </c>
      <c r="AN50" s="475">
        <f>COUNTIF(ParticipationAvril1[[#This Row],[1]:[30]],Code23)</f>
        <v>0</v>
      </c>
      <c r="AO50" s="475">
        <f>COUNTIF(ParticipationAvril1[[#This Row],[1]:[30]],Code6)</f>
        <v>0</v>
      </c>
      <c r="AP50" s="475">
        <f>COUNTIF(ParticipationAvril1[[#This Row],[1]:[30]],Code7)</f>
        <v>0</v>
      </c>
      <c r="AQ50" s="475">
        <f>COUNTIF(ParticipationAvril1[[#This Row],[1]:[30]],Code8)</f>
        <v>0</v>
      </c>
      <c r="AR50" s="475">
        <f>COUNTIF(ParticipationAvril1[[#This Row],[1]:[30]],Code9)</f>
        <v>0</v>
      </c>
      <c r="AS50" s="475">
        <f>COUNTIF(ParticipationAvril1[[#This Row],[1]:[30]],Code10)</f>
        <v>0</v>
      </c>
      <c r="AT50" s="475">
        <f>COUNTIF(ParticipationAvril1[[#This Row],[1]:[30]],Code11)</f>
        <v>0</v>
      </c>
      <c r="AU50" s="475">
        <f>COUNTIF(ParticipationAvril1[[#This Row],[1]:[30]],Code12)</f>
        <v>0</v>
      </c>
      <c r="AV50" s="475">
        <f>COUNTIF(ParticipationAvril1[[#This Row],[1]:[30]],Code13)</f>
        <v>0</v>
      </c>
      <c r="AW50" s="475">
        <f>COUNTIF(ParticipationAvril1[[#This Row],[1]:[30]],Code14)</f>
        <v>0</v>
      </c>
      <c r="AX50" s="475">
        <f>COUNTIF(ParticipationAvril1[[#This Row],[1]:[30]],Code16)</f>
        <v>0</v>
      </c>
      <c r="AY50" s="475">
        <f>COUNTIF(ParticipationAvril1[[#This Row],[1]:[30]],Code15)</f>
        <v>0</v>
      </c>
      <c r="AZ50" s="475">
        <f>COUNTIF(ParticipationAvril1[[#This Row],[1]:[30]],Code17)</f>
        <v>0</v>
      </c>
      <c r="BA50" s="475">
        <f>COUNTIF(ParticipationAvril1[[#This Row],[1]:[30]],Code25)</f>
        <v>0</v>
      </c>
      <c r="BB50" s="475">
        <f>COUNTIF(ParticipationAvril1[[#This Row],[1]:[30]],Code26)</f>
        <v>0</v>
      </c>
      <c r="BC50" s="474">
        <f>COUNTIF(ParticipationAvril1[[#This Row],[1]:[30]],Code27)</f>
        <v>0</v>
      </c>
      <c r="BD50" s="475">
        <f>COUNTIF(ParticipationAvril1[[#This Row],[1]:[30]],Code28)</f>
        <v>0</v>
      </c>
      <c r="BE50" s="475">
        <f>COUNTIF(ParticipationAvril1[[#This Row],[1]:[30]],code30)</f>
        <v>0</v>
      </c>
      <c r="BF50" s="475">
        <f>COUNTIF(ParticipationAvril1[[#This Row],[1]:[30]],Code31)</f>
        <v>0</v>
      </c>
      <c r="BG50" s="475">
        <f>COUNTIF(ParticipationAvril1[[#This Row],[1]:[30]],code21)</f>
        <v>0</v>
      </c>
      <c r="BH50" s="475">
        <f>COUNTIF(ParticipationAvril1[[#This Row],[1]:[30]],Code24)</f>
        <v>0</v>
      </c>
      <c r="BI50" s="475">
        <f>COUNTIF(ParticipationAvril1[[#This Row],[1]:[30]],code18)</f>
        <v>0</v>
      </c>
      <c r="BJ50" s="475">
        <f>COUNTIF(ParticipationAvril1[[#This Row],[1]:[30]],code19)</f>
        <v>0</v>
      </c>
      <c r="BK50" s="475">
        <f>COUNTIF(ParticipationAvril1[[#This Row],[1]:[30]],code20)</f>
        <v>0</v>
      </c>
      <c r="BL50" s="476">
        <f>COUNTIF(ParticipationAvril1[[#This Row],[1]:[30]],code29)</f>
        <v>0</v>
      </c>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3"/>
      <c r="CT50" s="473"/>
      <c r="CU50" s="554">
        <f t="shared" si="6"/>
        <v>0</v>
      </c>
      <c r="CV50" s="555">
        <f t="shared" si="3"/>
        <v>0</v>
      </c>
      <c r="CW50" s="556">
        <f t="shared" si="4"/>
        <v>0</v>
      </c>
      <c r="CX50" s="475">
        <f t="shared" si="5"/>
        <v>0</v>
      </c>
      <c r="CY50" s="477"/>
    </row>
    <row r="51" spans="1:104" ht="15" thickTop="1" thickBot="1">
      <c r="A51" s="534" t="s">
        <v>392</v>
      </c>
      <c r="B51" s="162" t="str">
        <f>IFERROR(VLOOKUP(ParticipationAvril1[[#This Row],[Référence]],ListeÉtudiants1[],18,FALSE),"")</f>
        <v>DALI SOUAD</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558"/>
      <c r="AG51" s="484"/>
      <c r="AH51" s="6">
        <f>COUNTIF(ParticipationAvril1[[#This Row],[1]:[30]],Code1)</f>
        <v>0</v>
      </c>
      <c r="AI51" s="475">
        <f>COUNTIF(ParticipationAvril1[[#This Row],[1]:[30]],code22)</f>
        <v>0</v>
      </c>
      <c r="AJ51" s="6">
        <f>COUNTIF(ParticipationAvril1[[#This Row],[1]:[30]],Code2)</f>
        <v>0</v>
      </c>
      <c r="AK51" s="6">
        <f>COUNTIF(ParticipationAvril1[[#This Row],[1]:[30]],Code3)</f>
        <v>0</v>
      </c>
      <c r="AL51" s="6">
        <f>COUNTIF(ParticipationAvril1[[#This Row],[1]:[30]],Code4)</f>
        <v>0</v>
      </c>
      <c r="AM51" s="475">
        <f>COUNTIF(ParticipationAvril1[[#This Row],[1]:[30]],Code5)</f>
        <v>0</v>
      </c>
      <c r="AN51" s="475">
        <f>COUNTIF(ParticipationAvril1[[#This Row],[1]:[30]],Code23)</f>
        <v>0</v>
      </c>
      <c r="AO51" s="475">
        <f>COUNTIF(ParticipationAvril1[[#This Row],[1]:[30]],Code6)</f>
        <v>0</v>
      </c>
      <c r="AP51" s="475">
        <f>COUNTIF(ParticipationAvril1[[#This Row],[1]:[30]],Code7)</f>
        <v>0</v>
      </c>
      <c r="AQ51" s="475">
        <f>COUNTIF(ParticipationAvril1[[#This Row],[1]:[30]],Code8)</f>
        <v>0</v>
      </c>
      <c r="AR51" s="475">
        <f>COUNTIF(ParticipationAvril1[[#This Row],[1]:[30]],Code9)</f>
        <v>0</v>
      </c>
      <c r="AS51" s="475">
        <f>COUNTIF(ParticipationAvril1[[#This Row],[1]:[30]],Code10)</f>
        <v>0</v>
      </c>
      <c r="AT51" s="475">
        <f>COUNTIF(ParticipationAvril1[[#This Row],[1]:[30]],Code11)</f>
        <v>0</v>
      </c>
      <c r="AU51" s="475">
        <f>COUNTIF(ParticipationAvril1[[#This Row],[1]:[30]],Code12)</f>
        <v>0</v>
      </c>
      <c r="AV51" s="475">
        <f>COUNTIF(ParticipationAvril1[[#This Row],[1]:[30]],Code13)</f>
        <v>0</v>
      </c>
      <c r="AW51" s="475">
        <f>COUNTIF(ParticipationAvril1[[#This Row],[1]:[30]],Code14)</f>
        <v>0</v>
      </c>
      <c r="AX51" s="475">
        <f>COUNTIF(ParticipationAvril1[[#This Row],[1]:[30]],Code16)</f>
        <v>0</v>
      </c>
      <c r="AY51" s="475">
        <f>COUNTIF(ParticipationAvril1[[#This Row],[1]:[30]],Code15)</f>
        <v>0</v>
      </c>
      <c r="AZ51" s="475">
        <f>COUNTIF(ParticipationAvril1[[#This Row],[1]:[30]],Code17)</f>
        <v>0</v>
      </c>
      <c r="BA51" s="475">
        <f>COUNTIF(ParticipationAvril1[[#This Row],[1]:[30]],Code25)</f>
        <v>0</v>
      </c>
      <c r="BB51" s="475">
        <f>COUNTIF(ParticipationAvril1[[#This Row],[1]:[30]],Code26)</f>
        <v>0</v>
      </c>
      <c r="BC51" s="474">
        <f>COUNTIF(ParticipationAvril1[[#This Row],[1]:[30]],Code27)</f>
        <v>0</v>
      </c>
      <c r="BD51" s="475">
        <f>COUNTIF(ParticipationAvril1[[#This Row],[1]:[30]],Code28)</f>
        <v>0</v>
      </c>
      <c r="BE51" s="475">
        <f>COUNTIF(ParticipationAvril1[[#This Row],[1]:[30]],code30)</f>
        <v>0</v>
      </c>
      <c r="BF51" s="475">
        <f>COUNTIF(ParticipationAvril1[[#This Row],[1]:[30]],Code31)</f>
        <v>0</v>
      </c>
      <c r="BG51" s="475">
        <f>COUNTIF(ParticipationAvril1[[#This Row],[1]:[30]],code21)</f>
        <v>0</v>
      </c>
      <c r="BH51" s="475">
        <f>COUNTIF(ParticipationAvril1[[#This Row],[1]:[30]],Code24)</f>
        <v>0</v>
      </c>
      <c r="BI51" s="475">
        <f>COUNTIF(ParticipationAvril1[[#This Row],[1]:[30]],code18)</f>
        <v>0</v>
      </c>
      <c r="BJ51" s="475">
        <f>COUNTIF(ParticipationAvril1[[#This Row],[1]:[30]],code19)</f>
        <v>0</v>
      </c>
      <c r="BK51" s="475">
        <f>COUNTIF(ParticipationAvril1[[#This Row],[1]:[30]],code20)</f>
        <v>0</v>
      </c>
      <c r="BL51" s="476">
        <f>COUNTIF(ParticipationAvril1[[#This Row],[1]:[30]],code29)</f>
        <v>0</v>
      </c>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3"/>
      <c r="CT51" s="473"/>
      <c r="CU51" s="554">
        <f t="shared" si="6"/>
        <v>0</v>
      </c>
      <c r="CV51" s="555">
        <f t="shared" si="3"/>
        <v>0</v>
      </c>
      <c r="CW51" s="556">
        <f t="shared" si="4"/>
        <v>0</v>
      </c>
      <c r="CX51" s="475">
        <f t="shared" si="5"/>
        <v>0</v>
      </c>
      <c r="CY51" s="477"/>
    </row>
    <row r="52" spans="1:104" ht="15" thickTop="1" thickBot="1">
      <c r="A52" s="510" t="s">
        <v>393</v>
      </c>
      <c r="B52" s="162" t="str">
        <f>IFERROR(VLOOKUP(ParticipationAvril1[[#This Row],[Référence]],ListeÉtudiants1[],18,FALSE),"")</f>
        <v>DANION LUCIE</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558"/>
      <c r="AG52" s="484"/>
      <c r="AH52" s="6">
        <f>COUNTIF(ParticipationAvril1[[#This Row],[1]:[30]],Code1)</f>
        <v>0</v>
      </c>
      <c r="AI52" s="475">
        <f>COUNTIF(ParticipationAvril1[[#This Row],[1]:[30]],code22)</f>
        <v>0</v>
      </c>
      <c r="AJ52" s="6">
        <f>COUNTIF(ParticipationAvril1[[#This Row],[1]:[30]],Code2)</f>
        <v>0</v>
      </c>
      <c r="AK52" s="6">
        <f>COUNTIF(ParticipationAvril1[[#This Row],[1]:[30]],Code3)</f>
        <v>0</v>
      </c>
      <c r="AL52" s="6">
        <f>COUNTIF(ParticipationAvril1[[#This Row],[1]:[30]],Code4)</f>
        <v>0</v>
      </c>
      <c r="AM52" s="475">
        <f>COUNTIF(ParticipationAvril1[[#This Row],[1]:[30]],Code5)</f>
        <v>0</v>
      </c>
      <c r="AN52" s="475">
        <f>COUNTIF(ParticipationAvril1[[#This Row],[1]:[30]],Code23)</f>
        <v>0</v>
      </c>
      <c r="AO52" s="475">
        <f>COUNTIF(ParticipationAvril1[[#This Row],[1]:[30]],Code6)</f>
        <v>0</v>
      </c>
      <c r="AP52" s="475">
        <f>COUNTIF(ParticipationAvril1[[#This Row],[1]:[30]],Code7)</f>
        <v>0</v>
      </c>
      <c r="AQ52" s="475">
        <f>COUNTIF(ParticipationAvril1[[#This Row],[1]:[30]],Code8)</f>
        <v>0</v>
      </c>
      <c r="AR52" s="475">
        <f>COUNTIF(ParticipationAvril1[[#This Row],[1]:[30]],Code9)</f>
        <v>0</v>
      </c>
      <c r="AS52" s="475">
        <f>COUNTIF(ParticipationAvril1[[#This Row],[1]:[30]],Code10)</f>
        <v>0</v>
      </c>
      <c r="AT52" s="475">
        <f>COUNTIF(ParticipationAvril1[[#This Row],[1]:[30]],Code11)</f>
        <v>0</v>
      </c>
      <c r="AU52" s="475">
        <f>COUNTIF(ParticipationAvril1[[#This Row],[1]:[30]],Code12)</f>
        <v>0</v>
      </c>
      <c r="AV52" s="475">
        <f>COUNTIF(ParticipationAvril1[[#This Row],[1]:[30]],Code13)</f>
        <v>0</v>
      </c>
      <c r="AW52" s="475">
        <f>COUNTIF(ParticipationAvril1[[#This Row],[1]:[30]],Code14)</f>
        <v>0</v>
      </c>
      <c r="AX52" s="475">
        <f>COUNTIF(ParticipationAvril1[[#This Row],[1]:[30]],Code16)</f>
        <v>0</v>
      </c>
      <c r="AY52" s="475">
        <f>COUNTIF(ParticipationAvril1[[#This Row],[1]:[30]],Code15)</f>
        <v>0</v>
      </c>
      <c r="AZ52" s="475">
        <f>COUNTIF(ParticipationAvril1[[#This Row],[1]:[30]],Code17)</f>
        <v>0</v>
      </c>
      <c r="BA52" s="475">
        <f>COUNTIF(ParticipationAvril1[[#This Row],[1]:[30]],Code25)</f>
        <v>0</v>
      </c>
      <c r="BB52" s="475">
        <f>COUNTIF(ParticipationAvril1[[#This Row],[1]:[30]],Code26)</f>
        <v>0</v>
      </c>
      <c r="BC52" s="474">
        <f>COUNTIF(ParticipationAvril1[[#This Row],[1]:[30]],Code27)</f>
        <v>0</v>
      </c>
      <c r="BD52" s="475">
        <f>COUNTIF(ParticipationAvril1[[#This Row],[1]:[30]],Code28)</f>
        <v>0</v>
      </c>
      <c r="BE52" s="475">
        <f>COUNTIF(ParticipationAvril1[[#This Row],[1]:[30]],code30)</f>
        <v>0</v>
      </c>
      <c r="BF52" s="475">
        <f>COUNTIF(ParticipationAvril1[[#This Row],[1]:[30]],Code31)</f>
        <v>0</v>
      </c>
      <c r="BG52" s="475">
        <f>COUNTIF(ParticipationAvril1[[#This Row],[1]:[30]],code21)</f>
        <v>0</v>
      </c>
      <c r="BH52" s="475">
        <f>COUNTIF(ParticipationAvril1[[#This Row],[1]:[30]],Code24)</f>
        <v>0</v>
      </c>
      <c r="BI52" s="475">
        <f>COUNTIF(ParticipationAvril1[[#This Row],[1]:[30]],code18)</f>
        <v>0</v>
      </c>
      <c r="BJ52" s="475">
        <f>COUNTIF(ParticipationAvril1[[#This Row],[1]:[30]],code19)</f>
        <v>0</v>
      </c>
      <c r="BK52" s="475">
        <f>COUNTIF(ParticipationAvril1[[#This Row],[1]:[30]],code20)</f>
        <v>0</v>
      </c>
      <c r="BL52" s="476">
        <f>COUNTIF(ParticipationAvril1[[#This Row],[1]:[30]],code29)</f>
        <v>0</v>
      </c>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3"/>
      <c r="CT52" s="473"/>
      <c r="CU52" s="554">
        <f t="shared" si="6"/>
        <v>0</v>
      </c>
      <c r="CV52" s="555">
        <f t="shared" si="3"/>
        <v>0</v>
      </c>
      <c r="CW52" s="556">
        <f t="shared" si="4"/>
        <v>0</v>
      </c>
      <c r="CX52" s="475">
        <f t="shared" si="5"/>
        <v>0</v>
      </c>
      <c r="CY52" s="477"/>
    </row>
    <row r="53" spans="1:104" ht="15" thickTop="1" thickBot="1">
      <c r="A53" s="510" t="s">
        <v>394</v>
      </c>
      <c r="B53" s="162" t="str">
        <f>IFERROR(VLOOKUP(ParticipationAvril1[[#This Row],[Référence]],ListeÉtudiants1[],18,FALSE),"")</f>
        <v>DE LUISE STELLA</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478"/>
      <c r="AH53" s="6">
        <f>COUNTIF(ParticipationAvril1[[#This Row],[1]:[30]],Code1)</f>
        <v>0</v>
      </c>
      <c r="AI53" s="475">
        <f>COUNTIF(ParticipationAvril1[[#This Row],[1]:[30]],code22)</f>
        <v>0</v>
      </c>
      <c r="AJ53" s="6">
        <f>COUNTIF(ParticipationAvril1[[#This Row],[1]:[30]],Code2)</f>
        <v>0</v>
      </c>
      <c r="AK53" s="6">
        <f>COUNTIF(ParticipationAvril1[[#This Row],[1]:[30]],Code3)</f>
        <v>0</v>
      </c>
      <c r="AL53" s="6">
        <f>COUNTIF(ParticipationAvril1[[#This Row],[1]:[30]],Code4)</f>
        <v>0</v>
      </c>
      <c r="AM53" s="475">
        <f>COUNTIF(ParticipationAvril1[[#This Row],[1]:[30]],Code5)</f>
        <v>0</v>
      </c>
      <c r="AN53" s="475">
        <f>COUNTIF(ParticipationAvril1[[#This Row],[1]:[30]],Code23)</f>
        <v>0</v>
      </c>
      <c r="AO53" s="475">
        <f>COUNTIF(ParticipationAvril1[[#This Row],[1]:[30]],Code6)</f>
        <v>0</v>
      </c>
      <c r="AP53" s="475">
        <f>COUNTIF(ParticipationAvril1[[#This Row],[1]:[30]],Code7)</f>
        <v>0</v>
      </c>
      <c r="AQ53" s="475">
        <f>COUNTIF(ParticipationAvril1[[#This Row],[1]:[30]],Code8)</f>
        <v>0</v>
      </c>
      <c r="AR53" s="475">
        <f>COUNTIF(ParticipationAvril1[[#This Row],[1]:[30]],Code9)</f>
        <v>0</v>
      </c>
      <c r="AS53" s="475">
        <f>COUNTIF(ParticipationAvril1[[#This Row],[1]:[30]],Code10)</f>
        <v>0</v>
      </c>
      <c r="AT53" s="475">
        <f>COUNTIF(ParticipationAvril1[[#This Row],[1]:[30]],Code11)</f>
        <v>0</v>
      </c>
      <c r="AU53" s="475">
        <f>COUNTIF(ParticipationAvril1[[#This Row],[1]:[30]],Code12)</f>
        <v>0</v>
      </c>
      <c r="AV53" s="475">
        <f>COUNTIF(ParticipationAvril1[[#This Row],[1]:[30]],Code13)</f>
        <v>0</v>
      </c>
      <c r="AW53" s="475">
        <f>COUNTIF(ParticipationAvril1[[#This Row],[1]:[30]],Code14)</f>
        <v>0</v>
      </c>
      <c r="AX53" s="475">
        <f>COUNTIF(ParticipationAvril1[[#This Row],[1]:[30]],Code16)</f>
        <v>0</v>
      </c>
      <c r="AY53" s="475">
        <f>COUNTIF(ParticipationAvril1[[#This Row],[1]:[30]],Code15)</f>
        <v>0</v>
      </c>
      <c r="AZ53" s="475">
        <f>COUNTIF(ParticipationAvril1[[#This Row],[1]:[30]],Code17)</f>
        <v>0</v>
      </c>
      <c r="BA53" s="475">
        <f>COUNTIF(ParticipationAvril1[[#This Row],[1]:[30]],Code25)</f>
        <v>0</v>
      </c>
      <c r="BB53" s="475">
        <f>COUNTIF(ParticipationAvril1[[#This Row],[1]:[30]],Code26)</f>
        <v>0</v>
      </c>
      <c r="BC53" s="474">
        <f>COUNTIF(ParticipationAvril1[[#This Row],[1]:[30]],Code27)</f>
        <v>0</v>
      </c>
      <c r="BD53" s="475">
        <f>COUNTIF(ParticipationAvril1[[#This Row],[1]:[30]],Code28)</f>
        <v>0</v>
      </c>
      <c r="BE53" s="475">
        <f>COUNTIF(ParticipationAvril1[[#This Row],[1]:[30]],code30)</f>
        <v>0</v>
      </c>
      <c r="BF53" s="475">
        <f>COUNTIF(ParticipationAvril1[[#This Row],[1]:[30]],Code31)</f>
        <v>0</v>
      </c>
      <c r="BG53" s="475">
        <f>COUNTIF(ParticipationAvril1[[#This Row],[1]:[30]],code21)</f>
        <v>0</v>
      </c>
      <c r="BH53" s="475">
        <f>COUNTIF(ParticipationAvril1[[#This Row],[1]:[30]],Code24)</f>
        <v>0</v>
      </c>
      <c r="BI53" s="475">
        <f>COUNTIF(ParticipationAvril1[[#This Row],[1]:[30]],code18)</f>
        <v>0</v>
      </c>
      <c r="BJ53" s="475">
        <f>COUNTIF(ParticipationAvril1[[#This Row],[1]:[30]],code19)</f>
        <v>0</v>
      </c>
      <c r="BK53" s="475">
        <f>COUNTIF(ParticipationAvril1[[#This Row],[1]:[30]],code20)</f>
        <v>0</v>
      </c>
      <c r="BL53" s="476">
        <f>COUNTIF(ParticipationAvril1[[#This Row],[1]:[30]],code29)</f>
        <v>0</v>
      </c>
      <c r="BM53" s="472"/>
      <c r="BN53" s="472"/>
      <c r="BO53" s="472"/>
      <c r="BP53" s="472"/>
      <c r="BQ53" s="472"/>
      <c r="BR53" s="472"/>
      <c r="BS53" s="472"/>
      <c r="BT53" s="472"/>
      <c r="BU53" s="472"/>
      <c r="BV53" s="472"/>
      <c r="BW53" s="472"/>
      <c r="BX53" s="472"/>
      <c r="BY53" s="472"/>
      <c r="BZ53" s="472"/>
      <c r="CA53" s="472"/>
      <c r="CB53" s="472"/>
      <c r="CC53" s="472"/>
      <c r="CD53" s="472"/>
      <c r="CE53" s="472"/>
      <c r="CF53" s="472"/>
      <c r="CG53" s="472"/>
      <c r="CH53" s="472"/>
      <c r="CI53" s="472"/>
      <c r="CJ53" s="472"/>
      <c r="CK53" s="472"/>
      <c r="CL53" s="472"/>
      <c r="CM53" s="472"/>
      <c r="CN53" s="472"/>
      <c r="CO53" s="472"/>
      <c r="CP53" s="472"/>
      <c r="CQ53" s="472"/>
      <c r="CR53" s="472"/>
      <c r="CS53" s="473"/>
      <c r="CT53" s="473"/>
      <c r="CU53" s="516">
        <f t="shared" si="6"/>
        <v>0</v>
      </c>
      <c r="CV53" s="555">
        <f t="shared" si="3"/>
        <v>0</v>
      </c>
      <c r="CW53" s="562">
        <f t="shared" si="4"/>
        <v>0</v>
      </c>
      <c r="CX53" s="475">
        <f t="shared" si="5"/>
        <v>0</v>
      </c>
      <c r="CY53" s="477"/>
    </row>
    <row r="54" spans="1:104" ht="15" thickTop="1" thickBot="1">
      <c r="A54" s="534" t="s">
        <v>395</v>
      </c>
      <c r="B54" s="162" t="str">
        <f>IFERROR(VLOOKUP(ParticipationAvril1[[#This Row],[Référence]],ListeÉtudiants1[],18,FALSE),"")</f>
        <v>DIAOUNE MAJULA</v>
      </c>
      <c r="C54" s="19"/>
      <c r="D54" s="19"/>
      <c r="E54" s="19"/>
      <c r="F54" s="19" t="s">
        <v>108</v>
      </c>
      <c r="G54" s="19"/>
      <c r="H54" s="19"/>
      <c r="I54" s="19"/>
      <c r="J54" s="19"/>
      <c r="K54" s="19" t="s">
        <v>108</v>
      </c>
      <c r="L54" s="19" t="s">
        <v>108</v>
      </c>
      <c r="M54" s="19"/>
      <c r="N54" s="19" t="s">
        <v>106</v>
      </c>
      <c r="O54" s="19"/>
      <c r="P54" s="19"/>
      <c r="Q54" s="19"/>
      <c r="R54" s="19"/>
      <c r="S54" s="19"/>
      <c r="T54" s="19"/>
      <c r="U54" s="19"/>
      <c r="V54" s="19"/>
      <c r="W54" s="19"/>
      <c r="X54" s="19"/>
      <c r="Y54" s="19"/>
      <c r="Z54" s="19"/>
      <c r="AA54" s="19"/>
      <c r="AB54" s="19"/>
      <c r="AC54" s="19"/>
      <c r="AD54" s="19"/>
      <c r="AE54" s="19"/>
      <c r="AF54" s="558"/>
      <c r="AG54" s="560"/>
      <c r="AH54" s="6">
        <f>COUNTIF(ParticipationAvril1[[#This Row],[1]:[30]],Code1)</f>
        <v>0</v>
      </c>
      <c r="AI54" s="331">
        <f>COUNTIF(ParticipationAvril1[[#This Row],[1]:[30]],code22)</f>
        <v>0</v>
      </c>
      <c r="AJ54" s="6">
        <f>COUNTIF(ParticipationAvril1[[#This Row],[1]:[30]],Code2)</f>
        <v>0</v>
      </c>
      <c r="AK54" s="6">
        <f>COUNTIF(ParticipationAvril1[[#This Row],[1]:[30]],Code3)</f>
        <v>1</v>
      </c>
      <c r="AL54" s="6">
        <f>COUNTIF(ParticipationAvril1[[#This Row],[1]:[30]],Code4)</f>
        <v>0</v>
      </c>
      <c r="AM54" s="331">
        <f>COUNTIF(ParticipationAvril1[[#This Row],[1]:[30]],Code5)</f>
        <v>0</v>
      </c>
      <c r="AN54" s="331">
        <f>COUNTIF(ParticipationAvril1[[#This Row],[1]:[30]],Code23)</f>
        <v>0</v>
      </c>
      <c r="AO54" s="331">
        <f>COUNTIF(ParticipationAvril1[[#This Row],[1]:[30]],Code6)</f>
        <v>3</v>
      </c>
      <c r="AP54" s="331">
        <f>COUNTIF(ParticipationAvril1[[#This Row],[1]:[30]],Code7)</f>
        <v>0</v>
      </c>
      <c r="AQ54" s="331">
        <f>COUNTIF(ParticipationAvril1[[#This Row],[1]:[30]],Code8)</f>
        <v>0</v>
      </c>
      <c r="AR54" s="331">
        <f>COUNTIF(ParticipationAvril1[[#This Row],[1]:[30]],Code9)</f>
        <v>0</v>
      </c>
      <c r="AS54" s="331">
        <f>COUNTIF(ParticipationAvril1[[#This Row],[1]:[30]],Code10)</f>
        <v>0</v>
      </c>
      <c r="AT54" s="331">
        <f>COUNTIF(ParticipationAvril1[[#This Row],[1]:[30]],Code11)</f>
        <v>0</v>
      </c>
      <c r="AU54" s="331">
        <f>COUNTIF(ParticipationAvril1[[#This Row],[1]:[30]],Code12)</f>
        <v>0</v>
      </c>
      <c r="AV54" s="331">
        <f>COUNTIF(ParticipationAvril1[[#This Row],[1]:[30]],Code13)</f>
        <v>0</v>
      </c>
      <c r="AW54" s="331">
        <f>COUNTIF(ParticipationAvril1[[#This Row],[1]:[30]],Code14)</f>
        <v>0</v>
      </c>
      <c r="AX54" s="331">
        <f>COUNTIF(ParticipationAvril1[[#This Row],[1]:[30]],Code16)</f>
        <v>0</v>
      </c>
      <c r="AY54" s="331">
        <f>COUNTIF(ParticipationAvril1[[#This Row],[1]:[30]],Code15)</f>
        <v>0</v>
      </c>
      <c r="AZ54" s="331">
        <f>COUNTIF(ParticipationAvril1[[#This Row],[1]:[30]],Code17)</f>
        <v>0</v>
      </c>
      <c r="BA54" s="331">
        <f>COUNTIF(ParticipationAvril1[[#This Row],[1]:[30]],Code25)</f>
        <v>0</v>
      </c>
      <c r="BB54" s="331">
        <f>COUNTIF(ParticipationAvril1[[#This Row],[1]:[30]],Code26)</f>
        <v>0</v>
      </c>
      <c r="BC54" s="435">
        <f>COUNTIF(ParticipationAvril1[[#This Row],[1]:[30]],Code27)</f>
        <v>0</v>
      </c>
      <c r="BD54" s="331">
        <f>COUNTIF(ParticipationAvril1[[#This Row],[1]:[30]],Code28)</f>
        <v>0</v>
      </c>
      <c r="BE54" s="331">
        <f>COUNTIF(ParticipationAvril1[[#This Row],[1]:[30]],code30)</f>
        <v>0</v>
      </c>
      <c r="BF54" s="331">
        <f>COUNTIF(ParticipationAvril1[[#This Row],[1]:[30]],Code31)</f>
        <v>0</v>
      </c>
      <c r="BG54" s="331">
        <f>COUNTIF(ParticipationAvril1[[#This Row],[1]:[30]],code21)</f>
        <v>0</v>
      </c>
      <c r="BH54" s="331">
        <f>COUNTIF(ParticipationAvril1[[#This Row],[1]:[30]],Code24)</f>
        <v>0</v>
      </c>
      <c r="BI54" s="331">
        <f>COUNTIF(ParticipationAvril1[[#This Row],[1]:[30]],code18)</f>
        <v>0</v>
      </c>
      <c r="BJ54" s="331">
        <f>COUNTIF(ParticipationAvril1[[#This Row],[1]:[30]],code19)</f>
        <v>0</v>
      </c>
      <c r="BK54" s="331">
        <f>COUNTIF(ParticipationAvril1[[#This Row],[1]:[30]],code20)</f>
        <v>0</v>
      </c>
      <c r="BL54" s="436">
        <f>COUNTIF(ParticipationAvril1[[#This Row],[1]:[30]],code29)</f>
        <v>0</v>
      </c>
      <c r="BM54" s="297"/>
      <c r="BN54" s="297">
        <v>1</v>
      </c>
      <c r="BO54" s="297"/>
      <c r="BP54" s="297"/>
      <c r="BQ54" s="297"/>
      <c r="BR54" s="297"/>
      <c r="BS54" s="297"/>
      <c r="BT54" s="297">
        <v>1</v>
      </c>
      <c r="BU54" s="297"/>
      <c r="BV54" s="297"/>
      <c r="BW54" s="297">
        <v>1</v>
      </c>
      <c r="BX54" s="297"/>
      <c r="BY54" s="297"/>
      <c r="BZ54" s="297"/>
      <c r="CA54" s="297"/>
      <c r="CB54" s="297"/>
      <c r="CC54" s="297"/>
      <c r="CD54" s="297"/>
      <c r="CE54" s="297"/>
      <c r="CF54" s="297"/>
      <c r="CG54" s="297">
        <v>1</v>
      </c>
      <c r="CH54" s="297"/>
      <c r="CI54" s="297"/>
      <c r="CJ54" s="297"/>
      <c r="CK54" s="297">
        <v>1</v>
      </c>
      <c r="CL54" s="297"/>
      <c r="CM54" s="297"/>
      <c r="CN54" s="297"/>
      <c r="CO54" s="297"/>
      <c r="CP54" s="297"/>
      <c r="CQ54" s="297"/>
      <c r="CR54" s="297"/>
      <c r="CS54" s="307"/>
      <c r="CT54" s="307"/>
      <c r="CU54" s="561"/>
      <c r="CV54" s="485">
        <f t="shared" si="3"/>
        <v>3</v>
      </c>
      <c r="CW54" s="563">
        <f t="shared" si="4"/>
        <v>9</v>
      </c>
      <c r="CX54" s="331">
        <f t="shared" si="5"/>
        <v>0</v>
      </c>
      <c r="CY54" s="438"/>
    </row>
    <row r="55" spans="1:104" ht="15" thickTop="1" thickBot="1">
      <c r="A55" s="510" t="s">
        <v>396</v>
      </c>
      <c r="B55" s="162" t="str">
        <f>IFERROR(VLOOKUP(ParticipationAvril1[[#This Row],[Référence]],ListeÉtudiants1[],18,FALSE),"")</f>
        <v>DOS SANTOS SILVA CELIA</v>
      </c>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478"/>
      <c r="AH55" s="6">
        <f>COUNTIF(ParticipationAvril1[[#This Row],[1]:[30]],Code1)</f>
        <v>0</v>
      </c>
      <c r="AI55" s="475">
        <f>COUNTIF(ParticipationAvril1[[#This Row],[1]:[30]],code22)</f>
        <v>0</v>
      </c>
      <c r="AJ55" s="6">
        <f>COUNTIF(ParticipationAvril1[[#This Row],[1]:[30]],Code2)</f>
        <v>0</v>
      </c>
      <c r="AK55" s="6">
        <f>COUNTIF(ParticipationAvril1[[#This Row],[1]:[30]],Code3)</f>
        <v>0</v>
      </c>
      <c r="AL55" s="6">
        <f>COUNTIF(ParticipationAvril1[[#This Row],[1]:[30]],Code4)</f>
        <v>0</v>
      </c>
      <c r="AM55" s="475">
        <f>COUNTIF(ParticipationAvril1[[#This Row],[1]:[30]],Code5)</f>
        <v>0</v>
      </c>
      <c r="AN55" s="475">
        <f>COUNTIF(ParticipationAvril1[[#This Row],[1]:[30]],Code23)</f>
        <v>0</v>
      </c>
      <c r="AO55" s="475">
        <f>COUNTIF(ParticipationAvril1[[#This Row],[1]:[30]],Code6)</f>
        <v>0</v>
      </c>
      <c r="AP55" s="475">
        <f>COUNTIF(ParticipationAvril1[[#This Row],[1]:[30]],Code7)</f>
        <v>0</v>
      </c>
      <c r="AQ55" s="475">
        <f>COUNTIF(ParticipationAvril1[[#This Row],[1]:[30]],Code8)</f>
        <v>0</v>
      </c>
      <c r="AR55" s="475">
        <f>COUNTIF(ParticipationAvril1[[#This Row],[1]:[30]],Code9)</f>
        <v>0</v>
      </c>
      <c r="AS55" s="475">
        <f>COUNTIF(ParticipationAvril1[[#This Row],[1]:[30]],Code10)</f>
        <v>0</v>
      </c>
      <c r="AT55" s="475">
        <f>COUNTIF(ParticipationAvril1[[#This Row],[1]:[30]],Code11)</f>
        <v>0</v>
      </c>
      <c r="AU55" s="475">
        <f>COUNTIF(ParticipationAvril1[[#This Row],[1]:[30]],Code12)</f>
        <v>0</v>
      </c>
      <c r="AV55" s="475">
        <f>COUNTIF(ParticipationAvril1[[#This Row],[1]:[30]],Code13)</f>
        <v>0</v>
      </c>
      <c r="AW55" s="475">
        <f>COUNTIF(ParticipationAvril1[[#This Row],[1]:[30]],Code14)</f>
        <v>0</v>
      </c>
      <c r="AX55" s="475">
        <f>COUNTIF(ParticipationAvril1[[#This Row],[1]:[30]],Code16)</f>
        <v>0</v>
      </c>
      <c r="AY55" s="475">
        <f>COUNTIF(ParticipationAvril1[[#This Row],[1]:[30]],Code15)</f>
        <v>0</v>
      </c>
      <c r="AZ55" s="475">
        <f>COUNTIF(ParticipationAvril1[[#This Row],[1]:[30]],Code17)</f>
        <v>0</v>
      </c>
      <c r="BA55" s="475">
        <f>COUNTIF(ParticipationAvril1[[#This Row],[1]:[30]],Code25)</f>
        <v>0</v>
      </c>
      <c r="BB55" s="475">
        <f>COUNTIF(ParticipationAvril1[[#This Row],[1]:[30]],Code26)</f>
        <v>0</v>
      </c>
      <c r="BC55" s="474">
        <f>COUNTIF(ParticipationAvril1[[#This Row],[1]:[30]],Code27)</f>
        <v>0</v>
      </c>
      <c r="BD55" s="475">
        <f>COUNTIF(ParticipationAvril1[[#This Row],[1]:[30]],Code28)</f>
        <v>0</v>
      </c>
      <c r="BE55" s="475">
        <f>COUNTIF(ParticipationAvril1[[#This Row],[1]:[30]],code30)</f>
        <v>0</v>
      </c>
      <c r="BF55" s="475">
        <f>COUNTIF(ParticipationAvril1[[#This Row],[1]:[30]],Code31)</f>
        <v>0</v>
      </c>
      <c r="BG55" s="475">
        <f>COUNTIF(ParticipationAvril1[[#This Row],[1]:[30]],code21)</f>
        <v>0</v>
      </c>
      <c r="BH55" s="475">
        <f>COUNTIF(ParticipationAvril1[[#This Row],[1]:[30]],Code24)</f>
        <v>0</v>
      </c>
      <c r="BI55" s="475">
        <f>COUNTIF(ParticipationAvril1[[#This Row],[1]:[30]],code18)</f>
        <v>0</v>
      </c>
      <c r="BJ55" s="475">
        <f>COUNTIF(ParticipationAvril1[[#This Row],[1]:[30]],code19)</f>
        <v>0</v>
      </c>
      <c r="BK55" s="475">
        <f>COUNTIF(ParticipationAvril1[[#This Row],[1]:[30]],code20)</f>
        <v>0</v>
      </c>
      <c r="BL55" s="476">
        <f>COUNTIF(ParticipationAvril1[[#This Row],[1]:[30]],code29)</f>
        <v>0</v>
      </c>
      <c r="BM55" s="472"/>
      <c r="BN55" s="472"/>
      <c r="BO55" s="472"/>
      <c r="BP55" s="472"/>
      <c r="BQ55" s="472"/>
      <c r="BR55" s="472"/>
      <c r="BS55" s="472"/>
      <c r="BT55" s="472"/>
      <c r="BU55" s="472"/>
      <c r="BV55" s="472"/>
      <c r="BW55" s="472"/>
      <c r="BX55" s="472"/>
      <c r="BY55" s="472"/>
      <c r="BZ55" s="472"/>
      <c r="CA55" s="472"/>
      <c r="CB55" s="472"/>
      <c r="CC55" s="472"/>
      <c r="CD55" s="472"/>
      <c r="CE55" s="472"/>
      <c r="CF55" s="472"/>
      <c r="CG55" s="472"/>
      <c r="CH55" s="472"/>
      <c r="CI55" s="472"/>
      <c r="CJ55" s="472"/>
      <c r="CK55" s="472"/>
      <c r="CL55" s="472"/>
      <c r="CM55" s="472"/>
      <c r="CN55" s="472"/>
      <c r="CO55" s="472"/>
      <c r="CP55" s="472"/>
      <c r="CQ55" s="472"/>
      <c r="CR55" s="472"/>
      <c r="CS55" s="473"/>
      <c r="CT55" s="473"/>
      <c r="CU55" s="516">
        <f>SUM((AH55*1)+(AI55*1.5)+(AJ55*2)+(AK55*4)+(AP55*5)+(AQ55*6)+(AR55*7)+(AU55*2)+(AX55*3)+(AY55*4)+(AZ55*5)+(BB55*3)+(BA55*2)+(BG55*2)+(BC55*2)+(BD55*2))</f>
        <v>0</v>
      </c>
      <c r="CV55" s="555">
        <f t="shared" si="3"/>
        <v>0</v>
      </c>
      <c r="CW55" s="562">
        <f t="shared" si="4"/>
        <v>0</v>
      </c>
      <c r="CX55" s="475">
        <f t="shared" si="5"/>
        <v>0</v>
      </c>
      <c r="CY55" s="477"/>
    </row>
    <row r="56" spans="1:104" ht="15" thickTop="1" thickBot="1">
      <c r="A56" s="534" t="s">
        <v>397</v>
      </c>
      <c r="B56" s="162" t="str">
        <f>IFERROR(VLOOKUP(ParticipationAvril1[[#This Row],[Référence]],ListeÉtudiants1[],18,FALSE),"")</f>
        <v>DOSSOU ESTELLE</v>
      </c>
      <c r="C56" s="19"/>
      <c r="D56" s="19"/>
      <c r="E56" s="19"/>
      <c r="F56" s="19" t="s">
        <v>108</v>
      </c>
      <c r="G56" s="19"/>
      <c r="H56" s="19" t="s">
        <v>35</v>
      </c>
      <c r="I56" s="19"/>
      <c r="J56" s="19"/>
      <c r="K56" s="19"/>
      <c r="L56" s="19" t="s">
        <v>487</v>
      </c>
      <c r="M56" s="19" t="s">
        <v>487</v>
      </c>
      <c r="N56" s="19"/>
      <c r="O56" s="19"/>
      <c r="P56" s="19"/>
      <c r="Q56" s="19"/>
      <c r="R56" s="19"/>
      <c r="S56" s="19"/>
      <c r="T56" s="19"/>
      <c r="U56" s="19"/>
      <c r="V56" s="19"/>
      <c r="W56" s="19"/>
      <c r="X56" s="19"/>
      <c r="Y56" s="19"/>
      <c r="Z56" s="19"/>
      <c r="AA56" s="19"/>
      <c r="AB56" s="19"/>
      <c r="AC56" s="19"/>
      <c r="AD56" s="19"/>
      <c r="AE56" s="19"/>
      <c r="AF56" s="19"/>
      <c r="AG56" s="441"/>
      <c r="AH56" s="6">
        <f>COUNTIF(ParticipationAvril1[[#This Row],[1]:[30]],Code1)</f>
        <v>0</v>
      </c>
      <c r="AI56" s="331">
        <f>COUNTIF(ParticipationAvril1[[#This Row],[1]:[30]],code22)</f>
        <v>0</v>
      </c>
      <c r="AJ56" s="6">
        <f>COUNTIF(ParticipationAvril1[[#This Row],[1]:[30]],Code2)</f>
        <v>0</v>
      </c>
      <c r="AK56" s="6">
        <f>COUNTIF(ParticipationAvril1[[#This Row],[1]:[30]],Code3)</f>
        <v>0</v>
      </c>
      <c r="AL56" s="6">
        <f>COUNTIF(ParticipationAvril1[[#This Row],[1]:[30]],Code4)</f>
        <v>0</v>
      </c>
      <c r="AM56" s="331">
        <f>COUNTIF(ParticipationAvril1[[#This Row],[1]:[30]],Code5)</f>
        <v>1</v>
      </c>
      <c r="AN56" s="331">
        <f>COUNTIF(ParticipationAvril1[[#This Row],[1]:[30]],Code23)</f>
        <v>0</v>
      </c>
      <c r="AO56" s="331">
        <f>COUNTIF(ParticipationAvril1[[#This Row],[1]:[30]],Code6)</f>
        <v>1</v>
      </c>
      <c r="AP56" s="331">
        <f>COUNTIF(ParticipationAvril1[[#This Row],[1]:[30]],Code7)</f>
        <v>0</v>
      </c>
      <c r="AQ56" s="331">
        <f>COUNTIF(ParticipationAvril1[[#This Row],[1]:[30]],Code8)</f>
        <v>0</v>
      </c>
      <c r="AR56" s="331">
        <f>COUNTIF(ParticipationAvril1[[#This Row],[1]:[30]],Code9)</f>
        <v>0</v>
      </c>
      <c r="AS56" s="331">
        <f>COUNTIF(ParticipationAvril1[[#This Row],[1]:[30]],Code10)</f>
        <v>0</v>
      </c>
      <c r="AT56" s="331">
        <f>COUNTIF(ParticipationAvril1[[#This Row],[1]:[30]],Code11)</f>
        <v>0</v>
      </c>
      <c r="AU56" s="331">
        <f>COUNTIF(ParticipationAvril1[[#This Row],[1]:[30]],Code12)</f>
        <v>2</v>
      </c>
      <c r="AV56" s="331">
        <f>COUNTIF(ParticipationAvril1[[#This Row],[1]:[30]],Code13)</f>
        <v>0</v>
      </c>
      <c r="AW56" s="331">
        <f>COUNTIF(ParticipationAvril1[[#This Row],[1]:[30]],Code14)</f>
        <v>0</v>
      </c>
      <c r="AX56" s="331">
        <f>COUNTIF(ParticipationAvril1[[#This Row],[1]:[30]],Code16)</f>
        <v>0</v>
      </c>
      <c r="AY56" s="331">
        <f>COUNTIF(ParticipationAvril1[[#This Row],[1]:[30]],Code15)</f>
        <v>0</v>
      </c>
      <c r="AZ56" s="331">
        <f>COUNTIF(ParticipationAvril1[[#This Row],[1]:[30]],Code17)</f>
        <v>0</v>
      </c>
      <c r="BA56" s="331">
        <f>COUNTIF(ParticipationAvril1[[#This Row],[1]:[30]],Code25)</f>
        <v>0</v>
      </c>
      <c r="BB56" s="331">
        <f>COUNTIF(ParticipationAvril1[[#This Row],[1]:[30]],Code26)</f>
        <v>0</v>
      </c>
      <c r="BC56" s="435">
        <f>COUNTIF(ParticipationAvril1[[#This Row],[1]:[30]],Code27)</f>
        <v>0</v>
      </c>
      <c r="BD56" s="331">
        <f>COUNTIF(ParticipationAvril1[[#This Row],[1]:[30]],Code28)</f>
        <v>0</v>
      </c>
      <c r="BE56" s="331">
        <f>COUNTIF(ParticipationAvril1[[#This Row],[1]:[30]],code30)</f>
        <v>0</v>
      </c>
      <c r="BF56" s="331">
        <f>COUNTIF(ParticipationAvril1[[#This Row],[1]:[30]],Code31)</f>
        <v>0</v>
      </c>
      <c r="BG56" s="331">
        <f>COUNTIF(ParticipationAvril1[[#This Row],[1]:[30]],code21)</f>
        <v>0</v>
      </c>
      <c r="BH56" s="331">
        <f>COUNTIF(ParticipationAvril1[[#This Row],[1]:[30]],Code24)</f>
        <v>0</v>
      </c>
      <c r="BI56" s="331">
        <f>COUNTIF(ParticipationAvril1[[#This Row],[1]:[30]],code18)</f>
        <v>0</v>
      </c>
      <c r="BJ56" s="331">
        <f>COUNTIF(ParticipationAvril1[[#This Row],[1]:[30]],code19)</f>
        <v>0</v>
      </c>
      <c r="BK56" s="331">
        <f>COUNTIF(ParticipationAvril1[[#This Row],[1]:[30]],code20)</f>
        <v>0</v>
      </c>
      <c r="BL56" s="436">
        <f>COUNTIF(ParticipationAvril1[[#This Row],[1]:[30]],code29)</f>
        <v>0</v>
      </c>
      <c r="BM56" s="297"/>
      <c r="BN56" s="297">
        <v>2</v>
      </c>
      <c r="BO56" s="297"/>
      <c r="BP56" s="297"/>
      <c r="BQ56" s="297"/>
      <c r="BR56" s="297"/>
      <c r="BS56" s="297"/>
      <c r="BT56" s="297">
        <v>4</v>
      </c>
      <c r="BU56" s="297"/>
      <c r="BV56" s="297"/>
      <c r="BW56" s="297"/>
      <c r="BX56" s="297"/>
      <c r="BY56" s="297"/>
      <c r="BZ56" s="297"/>
      <c r="CA56" s="297"/>
      <c r="CB56" s="297"/>
      <c r="CC56" s="297"/>
      <c r="CD56" s="297"/>
      <c r="CE56" s="297"/>
      <c r="CF56" s="297"/>
      <c r="CG56" s="297"/>
      <c r="CH56" s="297"/>
      <c r="CI56" s="297"/>
      <c r="CJ56" s="297"/>
      <c r="CK56" s="297"/>
      <c r="CL56" s="297"/>
      <c r="CM56" s="297"/>
      <c r="CN56" s="297"/>
      <c r="CO56" s="297"/>
      <c r="CP56" s="297"/>
      <c r="CQ56" s="297"/>
      <c r="CR56" s="297"/>
      <c r="CS56" s="307"/>
      <c r="CT56" s="307"/>
      <c r="CU56" s="300"/>
      <c r="CV56" s="485">
        <f t="shared" si="3"/>
        <v>0</v>
      </c>
      <c r="CW56" s="499">
        <f t="shared" si="4"/>
        <v>17</v>
      </c>
      <c r="CX56" s="331">
        <f t="shared" si="5"/>
        <v>0</v>
      </c>
      <c r="CY56" s="438"/>
    </row>
    <row r="57" spans="1:104" ht="15" thickTop="1" thickBot="1">
      <c r="A57" s="510" t="s">
        <v>398</v>
      </c>
      <c r="B57" s="162" t="str">
        <f>IFERROR(VLOOKUP(ParticipationAvril1[[#This Row],[Référence]],ListeÉtudiants1[],18,FALSE),"")</f>
        <v>DUFFO FELIX</v>
      </c>
      <c r="C57" s="19"/>
      <c r="D57" s="19"/>
      <c r="E57" s="19"/>
      <c r="F57" s="19" t="s">
        <v>108</v>
      </c>
      <c r="G57" s="19"/>
      <c r="H57" s="19" t="s">
        <v>35</v>
      </c>
      <c r="I57" s="19"/>
      <c r="J57" s="19"/>
      <c r="K57" s="19"/>
      <c r="L57" s="19" t="s">
        <v>108</v>
      </c>
      <c r="M57" s="19" t="s">
        <v>108</v>
      </c>
      <c r="N57" s="19"/>
      <c r="O57" s="19"/>
      <c r="P57" s="19"/>
      <c r="Q57" s="19"/>
      <c r="R57" s="19"/>
      <c r="S57" s="19"/>
      <c r="T57" s="19"/>
      <c r="U57" s="19"/>
      <c r="V57" s="19"/>
      <c r="W57" s="19"/>
      <c r="X57" s="19"/>
      <c r="Y57" s="19"/>
      <c r="Z57" s="19"/>
      <c r="AA57" s="19"/>
      <c r="AB57" s="19"/>
      <c r="AC57" s="19"/>
      <c r="AD57" s="19"/>
      <c r="AE57" s="19"/>
      <c r="AF57" s="19"/>
      <c r="AG57" s="441"/>
      <c r="AH57" s="6">
        <f>COUNTIF(ParticipationAvril1[[#This Row],[1]:[30]],Code1)</f>
        <v>0</v>
      </c>
      <c r="AI57" s="331">
        <f>COUNTIF(ParticipationAvril1[[#This Row],[1]:[30]],code22)</f>
        <v>0</v>
      </c>
      <c r="AJ57" s="6">
        <f>COUNTIF(ParticipationAvril1[[#This Row],[1]:[30]],Code2)</f>
        <v>0</v>
      </c>
      <c r="AK57" s="6">
        <f>COUNTIF(ParticipationAvril1[[#This Row],[1]:[30]],Code3)</f>
        <v>0</v>
      </c>
      <c r="AL57" s="6">
        <f>COUNTIF(ParticipationAvril1[[#This Row],[1]:[30]],Code4)</f>
        <v>0</v>
      </c>
      <c r="AM57" s="331">
        <f>COUNTIF(ParticipationAvril1[[#This Row],[1]:[30]],Code5)</f>
        <v>1</v>
      </c>
      <c r="AN57" s="331">
        <f>COUNTIF(ParticipationAvril1[[#This Row],[1]:[30]],Code23)</f>
        <v>0</v>
      </c>
      <c r="AO57" s="331">
        <f>COUNTIF(ParticipationAvril1[[#This Row],[1]:[30]],Code6)</f>
        <v>3</v>
      </c>
      <c r="AP57" s="331">
        <f>COUNTIF(ParticipationAvril1[[#This Row],[1]:[30]],Code7)</f>
        <v>0</v>
      </c>
      <c r="AQ57" s="331">
        <f>COUNTIF(ParticipationAvril1[[#This Row],[1]:[30]],Code8)</f>
        <v>0</v>
      </c>
      <c r="AR57" s="331">
        <f>COUNTIF(ParticipationAvril1[[#This Row],[1]:[30]],Code9)</f>
        <v>0</v>
      </c>
      <c r="AS57" s="331">
        <f>COUNTIF(ParticipationAvril1[[#This Row],[1]:[30]],Code10)</f>
        <v>0</v>
      </c>
      <c r="AT57" s="331">
        <f>COUNTIF(ParticipationAvril1[[#This Row],[1]:[30]],Code11)</f>
        <v>0</v>
      </c>
      <c r="AU57" s="331">
        <f>COUNTIF(ParticipationAvril1[[#This Row],[1]:[30]],Code12)</f>
        <v>0</v>
      </c>
      <c r="AV57" s="331">
        <f>COUNTIF(ParticipationAvril1[[#This Row],[1]:[30]],Code13)</f>
        <v>0</v>
      </c>
      <c r="AW57" s="331">
        <f>COUNTIF(ParticipationAvril1[[#This Row],[1]:[30]],Code14)</f>
        <v>0</v>
      </c>
      <c r="AX57" s="331">
        <f>COUNTIF(ParticipationAvril1[[#This Row],[1]:[30]],Code16)</f>
        <v>0</v>
      </c>
      <c r="AY57" s="331">
        <f>COUNTIF(ParticipationAvril1[[#This Row],[1]:[30]],Code15)</f>
        <v>0</v>
      </c>
      <c r="AZ57" s="331">
        <f>COUNTIF(ParticipationAvril1[[#This Row],[1]:[30]],Code17)</f>
        <v>0</v>
      </c>
      <c r="BA57" s="331">
        <f>COUNTIF(ParticipationAvril1[[#This Row],[1]:[30]],Code25)</f>
        <v>0</v>
      </c>
      <c r="BB57" s="331">
        <f>COUNTIF(ParticipationAvril1[[#This Row],[1]:[30]],Code26)</f>
        <v>0</v>
      </c>
      <c r="BC57" s="435">
        <f>COUNTIF(ParticipationAvril1[[#This Row],[1]:[30]],Code27)</f>
        <v>0</v>
      </c>
      <c r="BD57" s="331">
        <f>COUNTIF(ParticipationAvril1[[#This Row],[1]:[30]],Code28)</f>
        <v>0</v>
      </c>
      <c r="BE57" s="331">
        <f>COUNTIF(ParticipationAvril1[[#This Row],[1]:[30]],code30)</f>
        <v>0</v>
      </c>
      <c r="BF57" s="331">
        <f>COUNTIF(ParticipationAvril1[[#This Row],[1]:[30]],Code31)</f>
        <v>0</v>
      </c>
      <c r="BG57" s="331">
        <f>COUNTIF(ParticipationAvril1[[#This Row],[1]:[30]],code21)</f>
        <v>0</v>
      </c>
      <c r="BH57" s="331">
        <f>COUNTIF(ParticipationAvril1[[#This Row],[1]:[30]],Code24)</f>
        <v>0</v>
      </c>
      <c r="BI57" s="331">
        <f>COUNTIF(ParticipationAvril1[[#This Row],[1]:[30]],code18)</f>
        <v>0</v>
      </c>
      <c r="BJ57" s="331">
        <f>COUNTIF(ParticipationAvril1[[#This Row],[1]:[30]],code19)</f>
        <v>0</v>
      </c>
      <c r="BK57" s="331">
        <f>COUNTIF(ParticipationAvril1[[#This Row],[1]:[30]],code20)</f>
        <v>0</v>
      </c>
      <c r="BL57" s="436">
        <f>COUNTIF(ParticipationAvril1[[#This Row],[1]:[30]],code29)</f>
        <v>0</v>
      </c>
      <c r="BM57" s="297"/>
      <c r="BN57" s="297">
        <v>2</v>
      </c>
      <c r="BO57" s="297"/>
      <c r="BP57" s="297"/>
      <c r="BQ57" s="297"/>
      <c r="BR57" s="297"/>
      <c r="BS57" s="297"/>
      <c r="BT57" s="297">
        <v>2</v>
      </c>
      <c r="BU57" s="297"/>
      <c r="BV57" s="297"/>
      <c r="BW57" s="297"/>
      <c r="BX57" s="297"/>
      <c r="BY57" s="297"/>
      <c r="BZ57" s="297"/>
      <c r="CA57" s="297"/>
      <c r="CB57" s="297"/>
      <c r="CC57" s="297"/>
      <c r="CD57" s="297"/>
      <c r="CE57" s="297"/>
      <c r="CF57" s="297"/>
      <c r="CG57" s="297"/>
      <c r="CH57" s="297"/>
      <c r="CI57" s="297"/>
      <c r="CJ57" s="297"/>
      <c r="CK57" s="297"/>
      <c r="CL57" s="297"/>
      <c r="CM57" s="297"/>
      <c r="CN57" s="297"/>
      <c r="CO57" s="297"/>
      <c r="CP57" s="297"/>
      <c r="CQ57" s="297"/>
      <c r="CR57" s="297"/>
      <c r="CS57" s="307"/>
      <c r="CT57" s="307"/>
      <c r="CU57" s="300"/>
      <c r="CV57" s="485">
        <f t="shared" si="3"/>
        <v>0</v>
      </c>
      <c r="CW57" s="499">
        <f t="shared" si="4"/>
        <v>11</v>
      </c>
      <c r="CX57" s="331">
        <f t="shared" si="5"/>
        <v>0</v>
      </c>
      <c r="CY57" s="438"/>
    </row>
    <row r="58" spans="1:104" ht="15" thickTop="1" thickBot="1">
      <c r="A58" s="510" t="s">
        <v>399</v>
      </c>
      <c r="B58" s="162" t="str">
        <f>IFERROR(VLOOKUP(ParticipationAvril1[[#This Row],[Référence]],ListeÉtudiants1[],18,FALSE),"")</f>
        <v>DUPUY JULINE</v>
      </c>
      <c r="C58" s="202"/>
      <c r="D58" s="202"/>
      <c r="E58" s="202"/>
      <c r="F58" s="202"/>
      <c r="G58" s="202"/>
      <c r="H58" s="202"/>
      <c r="I58" s="202"/>
      <c r="J58" s="202"/>
      <c r="K58" s="202"/>
      <c r="L58" s="202" t="s">
        <v>108</v>
      </c>
      <c r="M58" s="202"/>
      <c r="N58" s="202"/>
      <c r="O58" s="202"/>
      <c r="P58" s="202"/>
      <c r="Q58" s="202"/>
      <c r="R58" s="202"/>
      <c r="S58" s="202"/>
      <c r="T58" s="202"/>
      <c r="U58" s="202"/>
      <c r="V58" s="202"/>
      <c r="W58" s="202"/>
      <c r="X58" s="202"/>
      <c r="Y58" s="202"/>
      <c r="Z58" s="202"/>
      <c r="AA58" s="202"/>
      <c r="AB58" s="202"/>
      <c r="AC58" s="202"/>
      <c r="AD58" s="202"/>
      <c r="AE58" s="202"/>
      <c r="AF58" s="19"/>
      <c r="AG58" s="144"/>
      <c r="AH58" s="202">
        <f>COUNTIF(ParticipationAvril1[[#This Row],[1]:[30]],Code1)</f>
        <v>0</v>
      </c>
      <c r="AI58" s="6">
        <f>COUNTIF(ParticipationAvril1[[#This Row],[1]:[30]],code22)</f>
        <v>0</v>
      </c>
      <c r="AJ58" s="202">
        <f>COUNTIF(ParticipationAvril1[[#This Row],[1]:[30]],Code2)</f>
        <v>0</v>
      </c>
      <c r="AK58" s="202">
        <f>COUNTIF(ParticipationAvril1[[#This Row],[1]:[30]],Code3)</f>
        <v>0</v>
      </c>
      <c r="AL58" s="202">
        <f>COUNTIF(ParticipationAvril1[[#This Row],[1]:[30]],Code4)</f>
        <v>0</v>
      </c>
      <c r="AM58" s="6">
        <f>COUNTIF(ParticipationAvril1[[#This Row],[1]:[30]],Code5)</f>
        <v>0</v>
      </c>
      <c r="AN58" s="6">
        <f>COUNTIF(ParticipationAvril1[[#This Row],[1]:[30]],Code23)</f>
        <v>0</v>
      </c>
      <c r="AO58" s="6">
        <f>COUNTIF(ParticipationAvril1[[#This Row],[1]:[30]],Code6)</f>
        <v>1</v>
      </c>
      <c r="AP58" s="6">
        <f>COUNTIF(ParticipationAvril1[[#This Row],[1]:[30]],Code7)</f>
        <v>0</v>
      </c>
      <c r="AQ58" s="6">
        <f>COUNTIF(ParticipationAvril1[[#This Row],[1]:[30]],Code8)</f>
        <v>0</v>
      </c>
      <c r="AR58" s="6">
        <f>COUNTIF(ParticipationAvril1[[#This Row],[1]:[30]],Code9)</f>
        <v>0</v>
      </c>
      <c r="AS58" s="6">
        <f>COUNTIF(ParticipationAvril1[[#This Row],[1]:[30]],Code10)</f>
        <v>0</v>
      </c>
      <c r="AT58" s="6">
        <f>COUNTIF(ParticipationAvril1[[#This Row],[1]:[30]],Code11)</f>
        <v>0</v>
      </c>
      <c r="AU58" s="6">
        <f>COUNTIF(ParticipationAvril1[[#This Row],[1]:[30]],Code12)</f>
        <v>0</v>
      </c>
      <c r="AV58" s="6">
        <f>COUNTIF(ParticipationAvril1[[#This Row],[1]:[30]],Code13)</f>
        <v>0</v>
      </c>
      <c r="AW58" s="6">
        <f>COUNTIF(ParticipationAvril1[[#This Row],[1]:[30]],Code14)</f>
        <v>0</v>
      </c>
      <c r="AX58" s="6">
        <f>COUNTIF(ParticipationAvril1[[#This Row],[1]:[30]],Code16)</f>
        <v>0</v>
      </c>
      <c r="AY58" s="6">
        <f>COUNTIF(ParticipationAvril1[[#This Row],[1]:[30]],Code15)</f>
        <v>0</v>
      </c>
      <c r="AZ58" s="6">
        <f>COUNTIF(ParticipationAvril1[[#This Row],[1]:[30]],Code17)</f>
        <v>0</v>
      </c>
      <c r="BA58" s="6">
        <f>COUNTIF(ParticipationAvril1[[#This Row],[1]:[30]],Code25)</f>
        <v>0</v>
      </c>
      <c r="BB58" s="6">
        <f>COUNTIF(ParticipationAvril1[[#This Row],[1]:[30]],Code26)</f>
        <v>0</v>
      </c>
      <c r="BC58" s="6">
        <f>COUNTIF(ParticipationAvril1[[#This Row],[1]:[30]],Code27)</f>
        <v>0</v>
      </c>
      <c r="BD58" s="6">
        <f>COUNTIF(ParticipationAvril1[[#This Row],[1]:[30]],Code28)</f>
        <v>0</v>
      </c>
      <c r="BE58" s="6">
        <f>COUNTIF(ParticipationAvril1[[#This Row],[1]:[30]],code30)</f>
        <v>0</v>
      </c>
      <c r="BF58" s="6">
        <f>COUNTIF(ParticipationAvril1[[#This Row],[1]:[30]],Code31)</f>
        <v>0</v>
      </c>
      <c r="BG58" s="6">
        <f>COUNTIF(ParticipationAvril1[[#This Row],[1]:[30]],code21)</f>
        <v>0</v>
      </c>
      <c r="BH58" s="6">
        <f>COUNTIF(ParticipationAvril1[[#This Row],[1]:[30]],Code24)</f>
        <v>0</v>
      </c>
      <c r="BI58" s="6">
        <f>COUNTIF(ParticipationAvril1[[#This Row],[1]:[30]],code18)</f>
        <v>0</v>
      </c>
      <c r="BJ58" s="6">
        <f>COUNTIF(ParticipationAvril1[[#This Row],[1]:[30]],code19)</f>
        <v>0</v>
      </c>
      <c r="BK58" s="6">
        <f>COUNTIF(ParticipationAvril1[[#This Row],[1]:[30]],code20)</f>
        <v>0</v>
      </c>
      <c r="BL58" s="182">
        <f>COUNTIF(ParticipationAvril1[[#This Row],[1]:[30]],code29)</f>
        <v>0</v>
      </c>
      <c r="BM58" s="139"/>
      <c r="BN58" s="139"/>
      <c r="BO58" s="139"/>
      <c r="BP58" s="139"/>
      <c r="BQ58" s="139"/>
      <c r="BR58" s="139"/>
      <c r="BS58" s="139"/>
      <c r="BT58" s="139">
        <v>1</v>
      </c>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30"/>
      <c r="CT58" s="30"/>
      <c r="CU58" s="300"/>
      <c r="CV58" s="485">
        <f t="shared" si="3"/>
        <v>0</v>
      </c>
      <c r="CW58" s="499">
        <f t="shared" si="4"/>
        <v>3</v>
      </c>
      <c r="CX58" s="6">
        <f t="shared" si="5"/>
        <v>0</v>
      </c>
      <c r="CY58" s="179"/>
      <c r="CZ58" s="200"/>
    </row>
    <row r="59" spans="1:104" ht="15" thickTop="1" thickBot="1">
      <c r="A59" s="510" t="s">
        <v>400</v>
      </c>
      <c r="B59" s="162" t="str">
        <f>IFERROR(VLOOKUP(ParticipationAvril1[[#This Row],[Référence]],ListeÉtudiants1[],18,FALSE),"")</f>
        <v>EDERY JEFFREY</v>
      </c>
      <c r="C59" s="19"/>
      <c r="D59" s="19"/>
      <c r="E59" s="19"/>
      <c r="F59" s="19" t="s">
        <v>108</v>
      </c>
      <c r="G59" s="19"/>
      <c r="H59" s="19" t="s">
        <v>35</v>
      </c>
      <c r="I59" s="19"/>
      <c r="J59" s="19"/>
      <c r="K59" s="19"/>
      <c r="L59" s="19" t="s">
        <v>108</v>
      </c>
      <c r="M59" s="19"/>
      <c r="N59" s="19"/>
      <c r="O59" s="19"/>
      <c r="P59" s="19"/>
      <c r="Q59" s="19"/>
      <c r="R59" s="19"/>
      <c r="S59" s="19"/>
      <c r="T59" s="19"/>
      <c r="U59" s="19"/>
      <c r="V59" s="19"/>
      <c r="W59" s="19"/>
      <c r="X59" s="19"/>
      <c r="Y59" s="19"/>
      <c r="Z59" s="19"/>
      <c r="AA59" s="19"/>
      <c r="AB59" s="19"/>
      <c r="AC59" s="19"/>
      <c r="AD59" s="19"/>
      <c r="AE59" s="19"/>
      <c r="AF59" s="558"/>
      <c r="AG59" s="560"/>
      <c r="AH59" s="6">
        <f>COUNTIF(ParticipationAvril1[[#This Row],[1]:[30]],Code1)</f>
        <v>0</v>
      </c>
      <c r="AI59" s="331">
        <f>COUNTIF(ParticipationAvril1[[#This Row],[1]:[30]],code22)</f>
        <v>0</v>
      </c>
      <c r="AJ59" s="6">
        <f>COUNTIF(ParticipationAvril1[[#This Row],[1]:[30]],Code2)</f>
        <v>0</v>
      </c>
      <c r="AK59" s="6">
        <f>COUNTIF(ParticipationAvril1[[#This Row],[1]:[30]],Code3)</f>
        <v>0</v>
      </c>
      <c r="AL59" s="6">
        <f>COUNTIF(ParticipationAvril1[[#This Row],[1]:[30]],Code4)</f>
        <v>0</v>
      </c>
      <c r="AM59" s="331">
        <f>COUNTIF(ParticipationAvril1[[#This Row],[1]:[30]],Code5)</f>
        <v>1</v>
      </c>
      <c r="AN59" s="331">
        <f>COUNTIF(ParticipationAvril1[[#This Row],[1]:[30]],Code23)</f>
        <v>0</v>
      </c>
      <c r="AO59" s="331">
        <f>COUNTIF(ParticipationAvril1[[#This Row],[1]:[30]],Code6)</f>
        <v>2</v>
      </c>
      <c r="AP59" s="331">
        <f>COUNTIF(ParticipationAvril1[[#This Row],[1]:[30]],Code7)</f>
        <v>0</v>
      </c>
      <c r="AQ59" s="331">
        <f>COUNTIF(ParticipationAvril1[[#This Row],[1]:[30]],Code8)</f>
        <v>0</v>
      </c>
      <c r="AR59" s="331">
        <f>COUNTIF(ParticipationAvril1[[#This Row],[1]:[30]],Code9)</f>
        <v>0</v>
      </c>
      <c r="AS59" s="331">
        <f>COUNTIF(ParticipationAvril1[[#This Row],[1]:[30]],Code10)</f>
        <v>0</v>
      </c>
      <c r="AT59" s="331">
        <f>COUNTIF(ParticipationAvril1[[#This Row],[1]:[30]],Code11)</f>
        <v>0</v>
      </c>
      <c r="AU59" s="331">
        <f>COUNTIF(ParticipationAvril1[[#This Row],[1]:[30]],Code12)</f>
        <v>0</v>
      </c>
      <c r="AV59" s="331">
        <f>COUNTIF(ParticipationAvril1[[#This Row],[1]:[30]],Code13)</f>
        <v>0</v>
      </c>
      <c r="AW59" s="331">
        <f>COUNTIF(ParticipationAvril1[[#This Row],[1]:[30]],Code14)</f>
        <v>0</v>
      </c>
      <c r="AX59" s="331">
        <f>COUNTIF(ParticipationAvril1[[#This Row],[1]:[30]],Code16)</f>
        <v>0</v>
      </c>
      <c r="AY59" s="331">
        <f>COUNTIF(ParticipationAvril1[[#This Row],[1]:[30]],Code15)</f>
        <v>0</v>
      </c>
      <c r="AZ59" s="331">
        <f>COUNTIF(ParticipationAvril1[[#This Row],[1]:[30]],Code17)</f>
        <v>0</v>
      </c>
      <c r="BA59" s="331">
        <f>COUNTIF(ParticipationAvril1[[#This Row],[1]:[30]],Code25)</f>
        <v>0</v>
      </c>
      <c r="BB59" s="331">
        <f>COUNTIF(ParticipationAvril1[[#This Row],[1]:[30]],Code26)</f>
        <v>0</v>
      </c>
      <c r="BC59" s="435">
        <f>COUNTIF(ParticipationAvril1[[#This Row],[1]:[30]],Code27)</f>
        <v>0</v>
      </c>
      <c r="BD59" s="331">
        <f>COUNTIF(ParticipationAvril1[[#This Row],[1]:[30]],Code28)</f>
        <v>0</v>
      </c>
      <c r="BE59" s="331">
        <f>COUNTIF(ParticipationAvril1[[#This Row],[1]:[30]],code30)</f>
        <v>0</v>
      </c>
      <c r="BF59" s="331">
        <f>COUNTIF(ParticipationAvril1[[#This Row],[1]:[30]],Code31)</f>
        <v>0</v>
      </c>
      <c r="BG59" s="331">
        <f>COUNTIF(ParticipationAvril1[[#This Row],[1]:[30]],code21)</f>
        <v>0</v>
      </c>
      <c r="BH59" s="331">
        <f>COUNTIF(ParticipationAvril1[[#This Row],[1]:[30]],Code24)</f>
        <v>0</v>
      </c>
      <c r="BI59" s="331">
        <f>COUNTIF(ParticipationAvril1[[#This Row],[1]:[30]],code18)</f>
        <v>0</v>
      </c>
      <c r="BJ59" s="331">
        <f>COUNTIF(ParticipationAvril1[[#This Row],[1]:[30]],code19)</f>
        <v>0</v>
      </c>
      <c r="BK59" s="331">
        <f>COUNTIF(ParticipationAvril1[[#This Row],[1]:[30]],code20)</f>
        <v>0</v>
      </c>
      <c r="BL59" s="436">
        <f>COUNTIF(ParticipationAvril1[[#This Row],[1]:[30]],code29)</f>
        <v>0</v>
      </c>
      <c r="BM59" s="297"/>
      <c r="BN59" s="297">
        <v>1</v>
      </c>
      <c r="BO59" s="297"/>
      <c r="BP59" s="297"/>
      <c r="BQ59" s="297"/>
      <c r="BR59" s="297"/>
      <c r="BS59" s="297"/>
      <c r="BT59" s="297">
        <v>2</v>
      </c>
      <c r="BU59" s="297"/>
      <c r="BV59" s="297"/>
      <c r="BW59" s="297"/>
      <c r="BX59" s="297"/>
      <c r="BY59" s="297"/>
      <c r="BZ59" s="297"/>
      <c r="CA59" s="297"/>
      <c r="CB59" s="297"/>
      <c r="CC59" s="297"/>
      <c r="CD59" s="297"/>
      <c r="CE59" s="297"/>
      <c r="CF59" s="297"/>
      <c r="CG59" s="297"/>
      <c r="CH59" s="297"/>
      <c r="CI59" s="297"/>
      <c r="CJ59" s="297"/>
      <c r="CK59" s="297"/>
      <c r="CL59" s="297"/>
      <c r="CM59" s="297"/>
      <c r="CN59" s="297"/>
      <c r="CO59" s="297"/>
      <c r="CP59" s="297"/>
      <c r="CQ59" s="297"/>
      <c r="CR59" s="297"/>
      <c r="CS59" s="307"/>
      <c r="CT59" s="307"/>
      <c r="CU59" s="561"/>
      <c r="CV59" s="485">
        <f t="shared" si="3"/>
        <v>0</v>
      </c>
      <c r="CW59" s="563">
        <f t="shared" si="4"/>
        <v>8</v>
      </c>
      <c r="CX59" s="331">
        <f t="shared" si="5"/>
        <v>0</v>
      </c>
      <c r="CY59" s="438"/>
    </row>
    <row r="60" spans="1:104" ht="15" thickTop="1" thickBot="1">
      <c r="A60" s="510" t="s">
        <v>401</v>
      </c>
      <c r="B60" s="162" t="str">
        <f>IFERROR(VLOOKUP(ParticipationAvril1[[#This Row],[Référence]],ListeÉtudiants1[],18,FALSE),"")</f>
        <v>EL MAZGHI GHITA</v>
      </c>
      <c r="C60" s="471"/>
      <c r="D60" s="471"/>
      <c r="E60" s="471"/>
      <c r="F60" s="471"/>
      <c r="G60" s="471"/>
      <c r="H60" s="471"/>
      <c r="I60" s="471"/>
      <c r="J60" s="471"/>
      <c r="K60" s="471"/>
      <c r="L60" s="471"/>
      <c r="M60" s="471"/>
      <c r="N60" s="471"/>
      <c r="O60" s="471" t="s">
        <v>106</v>
      </c>
      <c r="P60" s="471"/>
      <c r="Q60" s="471"/>
      <c r="R60" s="471"/>
      <c r="S60" s="471"/>
      <c r="T60" s="471"/>
      <c r="U60" s="471"/>
      <c r="V60" s="471"/>
      <c r="W60" s="471"/>
      <c r="X60" s="471"/>
      <c r="Y60" s="471"/>
      <c r="Z60" s="471"/>
      <c r="AA60" s="471"/>
      <c r="AB60" s="471"/>
      <c r="AC60" s="471"/>
      <c r="AD60" s="471"/>
      <c r="AE60" s="471"/>
      <c r="AF60" s="483"/>
      <c r="AG60" s="484"/>
      <c r="AH60" s="471">
        <f>COUNTIF(ParticipationAvril1[[#This Row],[1]:[30]],Code1)</f>
        <v>0</v>
      </c>
      <c r="AI60" s="475">
        <f>COUNTIF(ParticipationAvril1[[#This Row],[1]:[30]],code22)</f>
        <v>0</v>
      </c>
      <c r="AJ60" s="471">
        <f>COUNTIF(ParticipationAvril1[[#This Row],[1]:[30]],Code2)</f>
        <v>0</v>
      </c>
      <c r="AK60" s="471">
        <f>COUNTIF(ParticipationAvril1[[#This Row],[1]:[30]],Code3)</f>
        <v>1</v>
      </c>
      <c r="AL60" s="471">
        <f>COUNTIF(ParticipationAvril1[[#This Row],[1]:[30]],Code4)</f>
        <v>0</v>
      </c>
      <c r="AM60" s="475">
        <f>COUNTIF(ParticipationAvril1[[#This Row],[1]:[30]],Code5)</f>
        <v>0</v>
      </c>
      <c r="AN60" s="475">
        <f>COUNTIF(ParticipationAvril1[[#This Row],[1]:[30]],Code23)</f>
        <v>0</v>
      </c>
      <c r="AO60" s="475">
        <f>COUNTIF(ParticipationAvril1[[#This Row],[1]:[30]],Code6)</f>
        <v>0</v>
      </c>
      <c r="AP60" s="475">
        <f>COUNTIF(ParticipationAvril1[[#This Row],[1]:[30]],Code7)</f>
        <v>0</v>
      </c>
      <c r="AQ60" s="475">
        <f>COUNTIF(ParticipationAvril1[[#This Row],[1]:[30]],Code8)</f>
        <v>0</v>
      </c>
      <c r="AR60" s="475">
        <f>COUNTIF(ParticipationAvril1[[#This Row],[1]:[30]],Code9)</f>
        <v>0</v>
      </c>
      <c r="AS60" s="475">
        <f>COUNTIF(ParticipationAvril1[[#This Row],[1]:[30]],Code10)</f>
        <v>0</v>
      </c>
      <c r="AT60" s="475">
        <f>COUNTIF(ParticipationAvril1[[#This Row],[1]:[30]],Code11)</f>
        <v>0</v>
      </c>
      <c r="AU60" s="475">
        <f>COUNTIF(ParticipationAvril1[[#This Row],[1]:[30]],Code12)</f>
        <v>0</v>
      </c>
      <c r="AV60" s="475">
        <f>COUNTIF(ParticipationAvril1[[#This Row],[1]:[30]],Code13)</f>
        <v>0</v>
      </c>
      <c r="AW60" s="475">
        <f>COUNTIF(ParticipationAvril1[[#This Row],[1]:[30]],Code14)</f>
        <v>0</v>
      </c>
      <c r="AX60" s="475">
        <f>COUNTIF(ParticipationAvril1[[#This Row],[1]:[30]],Code16)</f>
        <v>0</v>
      </c>
      <c r="AY60" s="475">
        <f>COUNTIF(ParticipationAvril1[[#This Row],[1]:[30]],Code15)</f>
        <v>0</v>
      </c>
      <c r="AZ60" s="475">
        <f>COUNTIF(ParticipationAvril1[[#This Row],[1]:[30]],Code17)</f>
        <v>0</v>
      </c>
      <c r="BA60" s="475">
        <f>COUNTIF(ParticipationAvril1[[#This Row],[1]:[30]],Code25)</f>
        <v>0</v>
      </c>
      <c r="BB60" s="475">
        <f>COUNTIF(ParticipationAvril1[[#This Row],[1]:[30]],Code26)</f>
        <v>0</v>
      </c>
      <c r="BC60" s="475">
        <f>COUNTIF(ParticipationAvril1[[#This Row],[1]:[30]],Code27)</f>
        <v>0</v>
      </c>
      <c r="BD60" s="475">
        <f>COUNTIF(ParticipationAvril1[[#This Row],[1]:[30]],Code28)</f>
        <v>0</v>
      </c>
      <c r="BE60" s="475">
        <f>COUNTIF(ParticipationAvril1[[#This Row],[1]:[30]],code30)</f>
        <v>0</v>
      </c>
      <c r="BF60" s="475">
        <f>COUNTIF(ParticipationAvril1[[#This Row],[1]:[30]],Code31)</f>
        <v>0</v>
      </c>
      <c r="BG60" s="475">
        <f>COUNTIF(ParticipationAvril1[[#This Row],[1]:[30]],code21)</f>
        <v>0</v>
      </c>
      <c r="BH60" s="475">
        <f>COUNTIF(ParticipationAvril1[[#This Row],[1]:[30]],Code24)</f>
        <v>0</v>
      </c>
      <c r="BI60" s="475">
        <f>COUNTIF(ParticipationAvril1[[#This Row],[1]:[30]],code18)</f>
        <v>0</v>
      </c>
      <c r="BJ60" s="475">
        <f>COUNTIF(ParticipationAvril1[[#This Row],[1]:[30]],code19)</f>
        <v>0</v>
      </c>
      <c r="BK60" s="475">
        <f>COUNTIF(ParticipationAvril1[[#This Row],[1]:[30]],code20)</f>
        <v>0</v>
      </c>
      <c r="BL60" s="476">
        <f>COUNTIF(ParticipationAvril1[[#This Row],[1]:[30]],code29)</f>
        <v>0</v>
      </c>
      <c r="BM60" s="472"/>
      <c r="BN60" s="472"/>
      <c r="BO60" s="472"/>
      <c r="BP60" s="472"/>
      <c r="BQ60" s="472"/>
      <c r="BR60" s="472"/>
      <c r="BS60" s="472"/>
      <c r="BT60" s="472"/>
      <c r="BU60" s="472"/>
      <c r="BV60" s="472"/>
      <c r="BW60" s="472">
        <v>1</v>
      </c>
      <c r="BX60" s="472"/>
      <c r="BY60" s="472"/>
      <c r="BZ60" s="472"/>
      <c r="CA60" s="472"/>
      <c r="CB60" s="472"/>
      <c r="CC60" s="472"/>
      <c r="CD60" s="472"/>
      <c r="CE60" s="472"/>
      <c r="CF60" s="472"/>
      <c r="CG60" s="472"/>
      <c r="CH60" s="472"/>
      <c r="CI60" s="472"/>
      <c r="CJ60" s="472"/>
      <c r="CK60" s="472"/>
      <c r="CL60" s="472"/>
      <c r="CM60" s="472"/>
      <c r="CN60" s="472"/>
      <c r="CO60" s="472"/>
      <c r="CP60" s="472"/>
      <c r="CQ60" s="472"/>
      <c r="CR60" s="472"/>
      <c r="CS60" s="473"/>
      <c r="CT60" s="473"/>
      <c r="CU60" s="561"/>
      <c r="CV60" s="485">
        <f t="shared" si="3"/>
        <v>3</v>
      </c>
      <c r="CW60" s="563">
        <f t="shared" si="4"/>
        <v>0</v>
      </c>
      <c r="CX60" s="475">
        <f t="shared" si="5"/>
        <v>0</v>
      </c>
      <c r="CY60" s="477"/>
      <c r="CZ60" s="469"/>
    </row>
    <row r="61" spans="1:104" ht="15" thickTop="1" thickBot="1">
      <c r="A61" s="510" t="s">
        <v>402</v>
      </c>
      <c r="B61" s="162" t="str">
        <f>IFERROR(VLOOKUP(ParticipationAvril1[[#This Row],[Référence]],ListeÉtudiants1[],18,FALSE),"")</f>
        <v>ELIE ODILE</v>
      </c>
      <c r="K61" s="510" t="s">
        <v>639</v>
      </c>
      <c r="L61" s="510" t="s">
        <v>487</v>
      </c>
      <c r="AF61" s="88"/>
      <c r="AG61" s="441"/>
      <c r="AH61" s="439">
        <f>COUNTIF(ParticipationAvril1[[#This Row],[1]:[30]],Code1)</f>
        <v>0</v>
      </c>
      <c r="AI61" s="435">
        <f>COUNTIF(ParticipationAvril1[[#This Row],[1]:[30]],code22)</f>
        <v>0</v>
      </c>
      <c r="AJ61" s="439">
        <f>COUNTIF(ParticipationAvril1[[#This Row],[1]:[30]],Code2)</f>
        <v>0</v>
      </c>
      <c r="AK61" s="439">
        <f>COUNTIF(ParticipationAvril1[[#This Row],[1]:[30]],Code3)</f>
        <v>0</v>
      </c>
      <c r="AL61" s="439">
        <f>COUNTIF(ParticipationAvril1[[#This Row],[1]:[30]],Code4)</f>
        <v>0</v>
      </c>
      <c r="AM61" s="435">
        <f>COUNTIF(ParticipationAvril1[[#This Row],[1]:[30]],Code5)</f>
        <v>0</v>
      </c>
      <c r="AN61" s="435">
        <f>COUNTIF(ParticipationAvril1[[#This Row],[1]:[30]],Code23)</f>
        <v>0</v>
      </c>
      <c r="AO61" s="435">
        <f>COUNTIF(ParticipationAvril1[[#This Row],[1]:[30]],Code6)</f>
        <v>0</v>
      </c>
      <c r="AP61" s="435">
        <f>COUNTIF(ParticipationAvril1[[#This Row],[1]:[30]],Code7)</f>
        <v>0</v>
      </c>
      <c r="AQ61" s="435">
        <f>COUNTIF(ParticipationAvril1[[#This Row],[1]:[30]],Code8)</f>
        <v>0</v>
      </c>
      <c r="AR61" s="435">
        <f>COUNTIF(ParticipationAvril1[[#This Row],[1]:[30]],Code9)</f>
        <v>0</v>
      </c>
      <c r="AS61" s="435">
        <f>COUNTIF(ParticipationAvril1[[#This Row],[1]:[30]],Code10)</f>
        <v>0</v>
      </c>
      <c r="AT61" s="435">
        <f>COUNTIF(ParticipationAvril1[[#This Row],[1]:[30]],Code11)</f>
        <v>0</v>
      </c>
      <c r="AU61" s="435">
        <f>COUNTIF(ParticipationAvril1[[#This Row],[1]:[30]],Code12)</f>
        <v>1</v>
      </c>
      <c r="AV61" s="435">
        <f>COUNTIF(ParticipationAvril1[[#This Row],[1]:[30]],Code13)</f>
        <v>0</v>
      </c>
      <c r="AW61" s="435">
        <f>COUNTIF(ParticipationAvril1[[#This Row],[1]:[30]],Code14)</f>
        <v>0</v>
      </c>
      <c r="AX61" s="435">
        <f>COUNTIF(ParticipationAvril1[[#This Row],[1]:[30]],Code16)</f>
        <v>0</v>
      </c>
      <c r="AY61" s="435">
        <f>COUNTIF(ParticipationAvril1[[#This Row],[1]:[30]],Code15)</f>
        <v>0</v>
      </c>
      <c r="AZ61" s="435">
        <f>COUNTIF(ParticipationAvril1[[#This Row],[1]:[30]],Code17)</f>
        <v>0</v>
      </c>
      <c r="BA61" s="435">
        <f>COUNTIF(ParticipationAvril1[[#This Row],[1]:[30]],Code25)</f>
        <v>0</v>
      </c>
      <c r="BB61" s="435">
        <f>COUNTIF(ParticipationAvril1[[#This Row],[1]:[30]],Code26)</f>
        <v>0</v>
      </c>
      <c r="BC61" s="435">
        <f>COUNTIF(ParticipationAvril1[[#This Row],[1]:[30]],Code27)</f>
        <v>0</v>
      </c>
      <c r="BD61" s="435">
        <f>COUNTIF(ParticipationAvril1[[#This Row],[1]:[30]],Code28)</f>
        <v>0</v>
      </c>
      <c r="BE61" s="435">
        <f>COUNTIF(ParticipationAvril1[[#This Row],[1]:[30]],code30)</f>
        <v>0</v>
      </c>
      <c r="BF61" s="435">
        <f>COUNTIF(ParticipationAvril1[[#This Row],[1]:[30]],Code31)</f>
        <v>1</v>
      </c>
      <c r="BG61" s="435">
        <f>COUNTIF(ParticipationAvril1[[#This Row],[1]:[30]],code21)</f>
        <v>0</v>
      </c>
      <c r="BH61" s="435">
        <f>COUNTIF(ParticipationAvril1[[#This Row],[1]:[30]],Code24)</f>
        <v>0</v>
      </c>
      <c r="BI61" s="435">
        <f>COUNTIF(ParticipationAvril1[[#This Row],[1]:[30]],code18)</f>
        <v>0</v>
      </c>
      <c r="BJ61" s="435">
        <f>COUNTIF(ParticipationAvril1[[#This Row],[1]:[30]],code19)</f>
        <v>0</v>
      </c>
      <c r="BK61" s="435">
        <f>COUNTIF(ParticipationAvril1[[#This Row],[1]:[30]],code20)</f>
        <v>0</v>
      </c>
      <c r="BL61" s="436">
        <f>COUNTIF(ParticipationAvril1[[#This Row],[1]:[30]],code29)</f>
        <v>0</v>
      </c>
      <c r="BM61" s="297"/>
      <c r="BN61" s="297">
        <v>1</v>
      </c>
      <c r="BO61" s="297"/>
      <c r="BP61" s="297"/>
      <c r="BQ61" s="297"/>
      <c r="BR61" s="297"/>
      <c r="BS61" s="297"/>
      <c r="BT61" s="297">
        <v>1</v>
      </c>
      <c r="BU61" s="297"/>
      <c r="BV61" s="297"/>
      <c r="BW61" s="297">
        <v>1</v>
      </c>
      <c r="BX61" s="297"/>
      <c r="BY61" s="297"/>
      <c r="BZ61" s="297"/>
      <c r="CA61" s="297"/>
      <c r="CB61" s="297"/>
      <c r="CC61" s="297"/>
      <c r="CD61" s="297"/>
      <c r="CE61" s="297"/>
      <c r="CF61" s="297"/>
      <c r="CG61" s="297">
        <v>1</v>
      </c>
      <c r="CH61" s="297"/>
      <c r="CI61" s="297"/>
      <c r="CJ61" s="297"/>
      <c r="CK61" s="297"/>
      <c r="CL61" s="297"/>
      <c r="CM61" s="297"/>
      <c r="CN61" s="297"/>
      <c r="CO61" s="297"/>
      <c r="CP61" s="297"/>
      <c r="CQ61" s="297"/>
      <c r="CR61" s="297"/>
      <c r="CS61" s="297"/>
      <c r="CT61" s="297"/>
      <c r="CU61" s="300"/>
      <c r="CV61" s="485">
        <f t="shared" si="3"/>
        <v>0</v>
      </c>
      <c r="CW61" s="499">
        <f t="shared" si="4"/>
        <v>6</v>
      </c>
      <c r="CX61" s="331">
        <f t="shared" si="5"/>
        <v>0</v>
      </c>
      <c r="CY61" s="438"/>
    </row>
    <row r="62" spans="1:104" ht="15" thickTop="1" thickBot="1">
      <c r="A62" s="534" t="s">
        <v>403</v>
      </c>
      <c r="B62" s="162" t="str">
        <f>IFERROR(VLOOKUP(ParticipationAvril1[[#This Row],[Référence]],ListeÉtudiants1[],18,FALSE),"")</f>
        <v>ETIENNE MYLENE</v>
      </c>
      <c r="K62" s="510"/>
      <c r="L62" s="510"/>
      <c r="AF62" s="88"/>
      <c r="AG62" s="478"/>
      <c r="AH62" s="439">
        <f>COUNTIF(ParticipationAvril1[[#This Row],[1]:[30]],Code1)</f>
        <v>0</v>
      </c>
      <c r="AI62" s="474">
        <f>COUNTIF(ParticipationAvril1[[#This Row],[1]:[30]],code22)</f>
        <v>0</v>
      </c>
      <c r="AJ62" s="439">
        <f>COUNTIF(ParticipationAvril1[[#This Row],[1]:[30]],Code2)</f>
        <v>0</v>
      </c>
      <c r="AK62" s="439">
        <f>COUNTIF(ParticipationAvril1[[#This Row],[1]:[30]],Code3)</f>
        <v>0</v>
      </c>
      <c r="AL62" s="439">
        <f>COUNTIF(ParticipationAvril1[[#This Row],[1]:[30]],Code4)</f>
        <v>0</v>
      </c>
      <c r="AM62" s="474">
        <f>COUNTIF(ParticipationAvril1[[#This Row],[1]:[30]],Code5)</f>
        <v>0</v>
      </c>
      <c r="AN62" s="474">
        <f>COUNTIF(ParticipationAvril1[[#This Row],[1]:[30]],Code23)</f>
        <v>0</v>
      </c>
      <c r="AO62" s="474">
        <f>COUNTIF(ParticipationAvril1[[#This Row],[1]:[30]],Code6)</f>
        <v>0</v>
      </c>
      <c r="AP62" s="474">
        <f>COUNTIF(ParticipationAvril1[[#This Row],[1]:[30]],Code7)</f>
        <v>0</v>
      </c>
      <c r="AQ62" s="474">
        <f>COUNTIF(ParticipationAvril1[[#This Row],[1]:[30]],Code8)</f>
        <v>0</v>
      </c>
      <c r="AR62" s="474">
        <f>COUNTIF(ParticipationAvril1[[#This Row],[1]:[30]],Code9)</f>
        <v>0</v>
      </c>
      <c r="AS62" s="474">
        <f>COUNTIF(ParticipationAvril1[[#This Row],[1]:[30]],Code10)</f>
        <v>0</v>
      </c>
      <c r="AT62" s="474">
        <f>COUNTIF(ParticipationAvril1[[#This Row],[1]:[30]],Code11)</f>
        <v>0</v>
      </c>
      <c r="AU62" s="474">
        <f>COUNTIF(ParticipationAvril1[[#This Row],[1]:[30]],Code12)</f>
        <v>0</v>
      </c>
      <c r="AV62" s="474">
        <f>COUNTIF(ParticipationAvril1[[#This Row],[1]:[30]],Code13)</f>
        <v>0</v>
      </c>
      <c r="AW62" s="474">
        <f>COUNTIF(ParticipationAvril1[[#This Row],[1]:[30]],Code14)</f>
        <v>0</v>
      </c>
      <c r="AX62" s="474">
        <f>COUNTIF(ParticipationAvril1[[#This Row],[1]:[30]],Code16)</f>
        <v>0</v>
      </c>
      <c r="AY62" s="474">
        <f>COUNTIF(ParticipationAvril1[[#This Row],[1]:[30]],Code15)</f>
        <v>0</v>
      </c>
      <c r="AZ62" s="474">
        <f>COUNTIF(ParticipationAvril1[[#This Row],[1]:[30]],Code17)</f>
        <v>0</v>
      </c>
      <c r="BA62" s="474">
        <f>COUNTIF(ParticipationAvril1[[#This Row],[1]:[30]],Code25)</f>
        <v>0</v>
      </c>
      <c r="BB62" s="474">
        <f>COUNTIF(ParticipationAvril1[[#This Row],[1]:[30]],Code26)</f>
        <v>0</v>
      </c>
      <c r="BC62" s="474">
        <f>COUNTIF(ParticipationAvril1[[#This Row],[1]:[30]],Code27)</f>
        <v>0</v>
      </c>
      <c r="BD62" s="474">
        <f>COUNTIF(ParticipationAvril1[[#This Row],[1]:[30]],Code28)</f>
        <v>0</v>
      </c>
      <c r="BE62" s="474">
        <f>COUNTIF(ParticipationAvril1[[#This Row],[1]:[30]],code30)</f>
        <v>0</v>
      </c>
      <c r="BF62" s="474">
        <f>COUNTIF(ParticipationAvril1[[#This Row],[1]:[30]],Code31)</f>
        <v>0</v>
      </c>
      <c r="BG62" s="474">
        <f>COUNTIF(ParticipationAvril1[[#This Row],[1]:[30]],code21)</f>
        <v>0</v>
      </c>
      <c r="BH62" s="474">
        <f>COUNTIF(ParticipationAvril1[[#This Row],[1]:[30]],Code24)</f>
        <v>0</v>
      </c>
      <c r="BI62" s="474">
        <f>COUNTIF(ParticipationAvril1[[#This Row],[1]:[30]],code18)</f>
        <v>0</v>
      </c>
      <c r="BJ62" s="474">
        <f>COUNTIF(ParticipationAvril1[[#This Row],[1]:[30]],code19)</f>
        <v>0</v>
      </c>
      <c r="BK62" s="474">
        <f>COUNTIF(ParticipationAvril1[[#This Row],[1]:[30]],code20)</f>
        <v>0</v>
      </c>
      <c r="BL62" s="476">
        <f>COUNTIF(ParticipationAvril1[[#This Row],[1]:[30]],code29)</f>
        <v>0</v>
      </c>
      <c r="BM62" s="472"/>
      <c r="BN62" s="472"/>
      <c r="BO62" s="472"/>
      <c r="BP62" s="472"/>
      <c r="BQ62" s="472"/>
      <c r="BR62" s="472"/>
      <c r="BS62" s="472"/>
      <c r="BT62" s="472"/>
      <c r="BU62" s="472"/>
      <c r="BV62" s="472"/>
      <c r="BW62" s="472"/>
      <c r="BX62" s="472"/>
      <c r="BY62" s="472"/>
      <c r="BZ62" s="472"/>
      <c r="CA62" s="472"/>
      <c r="CB62" s="472"/>
      <c r="CC62" s="472"/>
      <c r="CD62" s="472"/>
      <c r="CE62" s="472"/>
      <c r="CF62" s="472"/>
      <c r="CG62" s="472"/>
      <c r="CH62" s="472"/>
      <c r="CI62" s="472"/>
      <c r="CJ62" s="472"/>
      <c r="CK62" s="472"/>
      <c r="CL62" s="472"/>
      <c r="CM62" s="472"/>
      <c r="CN62" s="472"/>
      <c r="CO62" s="472"/>
      <c r="CP62" s="472"/>
      <c r="CQ62" s="472"/>
      <c r="CR62" s="472"/>
      <c r="CS62" s="472"/>
      <c r="CT62" s="472"/>
      <c r="CU62" s="516">
        <f>SUM((AH62*1)+(AI62*1.5)+(AJ62*2)+(AK62*4)+(AP62*5)+(AQ62*6)+(AR62*7)+(AU62*2)+(AX62*3)+(AY62*4)+(AZ62*5)+(BB62*3)+(BA62*2)+(BG62*2)+(BC62*2)+(BD62*2))</f>
        <v>0</v>
      </c>
      <c r="CV62" s="555">
        <f t="shared" si="3"/>
        <v>0</v>
      </c>
      <c r="CW62" s="562">
        <f t="shared" si="4"/>
        <v>0</v>
      </c>
      <c r="CX62" s="475">
        <f t="shared" si="5"/>
        <v>0</v>
      </c>
      <c r="CY62" s="477"/>
    </row>
    <row r="63" spans="1:104" ht="15" thickTop="1" thickBot="1">
      <c r="A63" s="534" t="s">
        <v>404</v>
      </c>
      <c r="B63" s="162" t="str">
        <f>IFERROR(VLOOKUP(ParticipationAvril1[[#This Row],[Référence]],ListeÉtudiants1[],18,FALSE),"")</f>
        <v>FIRPION ALLISON</v>
      </c>
      <c r="C63" s="19"/>
      <c r="D63" s="19"/>
      <c r="E63" s="19" t="s">
        <v>527</v>
      </c>
      <c r="F63" s="19"/>
      <c r="G63" s="19"/>
      <c r="H63" s="19"/>
      <c r="I63" s="19"/>
      <c r="J63" s="19"/>
      <c r="K63" s="19" t="s">
        <v>108</v>
      </c>
      <c r="L63" s="19"/>
      <c r="M63" s="19"/>
      <c r="N63" s="19"/>
      <c r="O63" s="19"/>
      <c r="P63" s="19"/>
      <c r="Q63" s="19"/>
      <c r="R63" s="19"/>
      <c r="S63" s="19"/>
      <c r="T63" s="19"/>
      <c r="U63" s="19"/>
      <c r="V63" s="19"/>
      <c r="W63" s="19"/>
      <c r="X63" s="19"/>
      <c r="Y63" s="19"/>
      <c r="Z63" s="19"/>
      <c r="AA63" s="19"/>
      <c r="AB63" s="19"/>
      <c r="AC63" s="19"/>
      <c r="AD63" s="19"/>
      <c r="AE63" s="19"/>
      <c r="AF63" s="558"/>
      <c r="AG63" s="340"/>
      <c r="AH63" s="6">
        <f>COUNTIF(ParticipationAvril1[[#This Row],[1]:[30]],Code1)</f>
        <v>0</v>
      </c>
      <c r="AI63" s="6">
        <f>COUNTIF(ParticipationAvril1[[#This Row],[1]:[30]],code22)</f>
        <v>1</v>
      </c>
      <c r="AJ63" s="6">
        <f>COUNTIF(ParticipationAvril1[[#This Row],[1]:[30]],Code2)</f>
        <v>0</v>
      </c>
      <c r="AK63" s="6">
        <f>COUNTIF(ParticipationAvril1[[#This Row],[1]:[30]],Code3)</f>
        <v>0</v>
      </c>
      <c r="AL63" s="6">
        <f>COUNTIF(ParticipationAvril1[[#This Row],[1]:[30]],Code4)</f>
        <v>0</v>
      </c>
      <c r="AM63" s="6">
        <f>COUNTIF(ParticipationAvril1[[#This Row],[1]:[30]],Code5)</f>
        <v>0</v>
      </c>
      <c r="AN63" s="6">
        <f>COUNTIF(ParticipationAvril1[[#This Row],[1]:[30]],Code23)</f>
        <v>0</v>
      </c>
      <c r="AO63" s="6">
        <f>COUNTIF(ParticipationAvril1[[#This Row],[1]:[30]],Code6)</f>
        <v>1</v>
      </c>
      <c r="AP63" s="6">
        <f>COUNTIF(ParticipationAvril1[[#This Row],[1]:[30]],Code7)</f>
        <v>0</v>
      </c>
      <c r="AQ63" s="6">
        <f>COUNTIF(ParticipationAvril1[[#This Row],[1]:[30]],Code8)</f>
        <v>0</v>
      </c>
      <c r="AR63" s="6">
        <f>COUNTIF(ParticipationAvril1[[#This Row],[1]:[30]],Code9)</f>
        <v>0</v>
      </c>
      <c r="AS63" s="6">
        <f>COUNTIF(ParticipationAvril1[[#This Row],[1]:[30]],Code10)</f>
        <v>0</v>
      </c>
      <c r="AT63" s="6">
        <f>COUNTIF(ParticipationAvril1[[#This Row],[1]:[30]],Code11)</f>
        <v>0</v>
      </c>
      <c r="AU63" s="6">
        <f>COUNTIF(ParticipationAvril1[[#This Row],[1]:[30]],Code12)</f>
        <v>0</v>
      </c>
      <c r="AV63" s="6">
        <f>COUNTIF(ParticipationAvril1[[#This Row],[1]:[30]],Code13)</f>
        <v>0</v>
      </c>
      <c r="AW63" s="6">
        <f>COUNTIF(ParticipationAvril1[[#This Row],[1]:[30]],Code14)</f>
        <v>0</v>
      </c>
      <c r="AX63" s="6">
        <f>COUNTIF(ParticipationAvril1[[#This Row],[1]:[30]],Code16)</f>
        <v>0</v>
      </c>
      <c r="AY63" s="6">
        <f>COUNTIF(ParticipationAvril1[[#This Row],[1]:[30]],Code15)</f>
        <v>0</v>
      </c>
      <c r="AZ63" s="6">
        <f>COUNTIF(ParticipationAvril1[[#This Row],[1]:[30]],Code17)</f>
        <v>0</v>
      </c>
      <c r="BA63" s="6">
        <f>COUNTIF(ParticipationAvril1[[#This Row],[1]:[30]],Code25)</f>
        <v>0</v>
      </c>
      <c r="BB63" s="6">
        <f>COUNTIF(ParticipationAvril1[[#This Row],[1]:[30]],Code26)</f>
        <v>0</v>
      </c>
      <c r="BC63" s="432">
        <f>COUNTIF(ParticipationAvril1[[#This Row],[1]:[30]],Code27)</f>
        <v>0</v>
      </c>
      <c r="BD63" s="6">
        <f>COUNTIF(ParticipationAvril1[[#This Row],[1]:[30]],Code28)</f>
        <v>0</v>
      </c>
      <c r="BE63" s="6">
        <f>COUNTIF(ParticipationAvril1[[#This Row],[1]:[30]],code30)</f>
        <v>0</v>
      </c>
      <c r="BF63" s="6">
        <f>COUNTIF(ParticipationAvril1[[#This Row],[1]:[30]],Code31)</f>
        <v>0</v>
      </c>
      <c r="BG63" s="6">
        <f>COUNTIF(ParticipationAvril1[[#This Row],[1]:[30]],code21)</f>
        <v>0</v>
      </c>
      <c r="BH63" s="6">
        <f>COUNTIF(ParticipationAvril1[[#This Row],[1]:[30]],Code24)</f>
        <v>0</v>
      </c>
      <c r="BI63" s="6">
        <f>COUNTIF(ParticipationAvril1[[#This Row],[1]:[30]],code18)</f>
        <v>0</v>
      </c>
      <c r="BJ63" s="6">
        <f>COUNTIF(ParticipationAvril1[[#This Row],[1]:[30]],code19)</f>
        <v>0</v>
      </c>
      <c r="BK63" s="6">
        <f>COUNTIF(ParticipationAvril1[[#This Row],[1]:[30]],code20)</f>
        <v>0</v>
      </c>
      <c r="BL63" s="182">
        <f>COUNTIF(ParticipationAvril1[[#This Row],[1]:[30]],code29)</f>
        <v>0</v>
      </c>
      <c r="BM63" s="297"/>
      <c r="BN63" s="297">
        <v>1</v>
      </c>
      <c r="BO63" s="297"/>
      <c r="BP63" s="297"/>
      <c r="BQ63" s="297"/>
      <c r="BR63" s="297"/>
      <c r="BS63" s="297"/>
      <c r="BT63" s="297"/>
      <c r="BU63" s="297"/>
      <c r="BV63" s="297"/>
      <c r="BW63" s="297"/>
      <c r="BX63" s="297"/>
      <c r="BY63" s="297"/>
      <c r="BZ63" s="297"/>
      <c r="CA63" s="297"/>
      <c r="CB63" s="297"/>
      <c r="CC63" s="297"/>
      <c r="CD63" s="297"/>
      <c r="CE63" s="297"/>
      <c r="CF63" s="297"/>
      <c r="CG63" s="297">
        <v>1</v>
      </c>
      <c r="CH63" s="297"/>
      <c r="CI63" s="297"/>
      <c r="CJ63" s="297"/>
      <c r="CK63" s="297"/>
      <c r="CL63" s="297"/>
      <c r="CM63" s="297"/>
      <c r="CN63" s="297"/>
      <c r="CO63" s="297"/>
      <c r="CP63" s="297"/>
      <c r="CQ63" s="297"/>
      <c r="CR63" s="297"/>
      <c r="CS63" s="307"/>
      <c r="CT63" s="307"/>
      <c r="CU63" s="561"/>
      <c r="CV63" s="485">
        <f t="shared" si="3"/>
        <v>1.5</v>
      </c>
      <c r="CW63" s="563">
        <f t="shared" si="4"/>
        <v>3</v>
      </c>
      <c r="CX63" s="6">
        <f t="shared" si="5"/>
        <v>0</v>
      </c>
      <c r="CY63" s="179">
        <f>SUM((BI63*7)+(BJ63*10)+(BK63*12))</f>
        <v>0</v>
      </c>
    </row>
    <row r="64" spans="1:104" ht="15" thickTop="1" thickBot="1">
      <c r="A64" s="510" t="s">
        <v>405</v>
      </c>
      <c r="B64" s="162" t="str">
        <f>IFERROR(VLOOKUP(ParticipationAvril1[[#This Row],[Référence]],ListeÉtudiants1[],18,FALSE),"")</f>
        <v>GARGIULO  LUCIE</v>
      </c>
      <c r="C64" s="202"/>
      <c r="D64" s="202"/>
      <c r="E64" s="202"/>
      <c r="F64" s="202"/>
      <c r="G64" s="202"/>
      <c r="H64" s="202"/>
      <c r="I64" s="202"/>
      <c r="J64" s="202"/>
      <c r="K64" s="202"/>
      <c r="L64" s="202" t="s">
        <v>108</v>
      </c>
      <c r="M64" s="202"/>
      <c r="N64" s="202"/>
      <c r="O64" s="202"/>
      <c r="P64" s="202"/>
      <c r="Q64" s="202"/>
      <c r="R64" s="202"/>
      <c r="S64" s="202"/>
      <c r="T64" s="202"/>
      <c r="U64" s="202"/>
      <c r="V64" s="202"/>
      <c r="W64" s="202"/>
      <c r="X64" s="202"/>
      <c r="Y64" s="202"/>
      <c r="Z64" s="202"/>
      <c r="AA64" s="202"/>
      <c r="AB64" s="202"/>
      <c r="AC64" s="202"/>
      <c r="AD64" s="202"/>
      <c r="AE64" s="202"/>
      <c r="AF64" s="19"/>
      <c r="AG64" s="144"/>
      <c r="AH64" s="202">
        <f>COUNTIF(ParticipationAvril1[[#This Row],[1]:[30]],Code1)</f>
        <v>0</v>
      </c>
      <c r="AI64" s="6">
        <f>COUNTIF(ParticipationAvril1[[#This Row],[1]:[30]],code22)</f>
        <v>0</v>
      </c>
      <c r="AJ64" s="202">
        <f>COUNTIF(ParticipationAvril1[[#This Row],[1]:[30]],Code2)</f>
        <v>0</v>
      </c>
      <c r="AK64" s="202">
        <f>COUNTIF(ParticipationAvril1[[#This Row],[1]:[30]],Code3)</f>
        <v>0</v>
      </c>
      <c r="AL64" s="202">
        <f>COUNTIF(ParticipationAvril1[[#This Row],[1]:[30]],Code4)</f>
        <v>0</v>
      </c>
      <c r="AM64" s="6">
        <f>COUNTIF(ParticipationAvril1[[#This Row],[1]:[30]],Code5)</f>
        <v>0</v>
      </c>
      <c r="AN64" s="6">
        <f>COUNTIF(ParticipationAvril1[[#This Row],[1]:[30]],Code23)</f>
        <v>0</v>
      </c>
      <c r="AO64" s="6">
        <f>COUNTIF(ParticipationAvril1[[#This Row],[1]:[30]],Code6)</f>
        <v>1</v>
      </c>
      <c r="AP64" s="6">
        <f>COUNTIF(ParticipationAvril1[[#This Row],[1]:[30]],Code7)</f>
        <v>0</v>
      </c>
      <c r="AQ64" s="6">
        <f>COUNTIF(ParticipationAvril1[[#This Row],[1]:[30]],Code8)</f>
        <v>0</v>
      </c>
      <c r="AR64" s="6">
        <f>COUNTIF(ParticipationAvril1[[#This Row],[1]:[30]],Code9)</f>
        <v>0</v>
      </c>
      <c r="AS64" s="6">
        <f>COUNTIF(ParticipationAvril1[[#This Row],[1]:[30]],Code10)</f>
        <v>0</v>
      </c>
      <c r="AT64" s="6">
        <f>COUNTIF(ParticipationAvril1[[#This Row],[1]:[30]],Code11)</f>
        <v>0</v>
      </c>
      <c r="AU64" s="6">
        <f>COUNTIF(ParticipationAvril1[[#This Row],[1]:[30]],Code12)</f>
        <v>0</v>
      </c>
      <c r="AV64" s="6">
        <f>COUNTIF(ParticipationAvril1[[#This Row],[1]:[30]],Code13)</f>
        <v>0</v>
      </c>
      <c r="AW64" s="6">
        <f>COUNTIF(ParticipationAvril1[[#This Row],[1]:[30]],Code14)</f>
        <v>0</v>
      </c>
      <c r="AX64" s="6">
        <f>COUNTIF(ParticipationAvril1[[#This Row],[1]:[30]],Code16)</f>
        <v>0</v>
      </c>
      <c r="AY64" s="6">
        <f>COUNTIF(ParticipationAvril1[[#This Row],[1]:[30]],Code15)</f>
        <v>0</v>
      </c>
      <c r="AZ64" s="6">
        <f>COUNTIF(ParticipationAvril1[[#This Row],[1]:[30]],Code17)</f>
        <v>0</v>
      </c>
      <c r="BA64" s="6">
        <f>COUNTIF(ParticipationAvril1[[#This Row],[1]:[30]],Code25)</f>
        <v>0</v>
      </c>
      <c r="BB64" s="6">
        <f>COUNTIF(ParticipationAvril1[[#This Row],[1]:[30]],Code26)</f>
        <v>0</v>
      </c>
      <c r="BC64" s="6">
        <f>COUNTIF(ParticipationAvril1[[#This Row],[1]:[30]],Code27)</f>
        <v>0</v>
      </c>
      <c r="BD64" s="6">
        <f>COUNTIF(ParticipationAvril1[[#This Row],[1]:[30]],Code28)</f>
        <v>0</v>
      </c>
      <c r="BE64" s="6">
        <f>COUNTIF(ParticipationAvril1[[#This Row],[1]:[30]],code30)</f>
        <v>0</v>
      </c>
      <c r="BF64" s="6">
        <f>COUNTIF(ParticipationAvril1[[#This Row],[1]:[30]],Code31)</f>
        <v>0</v>
      </c>
      <c r="BG64" s="6">
        <f>COUNTIF(ParticipationAvril1[[#This Row],[1]:[30]],code21)</f>
        <v>0</v>
      </c>
      <c r="BH64" s="6">
        <f>COUNTIF(ParticipationAvril1[[#This Row],[1]:[30]],Code24)</f>
        <v>0</v>
      </c>
      <c r="BI64" s="6">
        <f>COUNTIF(ParticipationAvril1[[#This Row],[1]:[30]],code18)</f>
        <v>0</v>
      </c>
      <c r="BJ64" s="6">
        <f>COUNTIF(ParticipationAvril1[[#This Row],[1]:[30]],code19)</f>
        <v>0</v>
      </c>
      <c r="BK64" s="6">
        <f>COUNTIF(ParticipationAvril1[[#This Row],[1]:[30]],code20)</f>
        <v>0</v>
      </c>
      <c r="BL64" s="182">
        <f>COUNTIF(ParticipationAvril1[[#This Row],[1]:[30]],code29)</f>
        <v>0</v>
      </c>
      <c r="BM64" s="139"/>
      <c r="BN64" s="139"/>
      <c r="BO64" s="139"/>
      <c r="BP64" s="139"/>
      <c r="BQ64" s="139"/>
      <c r="BR64" s="139"/>
      <c r="BS64" s="139"/>
      <c r="BT64" s="139">
        <v>1</v>
      </c>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30"/>
      <c r="CT64" s="30"/>
      <c r="CU64" s="300"/>
      <c r="CV64" s="485">
        <f t="shared" si="3"/>
        <v>0</v>
      </c>
      <c r="CW64" s="499">
        <f t="shared" si="4"/>
        <v>3</v>
      </c>
      <c r="CX64" s="6">
        <f t="shared" si="5"/>
        <v>0</v>
      </c>
      <c r="CY64" s="179"/>
      <c r="CZ64" s="200"/>
    </row>
    <row r="65" spans="1:131" ht="15" thickTop="1" thickBot="1">
      <c r="A65" s="510" t="s">
        <v>406</v>
      </c>
      <c r="B65" s="162" t="str">
        <f>IFERROR(VLOOKUP(ParticipationAvril1[[#This Row],[Référence]],ListeÉtudiants1[],18,FALSE),"")</f>
        <v>GASQUET ANTOINE</v>
      </c>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19"/>
      <c r="AG65" s="478"/>
      <c r="AH65" s="202">
        <f>COUNTIF(ParticipationAvril1[[#This Row],[1]:[30]],Code1)</f>
        <v>0</v>
      </c>
      <c r="AI65" s="475">
        <f>COUNTIF(ParticipationAvril1[[#This Row],[1]:[30]],code22)</f>
        <v>0</v>
      </c>
      <c r="AJ65" s="202">
        <f>COUNTIF(ParticipationAvril1[[#This Row],[1]:[30]],Code2)</f>
        <v>0</v>
      </c>
      <c r="AK65" s="202">
        <f>COUNTIF(ParticipationAvril1[[#This Row],[1]:[30]],Code3)</f>
        <v>0</v>
      </c>
      <c r="AL65" s="202">
        <f>COUNTIF(ParticipationAvril1[[#This Row],[1]:[30]],Code4)</f>
        <v>0</v>
      </c>
      <c r="AM65" s="475">
        <f>COUNTIF(ParticipationAvril1[[#This Row],[1]:[30]],Code5)</f>
        <v>0</v>
      </c>
      <c r="AN65" s="475">
        <f>COUNTIF(ParticipationAvril1[[#This Row],[1]:[30]],Code23)</f>
        <v>0</v>
      </c>
      <c r="AO65" s="475">
        <f>COUNTIF(ParticipationAvril1[[#This Row],[1]:[30]],Code6)</f>
        <v>0</v>
      </c>
      <c r="AP65" s="475">
        <f>COUNTIF(ParticipationAvril1[[#This Row],[1]:[30]],Code7)</f>
        <v>0</v>
      </c>
      <c r="AQ65" s="475">
        <f>COUNTIF(ParticipationAvril1[[#This Row],[1]:[30]],Code8)</f>
        <v>0</v>
      </c>
      <c r="AR65" s="475">
        <f>COUNTIF(ParticipationAvril1[[#This Row],[1]:[30]],Code9)</f>
        <v>0</v>
      </c>
      <c r="AS65" s="475">
        <f>COUNTIF(ParticipationAvril1[[#This Row],[1]:[30]],Code10)</f>
        <v>0</v>
      </c>
      <c r="AT65" s="475">
        <f>COUNTIF(ParticipationAvril1[[#This Row],[1]:[30]],Code11)</f>
        <v>0</v>
      </c>
      <c r="AU65" s="475">
        <f>COUNTIF(ParticipationAvril1[[#This Row],[1]:[30]],Code12)</f>
        <v>0</v>
      </c>
      <c r="AV65" s="475">
        <f>COUNTIF(ParticipationAvril1[[#This Row],[1]:[30]],Code13)</f>
        <v>0</v>
      </c>
      <c r="AW65" s="475">
        <f>COUNTIF(ParticipationAvril1[[#This Row],[1]:[30]],Code14)</f>
        <v>0</v>
      </c>
      <c r="AX65" s="475">
        <f>COUNTIF(ParticipationAvril1[[#This Row],[1]:[30]],Code16)</f>
        <v>0</v>
      </c>
      <c r="AY65" s="475">
        <f>COUNTIF(ParticipationAvril1[[#This Row],[1]:[30]],Code15)</f>
        <v>0</v>
      </c>
      <c r="AZ65" s="475">
        <f>COUNTIF(ParticipationAvril1[[#This Row],[1]:[30]],Code17)</f>
        <v>0</v>
      </c>
      <c r="BA65" s="475">
        <f>COUNTIF(ParticipationAvril1[[#This Row],[1]:[30]],Code25)</f>
        <v>0</v>
      </c>
      <c r="BB65" s="475">
        <f>COUNTIF(ParticipationAvril1[[#This Row],[1]:[30]],Code26)</f>
        <v>0</v>
      </c>
      <c r="BC65" s="475">
        <f>COUNTIF(ParticipationAvril1[[#This Row],[1]:[30]],Code27)</f>
        <v>0</v>
      </c>
      <c r="BD65" s="475">
        <f>COUNTIF(ParticipationAvril1[[#This Row],[1]:[30]],Code28)</f>
        <v>0</v>
      </c>
      <c r="BE65" s="475">
        <f>COUNTIF(ParticipationAvril1[[#This Row],[1]:[30]],code30)</f>
        <v>0</v>
      </c>
      <c r="BF65" s="475">
        <f>COUNTIF(ParticipationAvril1[[#This Row],[1]:[30]],Code31)</f>
        <v>0</v>
      </c>
      <c r="BG65" s="475">
        <f>COUNTIF(ParticipationAvril1[[#This Row],[1]:[30]],code21)</f>
        <v>0</v>
      </c>
      <c r="BH65" s="475">
        <f>COUNTIF(ParticipationAvril1[[#This Row],[1]:[30]],Code24)</f>
        <v>0</v>
      </c>
      <c r="BI65" s="475">
        <f>COUNTIF(ParticipationAvril1[[#This Row],[1]:[30]],code18)</f>
        <v>0</v>
      </c>
      <c r="BJ65" s="475">
        <f>COUNTIF(ParticipationAvril1[[#This Row],[1]:[30]],code19)</f>
        <v>0</v>
      </c>
      <c r="BK65" s="475">
        <f>COUNTIF(ParticipationAvril1[[#This Row],[1]:[30]],code20)</f>
        <v>0</v>
      </c>
      <c r="BL65" s="476">
        <f>COUNTIF(ParticipationAvril1[[#This Row],[1]:[30]],code29)</f>
        <v>0</v>
      </c>
      <c r="BM65" s="472"/>
      <c r="BN65" s="472"/>
      <c r="BO65" s="472"/>
      <c r="BP65" s="472"/>
      <c r="BQ65" s="472"/>
      <c r="BR65" s="472"/>
      <c r="BS65" s="472"/>
      <c r="BT65" s="472"/>
      <c r="BU65" s="472"/>
      <c r="BV65" s="472"/>
      <c r="BW65" s="472"/>
      <c r="BX65" s="472"/>
      <c r="BY65" s="472"/>
      <c r="BZ65" s="472"/>
      <c r="CA65" s="472"/>
      <c r="CB65" s="472"/>
      <c r="CC65" s="472"/>
      <c r="CD65" s="472"/>
      <c r="CE65" s="472"/>
      <c r="CF65" s="472"/>
      <c r="CG65" s="472"/>
      <c r="CH65" s="472"/>
      <c r="CI65" s="472"/>
      <c r="CJ65" s="472"/>
      <c r="CK65" s="472"/>
      <c r="CL65" s="472"/>
      <c r="CM65" s="472"/>
      <c r="CN65" s="472"/>
      <c r="CO65" s="472"/>
      <c r="CP65" s="472"/>
      <c r="CQ65" s="472"/>
      <c r="CR65" s="472"/>
      <c r="CS65" s="473"/>
      <c r="CT65" s="473"/>
      <c r="CU65" s="516">
        <f>SUM((AH65*1)+(AI65*1.5)+(AJ65*2)+(AK65*4)+(AP65*5)+(AQ65*6)+(AR65*7)+(AU65*2)+(AX65*3)+(AY65*4)+(AZ65*5)+(BB65*3)+(BA65*2)+(BG65*2)+(BC65*2)+(BD65*2))</f>
        <v>0</v>
      </c>
      <c r="CV65" s="555">
        <f t="shared" si="3"/>
        <v>0</v>
      </c>
      <c r="CW65" s="562">
        <f t="shared" si="4"/>
        <v>0</v>
      </c>
      <c r="CX65" s="475">
        <f t="shared" si="5"/>
        <v>0</v>
      </c>
      <c r="CY65" s="477"/>
      <c r="CZ65" s="200"/>
    </row>
    <row r="66" spans="1:131" ht="15" thickTop="1" thickBot="1">
      <c r="A66" s="534" t="s">
        <v>407</v>
      </c>
      <c r="B66" s="162" t="str">
        <f>IFERROR(VLOOKUP(ParticipationAvril1[[#This Row],[Référence]],ListeÉtudiants1[],18,FALSE),"")</f>
        <v>GATIBELZA LESLEY</v>
      </c>
      <c r="K66" s="479" t="s">
        <v>108</v>
      </c>
      <c r="L66" s="510" t="s">
        <v>108</v>
      </c>
      <c r="AF66" s="88"/>
      <c r="AG66" s="441"/>
      <c r="AH66" s="439">
        <f>COUNTIF(ParticipationAvril1[[#This Row],[1]:[30]],Code1)</f>
        <v>0</v>
      </c>
      <c r="AI66" s="435">
        <f>COUNTIF(ParticipationAvril1[[#This Row],[1]:[30]],code22)</f>
        <v>0</v>
      </c>
      <c r="AJ66" s="439">
        <f>COUNTIF(ParticipationAvril1[[#This Row],[1]:[30]],Code2)</f>
        <v>0</v>
      </c>
      <c r="AK66" s="439">
        <f>COUNTIF(ParticipationAvril1[[#This Row],[1]:[30]],Code3)</f>
        <v>0</v>
      </c>
      <c r="AL66" s="439">
        <f>COUNTIF(ParticipationAvril1[[#This Row],[1]:[30]],Code4)</f>
        <v>0</v>
      </c>
      <c r="AM66" s="435">
        <f>COUNTIF(ParticipationAvril1[[#This Row],[1]:[30]],Code5)</f>
        <v>0</v>
      </c>
      <c r="AN66" s="435">
        <f>COUNTIF(ParticipationAvril1[[#This Row],[1]:[30]],Code23)</f>
        <v>0</v>
      </c>
      <c r="AO66" s="435">
        <f>COUNTIF(ParticipationAvril1[[#This Row],[1]:[30]],Code6)</f>
        <v>2</v>
      </c>
      <c r="AP66" s="435">
        <f>COUNTIF(ParticipationAvril1[[#This Row],[1]:[30]],Code7)</f>
        <v>0</v>
      </c>
      <c r="AQ66" s="435">
        <f>COUNTIF(ParticipationAvril1[[#This Row],[1]:[30]],Code8)</f>
        <v>0</v>
      </c>
      <c r="AR66" s="435">
        <f>COUNTIF(ParticipationAvril1[[#This Row],[1]:[30]],Code9)</f>
        <v>0</v>
      </c>
      <c r="AS66" s="435">
        <f>COUNTIF(ParticipationAvril1[[#This Row],[1]:[30]],Code10)</f>
        <v>0</v>
      </c>
      <c r="AT66" s="435">
        <f>COUNTIF(ParticipationAvril1[[#This Row],[1]:[30]],Code11)</f>
        <v>0</v>
      </c>
      <c r="AU66" s="435">
        <f>COUNTIF(ParticipationAvril1[[#This Row],[1]:[30]],Code12)</f>
        <v>0</v>
      </c>
      <c r="AV66" s="435">
        <f>COUNTIF(ParticipationAvril1[[#This Row],[1]:[30]],Code13)</f>
        <v>0</v>
      </c>
      <c r="AW66" s="435">
        <f>COUNTIF(ParticipationAvril1[[#This Row],[1]:[30]],Code14)</f>
        <v>0</v>
      </c>
      <c r="AX66" s="435">
        <f>COUNTIF(ParticipationAvril1[[#This Row],[1]:[30]],Code16)</f>
        <v>0</v>
      </c>
      <c r="AY66" s="435">
        <f>COUNTIF(ParticipationAvril1[[#This Row],[1]:[30]],Code15)</f>
        <v>0</v>
      </c>
      <c r="AZ66" s="435">
        <f>COUNTIF(ParticipationAvril1[[#This Row],[1]:[30]],Code17)</f>
        <v>0</v>
      </c>
      <c r="BA66" s="435">
        <f>COUNTIF(ParticipationAvril1[[#This Row],[1]:[30]],Code25)</f>
        <v>0</v>
      </c>
      <c r="BB66" s="435">
        <f>COUNTIF(ParticipationAvril1[[#This Row],[1]:[30]],Code26)</f>
        <v>0</v>
      </c>
      <c r="BC66" s="435">
        <f>COUNTIF(ParticipationAvril1[[#This Row],[1]:[30]],Code27)</f>
        <v>0</v>
      </c>
      <c r="BD66" s="435">
        <f>COUNTIF(ParticipationAvril1[[#This Row],[1]:[30]],Code28)</f>
        <v>0</v>
      </c>
      <c r="BE66" s="435">
        <f>COUNTIF(ParticipationAvril1[[#This Row],[1]:[30]],code30)</f>
        <v>0</v>
      </c>
      <c r="BF66" s="435">
        <f>COUNTIF(ParticipationAvril1[[#This Row],[1]:[30]],Code31)</f>
        <v>0</v>
      </c>
      <c r="BG66" s="435">
        <f>COUNTIF(ParticipationAvril1[[#This Row],[1]:[30]],code21)</f>
        <v>0</v>
      </c>
      <c r="BH66" s="435">
        <f>COUNTIF(ParticipationAvril1[[#This Row],[1]:[30]],Code24)</f>
        <v>0</v>
      </c>
      <c r="BI66" s="435">
        <f>COUNTIF(ParticipationAvril1[[#This Row],[1]:[30]],code18)</f>
        <v>0</v>
      </c>
      <c r="BJ66" s="435">
        <f>COUNTIF(ParticipationAvril1[[#This Row],[1]:[30]],code19)</f>
        <v>0</v>
      </c>
      <c r="BK66" s="435">
        <f>COUNTIF(ParticipationAvril1[[#This Row],[1]:[30]],code20)</f>
        <v>0</v>
      </c>
      <c r="BL66" s="436">
        <f>COUNTIF(ParticipationAvril1[[#This Row],[1]:[30]],code29)</f>
        <v>0</v>
      </c>
      <c r="BM66" s="297"/>
      <c r="BN66" s="297">
        <v>1</v>
      </c>
      <c r="BO66" s="297"/>
      <c r="BP66" s="297"/>
      <c r="BQ66" s="297"/>
      <c r="BR66" s="297"/>
      <c r="BS66" s="297"/>
      <c r="BT66" s="297"/>
      <c r="BU66" s="297"/>
      <c r="BV66" s="297"/>
      <c r="BW66" s="297">
        <v>1</v>
      </c>
      <c r="BX66" s="297"/>
      <c r="BY66" s="297"/>
      <c r="BZ66" s="297"/>
      <c r="CA66" s="297"/>
      <c r="CB66" s="297"/>
      <c r="CC66" s="297"/>
      <c r="CD66" s="297"/>
      <c r="CE66" s="297"/>
      <c r="CF66" s="297"/>
      <c r="CG66" s="297"/>
      <c r="CH66" s="297"/>
      <c r="CI66" s="297"/>
      <c r="CJ66" s="297"/>
      <c r="CK66" s="297"/>
      <c r="CL66" s="297"/>
      <c r="CM66" s="297"/>
      <c r="CN66" s="297"/>
      <c r="CO66" s="297"/>
      <c r="CP66" s="297"/>
      <c r="CQ66" s="297"/>
      <c r="CR66" s="297"/>
      <c r="CS66" s="297"/>
      <c r="CT66" s="297"/>
      <c r="CU66" s="300"/>
      <c r="CV66" s="485">
        <f t="shared" si="3"/>
        <v>0</v>
      </c>
      <c r="CW66" s="499">
        <f t="shared" si="4"/>
        <v>6</v>
      </c>
      <c r="CX66" s="435">
        <f t="shared" si="5"/>
        <v>0</v>
      </c>
      <c r="CY66" s="438"/>
    </row>
    <row r="67" spans="1:131" ht="15" thickTop="1" thickBot="1">
      <c r="A67" s="534" t="s">
        <v>408</v>
      </c>
      <c r="B67" s="162" t="str">
        <f>IFERROR(VLOOKUP(ParticipationAvril1[[#This Row],[Référence]],ListeÉtudiants1[],18,FALSE),"")</f>
        <v>GOMES SEMEDO LUCY</v>
      </c>
      <c r="C67" s="202"/>
      <c r="D67" s="202"/>
      <c r="E67" s="202"/>
      <c r="F67" s="202"/>
      <c r="G67" s="202"/>
      <c r="H67" s="202"/>
      <c r="I67" s="202"/>
      <c r="J67" s="202"/>
      <c r="K67" s="202"/>
      <c r="L67" s="202" t="s">
        <v>108</v>
      </c>
      <c r="M67" s="202"/>
      <c r="N67" s="202"/>
      <c r="O67" s="202"/>
      <c r="P67" s="202"/>
      <c r="Q67" s="202"/>
      <c r="R67" s="202"/>
      <c r="S67" s="202"/>
      <c r="T67" s="202"/>
      <c r="U67" s="202"/>
      <c r="V67" s="202"/>
      <c r="W67" s="202"/>
      <c r="X67" s="202"/>
      <c r="Y67" s="202"/>
      <c r="Z67" s="202"/>
      <c r="AA67" s="202"/>
      <c r="AB67" s="202"/>
      <c r="AC67" s="202"/>
      <c r="AD67" s="202"/>
      <c r="AE67" s="202"/>
      <c r="AF67" s="19"/>
      <c r="AG67" s="144"/>
      <c r="AH67" s="202">
        <f>COUNTIF(ParticipationAvril1[[#This Row],[1]:[30]],Code1)</f>
        <v>0</v>
      </c>
      <c r="AI67" s="6">
        <f>COUNTIF(ParticipationAvril1[[#This Row],[1]:[30]],code22)</f>
        <v>0</v>
      </c>
      <c r="AJ67" s="202">
        <f>COUNTIF(ParticipationAvril1[[#This Row],[1]:[30]],Code2)</f>
        <v>0</v>
      </c>
      <c r="AK67" s="202">
        <f>COUNTIF(ParticipationAvril1[[#This Row],[1]:[30]],Code3)</f>
        <v>0</v>
      </c>
      <c r="AL67" s="202">
        <f>COUNTIF(ParticipationAvril1[[#This Row],[1]:[30]],Code4)</f>
        <v>0</v>
      </c>
      <c r="AM67" s="6">
        <f>COUNTIF(ParticipationAvril1[[#This Row],[1]:[30]],Code5)</f>
        <v>0</v>
      </c>
      <c r="AN67" s="6">
        <f>COUNTIF(ParticipationAvril1[[#This Row],[1]:[30]],Code23)</f>
        <v>0</v>
      </c>
      <c r="AO67" s="6">
        <f>COUNTIF(ParticipationAvril1[[#This Row],[1]:[30]],Code6)</f>
        <v>1</v>
      </c>
      <c r="AP67" s="6">
        <f>COUNTIF(ParticipationAvril1[[#This Row],[1]:[30]],Code7)</f>
        <v>0</v>
      </c>
      <c r="AQ67" s="6">
        <f>COUNTIF(ParticipationAvril1[[#This Row],[1]:[30]],Code8)</f>
        <v>0</v>
      </c>
      <c r="AR67" s="6">
        <f>COUNTIF(ParticipationAvril1[[#This Row],[1]:[30]],Code9)</f>
        <v>0</v>
      </c>
      <c r="AS67" s="6">
        <f>COUNTIF(ParticipationAvril1[[#This Row],[1]:[30]],Code10)</f>
        <v>0</v>
      </c>
      <c r="AT67" s="6">
        <f>COUNTIF(ParticipationAvril1[[#This Row],[1]:[30]],Code11)</f>
        <v>0</v>
      </c>
      <c r="AU67" s="6">
        <f>COUNTIF(ParticipationAvril1[[#This Row],[1]:[30]],Code12)</f>
        <v>0</v>
      </c>
      <c r="AV67" s="6">
        <f>COUNTIF(ParticipationAvril1[[#This Row],[1]:[30]],Code13)</f>
        <v>0</v>
      </c>
      <c r="AW67" s="6">
        <f>COUNTIF(ParticipationAvril1[[#This Row],[1]:[30]],Code14)</f>
        <v>0</v>
      </c>
      <c r="AX67" s="6">
        <f>COUNTIF(ParticipationAvril1[[#This Row],[1]:[30]],Code16)</f>
        <v>0</v>
      </c>
      <c r="AY67" s="6">
        <f>COUNTIF(ParticipationAvril1[[#This Row],[1]:[30]],Code15)</f>
        <v>0</v>
      </c>
      <c r="AZ67" s="6">
        <f>COUNTIF(ParticipationAvril1[[#This Row],[1]:[30]],Code17)</f>
        <v>0</v>
      </c>
      <c r="BA67" s="6">
        <f>COUNTIF(ParticipationAvril1[[#This Row],[1]:[30]],Code25)</f>
        <v>0</v>
      </c>
      <c r="BB67" s="6">
        <f>COUNTIF(ParticipationAvril1[[#This Row],[1]:[30]],Code26)</f>
        <v>0</v>
      </c>
      <c r="BC67" s="6">
        <f>COUNTIF(ParticipationAvril1[[#This Row],[1]:[30]],Code27)</f>
        <v>0</v>
      </c>
      <c r="BD67" s="6">
        <f>COUNTIF(ParticipationAvril1[[#This Row],[1]:[30]],Code28)</f>
        <v>0</v>
      </c>
      <c r="BE67" s="6">
        <f>COUNTIF(ParticipationAvril1[[#This Row],[1]:[30]],code30)</f>
        <v>0</v>
      </c>
      <c r="BF67" s="6">
        <f>COUNTIF(ParticipationAvril1[[#This Row],[1]:[30]],Code31)</f>
        <v>0</v>
      </c>
      <c r="BG67" s="6">
        <f>COUNTIF(ParticipationAvril1[[#This Row],[1]:[30]],code21)</f>
        <v>0</v>
      </c>
      <c r="BH67" s="6">
        <f>COUNTIF(ParticipationAvril1[[#This Row],[1]:[30]],Code24)</f>
        <v>0</v>
      </c>
      <c r="BI67" s="6">
        <f>COUNTIF(ParticipationAvril1[[#This Row],[1]:[30]],code18)</f>
        <v>0</v>
      </c>
      <c r="BJ67" s="6">
        <f>COUNTIF(ParticipationAvril1[[#This Row],[1]:[30]],code19)</f>
        <v>0</v>
      </c>
      <c r="BK67" s="6">
        <f>COUNTIF(ParticipationAvril1[[#This Row],[1]:[30]],code20)</f>
        <v>0</v>
      </c>
      <c r="BL67" s="182">
        <f>COUNTIF(ParticipationAvril1[[#This Row],[1]:[30]],code29)</f>
        <v>0</v>
      </c>
      <c r="BM67" s="139"/>
      <c r="BN67" s="139">
        <v>1</v>
      </c>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30"/>
      <c r="CT67" s="30"/>
      <c r="CU67" s="300"/>
      <c r="CV67" s="485">
        <f t="shared" si="3"/>
        <v>0</v>
      </c>
      <c r="CW67" s="499">
        <f t="shared" si="4"/>
        <v>3</v>
      </c>
      <c r="CX67" s="6">
        <f t="shared" si="5"/>
        <v>0</v>
      </c>
      <c r="CY67" s="179"/>
      <c r="CZ67" s="200"/>
    </row>
    <row r="68" spans="1:131" ht="15" thickTop="1" thickBot="1">
      <c r="A68" s="534" t="s">
        <v>409</v>
      </c>
      <c r="B68" s="162" t="str">
        <f>IFERROR(VLOOKUP(ParticipationAvril1[[#This Row],[Référence]],ListeÉtudiants1[],18,FALSE),"")</f>
        <v>GORDON  MAIVA</v>
      </c>
      <c r="H68" s="510" t="s">
        <v>35</v>
      </c>
      <c r="K68" s="510" t="s">
        <v>108</v>
      </c>
      <c r="M68" s="510" t="s">
        <v>487</v>
      </c>
      <c r="N68" s="510" t="s">
        <v>35</v>
      </c>
      <c r="AF68" s="88"/>
      <c r="AG68" s="441"/>
      <c r="AH68" s="439">
        <f>COUNTIF(ParticipationAvril1[[#This Row],[1]:[30]],Code1)</f>
        <v>0</v>
      </c>
      <c r="AI68" s="435">
        <f>COUNTIF(ParticipationAvril1[[#This Row],[1]:[30]],code22)</f>
        <v>0</v>
      </c>
      <c r="AJ68" s="439">
        <f>COUNTIF(ParticipationAvril1[[#This Row],[1]:[30]],Code2)</f>
        <v>0</v>
      </c>
      <c r="AK68" s="439">
        <f>COUNTIF(ParticipationAvril1[[#This Row],[1]:[30]],Code3)</f>
        <v>0</v>
      </c>
      <c r="AL68" s="439">
        <f>COUNTIF(ParticipationAvril1[[#This Row],[1]:[30]],Code4)</f>
        <v>0</v>
      </c>
      <c r="AM68" s="435">
        <f>COUNTIF(ParticipationAvril1[[#This Row],[1]:[30]],Code5)</f>
        <v>2</v>
      </c>
      <c r="AN68" s="435">
        <f>COUNTIF(ParticipationAvril1[[#This Row],[1]:[30]],Code23)</f>
        <v>0</v>
      </c>
      <c r="AO68" s="435">
        <f>COUNTIF(ParticipationAvril1[[#This Row],[1]:[30]],Code6)</f>
        <v>1</v>
      </c>
      <c r="AP68" s="435">
        <f>COUNTIF(ParticipationAvril1[[#This Row],[1]:[30]],Code7)</f>
        <v>0</v>
      </c>
      <c r="AQ68" s="435">
        <f>COUNTIF(ParticipationAvril1[[#This Row],[1]:[30]],Code8)</f>
        <v>0</v>
      </c>
      <c r="AR68" s="435">
        <f>COUNTIF(ParticipationAvril1[[#This Row],[1]:[30]],Code9)</f>
        <v>0</v>
      </c>
      <c r="AS68" s="435">
        <f>COUNTIF(ParticipationAvril1[[#This Row],[1]:[30]],Code10)</f>
        <v>0</v>
      </c>
      <c r="AT68" s="435">
        <f>COUNTIF(ParticipationAvril1[[#This Row],[1]:[30]],Code11)</f>
        <v>0</v>
      </c>
      <c r="AU68" s="435">
        <f>COUNTIF(ParticipationAvril1[[#This Row],[1]:[30]],Code12)</f>
        <v>1</v>
      </c>
      <c r="AV68" s="435">
        <f>COUNTIF(ParticipationAvril1[[#This Row],[1]:[30]],Code13)</f>
        <v>0</v>
      </c>
      <c r="AW68" s="435">
        <f>COUNTIF(ParticipationAvril1[[#This Row],[1]:[30]],Code14)</f>
        <v>0</v>
      </c>
      <c r="AX68" s="435">
        <f>COUNTIF(ParticipationAvril1[[#This Row],[1]:[30]],Code16)</f>
        <v>0</v>
      </c>
      <c r="AY68" s="435">
        <f>COUNTIF(ParticipationAvril1[[#This Row],[1]:[30]],Code15)</f>
        <v>0</v>
      </c>
      <c r="AZ68" s="435">
        <f>COUNTIF(ParticipationAvril1[[#This Row],[1]:[30]],Code17)</f>
        <v>0</v>
      </c>
      <c r="BA68" s="435">
        <f>COUNTIF(ParticipationAvril1[[#This Row],[1]:[30]],Code25)</f>
        <v>0</v>
      </c>
      <c r="BB68" s="435">
        <f>COUNTIF(ParticipationAvril1[[#This Row],[1]:[30]],Code26)</f>
        <v>0</v>
      </c>
      <c r="BC68" s="435">
        <f>COUNTIF(ParticipationAvril1[[#This Row],[1]:[30]],Code27)</f>
        <v>0</v>
      </c>
      <c r="BD68" s="435">
        <f>COUNTIF(ParticipationAvril1[[#This Row],[1]:[30]],Code28)</f>
        <v>0</v>
      </c>
      <c r="BE68" s="435">
        <f>COUNTIF(ParticipationAvril1[[#This Row],[1]:[30]],code30)</f>
        <v>0</v>
      </c>
      <c r="BF68" s="435">
        <f>COUNTIF(ParticipationAvril1[[#This Row],[1]:[30]],Code31)</f>
        <v>0</v>
      </c>
      <c r="BG68" s="435">
        <f>COUNTIF(ParticipationAvril1[[#This Row],[1]:[30]],code21)</f>
        <v>0</v>
      </c>
      <c r="BH68" s="435">
        <f>COUNTIF(ParticipationAvril1[[#This Row],[1]:[30]],Code24)</f>
        <v>0</v>
      </c>
      <c r="BI68" s="435">
        <f>COUNTIF(ParticipationAvril1[[#This Row],[1]:[30]],code18)</f>
        <v>0</v>
      </c>
      <c r="BJ68" s="435">
        <f>COUNTIF(ParticipationAvril1[[#This Row],[1]:[30]],code19)</f>
        <v>0</v>
      </c>
      <c r="BK68" s="435">
        <f>COUNTIF(ParticipationAvril1[[#This Row],[1]:[30]],code20)</f>
        <v>0</v>
      </c>
      <c r="BL68" s="436">
        <f>COUNTIF(ParticipationAvril1[[#This Row],[1]:[30]],code29)</f>
        <v>0</v>
      </c>
      <c r="BM68" s="297"/>
      <c r="BN68" s="297">
        <v>1</v>
      </c>
      <c r="BO68" s="297"/>
      <c r="BP68" s="297"/>
      <c r="BQ68" s="297"/>
      <c r="BR68" s="297"/>
      <c r="BS68" s="297"/>
      <c r="BT68" s="297">
        <v>2</v>
      </c>
      <c r="BU68" s="297"/>
      <c r="BV68" s="297"/>
      <c r="BW68" s="297">
        <v>2</v>
      </c>
      <c r="BX68" s="297"/>
      <c r="BY68" s="297"/>
      <c r="BZ68" s="297"/>
      <c r="CA68" s="297"/>
      <c r="CB68" s="297"/>
      <c r="CC68" s="297"/>
      <c r="CD68" s="297"/>
      <c r="CE68" s="297"/>
      <c r="CF68" s="297"/>
      <c r="CG68" s="297"/>
      <c r="CH68" s="297"/>
      <c r="CI68" s="297"/>
      <c r="CJ68" s="297"/>
      <c r="CK68" s="297"/>
      <c r="CL68" s="297"/>
      <c r="CM68" s="297"/>
      <c r="CN68" s="297"/>
      <c r="CO68" s="297"/>
      <c r="CP68" s="297"/>
      <c r="CQ68" s="297"/>
      <c r="CR68" s="297"/>
      <c r="CS68" s="297"/>
      <c r="CT68" s="297"/>
      <c r="CU68" s="300"/>
      <c r="CV68" s="485">
        <f t="shared" si="3"/>
        <v>0</v>
      </c>
      <c r="CW68" s="499">
        <f t="shared" si="4"/>
        <v>13</v>
      </c>
      <c r="CX68" s="435">
        <f t="shared" si="5"/>
        <v>0</v>
      </c>
      <c r="CY68" s="438"/>
    </row>
    <row r="69" spans="1:131" ht="15" thickTop="1" thickBot="1">
      <c r="A69" s="510" t="s">
        <v>410</v>
      </c>
      <c r="B69" s="162" t="str">
        <f>IFERROR(VLOOKUP(ParticipationAvril1[[#This Row],[Référence]],ListeÉtudiants1[],18,FALSE),"")</f>
        <v>GRANCHON-RIOLZIR DOROTHEE</v>
      </c>
      <c r="C69" s="19"/>
      <c r="D69" s="19"/>
      <c r="E69" s="19" t="s">
        <v>527</v>
      </c>
      <c r="F69" s="19"/>
      <c r="G69" s="19"/>
      <c r="H69" s="19" t="s">
        <v>637</v>
      </c>
      <c r="I69" s="19"/>
      <c r="J69" s="19"/>
      <c r="K69" s="19" t="s">
        <v>108</v>
      </c>
      <c r="L69" s="19" t="s">
        <v>108</v>
      </c>
      <c r="M69" s="19" t="s">
        <v>108</v>
      </c>
      <c r="N69" s="19"/>
      <c r="O69" s="19" t="s">
        <v>106</v>
      </c>
      <c r="P69" s="19"/>
      <c r="Q69" s="19"/>
      <c r="R69" s="19"/>
      <c r="S69" s="19"/>
      <c r="T69" s="19"/>
      <c r="U69" s="19"/>
      <c r="V69" s="19"/>
      <c r="W69" s="19"/>
      <c r="X69" s="19"/>
      <c r="Y69" s="19"/>
      <c r="Z69" s="19"/>
      <c r="AA69" s="19"/>
      <c r="AB69" s="19"/>
      <c r="AC69" s="19"/>
      <c r="AD69" s="19"/>
      <c r="AE69" s="19"/>
      <c r="AF69" s="558"/>
      <c r="AG69" s="340"/>
      <c r="AH69" s="6">
        <f>COUNTIF(ParticipationAvril1[[#This Row],[1]:[30]],Code1)</f>
        <v>0</v>
      </c>
      <c r="AI69" s="6">
        <f>COUNTIF(ParticipationAvril1[[#This Row],[1]:[30]],code22)</f>
        <v>1</v>
      </c>
      <c r="AJ69" s="6">
        <f>COUNTIF(ParticipationAvril1[[#This Row],[1]:[30]],Code2)</f>
        <v>0</v>
      </c>
      <c r="AK69" s="6">
        <f>COUNTIF(ParticipationAvril1[[#This Row],[1]:[30]],Code3)</f>
        <v>1</v>
      </c>
      <c r="AL69" s="6">
        <f>COUNTIF(ParticipationAvril1[[#This Row],[1]:[30]],Code4)</f>
        <v>0</v>
      </c>
      <c r="AM69" s="6">
        <f>COUNTIF(ParticipationAvril1[[#This Row],[1]:[30]],Code5)</f>
        <v>0</v>
      </c>
      <c r="AN69" s="6">
        <f>COUNTIF(ParticipationAvril1[[#This Row],[1]:[30]],Code23)</f>
        <v>0</v>
      </c>
      <c r="AO69" s="6">
        <f>COUNTIF(ParticipationAvril1[[#This Row],[1]:[30]],Code6)</f>
        <v>3</v>
      </c>
      <c r="AP69" s="6">
        <f>COUNTIF(ParticipationAvril1[[#This Row],[1]:[30]],Code7)</f>
        <v>0</v>
      </c>
      <c r="AQ69" s="6">
        <f>COUNTIF(ParticipationAvril1[[#This Row],[1]:[30]],Code8)</f>
        <v>0</v>
      </c>
      <c r="AR69" s="6">
        <f>COUNTIF(ParticipationAvril1[[#This Row],[1]:[30]],Code9)</f>
        <v>0</v>
      </c>
      <c r="AS69" s="6">
        <f>COUNTIF(ParticipationAvril1[[#This Row],[1]:[30]],Code10)</f>
        <v>0</v>
      </c>
      <c r="AT69" s="6">
        <f>COUNTIF(ParticipationAvril1[[#This Row],[1]:[30]],Code11)</f>
        <v>0</v>
      </c>
      <c r="AU69" s="6">
        <f>COUNTIF(ParticipationAvril1[[#This Row],[1]:[30]],Code12)</f>
        <v>0</v>
      </c>
      <c r="AV69" s="6">
        <f>COUNTIF(ParticipationAvril1[[#This Row],[1]:[30]],Code13)</f>
        <v>0</v>
      </c>
      <c r="AW69" s="6">
        <f>COUNTIF(ParticipationAvril1[[#This Row],[1]:[30]],Code14)</f>
        <v>0</v>
      </c>
      <c r="AX69" s="6">
        <f>COUNTIF(ParticipationAvril1[[#This Row],[1]:[30]],Code16)</f>
        <v>0</v>
      </c>
      <c r="AY69" s="6">
        <f>COUNTIF(ParticipationAvril1[[#This Row],[1]:[30]],Code15)</f>
        <v>0</v>
      </c>
      <c r="AZ69" s="6">
        <f>COUNTIF(ParticipationAvril1[[#This Row],[1]:[30]],Code17)</f>
        <v>0</v>
      </c>
      <c r="BA69" s="6">
        <f>COUNTIF(ParticipationAvril1[[#This Row],[1]:[30]],Code25)</f>
        <v>0</v>
      </c>
      <c r="BB69" s="6">
        <f>COUNTIF(ParticipationAvril1[[#This Row],[1]:[30]],Code26)</f>
        <v>0</v>
      </c>
      <c r="BC69" s="432">
        <f>COUNTIF(ParticipationAvril1[[#This Row],[1]:[30]],Code27)</f>
        <v>0</v>
      </c>
      <c r="BD69" s="6">
        <f>COUNTIF(ParticipationAvril1[[#This Row],[1]:[30]],Code28)</f>
        <v>0</v>
      </c>
      <c r="BE69" s="6">
        <f>COUNTIF(ParticipationAvril1[[#This Row],[1]:[30]],code30)</f>
        <v>1</v>
      </c>
      <c r="BF69" s="6">
        <f>COUNTIF(ParticipationAvril1[[#This Row],[1]:[30]],Code31)</f>
        <v>0</v>
      </c>
      <c r="BG69" s="6">
        <f>COUNTIF(ParticipationAvril1[[#This Row],[1]:[30]],code21)</f>
        <v>0</v>
      </c>
      <c r="BH69" s="6">
        <f>COUNTIF(ParticipationAvril1[[#This Row],[1]:[30]],Code24)</f>
        <v>0</v>
      </c>
      <c r="BI69" s="6">
        <f>COUNTIF(ParticipationAvril1[[#This Row],[1]:[30]],code18)</f>
        <v>0</v>
      </c>
      <c r="BJ69" s="6">
        <f>COUNTIF(ParticipationAvril1[[#This Row],[1]:[30]],code19)</f>
        <v>0</v>
      </c>
      <c r="BK69" s="6">
        <f>COUNTIF(ParticipationAvril1[[#This Row],[1]:[30]],code20)</f>
        <v>0</v>
      </c>
      <c r="BL69" s="182">
        <f>COUNTIF(ParticipationAvril1[[#This Row],[1]:[30]],code29)</f>
        <v>0</v>
      </c>
      <c r="BM69" s="297"/>
      <c r="BN69" s="297">
        <v>2</v>
      </c>
      <c r="BO69" s="297"/>
      <c r="BP69" s="297"/>
      <c r="BQ69" s="297"/>
      <c r="BR69" s="297"/>
      <c r="BS69" s="297"/>
      <c r="BT69" s="297">
        <v>2</v>
      </c>
      <c r="BU69" s="297"/>
      <c r="BV69" s="297"/>
      <c r="BW69" s="297">
        <v>1</v>
      </c>
      <c r="BX69" s="297"/>
      <c r="BY69" s="297"/>
      <c r="BZ69" s="297"/>
      <c r="CA69" s="297"/>
      <c r="CB69" s="297">
        <v>1</v>
      </c>
      <c r="CC69" s="297"/>
      <c r="CD69" s="297"/>
      <c r="CE69" s="297"/>
      <c r="CF69" s="297"/>
      <c r="CG69" s="297">
        <v>1</v>
      </c>
      <c r="CH69" s="297"/>
      <c r="CI69" s="297"/>
      <c r="CJ69" s="297"/>
      <c r="CK69" s="297"/>
      <c r="CL69" s="297"/>
      <c r="CM69" s="297"/>
      <c r="CN69" s="297"/>
      <c r="CO69" s="297"/>
      <c r="CP69" s="297"/>
      <c r="CQ69" s="297"/>
      <c r="CR69" s="297"/>
      <c r="CS69" s="307"/>
      <c r="CT69" s="307">
        <v>1</v>
      </c>
      <c r="CU69" s="561"/>
      <c r="CV69" s="485">
        <f t="shared" si="3"/>
        <v>7.5</v>
      </c>
      <c r="CW69" s="563">
        <f t="shared" si="4"/>
        <v>11</v>
      </c>
      <c r="CX69" s="6">
        <f t="shared" si="5"/>
        <v>0</v>
      </c>
      <c r="CY69" s="179">
        <f>SUM((BI69*7)+(BJ69*10)+(BK69*12))</f>
        <v>0</v>
      </c>
    </row>
    <row r="70" spans="1:131" ht="15" thickTop="1" thickBot="1">
      <c r="A70" s="510" t="s">
        <v>411</v>
      </c>
      <c r="B70" s="162" t="str">
        <f>IFERROR(VLOOKUP(ParticipationAvril1[[#This Row],[Référence]],ListeÉtudiants1[],18,FALSE),"")</f>
        <v>GROEVIUS EMILIE</v>
      </c>
      <c r="C70" s="19"/>
      <c r="D70" s="19"/>
      <c r="E70" s="19"/>
      <c r="F70" s="19" t="s">
        <v>108</v>
      </c>
      <c r="G70" s="19" t="s">
        <v>105</v>
      </c>
      <c r="H70" s="19" t="s">
        <v>35</v>
      </c>
      <c r="I70" s="19"/>
      <c r="J70" s="19"/>
      <c r="K70" s="19"/>
      <c r="L70" s="19" t="s">
        <v>487</v>
      </c>
      <c r="M70" s="19" t="s">
        <v>487</v>
      </c>
      <c r="N70" s="19"/>
      <c r="O70" s="19"/>
      <c r="P70" s="19"/>
      <c r="Q70" s="19"/>
      <c r="R70" s="19"/>
      <c r="S70" s="19"/>
      <c r="T70" s="19"/>
      <c r="U70" s="19"/>
      <c r="V70" s="19"/>
      <c r="W70" s="19"/>
      <c r="X70" s="19"/>
      <c r="Y70" s="19"/>
      <c r="Z70" s="19"/>
      <c r="AA70" s="19"/>
      <c r="AB70" s="19"/>
      <c r="AC70" s="19"/>
      <c r="AD70" s="19"/>
      <c r="AE70" s="19"/>
      <c r="AF70" s="19"/>
      <c r="AG70" s="441"/>
      <c r="AH70" s="6">
        <f>COUNTIF(ParticipationAvril1[[#This Row],[1]:[30]],Code1)</f>
        <v>0</v>
      </c>
      <c r="AI70" s="331">
        <f>COUNTIF(ParticipationAvril1[[#This Row],[1]:[30]],code22)</f>
        <v>0</v>
      </c>
      <c r="AJ70" s="6">
        <f>COUNTIF(ParticipationAvril1[[#This Row],[1]:[30]],Code2)</f>
        <v>1</v>
      </c>
      <c r="AK70" s="6">
        <f>COUNTIF(ParticipationAvril1[[#This Row],[1]:[30]],Code3)</f>
        <v>0</v>
      </c>
      <c r="AL70" s="6">
        <f>COUNTIF(ParticipationAvril1[[#This Row],[1]:[30]],Code4)</f>
        <v>0</v>
      </c>
      <c r="AM70" s="331">
        <f>COUNTIF(ParticipationAvril1[[#This Row],[1]:[30]],Code5)</f>
        <v>1</v>
      </c>
      <c r="AN70" s="331">
        <f>COUNTIF(ParticipationAvril1[[#This Row],[1]:[30]],Code23)</f>
        <v>0</v>
      </c>
      <c r="AO70" s="331">
        <f>COUNTIF(ParticipationAvril1[[#This Row],[1]:[30]],Code6)</f>
        <v>1</v>
      </c>
      <c r="AP70" s="331">
        <f>COUNTIF(ParticipationAvril1[[#This Row],[1]:[30]],Code7)</f>
        <v>0</v>
      </c>
      <c r="AQ70" s="331">
        <f>COUNTIF(ParticipationAvril1[[#This Row],[1]:[30]],Code8)</f>
        <v>0</v>
      </c>
      <c r="AR70" s="331">
        <f>COUNTIF(ParticipationAvril1[[#This Row],[1]:[30]],Code9)</f>
        <v>0</v>
      </c>
      <c r="AS70" s="331">
        <f>COUNTIF(ParticipationAvril1[[#This Row],[1]:[30]],Code10)</f>
        <v>0</v>
      </c>
      <c r="AT70" s="331">
        <f>COUNTIF(ParticipationAvril1[[#This Row],[1]:[30]],Code11)</f>
        <v>0</v>
      </c>
      <c r="AU70" s="331">
        <f>COUNTIF(ParticipationAvril1[[#This Row],[1]:[30]],Code12)</f>
        <v>2</v>
      </c>
      <c r="AV70" s="331">
        <f>COUNTIF(ParticipationAvril1[[#This Row],[1]:[30]],Code13)</f>
        <v>0</v>
      </c>
      <c r="AW70" s="331">
        <f>COUNTIF(ParticipationAvril1[[#This Row],[1]:[30]],Code14)</f>
        <v>0</v>
      </c>
      <c r="AX70" s="331">
        <f>COUNTIF(ParticipationAvril1[[#This Row],[1]:[30]],Code16)</f>
        <v>0</v>
      </c>
      <c r="AY70" s="331">
        <f>COUNTIF(ParticipationAvril1[[#This Row],[1]:[30]],Code15)</f>
        <v>0</v>
      </c>
      <c r="AZ70" s="331">
        <f>COUNTIF(ParticipationAvril1[[#This Row],[1]:[30]],Code17)</f>
        <v>0</v>
      </c>
      <c r="BA70" s="331">
        <f>COUNTIF(ParticipationAvril1[[#This Row],[1]:[30]],Code25)</f>
        <v>0</v>
      </c>
      <c r="BB70" s="331">
        <f>COUNTIF(ParticipationAvril1[[#This Row],[1]:[30]],Code26)</f>
        <v>0</v>
      </c>
      <c r="BC70" s="435">
        <f>COUNTIF(ParticipationAvril1[[#This Row],[1]:[30]],Code27)</f>
        <v>0</v>
      </c>
      <c r="BD70" s="331">
        <f>COUNTIF(ParticipationAvril1[[#This Row],[1]:[30]],Code28)</f>
        <v>0</v>
      </c>
      <c r="BE70" s="331">
        <f>COUNTIF(ParticipationAvril1[[#This Row],[1]:[30]],code30)</f>
        <v>0</v>
      </c>
      <c r="BF70" s="331">
        <f>COUNTIF(ParticipationAvril1[[#This Row],[1]:[30]],Code31)</f>
        <v>0</v>
      </c>
      <c r="BG70" s="331">
        <f>COUNTIF(ParticipationAvril1[[#This Row],[1]:[30]],code21)</f>
        <v>0</v>
      </c>
      <c r="BH70" s="331">
        <f>COUNTIF(ParticipationAvril1[[#This Row],[1]:[30]],Code24)</f>
        <v>0</v>
      </c>
      <c r="BI70" s="331">
        <f>COUNTIF(ParticipationAvril1[[#This Row],[1]:[30]],code18)</f>
        <v>0</v>
      </c>
      <c r="BJ70" s="331">
        <f>COUNTIF(ParticipationAvril1[[#This Row],[1]:[30]],code19)</f>
        <v>0</v>
      </c>
      <c r="BK70" s="331">
        <f>COUNTIF(ParticipationAvril1[[#This Row],[1]:[30]],code20)</f>
        <v>0</v>
      </c>
      <c r="BL70" s="436">
        <f>COUNTIF(ParticipationAvril1[[#This Row],[1]:[30]],code29)</f>
        <v>0</v>
      </c>
      <c r="BM70" s="297"/>
      <c r="BN70" s="297">
        <v>2</v>
      </c>
      <c r="BO70" s="297"/>
      <c r="BP70" s="297"/>
      <c r="BQ70" s="297"/>
      <c r="BR70" s="297"/>
      <c r="BS70" s="297"/>
      <c r="BT70" s="297">
        <v>4</v>
      </c>
      <c r="BU70" s="297"/>
      <c r="BV70" s="297"/>
      <c r="BW70" s="297"/>
      <c r="BX70" s="297"/>
      <c r="BY70" s="297"/>
      <c r="BZ70" s="297"/>
      <c r="CA70" s="297"/>
      <c r="CB70" s="297"/>
      <c r="CC70" s="297"/>
      <c r="CD70" s="297"/>
      <c r="CE70" s="297"/>
      <c r="CF70" s="297"/>
      <c r="CG70" s="297"/>
      <c r="CH70" s="297"/>
      <c r="CI70" s="297"/>
      <c r="CJ70" s="297"/>
      <c r="CK70" s="297">
        <v>1</v>
      </c>
      <c r="CL70" s="297"/>
      <c r="CM70" s="297"/>
      <c r="CN70" s="297"/>
      <c r="CO70" s="297"/>
      <c r="CP70" s="297"/>
      <c r="CQ70" s="297"/>
      <c r="CR70" s="297"/>
      <c r="CS70" s="307"/>
      <c r="CT70" s="307"/>
      <c r="CU70" s="300"/>
      <c r="CV70" s="485">
        <f t="shared" si="3"/>
        <v>2</v>
      </c>
      <c r="CW70" s="499">
        <f t="shared" si="4"/>
        <v>17</v>
      </c>
      <c r="CX70" s="331">
        <f t="shared" si="5"/>
        <v>0</v>
      </c>
      <c r="CY70" s="438"/>
    </row>
    <row r="71" spans="1:131" ht="15" thickTop="1" thickBot="1">
      <c r="A71" s="534" t="s">
        <v>412</v>
      </c>
      <c r="B71" s="162" t="str">
        <f>IFERROR(VLOOKUP(ParticipationAvril1[[#This Row],[Référence]],ListeÉtudiants1[],18,FALSE),"")</f>
        <v>GUECHI DOUNIA</v>
      </c>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558"/>
      <c r="AG71" s="484"/>
      <c r="AH71" s="6">
        <f>COUNTIF(ParticipationAvril1[[#This Row],[1]:[30]],Code1)</f>
        <v>0</v>
      </c>
      <c r="AI71" s="475">
        <f>COUNTIF(ParticipationAvril1[[#This Row],[1]:[30]],code22)</f>
        <v>0</v>
      </c>
      <c r="AJ71" s="6">
        <f>COUNTIF(ParticipationAvril1[[#This Row],[1]:[30]],Code2)</f>
        <v>0</v>
      </c>
      <c r="AK71" s="6">
        <f>COUNTIF(ParticipationAvril1[[#This Row],[1]:[30]],Code3)</f>
        <v>0</v>
      </c>
      <c r="AL71" s="6">
        <f>COUNTIF(ParticipationAvril1[[#This Row],[1]:[30]],Code4)</f>
        <v>0</v>
      </c>
      <c r="AM71" s="475">
        <f>COUNTIF(ParticipationAvril1[[#This Row],[1]:[30]],Code5)</f>
        <v>0</v>
      </c>
      <c r="AN71" s="475">
        <f>COUNTIF(ParticipationAvril1[[#This Row],[1]:[30]],Code23)</f>
        <v>0</v>
      </c>
      <c r="AO71" s="475">
        <f>COUNTIF(ParticipationAvril1[[#This Row],[1]:[30]],Code6)</f>
        <v>0</v>
      </c>
      <c r="AP71" s="475">
        <f>COUNTIF(ParticipationAvril1[[#This Row],[1]:[30]],Code7)</f>
        <v>0</v>
      </c>
      <c r="AQ71" s="475">
        <f>COUNTIF(ParticipationAvril1[[#This Row],[1]:[30]],Code8)</f>
        <v>0</v>
      </c>
      <c r="AR71" s="475">
        <f>COUNTIF(ParticipationAvril1[[#This Row],[1]:[30]],Code9)</f>
        <v>0</v>
      </c>
      <c r="AS71" s="475">
        <f>COUNTIF(ParticipationAvril1[[#This Row],[1]:[30]],Code10)</f>
        <v>0</v>
      </c>
      <c r="AT71" s="475">
        <f>COUNTIF(ParticipationAvril1[[#This Row],[1]:[30]],Code11)</f>
        <v>0</v>
      </c>
      <c r="AU71" s="475">
        <f>COUNTIF(ParticipationAvril1[[#This Row],[1]:[30]],Code12)</f>
        <v>0</v>
      </c>
      <c r="AV71" s="475">
        <f>COUNTIF(ParticipationAvril1[[#This Row],[1]:[30]],Code13)</f>
        <v>0</v>
      </c>
      <c r="AW71" s="475">
        <f>COUNTIF(ParticipationAvril1[[#This Row],[1]:[30]],Code14)</f>
        <v>0</v>
      </c>
      <c r="AX71" s="475">
        <f>COUNTIF(ParticipationAvril1[[#This Row],[1]:[30]],Code16)</f>
        <v>0</v>
      </c>
      <c r="AY71" s="475">
        <f>COUNTIF(ParticipationAvril1[[#This Row],[1]:[30]],Code15)</f>
        <v>0</v>
      </c>
      <c r="AZ71" s="475">
        <f>COUNTIF(ParticipationAvril1[[#This Row],[1]:[30]],Code17)</f>
        <v>0</v>
      </c>
      <c r="BA71" s="475">
        <f>COUNTIF(ParticipationAvril1[[#This Row],[1]:[30]],Code25)</f>
        <v>0</v>
      </c>
      <c r="BB71" s="475">
        <f>COUNTIF(ParticipationAvril1[[#This Row],[1]:[30]],Code26)</f>
        <v>0</v>
      </c>
      <c r="BC71" s="474">
        <f>COUNTIF(ParticipationAvril1[[#This Row],[1]:[30]],Code27)</f>
        <v>0</v>
      </c>
      <c r="BD71" s="475">
        <f>COUNTIF(ParticipationAvril1[[#This Row],[1]:[30]],Code28)</f>
        <v>0</v>
      </c>
      <c r="BE71" s="475">
        <f>COUNTIF(ParticipationAvril1[[#This Row],[1]:[30]],code30)</f>
        <v>0</v>
      </c>
      <c r="BF71" s="475">
        <f>COUNTIF(ParticipationAvril1[[#This Row],[1]:[30]],Code31)</f>
        <v>0</v>
      </c>
      <c r="BG71" s="475">
        <f>COUNTIF(ParticipationAvril1[[#This Row],[1]:[30]],code21)</f>
        <v>0</v>
      </c>
      <c r="BH71" s="475">
        <f>COUNTIF(ParticipationAvril1[[#This Row],[1]:[30]],Code24)</f>
        <v>0</v>
      </c>
      <c r="BI71" s="475">
        <f>COUNTIF(ParticipationAvril1[[#This Row],[1]:[30]],code18)</f>
        <v>0</v>
      </c>
      <c r="BJ71" s="475">
        <f>COUNTIF(ParticipationAvril1[[#This Row],[1]:[30]],code19)</f>
        <v>0</v>
      </c>
      <c r="BK71" s="475">
        <f>COUNTIF(ParticipationAvril1[[#This Row],[1]:[30]],code20)</f>
        <v>0</v>
      </c>
      <c r="BL71" s="476">
        <f>COUNTIF(ParticipationAvril1[[#This Row],[1]:[30]],code29)</f>
        <v>0</v>
      </c>
      <c r="BM71" s="472"/>
      <c r="BN71" s="472"/>
      <c r="BO71" s="472"/>
      <c r="BP71" s="472"/>
      <c r="BQ71" s="472"/>
      <c r="BR71" s="472"/>
      <c r="BS71" s="472"/>
      <c r="BT71" s="472"/>
      <c r="BU71" s="472"/>
      <c r="BV71" s="472"/>
      <c r="BW71" s="472"/>
      <c r="BX71" s="472"/>
      <c r="BY71" s="472"/>
      <c r="BZ71" s="472"/>
      <c r="CA71" s="472"/>
      <c r="CB71" s="472"/>
      <c r="CC71" s="472"/>
      <c r="CD71" s="472"/>
      <c r="CE71" s="472"/>
      <c r="CF71" s="472"/>
      <c r="CG71" s="472"/>
      <c r="CH71" s="472"/>
      <c r="CI71" s="472"/>
      <c r="CJ71" s="472"/>
      <c r="CK71" s="472"/>
      <c r="CL71" s="472"/>
      <c r="CM71" s="472"/>
      <c r="CN71" s="472"/>
      <c r="CO71" s="472"/>
      <c r="CP71" s="472"/>
      <c r="CQ71" s="472"/>
      <c r="CR71" s="472"/>
      <c r="CS71" s="473"/>
      <c r="CT71" s="473"/>
      <c r="CU71" s="554">
        <f>SUM((AH71*1)+(AI71*1.5)+(AJ71*2)+(AK71*4)+(AP71*5)+(AQ71*6)+(AR71*7)+(AU71*2)+(AX71*3)+(AY71*4)+(AZ71*5)+(BB71*3)+(BA71*2)+(BG71*2)+(BC71*2)+(BD71*2))</f>
        <v>0</v>
      </c>
      <c r="CV71" s="555">
        <f t="shared" si="3"/>
        <v>0</v>
      </c>
      <c r="CW71" s="556">
        <f t="shared" si="4"/>
        <v>0</v>
      </c>
      <c r="CX71" s="475">
        <f t="shared" si="5"/>
        <v>0</v>
      </c>
      <c r="CY71" s="477"/>
    </row>
    <row r="72" spans="1:131" ht="15" thickTop="1" thickBot="1">
      <c r="A72" s="534" t="s">
        <v>413</v>
      </c>
      <c r="B72" s="162" t="str">
        <f>IFERROR(VLOOKUP(ParticipationAvril1[[#This Row],[Référence]],ListeÉtudiants1[],18,FALSE),"")</f>
        <v>HASSANI CHERINE</v>
      </c>
      <c r="C72" s="19"/>
      <c r="D72" s="19"/>
      <c r="E72" s="19"/>
      <c r="F72" s="19" t="s">
        <v>108</v>
      </c>
      <c r="G72" s="19"/>
      <c r="H72" s="19"/>
      <c r="I72" s="19"/>
      <c r="J72" s="19"/>
      <c r="K72" s="19"/>
      <c r="L72" s="19" t="s">
        <v>108</v>
      </c>
      <c r="M72" s="19"/>
      <c r="N72" s="19"/>
      <c r="O72" s="19"/>
      <c r="P72" s="19"/>
      <c r="Q72" s="19"/>
      <c r="R72" s="19"/>
      <c r="S72" s="19"/>
      <c r="T72" s="19"/>
      <c r="U72" s="19"/>
      <c r="V72" s="19"/>
      <c r="W72" s="19"/>
      <c r="X72" s="19"/>
      <c r="Y72" s="19"/>
      <c r="Z72" s="19"/>
      <c r="AA72" s="19"/>
      <c r="AB72" s="19"/>
      <c r="AC72" s="19"/>
      <c r="AD72" s="19"/>
      <c r="AE72" s="19"/>
      <c r="AF72" s="19"/>
      <c r="AG72" s="441"/>
      <c r="AH72" s="6">
        <f>COUNTIF(ParticipationAvril1[[#This Row],[1]:[30]],Code1)</f>
        <v>0</v>
      </c>
      <c r="AI72" s="331">
        <f>COUNTIF(ParticipationAvril1[[#This Row],[1]:[30]],code22)</f>
        <v>0</v>
      </c>
      <c r="AJ72" s="6">
        <f>COUNTIF(ParticipationAvril1[[#This Row],[1]:[30]],Code2)</f>
        <v>0</v>
      </c>
      <c r="AK72" s="6">
        <f>COUNTIF(ParticipationAvril1[[#This Row],[1]:[30]],Code3)</f>
        <v>0</v>
      </c>
      <c r="AL72" s="6">
        <f>COUNTIF(ParticipationAvril1[[#This Row],[1]:[30]],Code4)</f>
        <v>0</v>
      </c>
      <c r="AM72" s="331">
        <f>COUNTIF(ParticipationAvril1[[#This Row],[1]:[30]],Code5)</f>
        <v>0</v>
      </c>
      <c r="AN72" s="331">
        <f>COUNTIF(ParticipationAvril1[[#This Row],[1]:[30]],Code23)</f>
        <v>0</v>
      </c>
      <c r="AO72" s="331">
        <f>COUNTIF(ParticipationAvril1[[#This Row],[1]:[30]],Code6)</f>
        <v>2</v>
      </c>
      <c r="AP72" s="331">
        <f>COUNTIF(ParticipationAvril1[[#This Row],[1]:[30]],Code7)</f>
        <v>0</v>
      </c>
      <c r="AQ72" s="331">
        <f>COUNTIF(ParticipationAvril1[[#This Row],[1]:[30]],Code8)</f>
        <v>0</v>
      </c>
      <c r="AR72" s="331">
        <f>COUNTIF(ParticipationAvril1[[#This Row],[1]:[30]],Code9)</f>
        <v>0</v>
      </c>
      <c r="AS72" s="331">
        <f>COUNTIF(ParticipationAvril1[[#This Row],[1]:[30]],Code10)</f>
        <v>0</v>
      </c>
      <c r="AT72" s="331">
        <f>COUNTIF(ParticipationAvril1[[#This Row],[1]:[30]],Code11)</f>
        <v>0</v>
      </c>
      <c r="AU72" s="331">
        <f>COUNTIF(ParticipationAvril1[[#This Row],[1]:[30]],Code12)</f>
        <v>0</v>
      </c>
      <c r="AV72" s="331">
        <f>COUNTIF(ParticipationAvril1[[#This Row],[1]:[30]],Code13)</f>
        <v>0</v>
      </c>
      <c r="AW72" s="331">
        <f>COUNTIF(ParticipationAvril1[[#This Row],[1]:[30]],Code14)</f>
        <v>0</v>
      </c>
      <c r="AX72" s="331">
        <f>COUNTIF(ParticipationAvril1[[#This Row],[1]:[30]],Code16)</f>
        <v>0</v>
      </c>
      <c r="AY72" s="331">
        <f>COUNTIF(ParticipationAvril1[[#This Row],[1]:[30]],Code15)</f>
        <v>0</v>
      </c>
      <c r="AZ72" s="331">
        <f>COUNTIF(ParticipationAvril1[[#This Row],[1]:[30]],Code17)</f>
        <v>0</v>
      </c>
      <c r="BA72" s="331">
        <f>COUNTIF(ParticipationAvril1[[#This Row],[1]:[30]],Code25)</f>
        <v>0</v>
      </c>
      <c r="BB72" s="331">
        <f>COUNTIF(ParticipationAvril1[[#This Row],[1]:[30]],Code26)</f>
        <v>0</v>
      </c>
      <c r="BC72" s="435">
        <f>COUNTIF(ParticipationAvril1[[#This Row],[1]:[30]],Code27)</f>
        <v>0</v>
      </c>
      <c r="BD72" s="331">
        <f>COUNTIF(ParticipationAvril1[[#This Row],[1]:[30]],Code28)</f>
        <v>0</v>
      </c>
      <c r="BE72" s="331">
        <f>COUNTIF(ParticipationAvril1[[#This Row],[1]:[30]],code30)</f>
        <v>0</v>
      </c>
      <c r="BF72" s="331">
        <f>COUNTIF(ParticipationAvril1[[#This Row],[1]:[30]],Code31)</f>
        <v>0</v>
      </c>
      <c r="BG72" s="331">
        <f>COUNTIF(ParticipationAvril1[[#This Row],[1]:[30]],code21)</f>
        <v>0</v>
      </c>
      <c r="BH72" s="331">
        <f>COUNTIF(ParticipationAvril1[[#This Row],[1]:[30]],Code24)</f>
        <v>0</v>
      </c>
      <c r="BI72" s="331">
        <f>COUNTIF(ParticipationAvril1[[#This Row],[1]:[30]],code18)</f>
        <v>0</v>
      </c>
      <c r="BJ72" s="331">
        <f>COUNTIF(ParticipationAvril1[[#This Row],[1]:[30]],code19)</f>
        <v>0</v>
      </c>
      <c r="BK72" s="331">
        <f>COUNTIF(ParticipationAvril1[[#This Row],[1]:[30]],code20)</f>
        <v>0</v>
      </c>
      <c r="BL72" s="436">
        <f>COUNTIF(ParticipationAvril1[[#This Row],[1]:[30]],code29)</f>
        <v>0</v>
      </c>
      <c r="BM72" s="297"/>
      <c r="BN72" s="297">
        <v>1</v>
      </c>
      <c r="BO72" s="297"/>
      <c r="BP72" s="297"/>
      <c r="BQ72" s="297"/>
      <c r="BR72" s="297"/>
      <c r="BS72" s="297"/>
      <c r="BT72" s="297">
        <v>1</v>
      </c>
      <c r="BU72" s="297"/>
      <c r="BV72" s="297"/>
      <c r="BW72" s="297"/>
      <c r="BX72" s="297"/>
      <c r="BY72" s="297"/>
      <c r="BZ72" s="297"/>
      <c r="CA72" s="297"/>
      <c r="CB72" s="297"/>
      <c r="CC72" s="297"/>
      <c r="CD72" s="297"/>
      <c r="CE72" s="297"/>
      <c r="CF72" s="297"/>
      <c r="CG72" s="297"/>
      <c r="CH72" s="297"/>
      <c r="CI72" s="297"/>
      <c r="CJ72" s="297"/>
      <c r="CK72" s="297"/>
      <c r="CL72" s="297"/>
      <c r="CM72" s="297"/>
      <c r="CN72" s="297"/>
      <c r="CO72" s="297"/>
      <c r="CP72" s="297"/>
      <c r="CQ72" s="297"/>
      <c r="CR72" s="297"/>
      <c r="CS72" s="307"/>
      <c r="CT72" s="307"/>
      <c r="CU72" s="300"/>
      <c r="CV72" s="485">
        <f t="shared" si="3"/>
        <v>0</v>
      </c>
      <c r="CW72" s="499">
        <f t="shared" si="4"/>
        <v>6</v>
      </c>
      <c r="CX72" s="331">
        <f t="shared" si="5"/>
        <v>0</v>
      </c>
      <c r="CY72" s="454"/>
    </row>
    <row r="73" spans="1:131" ht="15" thickTop="1" thickBot="1">
      <c r="A73" s="510" t="s">
        <v>414</v>
      </c>
      <c r="B73" s="162" t="str">
        <f>IFERROR(VLOOKUP(ParticipationAvril1[[#This Row],[Référence]],ListeÉtudiants1[],18,FALSE),"")</f>
        <v>HERMANN-MANETTE  CORALIE</v>
      </c>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478"/>
      <c r="AH73" s="6">
        <f>COUNTIF(ParticipationAvril1[[#This Row],[1]:[30]],Code1)</f>
        <v>0</v>
      </c>
      <c r="AI73" s="475">
        <f>COUNTIF(ParticipationAvril1[[#This Row],[1]:[30]],code22)</f>
        <v>0</v>
      </c>
      <c r="AJ73" s="6">
        <f>COUNTIF(ParticipationAvril1[[#This Row],[1]:[30]],Code2)</f>
        <v>0</v>
      </c>
      <c r="AK73" s="6">
        <f>COUNTIF(ParticipationAvril1[[#This Row],[1]:[30]],Code3)</f>
        <v>0</v>
      </c>
      <c r="AL73" s="6">
        <f>COUNTIF(ParticipationAvril1[[#This Row],[1]:[30]],Code4)</f>
        <v>0</v>
      </c>
      <c r="AM73" s="475">
        <f>COUNTIF(ParticipationAvril1[[#This Row],[1]:[30]],Code5)</f>
        <v>0</v>
      </c>
      <c r="AN73" s="475">
        <f>COUNTIF(ParticipationAvril1[[#This Row],[1]:[30]],Code23)</f>
        <v>0</v>
      </c>
      <c r="AO73" s="475">
        <f>COUNTIF(ParticipationAvril1[[#This Row],[1]:[30]],Code6)</f>
        <v>0</v>
      </c>
      <c r="AP73" s="475">
        <f>COUNTIF(ParticipationAvril1[[#This Row],[1]:[30]],Code7)</f>
        <v>0</v>
      </c>
      <c r="AQ73" s="475">
        <f>COUNTIF(ParticipationAvril1[[#This Row],[1]:[30]],Code8)</f>
        <v>0</v>
      </c>
      <c r="AR73" s="475">
        <f>COUNTIF(ParticipationAvril1[[#This Row],[1]:[30]],Code9)</f>
        <v>0</v>
      </c>
      <c r="AS73" s="475">
        <f>COUNTIF(ParticipationAvril1[[#This Row],[1]:[30]],Code10)</f>
        <v>0</v>
      </c>
      <c r="AT73" s="475">
        <f>COUNTIF(ParticipationAvril1[[#This Row],[1]:[30]],Code11)</f>
        <v>0</v>
      </c>
      <c r="AU73" s="475">
        <f>COUNTIF(ParticipationAvril1[[#This Row],[1]:[30]],Code12)</f>
        <v>0</v>
      </c>
      <c r="AV73" s="475">
        <f>COUNTIF(ParticipationAvril1[[#This Row],[1]:[30]],Code13)</f>
        <v>0</v>
      </c>
      <c r="AW73" s="475">
        <f>COUNTIF(ParticipationAvril1[[#This Row],[1]:[30]],Code14)</f>
        <v>0</v>
      </c>
      <c r="AX73" s="475">
        <f>COUNTIF(ParticipationAvril1[[#This Row],[1]:[30]],Code16)</f>
        <v>0</v>
      </c>
      <c r="AY73" s="475">
        <f>COUNTIF(ParticipationAvril1[[#This Row],[1]:[30]],Code15)</f>
        <v>0</v>
      </c>
      <c r="AZ73" s="475">
        <f>COUNTIF(ParticipationAvril1[[#This Row],[1]:[30]],Code17)</f>
        <v>0</v>
      </c>
      <c r="BA73" s="475">
        <f>COUNTIF(ParticipationAvril1[[#This Row],[1]:[30]],Code25)</f>
        <v>0</v>
      </c>
      <c r="BB73" s="475">
        <f>COUNTIF(ParticipationAvril1[[#This Row],[1]:[30]],Code26)</f>
        <v>0</v>
      </c>
      <c r="BC73" s="474">
        <f>COUNTIF(ParticipationAvril1[[#This Row],[1]:[30]],Code27)</f>
        <v>0</v>
      </c>
      <c r="BD73" s="475">
        <f>COUNTIF(ParticipationAvril1[[#This Row],[1]:[30]],Code28)</f>
        <v>0</v>
      </c>
      <c r="BE73" s="475">
        <f>COUNTIF(ParticipationAvril1[[#This Row],[1]:[30]],code30)</f>
        <v>0</v>
      </c>
      <c r="BF73" s="475">
        <f>COUNTIF(ParticipationAvril1[[#This Row],[1]:[30]],Code31)</f>
        <v>0</v>
      </c>
      <c r="BG73" s="475">
        <f>COUNTIF(ParticipationAvril1[[#This Row],[1]:[30]],code21)</f>
        <v>0</v>
      </c>
      <c r="BH73" s="475">
        <f>COUNTIF(ParticipationAvril1[[#This Row],[1]:[30]],Code24)</f>
        <v>0</v>
      </c>
      <c r="BI73" s="475">
        <f>COUNTIF(ParticipationAvril1[[#This Row],[1]:[30]],code18)</f>
        <v>0</v>
      </c>
      <c r="BJ73" s="475">
        <f>COUNTIF(ParticipationAvril1[[#This Row],[1]:[30]],code19)</f>
        <v>0</v>
      </c>
      <c r="BK73" s="475">
        <f>COUNTIF(ParticipationAvril1[[#This Row],[1]:[30]],code20)</f>
        <v>0</v>
      </c>
      <c r="BL73" s="476">
        <f>COUNTIF(ParticipationAvril1[[#This Row],[1]:[30]],code29)</f>
        <v>0</v>
      </c>
      <c r="BM73" s="472"/>
      <c r="BN73" s="472"/>
      <c r="BO73" s="472"/>
      <c r="BP73" s="472"/>
      <c r="BQ73" s="472"/>
      <c r="BR73" s="472"/>
      <c r="BS73" s="472"/>
      <c r="BT73" s="472"/>
      <c r="BU73" s="472"/>
      <c r="BV73" s="472"/>
      <c r="BW73" s="472"/>
      <c r="BX73" s="472"/>
      <c r="BY73" s="472"/>
      <c r="BZ73" s="472"/>
      <c r="CA73" s="472"/>
      <c r="CB73" s="472"/>
      <c r="CC73" s="472"/>
      <c r="CD73" s="472"/>
      <c r="CE73" s="472"/>
      <c r="CF73" s="472"/>
      <c r="CG73" s="472"/>
      <c r="CH73" s="472"/>
      <c r="CI73" s="472"/>
      <c r="CJ73" s="472"/>
      <c r="CK73" s="472"/>
      <c r="CL73" s="472"/>
      <c r="CM73" s="472"/>
      <c r="CN73" s="472"/>
      <c r="CO73" s="472"/>
      <c r="CP73" s="472"/>
      <c r="CQ73" s="472"/>
      <c r="CR73" s="472"/>
      <c r="CS73" s="473"/>
      <c r="CT73" s="473"/>
      <c r="CU73" s="516">
        <f>SUM((AH73*1)+(AI73*1.5)+(AJ73*2)+(AK73*4)+(AP73*5)+(AQ73*6)+(AR73*7)+(AU73*2)+(AX73*3)+(AY73*4)+(AZ73*5)+(BB73*3)+(BA73*2)+(BG73*2)+(BC73*2)+(BD73*2))</f>
        <v>0</v>
      </c>
      <c r="CV73" s="555">
        <f t="shared" si="3"/>
        <v>0</v>
      </c>
      <c r="CW73" s="562">
        <f t="shared" si="4"/>
        <v>0</v>
      </c>
      <c r="CX73" s="564">
        <f t="shared" si="5"/>
        <v>0</v>
      </c>
      <c r="CY73" s="565"/>
    </row>
    <row r="74" spans="1:131" ht="15" thickTop="1" thickBot="1">
      <c r="A74" s="534" t="s">
        <v>415</v>
      </c>
      <c r="B74" s="162" t="str">
        <f>IFERROR(VLOOKUP(ParticipationAvril1[[#This Row],[Référence]],ListeÉtudiants1[],18,FALSE),"")</f>
        <v>HOSTI MATHIAS</v>
      </c>
      <c r="C74" s="19"/>
      <c r="D74" s="19"/>
      <c r="E74" s="19" t="s">
        <v>492</v>
      </c>
      <c r="F74" s="19"/>
      <c r="G74" s="19" t="s">
        <v>105</v>
      </c>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44"/>
      <c r="AH74" s="6">
        <f>COUNTIF(ParticipationAvril1[[#This Row],[1]:[30]],Code1)</f>
        <v>0</v>
      </c>
      <c r="AI74" s="6">
        <f>COUNTIF(ParticipationAvril1[[#This Row],[1]:[30]],code22)</f>
        <v>0</v>
      </c>
      <c r="AJ74" s="6">
        <f>COUNTIF(ParticipationAvril1[[#This Row],[1]:[30]],Code2)</f>
        <v>1</v>
      </c>
      <c r="AK74" s="6">
        <f>COUNTIF(ParticipationAvril1[[#This Row],[1]:[30]],Code3)</f>
        <v>0</v>
      </c>
      <c r="AL74" s="6">
        <f>COUNTIF(ParticipationAvril1[[#This Row],[1]:[30]],Code4)</f>
        <v>0</v>
      </c>
      <c r="AM74" s="6">
        <f>COUNTIF(ParticipationAvril1[[#This Row],[1]:[30]],Code5)</f>
        <v>0</v>
      </c>
      <c r="AN74" s="6">
        <f>COUNTIF(ParticipationAvril1[[#This Row],[1]:[30]],Code23)</f>
        <v>0</v>
      </c>
      <c r="AO74" s="6">
        <f>COUNTIF(ParticipationAvril1[[#This Row],[1]:[30]],Code6)</f>
        <v>0</v>
      </c>
      <c r="AP74" s="6">
        <f>COUNTIF(ParticipationAvril1[[#This Row],[1]:[30]],Code7)</f>
        <v>0</v>
      </c>
      <c r="AQ74" s="6">
        <f>COUNTIF(ParticipationAvril1[[#This Row],[1]:[30]],Code8)</f>
        <v>0</v>
      </c>
      <c r="AR74" s="6">
        <f>COUNTIF(ParticipationAvril1[[#This Row],[1]:[30]],Code9)</f>
        <v>0</v>
      </c>
      <c r="AS74" s="6">
        <f>COUNTIF(ParticipationAvril1[[#This Row],[1]:[30]],Code10)</f>
        <v>0</v>
      </c>
      <c r="AT74" s="6">
        <f>COUNTIF(ParticipationAvril1[[#This Row],[1]:[30]],Code11)</f>
        <v>0</v>
      </c>
      <c r="AU74" s="6">
        <f>COUNTIF(ParticipationAvril1[[#This Row],[1]:[30]],Code12)</f>
        <v>0</v>
      </c>
      <c r="AV74" s="6">
        <f>COUNTIF(ParticipationAvril1[[#This Row],[1]:[30]],Code13)</f>
        <v>0</v>
      </c>
      <c r="AW74" s="6">
        <f>COUNTIF(ParticipationAvril1[[#This Row],[1]:[30]],Code14)</f>
        <v>0</v>
      </c>
      <c r="AX74" s="6">
        <f>COUNTIF(ParticipationAvril1[[#This Row],[1]:[30]],Code16)</f>
        <v>0</v>
      </c>
      <c r="AY74" s="6">
        <f>COUNTIF(ParticipationAvril1[[#This Row],[1]:[30]],Code15)</f>
        <v>0</v>
      </c>
      <c r="AZ74" s="6">
        <f>COUNTIF(ParticipationAvril1[[#This Row],[1]:[30]],Code17)</f>
        <v>1</v>
      </c>
      <c r="BA74" s="6">
        <f>COUNTIF(ParticipationAvril1[[#This Row],[1]:[30]],Code25)</f>
        <v>0</v>
      </c>
      <c r="BB74" s="6">
        <f>COUNTIF(ParticipationAvril1[[#This Row],[1]:[30]],Code26)</f>
        <v>0</v>
      </c>
      <c r="BC74" s="432">
        <f>COUNTIF(ParticipationAvril1[[#This Row],[1]:[30]],Code27)</f>
        <v>0</v>
      </c>
      <c r="BD74" s="6">
        <f>COUNTIF(ParticipationAvril1[[#This Row],[1]:[30]],Code28)</f>
        <v>0</v>
      </c>
      <c r="BE74" s="6">
        <f>COUNTIF(ParticipationAvril1[[#This Row],[1]:[30]],code30)</f>
        <v>0</v>
      </c>
      <c r="BF74" s="6">
        <f>COUNTIF(ParticipationAvril1[[#This Row],[1]:[30]],Code31)</f>
        <v>0</v>
      </c>
      <c r="BG74" s="6">
        <f>COUNTIF(ParticipationAvril1[[#This Row],[1]:[30]],code21)</f>
        <v>0</v>
      </c>
      <c r="BH74" s="6">
        <f>COUNTIF(ParticipationAvril1[[#This Row],[1]:[30]],Code24)</f>
        <v>0</v>
      </c>
      <c r="BI74" s="6">
        <f>COUNTIF(ParticipationAvril1[[#This Row],[1]:[30]],code18)</f>
        <v>0</v>
      </c>
      <c r="BJ74" s="6">
        <f>COUNTIF(ParticipationAvril1[[#This Row],[1]:[30]],code19)</f>
        <v>0</v>
      </c>
      <c r="BK74" s="6">
        <f>COUNTIF(ParticipationAvril1[[#This Row],[1]:[30]],code20)</f>
        <v>0</v>
      </c>
      <c r="BL74" s="182">
        <f>COUNTIF(ParticipationAvril1[[#This Row],[1]:[30]],code29)</f>
        <v>0</v>
      </c>
      <c r="BM74" s="297"/>
      <c r="BN74" s="297"/>
      <c r="BO74" s="297"/>
      <c r="BP74" s="297"/>
      <c r="BQ74" s="297"/>
      <c r="BR74" s="297"/>
      <c r="BS74" s="297"/>
      <c r="BT74" s="297"/>
      <c r="BU74" s="297"/>
      <c r="BV74" s="297"/>
      <c r="BW74" s="297"/>
      <c r="BX74" s="297"/>
      <c r="BY74" s="297"/>
      <c r="BZ74" s="297">
        <v>1</v>
      </c>
      <c r="CA74" s="297"/>
      <c r="CB74" s="297">
        <v>2</v>
      </c>
      <c r="CC74" s="297"/>
      <c r="CD74" s="297"/>
      <c r="CE74" s="297"/>
      <c r="CF74" s="297"/>
      <c r="CG74" s="297">
        <v>1</v>
      </c>
      <c r="CH74" s="297"/>
      <c r="CI74" s="297"/>
      <c r="CJ74" s="297"/>
      <c r="CK74" s="297"/>
      <c r="CL74" s="297"/>
      <c r="CM74" s="297"/>
      <c r="CN74" s="297"/>
      <c r="CO74" s="297"/>
      <c r="CP74" s="297"/>
      <c r="CQ74" s="297"/>
      <c r="CR74" s="297"/>
      <c r="CS74" s="307"/>
      <c r="CT74" s="307"/>
      <c r="CU74" s="300"/>
      <c r="CV74" s="485">
        <f t="shared" si="3"/>
        <v>4</v>
      </c>
      <c r="CW74" s="499">
        <f t="shared" si="4"/>
        <v>5</v>
      </c>
      <c r="CX74" s="443">
        <f t="shared" si="5"/>
        <v>0</v>
      </c>
      <c r="CY74" s="180">
        <f>SUM((BI74*7)+(BJ74*10)+(BK74*12))</f>
        <v>0</v>
      </c>
    </row>
    <row r="75" spans="1:131" ht="15" thickTop="1" thickBot="1">
      <c r="A75" s="534" t="s">
        <v>416</v>
      </c>
      <c r="B75" s="162" t="str">
        <f>IFERROR(VLOOKUP(ParticipationAvril1[[#This Row],[Référence]],ListeÉtudiants1[],18,FALSE),"")</f>
        <v>ITSOTSO MEGGIE</v>
      </c>
      <c r="C75" s="19"/>
      <c r="D75" s="19"/>
      <c r="E75" s="19" t="s">
        <v>527</v>
      </c>
      <c r="F75" s="19" t="s">
        <v>108</v>
      </c>
      <c r="G75" s="19"/>
      <c r="H75" s="19"/>
      <c r="I75" s="19"/>
      <c r="J75" s="19"/>
      <c r="K75" s="19"/>
      <c r="L75" s="19"/>
      <c r="M75" s="19" t="s">
        <v>108</v>
      </c>
      <c r="N75" s="19"/>
      <c r="O75" s="19"/>
      <c r="P75" s="19"/>
      <c r="Q75" s="19"/>
      <c r="R75" s="19"/>
      <c r="S75" s="19"/>
      <c r="T75" s="19"/>
      <c r="U75" s="19"/>
      <c r="V75" s="19"/>
      <c r="W75" s="19"/>
      <c r="X75" s="19"/>
      <c r="Y75" s="19"/>
      <c r="Z75" s="19"/>
      <c r="AA75" s="19"/>
      <c r="AB75" s="19"/>
      <c r="AC75" s="19"/>
      <c r="AD75" s="19"/>
      <c r="AE75" s="19"/>
      <c r="AF75" s="19"/>
      <c r="AG75" s="144"/>
      <c r="AH75" s="6">
        <f>COUNTIF(ParticipationAvril1[[#This Row],[1]:[30]],Code1)</f>
        <v>0</v>
      </c>
      <c r="AI75" s="6">
        <f>COUNTIF(ParticipationAvril1[[#This Row],[1]:[30]],code22)</f>
        <v>1</v>
      </c>
      <c r="AJ75" s="6">
        <f>COUNTIF(ParticipationAvril1[[#This Row],[1]:[30]],Code2)</f>
        <v>0</v>
      </c>
      <c r="AK75" s="6">
        <f>COUNTIF(ParticipationAvril1[[#This Row],[1]:[30]],Code3)</f>
        <v>0</v>
      </c>
      <c r="AL75" s="6">
        <f>COUNTIF(ParticipationAvril1[[#This Row],[1]:[30]],Code4)</f>
        <v>0</v>
      </c>
      <c r="AM75" s="6">
        <f>COUNTIF(ParticipationAvril1[[#This Row],[1]:[30]],Code5)</f>
        <v>0</v>
      </c>
      <c r="AN75" s="6">
        <f>COUNTIF(ParticipationAvril1[[#This Row],[1]:[30]],Code23)</f>
        <v>0</v>
      </c>
      <c r="AO75" s="6">
        <f>COUNTIF(ParticipationAvril1[[#This Row],[1]:[30]],Code6)</f>
        <v>2</v>
      </c>
      <c r="AP75" s="6">
        <f>COUNTIF(ParticipationAvril1[[#This Row],[1]:[30]],Code7)</f>
        <v>0</v>
      </c>
      <c r="AQ75" s="6">
        <f>COUNTIF(ParticipationAvril1[[#This Row],[1]:[30]],Code8)</f>
        <v>0</v>
      </c>
      <c r="AR75" s="6">
        <f>COUNTIF(ParticipationAvril1[[#This Row],[1]:[30]],Code9)</f>
        <v>0</v>
      </c>
      <c r="AS75" s="6">
        <f>COUNTIF(ParticipationAvril1[[#This Row],[1]:[30]],Code10)</f>
        <v>0</v>
      </c>
      <c r="AT75" s="6">
        <f>COUNTIF(ParticipationAvril1[[#This Row],[1]:[30]],Code11)</f>
        <v>0</v>
      </c>
      <c r="AU75" s="6">
        <f>COUNTIF(ParticipationAvril1[[#This Row],[1]:[30]],Code12)</f>
        <v>0</v>
      </c>
      <c r="AV75" s="6">
        <f>COUNTIF(ParticipationAvril1[[#This Row],[1]:[30]],Code13)</f>
        <v>0</v>
      </c>
      <c r="AW75" s="6">
        <f>COUNTIF(ParticipationAvril1[[#This Row],[1]:[30]],Code14)</f>
        <v>0</v>
      </c>
      <c r="AX75" s="6">
        <f>COUNTIF(ParticipationAvril1[[#This Row],[1]:[30]],Code16)</f>
        <v>0</v>
      </c>
      <c r="AY75" s="6">
        <f>COUNTIF(ParticipationAvril1[[#This Row],[1]:[30]],Code15)</f>
        <v>0</v>
      </c>
      <c r="AZ75" s="6">
        <f>COUNTIF(ParticipationAvril1[[#This Row],[1]:[30]],Code17)</f>
        <v>0</v>
      </c>
      <c r="BA75" s="6">
        <f>COUNTIF(ParticipationAvril1[[#This Row],[1]:[30]],Code25)</f>
        <v>0</v>
      </c>
      <c r="BB75" s="6">
        <f>COUNTIF(ParticipationAvril1[[#This Row],[1]:[30]],Code26)</f>
        <v>0</v>
      </c>
      <c r="BC75" s="432">
        <f>COUNTIF(ParticipationAvril1[[#This Row],[1]:[30]],Code27)</f>
        <v>0</v>
      </c>
      <c r="BD75" s="6">
        <f>COUNTIF(ParticipationAvril1[[#This Row],[1]:[30]],Code28)</f>
        <v>0</v>
      </c>
      <c r="BE75" s="6">
        <f>COUNTIF(ParticipationAvril1[[#This Row],[1]:[30]],code30)</f>
        <v>0</v>
      </c>
      <c r="BF75" s="6">
        <f>COUNTIF(ParticipationAvril1[[#This Row],[1]:[30]],Code31)</f>
        <v>0</v>
      </c>
      <c r="BG75" s="6">
        <f>COUNTIF(ParticipationAvril1[[#This Row],[1]:[30]],code21)</f>
        <v>0</v>
      </c>
      <c r="BH75" s="6">
        <f>COUNTIF(ParticipationAvril1[[#This Row],[1]:[30]],Code24)</f>
        <v>0</v>
      </c>
      <c r="BI75" s="6">
        <f>COUNTIF(ParticipationAvril1[[#This Row],[1]:[30]],code18)</f>
        <v>0</v>
      </c>
      <c r="BJ75" s="6">
        <f>COUNTIF(ParticipationAvril1[[#This Row],[1]:[30]],code19)</f>
        <v>0</v>
      </c>
      <c r="BK75" s="6">
        <f>COUNTIF(ParticipationAvril1[[#This Row],[1]:[30]],code20)</f>
        <v>0</v>
      </c>
      <c r="BL75" s="182">
        <f>COUNTIF(ParticipationAvril1[[#This Row],[1]:[30]],code29)</f>
        <v>0</v>
      </c>
      <c r="BM75" s="297"/>
      <c r="BN75" s="297">
        <v>1</v>
      </c>
      <c r="BO75" s="297"/>
      <c r="BP75" s="297"/>
      <c r="BQ75" s="297"/>
      <c r="BR75" s="297"/>
      <c r="BS75" s="297"/>
      <c r="BT75" s="297">
        <v>1</v>
      </c>
      <c r="BU75" s="297"/>
      <c r="BV75" s="297"/>
      <c r="BW75" s="297"/>
      <c r="BX75" s="297"/>
      <c r="BY75" s="297"/>
      <c r="BZ75" s="297"/>
      <c r="CA75" s="297"/>
      <c r="CB75" s="297"/>
      <c r="CC75" s="297"/>
      <c r="CD75" s="297"/>
      <c r="CE75" s="297"/>
      <c r="CF75" s="297"/>
      <c r="CG75" s="297">
        <v>1</v>
      </c>
      <c r="CH75" s="297"/>
      <c r="CI75" s="297"/>
      <c r="CJ75" s="297"/>
      <c r="CK75" s="297"/>
      <c r="CL75" s="297"/>
      <c r="CM75" s="297"/>
      <c r="CN75" s="297"/>
      <c r="CO75" s="297"/>
      <c r="CP75" s="297"/>
      <c r="CQ75" s="297"/>
      <c r="CR75" s="297"/>
      <c r="CS75" s="307"/>
      <c r="CT75" s="307"/>
      <c r="CU75" s="300"/>
      <c r="CV75" s="485">
        <f t="shared" ref="CV75:CV106" si="7">SUM((AH75*1)+(AI75*1.5)+(AJ75*2)+(AK75*3)+(AP75*5)+(AQ75*6)+(AR75*7)+(AX75*3)+(AY75*4)+(BB75*5)+(BA75*3)+(BD75*2)+(BH75*2)+(AZ75*2)+(BG75*2)+(BE75*3))</f>
        <v>1.5</v>
      </c>
      <c r="CW75" s="499">
        <f t="shared" ref="CW75:CW106" si="8">SUM((AN75*1)+(AM75*2)+(AO75*3)+(AP75*4)+(AT75*5)+(AU75*6)+(AV75*7)+(AW75*7)+(AX75*4)+(AY75*3)+(BB75*2)+(BD75*4)+(BA75*1)+(BH75*2)+(AZ75*5)+(BG75*1)+(BE75*2))</f>
        <v>6</v>
      </c>
      <c r="CX75" s="443">
        <f t="shared" ref="CX75:CX106" si="9">BH75*1+BL75*3</f>
        <v>0</v>
      </c>
      <c r="CY75" s="443">
        <f>SUM((BI75*7)+(BJ75*10)+(BK75*12))</f>
        <v>0</v>
      </c>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row>
    <row r="76" spans="1:131" ht="15" thickTop="1" thickBot="1">
      <c r="A76" s="510" t="s">
        <v>417</v>
      </c>
      <c r="B76" s="162" t="str">
        <f>IFERROR(VLOOKUP(ParticipationAvril1[[#This Row],[Référence]],ListeÉtudiants1[],18,FALSE),"")</f>
        <v>JACQUIN  LAURENE</v>
      </c>
      <c r="H76" s="456" t="s">
        <v>35</v>
      </c>
      <c r="K76" s="510" t="s">
        <v>639</v>
      </c>
      <c r="L76" s="510" t="s">
        <v>487</v>
      </c>
      <c r="N76" s="510" t="s">
        <v>35</v>
      </c>
      <c r="AF76" s="88"/>
      <c r="AG76" s="441"/>
      <c r="AH76" s="439">
        <f>COUNTIF(ParticipationAvril1[[#This Row],[1]:[30]],Code1)</f>
        <v>0</v>
      </c>
      <c r="AI76" s="435">
        <f>COUNTIF(ParticipationAvril1[[#This Row],[1]:[30]],code22)</f>
        <v>0</v>
      </c>
      <c r="AJ76" s="439">
        <f>COUNTIF(ParticipationAvril1[[#This Row],[1]:[30]],Code2)</f>
        <v>0</v>
      </c>
      <c r="AK76" s="439">
        <f>COUNTIF(ParticipationAvril1[[#This Row],[1]:[30]],Code3)</f>
        <v>0</v>
      </c>
      <c r="AL76" s="439">
        <f>COUNTIF(ParticipationAvril1[[#This Row],[1]:[30]],Code4)</f>
        <v>0</v>
      </c>
      <c r="AM76" s="435">
        <f>COUNTIF(ParticipationAvril1[[#This Row],[1]:[30]],Code5)</f>
        <v>2</v>
      </c>
      <c r="AN76" s="435">
        <f>COUNTIF(ParticipationAvril1[[#This Row],[1]:[30]],Code23)</f>
        <v>0</v>
      </c>
      <c r="AO76" s="435">
        <f>COUNTIF(ParticipationAvril1[[#This Row],[1]:[30]],Code6)</f>
        <v>0</v>
      </c>
      <c r="AP76" s="435">
        <f>COUNTIF(ParticipationAvril1[[#This Row],[1]:[30]],Code7)</f>
        <v>0</v>
      </c>
      <c r="AQ76" s="435">
        <f>COUNTIF(ParticipationAvril1[[#This Row],[1]:[30]],Code8)</f>
        <v>0</v>
      </c>
      <c r="AR76" s="435">
        <f>COUNTIF(ParticipationAvril1[[#This Row],[1]:[30]],Code9)</f>
        <v>0</v>
      </c>
      <c r="AS76" s="435">
        <f>COUNTIF(ParticipationAvril1[[#This Row],[1]:[30]],Code10)</f>
        <v>0</v>
      </c>
      <c r="AT76" s="435">
        <f>COUNTIF(ParticipationAvril1[[#This Row],[1]:[30]],Code11)</f>
        <v>0</v>
      </c>
      <c r="AU76" s="435">
        <f>COUNTIF(ParticipationAvril1[[#This Row],[1]:[30]],Code12)</f>
        <v>1</v>
      </c>
      <c r="AV76" s="435">
        <f>COUNTIF(ParticipationAvril1[[#This Row],[1]:[30]],Code13)</f>
        <v>0</v>
      </c>
      <c r="AW76" s="435">
        <f>COUNTIF(ParticipationAvril1[[#This Row],[1]:[30]],Code14)</f>
        <v>0</v>
      </c>
      <c r="AX76" s="435">
        <f>COUNTIF(ParticipationAvril1[[#This Row],[1]:[30]],Code16)</f>
        <v>0</v>
      </c>
      <c r="AY76" s="435">
        <f>COUNTIF(ParticipationAvril1[[#This Row],[1]:[30]],Code15)</f>
        <v>0</v>
      </c>
      <c r="AZ76" s="435">
        <f>COUNTIF(ParticipationAvril1[[#This Row],[1]:[30]],Code17)</f>
        <v>0</v>
      </c>
      <c r="BA76" s="435">
        <f>COUNTIF(ParticipationAvril1[[#This Row],[1]:[30]],Code25)</f>
        <v>0</v>
      </c>
      <c r="BB76" s="435">
        <f>COUNTIF(ParticipationAvril1[[#This Row],[1]:[30]],Code26)</f>
        <v>0</v>
      </c>
      <c r="BC76" s="435">
        <f>COUNTIF(ParticipationAvril1[[#This Row],[1]:[30]],Code27)</f>
        <v>0</v>
      </c>
      <c r="BD76" s="435">
        <f>COUNTIF(ParticipationAvril1[[#This Row],[1]:[30]],Code28)</f>
        <v>0</v>
      </c>
      <c r="BE76" s="435">
        <f>COUNTIF(ParticipationAvril1[[#This Row],[1]:[30]],code30)</f>
        <v>0</v>
      </c>
      <c r="BF76" s="435">
        <f>COUNTIF(ParticipationAvril1[[#This Row],[1]:[30]],Code31)</f>
        <v>1</v>
      </c>
      <c r="BG76" s="435">
        <f>COUNTIF(ParticipationAvril1[[#This Row],[1]:[30]],code21)</f>
        <v>0</v>
      </c>
      <c r="BH76" s="435">
        <f>COUNTIF(ParticipationAvril1[[#This Row],[1]:[30]],Code24)</f>
        <v>0</v>
      </c>
      <c r="BI76" s="435">
        <f>COUNTIF(ParticipationAvril1[[#This Row],[1]:[30]],code18)</f>
        <v>0</v>
      </c>
      <c r="BJ76" s="435">
        <f>COUNTIF(ParticipationAvril1[[#This Row],[1]:[30]],code19)</f>
        <v>0</v>
      </c>
      <c r="BK76" s="435">
        <f>COUNTIF(ParticipationAvril1[[#This Row],[1]:[30]],code20)</f>
        <v>0</v>
      </c>
      <c r="BL76" s="436">
        <f>COUNTIF(ParticipationAvril1[[#This Row],[1]:[30]],code29)</f>
        <v>0</v>
      </c>
      <c r="BM76" s="297"/>
      <c r="BN76" s="297">
        <v>1</v>
      </c>
      <c r="BO76" s="297"/>
      <c r="BP76" s="297"/>
      <c r="BQ76" s="297"/>
      <c r="BR76" s="297"/>
      <c r="BS76" s="297"/>
      <c r="BT76" s="297">
        <v>2</v>
      </c>
      <c r="BU76" s="297"/>
      <c r="BV76" s="297"/>
      <c r="BW76" s="297">
        <v>1</v>
      </c>
      <c r="BX76" s="297">
        <v>1</v>
      </c>
      <c r="BY76" s="297"/>
      <c r="BZ76" s="297"/>
      <c r="CA76" s="297"/>
      <c r="CB76" s="297"/>
      <c r="CC76" s="297"/>
      <c r="CD76" s="297"/>
      <c r="CE76" s="297"/>
      <c r="CF76" s="297"/>
      <c r="CG76" s="297">
        <v>1</v>
      </c>
      <c r="CH76" s="297"/>
      <c r="CI76" s="297"/>
      <c r="CJ76" s="297"/>
      <c r="CK76" s="297"/>
      <c r="CL76" s="297"/>
      <c r="CM76" s="297"/>
      <c r="CN76" s="297"/>
      <c r="CO76" s="297"/>
      <c r="CP76" s="297"/>
      <c r="CQ76" s="297"/>
      <c r="CR76" s="297"/>
      <c r="CS76" s="297"/>
      <c r="CT76" s="297"/>
      <c r="CU76" s="300"/>
      <c r="CV76" s="485">
        <f t="shared" si="7"/>
        <v>0</v>
      </c>
      <c r="CW76" s="499">
        <f t="shared" si="8"/>
        <v>10</v>
      </c>
      <c r="CX76" s="442">
        <f t="shared" si="9"/>
        <v>0</v>
      </c>
      <c r="CY76" s="442"/>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row>
    <row r="77" spans="1:131" ht="15" thickTop="1" thickBot="1">
      <c r="A77" s="534" t="s">
        <v>418</v>
      </c>
      <c r="B77" s="162" t="str">
        <f>IFERROR(VLOOKUP(ParticipationAvril1[[#This Row],[Référence]],ListeÉtudiants1[],18,FALSE),"")</f>
        <v>JOSEPH PALOUNA</v>
      </c>
      <c r="C77" s="202"/>
      <c r="D77" s="202"/>
      <c r="E77" s="202"/>
      <c r="F77" s="202"/>
      <c r="G77" s="202"/>
      <c r="H77" s="202"/>
      <c r="I77" s="202"/>
      <c r="J77" s="202"/>
      <c r="K77" s="202"/>
      <c r="L77" s="202" t="s">
        <v>108</v>
      </c>
      <c r="M77" s="202"/>
      <c r="N77" s="202"/>
      <c r="O77" s="202"/>
      <c r="P77" s="202"/>
      <c r="Q77" s="202"/>
      <c r="R77" s="202"/>
      <c r="S77" s="202"/>
      <c r="T77" s="202"/>
      <c r="U77" s="202"/>
      <c r="V77" s="202"/>
      <c r="W77" s="202"/>
      <c r="X77" s="202"/>
      <c r="Y77" s="202"/>
      <c r="Z77" s="202"/>
      <c r="AA77" s="202"/>
      <c r="AB77" s="202"/>
      <c r="AC77" s="202"/>
      <c r="AD77" s="202"/>
      <c r="AE77" s="202"/>
      <c r="AF77" s="19"/>
      <c r="AG77" s="144"/>
      <c r="AH77" s="202">
        <f>COUNTIF(ParticipationAvril1[[#This Row],[1]:[30]],Code1)</f>
        <v>0</v>
      </c>
      <c r="AI77" s="6">
        <f>COUNTIF(ParticipationAvril1[[#This Row],[1]:[30]],code22)</f>
        <v>0</v>
      </c>
      <c r="AJ77" s="202">
        <f>COUNTIF(ParticipationAvril1[[#This Row],[1]:[30]],Code2)</f>
        <v>0</v>
      </c>
      <c r="AK77" s="202">
        <f>COUNTIF(ParticipationAvril1[[#This Row],[1]:[30]],Code3)</f>
        <v>0</v>
      </c>
      <c r="AL77" s="202">
        <f>COUNTIF(ParticipationAvril1[[#This Row],[1]:[30]],Code4)</f>
        <v>0</v>
      </c>
      <c r="AM77" s="6">
        <f>COUNTIF(ParticipationAvril1[[#This Row],[1]:[30]],Code5)</f>
        <v>0</v>
      </c>
      <c r="AN77" s="6">
        <f>COUNTIF(ParticipationAvril1[[#This Row],[1]:[30]],Code23)</f>
        <v>0</v>
      </c>
      <c r="AO77" s="6">
        <f>COUNTIF(ParticipationAvril1[[#This Row],[1]:[30]],Code6)</f>
        <v>1</v>
      </c>
      <c r="AP77" s="6">
        <f>COUNTIF(ParticipationAvril1[[#This Row],[1]:[30]],Code7)</f>
        <v>0</v>
      </c>
      <c r="AQ77" s="6">
        <f>COUNTIF(ParticipationAvril1[[#This Row],[1]:[30]],Code8)</f>
        <v>0</v>
      </c>
      <c r="AR77" s="6">
        <f>COUNTIF(ParticipationAvril1[[#This Row],[1]:[30]],Code9)</f>
        <v>0</v>
      </c>
      <c r="AS77" s="6">
        <f>COUNTIF(ParticipationAvril1[[#This Row],[1]:[30]],Code10)</f>
        <v>0</v>
      </c>
      <c r="AT77" s="6">
        <f>COUNTIF(ParticipationAvril1[[#This Row],[1]:[30]],Code11)</f>
        <v>0</v>
      </c>
      <c r="AU77" s="6">
        <f>COUNTIF(ParticipationAvril1[[#This Row],[1]:[30]],Code12)</f>
        <v>0</v>
      </c>
      <c r="AV77" s="6">
        <f>COUNTIF(ParticipationAvril1[[#This Row],[1]:[30]],Code13)</f>
        <v>0</v>
      </c>
      <c r="AW77" s="6">
        <f>COUNTIF(ParticipationAvril1[[#This Row],[1]:[30]],Code14)</f>
        <v>0</v>
      </c>
      <c r="AX77" s="6">
        <f>COUNTIF(ParticipationAvril1[[#This Row],[1]:[30]],Code16)</f>
        <v>0</v>
      </c>
      <c r="AY77" s="6">
        <f>COUNTIF(ParticipationAvril1[[#This Row],[1]:[30]],Code15)</f>
        <v>0</v>
      </c>
      <c r="AZ77" s="6">
        <f>COUNTIF(ParticipationAvril1[[#This Row],[1]:[30]],Code17)</f>
        <v>0</v>
      </c>
      <c r="BA77" s="6">
        <f>COUNTIF(ParticipationAvril1[[#This Row],[1]:[30]],Code25)</f>
        <v>0</v>
      </c>
      <c r="BB77" s="6">
        <f>COUNTIF(ParticipationAvril1[[#This Row],[1]:[30]],Code26)</f>
        <v>0</v>
      </c>
      <c r="BC77" s="6">
        <f>COUNTIF(ParticipationAvril1[[#This Row],[1]:[30]],Code27)</f>
        <v>0</v>
      </c>
      <c r="BD77" s="6">
        <f>COUNTIF(ParticipationAvril1[[#This Row],[1]:[30]],Code28)</f>
        <v>0</v>
      </c>
      <c r="BE77" s="6">
        <f>COUNTIF(ParticipationAvril1[[#This Row],[1]:[30]],code30)</f>
        <v>0</v>
      </c>
      <c r="BF77" s="6">
        <f>COUNTIF(ParticipationAvril1[[#This Row],[1]:[30]],Code31)</f>
        <v>0</v>
      </c>
      <c r="BG77" s="6">
        <f>COUNTIF(ParticipationAvril1[[#This Row],[1]:[30]],code21)</f>
        <v>0</v>
      </c>
      <c r="BH77" s="6">
        <f>COUNTIF(ParticipationAvril1[[#This Row],[1]:[30]],Code24)</f>
        <v>0</v>
      </c>
      <c r="BI77" s="6">
        <f>COUNTIF(ParticipationAvril1[[#This Row],[1]:[30]],code18)</f>
        <v>0</v>
      </c>
      <c r="BJ77" s="6">
        <f>COUNTIF(ParticipationAvril1[[#This Row],[1]:[30]],code19)</f>
        <v>0</v>
      </c>
      <c r="BK77" s="6">
        <f>COUNTIF(ParticipationAvril1[[#This Row],[1]:[30]],code20)</f>
        <v>0</v>
      </c>
      <c r="BL77" s="182">
        <f>COUNTIF(ParticipationAvril1[[#This Row],[1]:[30]],code29)</f>
        <v>0</v>
      </c>
      <c r="BM77" s="139"/>
      <c r="BN77" s="139">
        <v>1</v>
      </c>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30"/>
      <c r="CT77" s="30"/>
      <c r="CU77" s="300"/>
      <c r="CV77" s="485">
        <f t="shared" si="7"/>
        <v>0</v>
      </c>
      <c r="CW77" s="499">
        <f t="shared" si="8"/>
        <v>3</v>
      </c>
      <c r="CX77" s="443">
        <f t="shared" si="9"/>
        <v>0</v>
      </c>
      <c r="CY77" s="443"/>
      <c r="CZ77" s="200"/>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row>
    <row r="78" spans="1:131" ht="15" thickTop="1" thickBot="1">
      <c r="A78" s="510" t="s">
        <v>419</v>
      </c>
      <c r="B78" s="162" t="str">
        <f>IFERROR(VLOOKUP(ParticipationAvril1[[#This Row],[Référence]],ListeÉtudiants1[],18,FALSE),"")</f>
        <v>JUAN DORINE</v>
      </c>
      <c r="H78" s="510" t="s">
        <v>35</v>
      </c>
      <c r="AF78" s="88"/>
      <c r="AG78" s="441"/>
      <c r="AH78" s="439">
        <f>COUNTIF(ParticipationAvril1[[#This Row],[1]:[30]],Code1)</f>
        <v>0</v>
      </c>
      <c r="AI78" s="435">
        <f>COUNTIF(ParticipationAvril1[[#This Row],[1]:[30]],code22)</f>
        <v>0</v>
      </c>
      <c r="AJ78" s="439">
        <f>COUNTIF(ParticipationAvril1[[#This Row],[1]:[30]],Code2)</f>
        <v>0</v>
      </c>
      <c r="AK78" s="439">
        <f>COUNTIF(ParticipationAvril1[[#This Row],[1]:[30]],Code3)</f>
        <v>0</v>
      </c>
      <c r="AL78" s="439">
        <f>COUNTIF(ParticipationAvril1[[#This Row],[1]:[30]],Code4)</f>
        <v>0</v>
      </c>
      <c r="AM78" s="435">
        <f>COUNTIF(ParticipationAvril1[[#This Row],[1]:[30]],Code5)</f>
        <v>1</v>
      </c>
      <c r="AN78" s="435">
        <f>COUNTIF(ParticipationAvril1[[#This Row],[1]:[30]],Code23)</f>
        <v>0</v>
      </c>
      <c r="AO78" s="435">
        <f>COUNTIF(ParticipationAvril1[[#This Row],[1]:[30]],Code6)</f>
        <v>0</v>
      </c>
      <c r="AP78" s="435">
        <f>COUNTIF(ParticipationAvril1[[#This Row],[1]:[30]],Code7)</f>
        <v>0</v>
      </c>
      <c r="AQ78" s="435">
        <f>COUNTIF(ParticipationAvril1[[#This Row],[1]:[30]],Code8)</f>
        <v>0</v>
      </c>
      <c r="AR78" s="435">
        <f>COUNTIF(ParticipationAvril1[[#This Row],[1]:[30]],Code9)</f>
        <v>0</v>
      </c>
      <c r="AS78" s="435">
        <f>COUNTIF(ParticipationAvril1[[#This Row],[1]:[30]],Code10)</f>
        <v>0</v>
      </c>
      <c r="AT78" s="435">
        <f>COUNTIF(ParticipationAvril1[[#This Row],[1]:[30]],Code11)</f>
        <v>0</v>
      </c>
      <c r="AU78" s="435">
        <f>COUNTIF(ParticipationAvril1[[#This Row],[1]:[30]],Code12)</f>
        <v>0</v>
      </c>
      <c r="AV78" s="435">
        <f>COUNTIF(ParticipationAvril1[[#This Row],[1]:[30]],Code13)</f>
        <v>0</v>
      </c>
      <c r="AW78" s="435">
        <f>COUNTIF(ParticipationAvril1[[#This Row],[1]:[30]],Code14)</f>
        <v>0</v>
      </c>
      <c r="AX78" s="435">
        <f>COUNTIF(ParticipationAvril1[[#This Row],[1]:[30]],Code16)</f>
        <v>0</v>
      </c>
      <c r="AY78" s="435">
        <f>COUNTIF(ParticipationAvril1[[#This Row],[1]:[30]],Code15)</f>
        <v>0</v>
      </c>
      <c r="AZ78" s="435">
        <f>COUNTIF(ParticipationAvril1[[#This Row],[1]:[30]],Code17)</f>
        <v>0</v>
      </c>
      <c r="BA78" s="435">
        <f>COUNTIF(ParticipationAvril1[[#This Row],[1]:[30]],Code25)</f>
        <v>0</v>
      </c>
      <c r="BB78" s="435">
        <f>COUNTIF(ParticipationAvril1[[#This Row],[1]:[30]],Code26)</f>
        <v>0</v>
      </c>
      <c r="BC78" s="435">
        <f>COUNTIF(ParticipationAvril1[[#This Row],[1]:[30]],Code27)</f>
        <v>0</v>
      </c>
      <c r="BD78" s="435">
        <f>COUNTIF(ParticipationAvril1[[#This Row],[1]:[30]],Code28)</f>
        <v>0</v>
      </c>
      <c r="BE78" s="435">
        <f>COUNTIF(ParticipationAvril1[[#This Row],[1]:[30]],code30)</f>
        <v>0</v>
      </c>
      <c r="BF78" s="435">
        <f>COUNTIF(ParticipationAvril1[[#This Row],[1]:[30]],Code31)</f>
        <v>0</v>
      </c>
      <c r="BG78" s="435">
        <f>COUNTIF(ParticipationAvril1[[#This Row],[1]:[30]],code21)</f>
        <v>0</v>
      </c>
      <c r="BH78" s="435">
        <f>COUNTIF(ParticipationAvril1[[#This Row],[1]:[30]],Code24)</f>
        <v>0</v>
      </c>
      <c r="BI78" s="435">
        <f>COUNTIF(ParticipationAvril1[[#This Row],[1]:[30]],code18)</f>
        <v>0</v>
      </c>
      <c r="BJ78" s="435">
        <f>COUNTIF(ParticipationAvril1[[#This Row],[1]:[30]],code19)</f>
        <v>0</v>
      </c>
      <c r="BK78" s="435">
        <f>COUNTIF(ParticipationAvril1[[#This Row],[1]:[30]],code20)</f>
        <v>0</v>
      </c>
      <c r="BL78" s="436">
        <f>COUNTIF(ParticipationAvril1[[#This Row],[1]:[30]],code29)</f>
        <v>0</v>
      </c>
      <c r="BM78" s="297"/>
      <c r="BN78" s="297"/>
      <c r="BO78" s="297"/>
      <c r="BP78" s="297"/>
      <c r="BQ78" s="297"/>
      <c r="BR78" s="297"/>
      <c r="BS78" s="297"/>
      <c r="BT78" s="297">
        <v>1</v>
      </c>
      <c r="BU78" s="297"/>
      <c r="BV78" s="297"/>
      <c r="BW78" s="297"/>
      <c r="BX78" s="297"/>
      <c r="BY78" s="297"/>
      <c r="BZ78" s="297"/>
      <c r="CA78" s="297"/>
      <c r="CB78" s="297"/>
      <c r="CC78" s="297"/>
      <c r="CD78" s="297"/>
      <c r="CE78" s="297"/>
      <c r="CF78" s="297"/>
      <c r="CG78" s="297"/>
      <c r="CH78" s="297"/>
      <c r="CI78" s="297"/>
      <c r="CJ78" s="297"/>
      <c r="CK78" s="297"/>
      <c r="CL78" s="297"/>
      <c r="CM78" s="297"/>
      <c r="CN78" s="297"/>
      <c r="CO78" s="297"/>
      <c r="CP78" s="297"/>
      <c r="CQ78" s="297"/>
      <c r="CR78" s="297"/>
      <c r="CS78" s="297"/>
      <c r="CT78" s="297"/>
      <c r="CU78" s="300"/>
      <c r="CV78" s="485">
        <f t="shared" si="7"/>
        <v>0</v>
      </c>
      <c r="CW78" s="499">
        <f t="shared" si="8"/>
        <v>2</v>
      </c>
      <c r="CX78" s="442">
        <f t="shared" si="9"/>
        <v>0</v>
      </c>
      <c r="CY78" s="566"/>
    </row>
    <row r="79" spans="1:131" ht="15" thickTop="1" thickBot="1">
      <c r="A79" s="534" t="s">
        <v>420</v>
      </c>
      <c r="B79" s="162" t="str">
        <f>IFERROR(VLOOKUP(ParticipationAvril1[[#This Row],[Référence]],ListeÉtudiants1[],18,FALSE),"")</f>
        <v>KABOL HELENA</v>
      </c>
      <c r="C79" s="19"/>
      <c r="D79" s="19"/>
      <c r="E79" s="19"/>
      <c r="F79" s="19" t="s">
        <v>108</v>
      </c>
      <c r="G79" s="19"/>
      <c r="H79" s="19"/>
      <c r="I79" s="19"/>
      <c r="J79" s="19"/>
      <c r="K79" s="19" t="s">
        <v>108</v>
      </c>
      <c r="L79" s="19" t="s">
        <v>108</v>
      </c>
      <c r="M79" s="19" t="s">
        <v>487</v>
      </c>
      <c r="N79" s="19"/>
      <c r="O79" s="19" t="s">
        <v>106</v>
      </c>
      <c r="P79" s="19"/>
      <c r="Q79" s="19"/>
      <c r="R79" s="19"/>
      <c r="S79" s="19"/>
      <c r="T79" s="19"/>
      <c r="U79" s="19"/>
      <c r="V79" s="19"/>
      <c r="W79" s="19"/>
      <c r="X79" s="19"/>
      <c r="Y79" s="19"/>
      <c r="Z79" s="19"/>
      <c r="AA79" s="19"/>
      <c r="AB79" s="19"/>
      <c r="AC79" s="19"/>
      <c r="AD79" s="19"/>
      <c r="AE79" s="19"/>
      <c r="AF79" s="19"/>
      <c r="AG79" s="441"/>
      <c r="AH79" s="6">
        <f>COUNTIF(ParticipationAvril1[[#This Row],[1]:[30]],Code1)</f>
        <v>0</v>
      </c>
      <c r="AI79" s="331">
        <f>COUNTIF(ParticipationAvril1[[#This Row],[1]:[30]],code22)</f>
        <v>0</v>
      </c>
      <c r="AJ79" s="6">
        <f>COUNTIF(ParticipationAvril1[[#This Row],[1]:[30]],Code2)</f>
        <v>0</v>
      </c>
      <c r="AK79" s="6">
        <f>COUNTIF(ParticipationAvril1[[#This Row],[1]:[30]],Code3)</f>
        <v>1</v>
      </c>
      <c r="AL79" s="6">
        <f>COUNTIF(ParticipationAvril1[[#This Row],[1]:[30]],Code4)</f>
        <v>0</v>
      </c>
      <c r="AM79" s="331">
        <f>COUNTIF(ParticipationAvril1[[#This Row],[1]:[30]],Code5)</f>
        <v>0</v>
      </c>
      <c r="AN79" s="331">
        <f>COUNTIF(ParticipationAvril1[[#This Row],[1]:[30]],Code23)</f>
        <v>0</v>
      </c>
      <c r="AO79" s="331">
        <f>COUNTIF(ParticipationAvril1[[#This Row],[1]:[30]],Code6)</f>
        <v>3</v>
      </c>
      <c r="AP79" s="331">
        <f>COUNTIF(ParticipationAvril1[[#This Row],[1]:[30]],Code7)</f>
        <v>0</v>
      </c>
      <c r="AQ79" s="331">
        <f>COUNTIF(ParticipationAvril1[[#This Row],[1]:[30]],Code8)</f>
        <v>0</v>
      </c>
      <c r="AR79" s="331">
        <f>COUNTIF(ParticipationAvril1[[#This Row],[1]:[30]],Code9)</f>
        <v>0</v>
      </c>
      <c r="AS79" s="331">
        <f>COUNTIF(ParticipationAvril1[[#This Row],[1]:[30]],Code10)</f>
        <v>0</v>
      </c>
      <c r="AT79" s="331">
        <f>COUNTIF(ParticipationAvril1[[#This Row],[1]:[30]],Code11)</f>
        <v>0</v>
      </c>
      <c r="AU79" s="331">
        <f>COUNTIF(ParticipationAvril1[[#This Row],[1]:[30]],Code12)</f>
        <v>1</v>
      </c>
      <c r="AV79" s="331">
        <f>COUNTIF(ParticipationAvril1[[#This Row],[1]:[30]],Code13)</f>
        <v>0</v>
      </c>
      <c r="AW79" s="331">
        <f>COUNTIF(ParticipationAvril1[[#This Row],[1]:[30]],Code14)</f>
        <v>0</v>
      </c>
      <c r="AX79" s="331">
        <f>COUNTIF(ParticipationAvril1[[#This Row],[1]:[30]],Code16)</f>
        <v>0</v>
      </c>
      <c r="AY79" s="331">
        <f>COUNTIF(ParticipationAvril1[[#This Row],[1]:[30]],Code15)</f>
        <v>0</v>
      </c>
      <c r="AZ79" s="331">
        <f>COUNTIF(ParticipationAvril1[[#This Row],[1]:[30]],Code17)</f>
        <v>0</v>
      </c>
      <c r="BA79" s="331">
        <f>COUNTIF(ParticipationAvril1[[#This Row],[1]:[30]],Code25)</f>
        <v>0</v>
      </c>
      <c r="BB79" s="331">
        <f>COUNTIF(ParticipationAvril1[[#This Row],[1]:[30]],Code26)</f>
        <v>0</v>
      </c>
      <c r="BC79" s="435">
        <f>COUNTIF(ParticipationAvril1[[#This Row],[1]:[30]],Code27)</f>
        <v>0</v>
      </c>
      <c r="BD79" s="331">
        <f>COUNTIF(ParticipationAvril1[[#This Row],[1]:[30]],Code28)</f>
        <v>0</v>
      </c>
      <c r="BE79" s="331">
        <f>COUNTIF(ParticipationAvril1[[#This Row],[1]:[30]],code30)</f>
        <v>0</v>
      </c>
      <c r="BF79" s="331">
        <f>COUNTIF(ParticipationAvril1[[#This Row],[1]:[30]],Code31)</f>
        <v>0</v>
      </c>
      <c r="BG79" s="331">
        <f>COUNTIF(ParticipationAvril1[[#This Row],[1]:[30]],code21)</f>
        <v>0</v>
      </c>
      <c r="BH79" s="331">
        <f>COUNTIF(ParticipationAvril1[[#This Row],[1]:[30]],Code24)</f>
        <v>0</v>
      </c>
      <c r="BI79" s="331">
        <f>COUNTIF(ParticipationAvril1[[#This Row],[1]:[30]],code18)</f>
        <v>0</v>
      </c>
      <c r="BJ79" s="331">
        <f>COUNTIF(ParticipationAvril1[[#This Row],[1]:[30]],code19)</f>
        <v>0</v>
      </c>
      <c r="BK79" s="331">
        <f>COUNTIF(ParticipationAvril1[[#This Row],[1]:[30]],code20)</f>
        <v>0</v>
      </c>
      <c r="BL79" s="436">
        <f>COUNTIF(ParticipationAvril1[[#This Row],[1]:[30]],code29)</f>
        <v>0</v>
      </c>
      <c r="BM79" s="297"/>
      <c r="BN79" s="297">
        <v>2</v>
      </c>
      <c r="BO79" s="297"/>
      <c r="BP79" s="297"/>
      <c r="BQ79" s="297"/>
      <c r="BR79" s="297"/>
      <c r="BS79" s="297"/>
      <c r="BT79" s="297">
        <v>2</v>
      </c>
      <c r="BU79" s="297"/>
      <c r="BV79" s="297"/>
      <c r="BW79" s="297"/>
      <c r="BX79" s="297">
        <v>1</v>
      </c>
      <c r="BY79" s="297"/>
      <c r="BZ79" s="297"/>
      <c r="CA79" s="297"/>
      <c r="CB79" s="297"/>
      <c r="CC79" s="297"/>
      <c r="CD79" s="297"/>
      <c r="CE79" s="297"/>
      <c r="CF79" s="297"/>
      <c r="CG79" s="297"/>
      <c r="CH79" s="297"/>
      <c r="CI79" s="297"/>
      <c r="CJ79" s="297"/>
      <c r="CK79" s="297"/>
      <c r="CL79" s="297"/>
      <c r="CM79" s="297"/>
      <c r="CN79" s="297"/>
      <c r="CO79" s="297"/>
      <c r="CP79" s="297"/>
      <c r="CQ79" s="297"/>
      <c r="CR79" s="297"/>
      <c r="CS79" s="307"/>
      <c r="CT79" s="307">
        <v>1</v>
      </c>
      <c r="CU79" s="300"/>
      <c r="CV79" s="485">
        <f t="shared" si="7"/>
        <v>3</v>
      </c>
      <c r="CW79" s="499">
        <f t="shared" si="8"/>
        <v>15</v>
      </c>
      <c r="CX79" s="331">
        <f t="shared" si="9"/>
        <v>0</v>
      </c>
      <c r="CY79" s="438"/>
    </row>
    <row r="80" spans="1:131" ht="15" thickTop="1" thickBot="1">
      <c r="A80" s="534" t="s">
        <v>421</v>
      </c>
      <c r="B80" s="162" t="str">
        <f>IFERROR(VLOOKUP(ParticipationAvril1[[#This Row],[Référence]],ListeÉtudiants1[],18,FALSE),"")</f>
        <v>KANTE TIGUIDA</v>
      </c>
      <c r="C80" s="19"/>
      <c r="D80" s="19"/>
      <c r="E80" s="19" t="s">
        <v>492</v>
      </c>
      <c r="F80" s="19" t="s">
        <v>108</v>
      </c>
      <c r="G80" s="19"/>
      <c r="H80" s="19"/>
      <c r="I80" s="19"/>
      <c r="J80" s="19"/>
      <c r="K80" s="19"/>
      <c r="L80" s="19"/>
      <c r="M80" s="19" t="s">
        <v>487</v>
      </c>
      <c r="N80" s="19"/>
      <c r="O80" s="19"/>
      <c r="P80" s="19"/>
      <c r="Q80" s="19"/>
      <c r="R80" s="19"/>
      <c r="S80" s="19"/>
      <c r="T80" s="19"/>
      <c r="U80" s="19"/>
      <c r="V80" s="19"/>
      <c r="W80" s="19"/>
      <c r="X80" s="19"/>
      <c r="Y80" s="19"/>
      <c r="Z80" s="19"/>
      <c r="AA80" s="19"/>
      <c r="AB80" s="19"/>
      <c r="AC80" s="19"/>
      <c r="AD80" s="19"/>
      <c r="AE80" s="19"/>
      <c r="AF80" s="558"/>
      <c r="AG80" s="340"/>
      <c r="AH80" s="6">
        <f>COUNTIF(ParticipationAvril1[[#This Row],[1]:[30]],Code1)</f>
        <v>0</v>
      </c>
      <c r="AI80" s="6">
        <f>COUNTIF(ParticipationAvril1[[#This Row],[1]:[30]],code22)</f>
        <v>0</v>
      </c>
      <c r="AJ80" s="6">
        <f>COUNTIF(ParticipationAvril1[[#This Row],[1]:[30]],Code2)</f>
        <v>0</v>
      </c>
      <c r="AK80" s="6">
        <f>COUNTIF(ParticipationAvril1[[#This Row],[1]:[30]],Code3)</f>
        <v>0</v>
      </c>
      <c r="AL80" s="6">
        <f>COUNTIF(ParticipationAvril1[[#This Row],[1]:[30]],Code4)</f>
        <v>0</v>
      </c>
      <c r="AM80" s="6">
        <f>COUNTIF(ParticipationAvril1[[#This Row],[1]:[30]],Code5)</f>
        <v>0</v>
      </c>
      <c r="AN80" s="6">
        <f>COUNTIF(ParticipationAvril1[[#This Row],[1]:[30]],Code23)</f>
        <v>0</v>
      </c>
      <c r="AO80" s="6">
        <f>COUNTIF(ParticipationAvril1[[#This Row],[1]:[30]],Code6)</f>
        <v>1</v>
      </c>
      <c r="AP80" s="6">
        <f>COUNTIF(ParticipationAvril1[[#This Row],[1]:[30]],Code7)</f>
        <v>0</v>
      </c>
      <c r="AQ80" s="6">
        <f>COUNTIF(ParticipationAvril1[[#This Row],[1]:[30]],Code8)</f>
        <v>0</v>
      </c>
      <c r="AR80" s="6">
        <f>COUNTIF(ParticipationAvril1[[#This Row],[1]:[30]],Code9)</f>
        <v>0</v>
      </c>
      <c r="AS80" s="6">
        <f>COUNTIF(ParticipationAvril1[[#This Row],[1]:[30]],Code10)</f>
        <v>0</v>
      </c>
      <c r="AT80" s="6">
        <f>COUNTIF(ParticipationAvril1[[#This Row],[1]:[30]],Code11)</f>
        <v>0</v>
      </c>
      <c r="AU80" s="6">
        <f>COUNTIF(ParticipationAvril1[[#This Row],[1]:[30]],Code12)</f>
        <v>1</v>
      </c>
      <c r="AV80" s="6">
        <f>COUNTIF(ParticipationAvril1[[#This Row],[1]:[30]],Code13)</f>
        <v>0</v>
      </c>
      <c r="AW80" s="6">
        <f>COUNTIF(ParticipationAvril1[[#This Row],[1]:[30]],Code14)</f>
        <v>0</v>
      </c>
      <c r="AX80" s="6">
        <f>COUNTIF(ParticipationAvril1[[#This Row],[1]:[30]],Code16)</f>
        <v>0</v>
      </c>
      <c r="AY80" s="6">
        <f>COUNTIF(ParticipationAvril1[[#This Row],[1]:[30]],Code15)</f>
        <v>0</v>
      </c>
      <c r="AZ80" s="6">
        <f>COUNTIF(ParticipationAvril1[[#This Row],[1]:[30]],Code17)</f>
        <v>1</v>
      </c>
      <c r="BA80" s="6">
        <f>COUNTIF(ParticipationAvril1[[#This Row],[1]:[30]],Code25)</f>
        <v>0</v>
      </c>
      <c r="BB80" s="6">
        <f>COUNTIF(ParticipationAvril1[[#This Row],[1]:[30]],Code26)</f>
        <v>0</v>
      </c>
      <c r="BC80" s="432">
        <f>COUNTIF(ParticipationAvril1[[#This Row],[1]:[30]],Code27)</f>
        <v>0</v>
      </c>
      <c r="BD80" s="6">
        <f>COUNTIF(ParticipationAvril1[[#This Row],[1]:[30]],Code28)</f>
        <v>0</v>
      </c>
      <c r="BE80" s="6">
        <f>COUNTIF(ParticipationAvril1[[#This Row],[1]:[30]],code30)</f>
        <v>0</v>
      </c>
      <c r="BF80" s="6">
        <f>COUNTIF(ParticipationAvril1[[#This Row],[1]:[30]],Code31)</f>
        <v>0</v>
      </c>
      <c r="BG80" s="6">
        <f>COUNTIF(ParticipationAvril1[[#This Row],[1]:[30]],code21)</f>
        <v>0</v>
      </c>
      <c r="BH80" s="6">
        <f>COUNTIF(ParticipationAvril1[[#This Row],[1]:[30]],Code24)</f>
        <v>0</v>
      </c>
      <c r="BI80" s="6">
        <f>COUNTIF(ParticipationAvril1[[#This Row],[1]:[30]],code18)</f>
        <v>0</v>
      </c>
      <c r="BJ80" s="6">
        <f>COUNTIF(ParticipationAvril1[[#This Row],[1]:[30]],code19)</f>
        <v>0</v>
      </c>
      <c r="BK80" s="6">
        <f>COUNTIF(ParticipationAvril1[[#This Row],[1]:[30]],code20)</f>
        <v>0</v>
      </c>
      <c r="BL80" s="182">
        <f>COUNTIF(ParticipationAvril1[[#This Row],[1]:[30]],code29)</f>
        <v>0</v>
      </c>
      <c r="BM80" s="297"/>
      <c r="BN80" s="297">
        <v>1</v>
      </c>
      <c r="BO80" s="297"/>
      <c r="BP80" s="297"/>
      <c r="BQ80" s="297"/>
      <c r="BR80" s="297"/>
      <c r="BS80" s="297"/>
      <c r="BT80" s="297">
        <v>2</v>
      </c>
      <c r="BU80" s="297"/>
      <c r="BV80" s="297"/>
      <c r="BW80" s="297"/>
      <c r="BX80" s="297"/>
      <c r="BY80" s="297"/>
      <c r="BZ80" s="297">
        <v>1</v>
      </c>
      <c r="CA80" s="297"/>
      <c r="CB80" s="297">
        <v>2</v>
      </c>
      <c r="CC80" s="297"/>
      <c r="CD80" s="297"/>
      <c r="CE80" s="297"/>
      <c r="CF80" s="297"/>
      <c r="CG80" s="297">
        <v>1</v>
      </c>
      <c r="CH80" s="297"/>
      <c r="CI80" s="297"/>
      <c r="CJ80" s="297"/>
      <c r="CK80" s="297"/>
      <c r="CL80" s="297"/>
      <c r="CM80" s="297"/>
      <c r="CN80" s="297"/>
      <c r="CO80" s="297"/>
      <c r="CP80" s="297"/>
      <c r="CQ80" s="297"/>
      <c r="CR80" s="297"/>
      <c r="CS80" s="307"/>
      <c r="CT80" s="307"/>
      <c r="CU80" s="561"/>
      <c r="CV80" s="485">
        <f t="shared" si="7"/>
        <v>2</v>
      </c>
      <c r="CW80" s="563">
        <f t="shared" si="8"/>
        <v>14</v>
      </c>
      <c r="CX80" s="6">
        <f t="shared" si="9"/>
        <v>0</v>
      </c>
      <c r="CY80" s="179">
        <f>SUM((BI80*7)+(BJ80*10)+(BK80*12))</f>
        <v>0</v>
      </c>
    </row>
    <row r="81" spans="1:104" ht="15" thickTop="1" thickBot="1">
      <c r="A81" s="510" t="s">
        <v>422</v>
      </c>
      <c r="B81" s="162" t="str">
        <f>IFERROR(VLOOKUP(ParticipationAvril1[[#This Row],[Référence]],ListeÉtudiants1[],18,FALSE),"")</f>
        <v>KERMESH NELLY</v>
      </c>
      <c r="C81" s="19"/>
      <c r="D81" s="19"/>
      <c r="E81" s="19"/>
      <c r="F81" s="19" t="s">
        <v>108</v>
      </c>
      <c r="G81" s="19"/>
      <c r="H81" s="19"/>
      <c r="I81" s="19"/>
      <c r="J81" s="19"/>
      <c r="K81" s="19" t="s">
        <v>639</v>
      </c>
      <c r="L81" s="19"/>
      <c r="M81" s="19" t="s">
        <v>487</v>
      </c>
      <c r="N81" s="19"/>
      <c r="O81" s="19" t="s">
        <v>106</v>
      </c>
      <c r="P81" s="19"/>
      <c r="Q81" s="19"/>
      <c r="R81" s="19"/>
      <c r="S81" s="19"/>
      <c r="T81" s="19"/>
      <c r="U81" s="19"/>
      <c r="V81" s="19"/>
      <c r="W81" s="19"/>
      <c r="X81" s="19"/>
      <c r="Y81" s="19"/>
      <c r="Z81" s="19"/>
      <c r="AA81" s="19"/>
      <c r="AB81" s="19"/>
      <c r="AC81" s="19"/>
      <c r="AD81" s="19"/>
      <c r="AE81" s="19"/>
      <c r="AF81" s="19"/>
      <c r="AG81" s="441"/>
      <c r="AH81" s="6">
        <f>COUNTIF(ParticipationAvril1[[#This Row],[1]:[30]],Code1)</f>
        <v>0</v>
      </c>
      <c r="AI81" s="331">
        <f>COUNTIF(ParticipationAvril1[[#This Row],[1]:[30]],code22)</f>
        <v>0</v>
      </c>
      <c r="AJ81" s="6">
        <f>COUNTIF(ParticipationAvril1[[#This Row],[1]:[30]],Code2)</f>
        <v>0</v>
      </c>
      <c r="AK81" s="6">
        <f>COUNTIF(ParticipationAvril1[[#This Row],[1]:[30]],Code3)</f>
        <v>1</v>
      </c>
      <c r="AL81" s="6">
        <f>COUNTIF(ParticipationAvril1[[#This Row],[1]:[30]],Code4)</f>
        <v>0</v>
      </c>
      <c r="AM81" s="331">
        <f>COUNTIF(ParticipationAvril1[[#This Row],[1]:[30]],Code5)</f>
        <v>0</v>
      </c>
      <c r="AN81" s="331">
        <f>COUNTIF(ParticipationAvril1[[#This Row],[1]:[30]],Code23)</f>
        <v>0</v>
      </c>
      <c r="AO81" s="331">
        <f>COUNTIF(ParticipationAvril1[[#This Row],[1]:[30]],Code6)</f>
        <v>1</v>
      </c>
      <c r="AP81" s="331">
        <f>COUNTIF(ParticipationAvril1[[#This Row],[1]:[30]],Code7)</f>
        <v>0</v>
      </c>
      <c r="AQ81" s="331">
        <f>COUNTIF(ParticipationAvril1[[#This Row],[1]:[30]],Code8)</f>
        <v>0</v>
      </c>
      <c r="AR81" s="331">
        <f>COUNTIF(ParticipationAvril1[[#This Row],[1]:[30]],Code9)</f>
        <v>0</v>
      </c>
      <c r="AS81" s="331">
        <f>COUNTIF(ParticipationAvril1[[#This Row],[1]:[30]],Code10)</f>
        <v>0</v>
      </c>
      <c r="AT81" s="331">
        <f>COUNTIF(ParticipationAvril1[[#This Row],[1]:[30]],Code11)</f>
        <v>0</v>
      </c>
      <c r="AU81" s="331">
        <f>COUNTIF(ParticipationAvril1[[#This Row],[1]:[30]],Code12)</f>
        <v>1</v>
      </c>
      <c r="AV81" s="331">
        <f>COUNTIF(ParticipationAvril1[[#This Row],[1]:[30]],Code13)</f>
        <v>0</v>
      </c>
      <c r="AW81" s="331">
        <f>COUNTIF(ParticipationAvril1[[#This Row],[1]:[30]],Code14)</f>
        <v>0</v>
      </c>
      <c r="AX81" s="331">
        <f>COUNTIF(ParticipationAvril1[[#This Row],[1]:[30]],Code16)</f>
        <v>0</v>
      </c>
      <c r="AY81" s="331">
        <f>COUNTIF(ParticipationAvril1[[#This Row],[1]:[30]],Code15)</f>
        <v>0</v>
      </c>
      <c r="AZ81" s="331">
        <f>COUNTIF(ParticipationAvril1[[#This Row],[1]:[30]],Code17)</f>
        <v>0</v>
      </c>
      <c r="BA81" s="331">
        <f>COUNTIF(ParticipationAvril1[[#This Row],[1]:[30]],Code25)</f>
        <v>0</v>
      </c>
      <c r="BB81" s="331">
        <f>COUNTIF(ParticipationAvril1[[#This Row],[1]:[30]],Code26)</f>
        <v>0</v>
      </c>
      <c r="BC81" s="435">
        <f>COUNTIF(ParticipationAvril1[[#This Row],[1]:[30]],Code27)</f>
        <v>0</v>
      </c>
      <c r="BD81" s="331">
        <f>COUNTIF(ParticipationAvril1[[#This Row],[1]:[30]],Code28)</f>
        <v>0</v>
      </c>
      <c r="BE81" s="331">
        <f>COUNTIF(ParticipationAvril1[[#This Row],[1]:[30]],code30)</f>
        <v>0</v>
      </c>
      <c r="BF81" s="331">
        <f>COUNTIF(ParticipationAvril1[[#This Row],[1]:[30]],Code31)</f>
        <v>1</v>
      </c>
      <c r="BG81" s="331">
        <f>COUNTIF(ParticipationAvril1[[#This Row],[1]:[30]],code21)</f>
        <v>0</v>
      </c>
      <c r="BH81" s="331">
        <f>COUNTIF(ParticipationAvril1[[#This Row],[1]:[30]],Code24)</f>
        <v>0</v>
      </c>
      <c r="BI81" s="331">
        <f>COUNTIF(ParticipationAvril1[[#This Row],[1]:[30]],code18)</f>
        <v>0</v>
      </c>
      <c r="BJ81" s="331">
        <f>COUNTIF(ParticipationAvril1[[#This Row],[1]:[30]],code19)</f>
        <v>0</v>
      </c>
      <c r="BK81" s="331">
        <f>COUNTIF(ParticipationAvril1[[#This Row],[1]:[30]],code20)</f>
        <v>0</v>
      </c>
      <c r="BL81" s="436">
        <f>COUNTIF(ParticipationAvril1[[#This Row],[1]:[30]],code29)</f>
        <v>0</v>
      </c>
      <c r="BM81" s="297"/>
      <c r="BN81" s="297">
        <v>1</v>
      </c>
      <c r="BO81" s="297"/>
      <c r="BP81" s="297"/>
      <c r="BQ81" s="297"/>
      <c r="BR81" s="297"/>
      <c r="BS81" s="297"/>
      <c r="BT81" s="297">
        <v>2</v>
      </c>
      <c r="BU81" s="297"/>
      <c r="BV81" s="297"/>
      <c r="BW81" s="297"/>
      <c r="BX81" s="297">
        <v>1</v>
      </c>
      <c r="BY81" s="297"/>
      <c r="BZ81" s="297"/>
      <c r="CA81" s="297"/>
      <c r="CB81" s="297"/>
      <c r="CC81" s="297"/>
      <c r="CD81" s="297"/>
      <c r="CE81" s="297"/>
      <c r="CF81" s="297"/>
      <c r="CG81" s="297">
        <v>1</v>
      </c>
      <c r="CH81" s="297"/>
      <c r="CI81" s="297"/>
      <c r="CJ81" s="297"/>
      <c r="CK81" s="297"/>
      <c r="CL81" s="297"/>
      <c r="CM81" s="297"/>
      <c r="CN81" s="297"/>
      <c r="CO81" s="297"/>
      <c r="CP81" s="297"/>
      <c r="CQ81" s="297"/>
      <c r="CR81" s="297"/>
      <c r="CS81" s="307"/>
      <c r="CT81" s="307">
        <v>1</v>
      </c>
      <c r="CU81" s="300"/>
      <c r="CV81" s="485">
        <f t="shared" si="7"/>
        <v>3</v>
      </c>
      <c r="CW81" s="499">
        <f t="shared" si="8"/>
        <v>9</v>
      </c>
      <c r="CX81" s="331">
        <f t="shared" si="9"/>
        <v>0</v>
      </c>
      <c r="CY81" s="438"/>
    </row>
    <row r="82" spans="1:104" ht="15" thickTop="1" thickBot="1">
      <c r="A82" s="534" t="s">
        <v>423</v>
      </c>
      <c r="B82" s="162" t="str">
        <f>IFERROR(VLOOKUP(ParticipationAvril1[[#This Row],[Référence]],ListeÉtudiants1[],18,FALSE),"")</f>
        <v>KESSIE INES</v>
      </c>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558"/>
      <c r="AG82" s="484"/>
      <c r="AH82" s="6">
        <f>COUNTIF(ParticipationAvril1[[#This Row],[1]:[30]],Code1)</f>
        <v>0</v>
      </c>
      <c r="AI82" s="475">
        <f>COUNTIF(ParticipationAvril1[[#This Row],[1]:[30]],code22)</f>
        <v>0</v>
      </c>
      <c r="AJ82" s="6">
        <f>COUNTIF(ParticipationAvril1[[#This Row],[1]:[30]],Code2)</f>
        <v>0</v>
      </c>
      <c r="AK82" s="6">
        <f>COUNTIF(ParticipationAvril1[[#This Row],[1]:[30]],Code3)</f>
        <v>0</v>
      </c>
      <c r="AL82" s="6">
        <f>COUNTIF(ParticipationAvril1[[#This Row],[1]:[30]],Code4)</f>
        <v>0</v>
      </c>
      <c r="AM82" s="475">
        <f>COUNTIF(ParticipationAvril1[[#This Row],[1]:[30]],Code5)</f>
        <v>0</v>
      </c>
      <c r="AN82" s="475">
        <f>COUNTIF(ParticipationAvril1[[#This Row],[1]:[30]],Code23)</f>
        <v>0</v>
      </c>
      <c r="AO82" s="475">
        <f>COUNTIF(ParticipationAvril1[[#This Row],[1]:[30]],Code6)</f>
        <v>0</v>
      </c>
      <c r="AP82" s="475">
        <f>COUNTIF(ParticipationAvril1[[#This Row],[1]:[30]],Code7)</f>
        <v>0</v>
      </c>
      <c r="AQ82" s="475">
        <f>COUNTIF(ParticipationAvril1[[#This Row],[1]:[30]],Code8)</f>
        <v>0</v>
      </c>
      <c r="AR82" s="475">
        <f>COUNTIF(ParticipationAvril1[[#This Row],[1]:[30]],Code9)</f>
        <v>0</v>
      </c>
      <c r="AS82" s="475">
        <f>COUNTIF(ParticipationAvril1[[#This Row],[1]:[30]],Code10)</f>
        <v>0</v>
      </c>
      <c r="AT82" s="475">
        <f>COUNTIF(ParticipationAvril1[[#This Row],[1]:[30]],Code11)</f>
        <v>0</v>
      </c>
      <c r="AU82" s="475">
        <f>COUNTIF(ParticipationAvril1[[#This Row],[1]:[30]],Code12)</f>
        <v>0</v>
      </c>
      <c r="AV82" s="475">
        <f>COUNTIF(ParticipationAvril1[[#This Row],[1]:[30]],Code13)</f>
        <v>0</v>
      </c>
      <c r="AW82" s="475">
        <f>COUNTIF(ParticipationAvril1[[#This Row],[1]:[30]],Code14)</f>
        <v>0</v>
      </c>
      <c r="AX82" s="475">
        <f>COUNTIF(ParticipationAvril1[[#This Row],[1]:[30]],Code16)</f>
        <v>0</v>
      </c>
      <c r="AY82" s="475">
        <f>COUNTIF(ParticipationAvril1[[#This Row],[1]:[30]],Code15)</f>
        <v>0</v>
      </c>
      <c r="AZ82" s="475">
        <f>COUNTIF(ParticipationAvril1[[#This Row],[1]:[30]],Code17)</f>
        <v>0</v>
      </c>
      <c r="BA82" s="475">
        <f>COUNTIF(ParticipationAvril1[[#This Row],[1]:[30]],Code25)</f>
        <v>0</v>
      </c>
      <c r="BB82" s="475">
        <f>COUNTIF(ParticipationAvril1[[#This Row],[1]:[30]],Code26)</f>
        <v>0</v>
      </c>
      <c r="BC82" s="474">
        <f>COUNTIF(ParticipationAvril1[[#This Row],[1]:[30]],Code27)</f>
        <v>0</v>
      </c>
      <c r="BD82" s="475">
        <f>COUNTIF(ParticipationAvril1[[#This Row],[1]:[30]],Code28)</f>
        <v>0</v>
      </c>
      <c r="BE82" s="475">
        <f>COUNTIF(ParticipationAvril1[[#This Row],[1]:[30]],code30)</f>
        <v>0</v>
      </c>
      <c r="BF82" s="475">
        <f>COUNTIF(ParticipationAvril1[[#This Row],[1]:[30]],Code31)</f>
        <v>0</v>
      </c>
      <c r="BG82" s="475">
        <f>COUNTIF(ParticipationAvril1[[#This Row],[1]:[30]],code21)</f>
        <v>0</v>
      </c>
      <c r="BH82" s="475">
        <f>COUNTIF(ParticipationAvril1[[#This Row],[1]:[30]],Code24)</f>
        <v>0</v>
      </c>
      <c r="BI82" s="475">
        <f>COUNTIF(ParticipationAvril1[[#This Row],[1]:[30]],code18)</f>
        <v>0</v>
      </c>
      <c r="BJ82" s="475">
        <f>COUNTIF(ParticipationAvril1[[#This Row],[1]:[30]],code19)</f>
        <v>0</v>
      </c>
      <c r="BK82" s="475">
        <f>COUNTIF(ParticipationAvril1[[#This Row],[1]:[30]],code20)</f>
        <v>0</v>
      </c>
      <c r="BL82" s="476">
        <f>COUNTIF(ParticipationAvril1[[#This Row],[1]:[30]],code29)</f>
        <v>0</v>
      </c>
      <c r="BM82" s="472"/>
      <c r="BN82" s="472"/>
      <c r="BO82" s="472"/>
      <c r="BP82" s="472"/>
      <c r="BQ82" s="472"/>
      <c r="BR82" s="472"/>
      <c r="BS82" s="472"/>
      <c r="BT82" s="472"/>
      <c r="BU82" s="472"/>
      <c r="BV82" s="472"/>
      <c r="BW82" s="472"/>
      <c r="BX82" s="472"/>
      <c r="BY82" s="472"/>
      <c r="BZ82" s="472"/>
      <c r="CA82" s="472"/>
      <c r="CB82" s="472"/>
      <c r="CC82" s="472"/>
      <c r="CD82" s="472"/>
      <c r="CE82" s="472"/>
      <c r="CF82" s="472"/>
      <c r="CG82" s="472"/>
      <c r="CH82" s="472"/>
      <c r="CI82" s="472"/>
      <c r="CJ82" s="472"/>
      <c r="CK82" s="472"/>
      <c r="CL82" s="472"/>
      <c r="CM82" s="472"/>
      <c r="CN82" s="472"/>
      <c r="CO82" s="472"/>
      <c r="CP82" s="472"/>
      <c r="CQ82" s="472"/>
      <c r="CR82" s="472"/>
      <c r="CS82" s="473"/>
      <c r="CT82" s="473"/>
      <c r="CU82" s="554">
        <f>SUM((AH82*1)+(AI82*1.5)+(AJ82*2)+(AK82*4)+(AP82*5)+(AQ82*6)+(AR82*7)+(AU82*2)+(AX82*3)+(AY82*4)+(AZ82*5)+(BB82*3)+(BA82*2)+(BG82*2)+(BC82*2)+(BD82*2))</f>
        <v>0</v>
      </c>
      <c r="CV82" s="555">
        <f t="shared" si="7"/>
        <v>0</v>
      </c>
      <c r="CW82" s="556">
        <f t="shared" si="8"/>
        <v>0</v>
      </c>
      <c r="CX82" s="475">
        <f t="shared" si="9"/>
        <v>0</v>
      </c>
      <c r="CY82" s="477"/>
    </row>
    <row r="83" spans="1:104" ht="15" thickTop="1" thickBot="1">
      <c r="A83" s="534" t="s">
        <v>424</v>
      </c>
      <c r="B83" s="162" t="str">
        <f>IFERROR(VLOOKUP(ParticipationAvril1[[#This Row],[Référence]],ListeÉtudiants1[],18,FALSE),"")</f>
        <v>KIFIA ALI HILDA</v>
      </c>
      <c r="L83" s="510" t="s">
        <v>108</v>
      </c>
      <c r="AF83" s="88"/>
      <c r="AG83" s="478"/>
      <c r="AH83" s="439">
        <f>COUNTIF(ParticipationAvril1[[#This Row],[1]:[30]],Code1)</f>
        <v>0</v>
      </c>
      <c r="AI83" s="474">
        <f>COUNTIF(ParticipationAvril1[[#This Row],[1]:[30]],code22)</f>
        <v>0</v>
      </c>
      <c r="AJ83" s="439">
        <f>COUNTIF(ParticipationAvril1[[#This Row],[1]:[30]],Code2)</f>
        <v>0</v>
      </c>
      <c r="AK83" s="439">
        <f>COUNTIF(ParticipationAvril1[[#This Row],[1]:[30]],Code3)</f>
        <v>0</v>
      </c>
      <c r="AL83" s="439">
        <f>COUNTIF(ParticipationAvril1[[#This Row],[1]:[30]],Code4)</f>
        <v>0</v>
      </c>
      <c r="AM83" s="474">
        <f>COUNTIF(ParticipationAvril1[[#This Row],[1]:[30]],Code5)</f>
        <v>0</v>
      </c>
      <c r="AN83" s="474">
        <f>COUNTIF(ParticipationAvril1[[#This Row],[1]:[30]],Code23)</f>
        <v>0</v>
      </c>
      <c r="AO83" s="474">
        <f>COUNTIF(ParticipationAvril1[[#This Row],[1]:[30]],Code6)</f>
        <v>1</v>
      </c>
      <c r="AP83" s="474">
        <f>COUNTIF(ParticipationAvril1[[#This Row],[1]:[30]],Code7)</f>
        <v>0</v>
      </c>
      <c r="AQ83" s="474">
        <f>COUNTIF(ParticipationAvril1[[#This Row],[1]:[30]],Code8)</f>
        <v>0</v>
      </c>
      <c r="AR83" s="474">
        <f>COUNTIF(ParticipationAvril1[[#This Row],[1]:[30]],Code9)</f>
        <v>0</v>
      </c>
      <c r="AS83" s="474">
        <f>COUNTIF(ParticipationAvril1[[#This Row],[1]:[30]],Code10)</f>
        <v>0</v>
      </c>
      <c r="AT83" s="474">
        <f>COUNTIF(ParticipationAvril1[[#This Row],[1]:[30]],Code11)</f>
        <v>0</v>
      </c>
      <c r="AU83" s="474">
        <f>COUNTIF(ParticipationAvril1[[#This Row],[1]:[30]],Code12)</f>
        <v>0</v>
      </c>
      <c r="AV83" s="474">
        <f>COUNTIF(ParticipationAvril1[[#This Row],[1]:[30]],Code13)</f>
        <v>0</v>
      </c>
      <c r="AW83" s="474">
        <f>COUNTIF(ParticipationAvril1[[#This Row],[1]:[30]],Code14)</f>
        <v>0</v>
      </c>
      <c r="AX83" s="474">
        <f>COUNTIF(ParticipationAvril1[[#This Row],[1]:[30]],Code16)</f>
        <v>0</v>
      </c>
      <c r="AY83" s="474">
        <f>COUNTIF(ParticipationAvril1[[#This Row],[1]:[30]],Code15)</f>
        <v>0</v>
      </c>
      <c r="AZ83" s="474">
        <f>COUNTIF(ParticipationAvril1[[#This Row],[1]:[30]],Code17)</f>
        <v>0</v>
      </c>
      <c r="BA83" s="474">
        <f>COUNTIF(ParticipationAvril1[[#This Row],[1]:[30]],Code25)</f>
        <v>0</v>
      </c>
      <c r="BB83" s="474">
        <f>COUNTIF(ParticipationAvril1[[#This Row],[1]:[30]],Code26)</f>
        <v>0</v>
      </c>
      <c r="BC83" s="474">
        <f>COUNTIF(ParticipationAvril1[[#This Row],[1]:[30]],Code27)</f>
        <v>0</v>
      </c>
      <c r="BD83" s="474">
        <f>COUNTIF(ParticipationAvril1[[#This Row],[1]:[30]],Code28)</f>
        <v>0</v>
      </c>
      <c r="BE83" s="474">
        <f>COUNTIF(ParticipationAvril1[[#This Row],[1]:[30]],code30)</f>
        <v>0</v>
      </c>
      <c r="BF83" s="474">
        <f>COUNTIF(ParticipationAvril1[[#This Row],[1]:[30]],Code31)</f>
        <v>0</v>
      </c>
      <c r="BG83" s="474">
        <f>COUNTIF(ParticipationAvril1[[#This Row],[1]:[30]],code21)</f>
        <v>0</v>
      </c>
      <c r="BH83" s="474">
        <f>COUNTIF(ParticipationAvril1[[#This Row],[1]:[30]],Code24)</f>
        <v>0</v>
      </c>
      <c r="BI83" s="474">
        <f>COUNTIF(ParticipationAvril1[[#This Row],[1]:[30]],code18)</f>
        <v>0</v>
      </c>
      <c r="BJ83" s="474">
        <f>COUNTIF(ParticipationAvril1[[#This Row],[1]:[30]],code19)</f>
        <v>0</v>
      </c>
      <c r="BK83" s="474">
        <f>COUNTIF(ParticipationAvril1[[#This Row],[1]:[30]],code20)</f>
        <v>0</v>
      </c>
      <c r="BL83" s="476">
        <f>COUNTIF(ParticipationAvril1[[#This Row],[1]:[30]],code29)</f>
        <v>0</v>
      </c>
      <c r="BM83" s="472"/>
      <c r="BN83" s="472">
        <v>1</v>
      </c>
      <c r="BO83" s="472"/>
      <c r="BP83" s="472"/>
      <c r="BQ83" s="472"/>
      <c r="BR83" s="472"/>
      <c r="BS83" s="472"/>
      <c r="BT83" s="472"/>
      <c r="BU83" s="472"/>
      <c r="BV83" s="472"/>
      <c r="BW83" s="472"/>
      <c r="BX83" s="472"/>
      <c r="BY83" s="472"/>
      <c r="BZ83" s="472"/>
      <c r="CA83" s="472"/>
      <c r="CB83" s="472"/>
      <c r="CC83" s="472"/>
      <c r="CD83" s="472"/>
      <c r="CE83" s="472"/>
      <c r="CF83" s="472"/>
      <c r="CG83" s="472"/>
      <c r="CH83" s="472"/>
      <c r="CI83" s="472"/>
      <c r="CJ83" s="472"/>
      <c r="CK83" s="472"/>
      <c r="CL83" s="472"/>
      <c r="CM83" s="472"/>
      <c r="CN83" s="472"/>
      <c r="CO83" s="472"/>
      <c r="CP83" s="472"/>
      <c r="CQ83" s="472"/>
      <c r="CR83" s="472"/>
      <c r="CS83" s="472"/>
      <c r="CT83" s="472"/>
      <c r="CU83" s="300"/>
      <c r="CV83" s="485">
        <f t="shared" si="7"/>
        <v>0</v>
      </c>
      <c r="CW83" s="499">
        <f t="shared" si="8"/>
        <v>3</v>
      </c>
      <c r="CX83" s="474">
        <f t="shared" si="9"/>
        <v>0</v>
      </c>
      <c r="CY83" s="477"/>
    </row>
    <row r="84" spans="1:104" ht="15" thickTop="1" thickBot="1">
      <c r="A84" s="534" t="s">
        <v>425</v>
      </c>
      <c r="B84" s="162" t="str">
        <f>IFERROR(VLOOKUP(ParticipationAvril1[[#This Row],[Référence]],ListeÉtudiants1[],18,FALSE),"")</f>
        <v>KONATE FATOUMATA</v>
      </c>
      <c r="L84" s="510"/>
      <c r="AF84" s="88"/>
      <c r="AG84" s="478"/>
      <c r="AH84" s="439">
        <f>COUNTIF(ParticipationAvril1[[#This Row],[1]:[30]],Code1)</f>
        <v>0</v>
      </c>
      <c r="AI84" s="474">
        <f>COUNTIF(ParticipationAvril1[[#This Row],[1]:[30]],code22)</f>
        <v>0</v>
      </c>
      <c r="AJ84" s="439">
        <f>COUNTIF(ParticipationAvril1[[#This Row],[1]:[30]],Code2)</f>
        <v>0</v>
      </c>
      <c r="AK84" s="439">
        <f>COUNTIF(ParticipationAvril1[[#This Row],[1]:[30]],Code3)</f>
        <v>0</v>
      </c>
      <c r="AL84" s="439">
        <f>COUNTIF(ParticipationAvril1[[#This Row],[1]:[30]],Code4)</f>
        <v>0</v>
      </c>
      <c r="AM84" s="474">
        <f>COUNTIF(ParticipationAvril1[[#This Row],[1]:[30]],Code5)</f>
        <v>0</v>
      </c>
      <c r="AN84" s="474">
        <f>COUNTIF(ParticipationAvril1[[#This Row],[1]:[30]],Code23)</f>
        <v>0</v>
      </c>
      <c r="AO84" s="474">
        <f>COUNTIF(ParticipationAvril1[[#This Row],[1]:[30]],Code6)</f>
        <v>0</v>
      </c>
      <c r="AP84" s="474">
        <f>COUNTIF(ParticipationAvril1[[#This Row],[1]:[30]],Code7)</f>
        <v>0</v>
      </c>
      <c r="AQ84" s="474">
        <f>COUNTIF(ParticipationAvril1[[#This Row],[1]:[30]],Code8)</f>
        <v>0</v>
      </c>
      <c r="AR84" s="474">
        <f>COUNTIF(ParticipationAvril1[[#This Row],[1]:[30]],Code9)</f>
        <v>0</v>
      </c>
      <c r="AS84" s="474">
        <f>COUNTIF(ParticipationAvril1[[#This Row],[1]:[30]],Code10)</f>
        <v>0</v>
      </c>
      <c r="AT84" s="474">
        <f>COUNTIF(ParticipationAvril1[[#This Row],[1]:[30]],Code11)</f>
        <v>0</v>
      </c>
      <c r="AU84" s="474">
        <f>COUNTIF(ParticipationAvril1[[#This Row],[1]:[30]],Code12)</f>
        <v>0</v>
      </c>
      <c r="AV84" s="474">
        <f>COUNTIF(ParticipationAvril1[[#This Row],[1]:[30]],Code13)</f>
        <v>0</v>
      </c>
      <c r="AW84" s="474">
        <f>COUNTIF(ParticipationAvril1[[#This Row],[1]:[30]],Code14)</f>
        <v>0</v>
      </c>
      <c r="AX84" s="474">
        <f>COUNTIF(ParticipationAvril1[[#This Row],[1]:[30]],Code16)</f>
        <v>0</v>
      </c>
      <c r="AY84" s="474">
        <f>COUNTIF(ParticipationAvril1[[#This Row],[1]:[30]],Code15)</f>
        <v>0</v>
      </c>
      <c r="AZ84" s="474">
        <f>COUNTIF(ParticipationAvril1[[#This Row],[1]:[30]],Code17)</f>
        <v>0</v>
      </c>
      <c r="BA84" s="474">
        <f>COUNTIF(ParticipationAvril1[[#This Row],[1]:[30]],Code25)</f>
        <v>0</v>
      </c>
      <c r="BB84" s="474">
        <f>COUNTIF(ParticipationAvril1[[#This Row],[1]:[30]],Code26)</f>
        <v>0</v>
      </c>
      <c r="BC84" s="474">
        <f>COUNTIF(ParticipationAvril1[[#This Row],[1]:[30]],Code27)</f>
        <v>0</v>
      </c>
      <c r="BD84" s="474">
        <f>COUNTIF(ParticipationAvril1[[#This Row],[1]:[30]],Code28)</f>
        <v>0</v>
      </c>
      <c r="BE84" s="474">
        <f>COUNTIF(ParticipationAvril1[[#This Row],[1]:[30]],code30)</f>
        <v>0</v>
      </c>
      <c r="BF84" s="474">
        <f>COUNTIF(ParticipationAvril1[[#This Row],[1]:[30]],Code31)</f>
        <v>0</v>
      </c>
      <c r="BG84" s="474">
        <f>COUNTIF(ParticipationAvril1[[#This Row],[1]:[30]],code21)</f>
        <v>0</v>
      </c>
      <c r="BH84" s="474">
        <f>COUNTIF(ParticipationAvril1[[#This Row],[1]:[30]],Code24)</f>
        <v>0</v>
      </c>
      <c r="BI84" s="474">
        <f>COUNTIF(ParticipationAvril1[[#This Row],[1]:[30]],code18)</f>
        <v>0</v>
      </c>
      <c r="BJ84" s="474">
        <f>COUNTIF(ParticipationAvril1[[#This Row],[1]:[30]],code19)</f>
        <v>0</v>
      </c>
      <c r="BK84" s="474">
        <f>COUNTIF(ParticipationAvril1[[#This Row],[1]:[30]],code20)</f>
        <v>0</v>
      </c>
      <c r="BL84" s="476">
        <f>COUNTIF(ParticipationAvril1[[#This Row],[1]:[30]],code29)</f>
        <v>0</v>
      </c>
      <c r="BM84" s="472"/>
      <c r="BN84" s="472"/>
      <c r="BO84" s="472"/>
      <c r="BP84" s="472"/>
      <c r="BQ84" s="472"/>
      <c r="BR84" s="472"/>
      <c r="BS84" s="472"/>
      <c r="BT84" s="472"/>
      <c r="BU84" s="472"/>
      <c r="BV84" s="472"/>
      <c r="BW84" s="472"/>
      <c r="BX84" s="472"/>
      <c r="BY84" s="472"/>
      <c r="BZ84" s="472"/>
      <c r="CA84" s="472"/>
      <c r="CB84" s="472"/>
      <c r="CC84" s="472"/>
      <c r="CD84" s="472"/>
      <c r="CE84" s="472"/>
      <c r="CF84" s="472"/>
      <c r="CG84" s="472"/>
      <c r="CH84" s="472"/>
      <c r="CI84" s="472"/>
      <c r="CJ84" s="472"/>
      <c r="CK84" s="472"/>
      <c r="CL84" s="472"/>
      <c r="CM84" s="472"/>
      <c r="CN84" s="472"/>
      <c r="CO84" s="472"/>
      <c r="CP84" s="472"/>
      <c r="CQ84" s="472"/>
      <c r="CR84" s="472"/>
      <c r="CS84" s="472"/>
      <c r="CT84" s="472"/>
      <c r="CU84" s="516">
        <f>SUM((AH84*1)+(AI84*1.5)+(AJ84*2)+(AK84*4)+(AP84*5)+(AQ84*6)+(AR84*7)+(AU84*2)+(AX84*3)+(AY84*4)+(AZ84*5)+(BB84*3)+(BA84*2)+(BG84*2)+(BC84*2)+(BD84*2))</f>
        <v>0</v>
      </c>
      <c r="CV84" s="555">
        <f t="shared" si="7"/>
        <v>0</v>
      </c>
      <c r="CW84" s="562">
        <f t="shared" si="8"/>
        <v>0</v>
      </c>
      <c r="CX84" s="474">
        <f t="shared" si="9"/>
        <v>0</v>
      </c>
      <c r="CY84" s="477"/>
    </row>
    <row r="85" spans="1:104" ht="15" thickTop="1" thickBot="1">
      <c r="A85" s="510" t="s">
        <v>426</v>
      </c>
      <c r="B85" s="162" t="str">
        <f>IFERROR(VLOOKUP(ParticipationAvril1[[#This Row],[Référence]],ListeÉtudiants1[],18,FALSE),"")</f>
        <v>KRIR DINA</v>
      </c>
      <c r="C85" s="19"/>
      <c r="D85" s="19"/>
      <c r="E85" s="19"/>
      <c r="F85" s="19" t="s">
        <v>108</v>
      </c>
      <c r="G85" s="19" t="s">
        <v>634</v>
      </c>
      <c r="H85" s="19" t="s">
        <v>35</v>
      </c>
      <c r="I85" s="19"/>
      <c r="J85" s="19"/>
      <c r="K85" s="19" t="s">
        <v>108</v>
      </c>
      <c r="L85" s="19" t="s">
        <v>487</v>
      </c>
      <c r="M85" s="19" t="s">
        <v>487</v>
      </c>
      <c r="N85" s="19"/>
      <c r="O85" s="19"/>
      <c r="P85" s="19"/>
      <c r="Q85" s="19"/>
      <c r="R85" s="19"/>
      <c r="S85" s="19"/>
      <c r="T85" s="19"/>
      <c r="U85" s="19"/>
      <c r="V85" s="19"/>
      <c r="W85" s="19"/>
      <c r="X85" s="19"/>
      <c r="Y85" s="19"/>
      <c r="Z85" s="19"/>
      <c r="AA85" s="19"/>
      <c r="AB85" s="19"/>
      <c r="AC85" s="19"/>
      <c r="AD85" s="19"/>
      <c r="AE85" s="19"/>
      <c r="AF85" s="19"/>
      <c r="AG85" s="441"/>
      <c r="AH85" s="6">
        <f>COUNTIF(ParticipationAvril1[[#This Row],[1]:[30]],Code1)</f>
        <v>0</v>
      </c>
      <c r="AI85" s="331">
        <f>COUNTIF(ParticipationAvril1[[#This Row],[1]:[30]],code22)</f>
        <v>0</v>
      </c>
      <c r="AJ85" s="6">
        <f>COUNTIF(ParticipationAvril1[[#This Row],[1]:[30]],Code2)</f>
        <v>0</v>
      </c>
      <c r="AK85" s="6">
        <f>COUNTIF(ParticipationAvril1[[#This Row],[1]:[30]],Code3)</f>
        <v>0</v>
      </c>
      <c r="AL85" s="6">
        <f>COUNTIF(ParticipationAvril1[[#This Row],[1]:[30]],Code4)</f>
        <v>0</v>
      </c>
      <c r="AM85" s="331">
        <f>COUNTIF(ParticipationAvril1[[#This Row],[1]:[30]],Code5)</f>
        <v>1</v>
      </c>
      <c r="AN85" s="331">
        <f>COUNTIF(ParticipationAvril1[[#This Row],[1]:[30]],Code23)</f>
        <v>0</v>
      </c>
      <c r="AO85" s="331">
        <f>COUNTIF(ParticipationAvril1[[#This Row],[1]:[30]],Code6)</f>
        <v>2</v>
      </c>
      <c r="AP85" s="331">
        <f>COUNTIF(ParticipationAvril1[[#This Row],[1]:[30]],Code7)</f>
        <v>0</v>
      </c>
      <c r="AQ85" s="331">
        <f>COUNTIF(ParticipationAvril1[[#This Row],[1]:[30]],Code8)</f>
        <v>0</v>
      </c>
      <c r="AR85" s="331">
        <f>COUNTIF(ParticipationAvril1[[#This Row],[1]:[30]],Code9)</f>
        <v>0</v>
      </c>
      <c r="AS85" s="331">
        <f>COUNTIF(ParticipationAvril1[[#This Row],[1]:[30]],Code10)</f>
        <v>0</v>
      </c>
      <c r="AT85" s="331">
        <f>COUNTIF(ParticipationAvril1[[#This Row],[1]:[30]],Code11)</f>
        <v>0</v>
      </c>
      <c r="AU85" s="331">
        <f>COUNTIF(ParticipationAvril1[[#This Row],[1]:[30]],Code12)</f>
        <v>2</v>
      </c>
      <c r="AV85" s="331">
        <f>COUNTIF(ParticipationAvril1[[#This Row],[1]:[30]],Code13)</f>
        <v>0</v>
      </c>
      <c r="AW85" s="331">
        <f>COUNTIF(ParticipationAvril1[[#This Row],[1]:[30]],Code14)</f>
        <v>0</v>
      </c>
      <c r="AX85" s="331">
        <f>COUNTIF(ParticipationAvril1[[#This Row],[1]:[30]],Code16)</f>
        <v>0</v>
      </c>
      <c r="AY85" s="331">
        <f>COUNTIF(ParticipationAvril1[[#This Row],[1]:[30]],Code15)</f>
        <v>0</v>
      </c>
      <c r="AZ85" s="331">
        <f>COUNTIF(ParticipationAvril1[[#This Row],[1]:[30]],Code17)</f>
        <v>0</v>
      </c>
      <c r="BA85" s="331">
        <f>COUNTIF(ParticipationAvril1[[#This Row],[1]:[30]],Code25)</f>
        <v>0</v>
      </c>
      <c r="BB85" s="331">
        <f>COUNTIF(ParticipationAvril1[[#This Row],[1]:[30]],Code26)</f>
        <v>0</v>
      </c>
      <c r="BC85" s="435">
        <f>COUNTIF(ParticipationAvril1[[#This Row],[1]:[30]],Code27)</f>
        <v>0</v>
      </c>
      <c r="BD85" s="331">
        <f>COUNTIF(ParticipationAvril1[[#This Row],[1]:[30]],Code28)</f>
        <v>0</v>
      </c>
      <c r="BE85" s="331">
        <f>COUNTIF(ParticipationAvril1[[#This Row],[1]:[30]],code30)</f>
        <v>0</v>
      </c>
      <c r="BF85" s="331">
        <f>COUNTIF(ParticipationAvril1[[#This Row],[1]:[30]],Code31)</f>
        <v>0</v>
      </c>
      <c r="BG85" s="331">
        <f>COUNTIF(ParticipationAvril1[[#This Row],[1]:[30]],code21)</f>
        <v>0</v>
      </c>
      <c r="BH85" s="331">
        <f>COUNTIF(ParticipationAvril1[[#This Row],[1]:[30]],Code24)</f>
        <v>0</v>
      </c>
      <c r="BI85" s="331">
        <f>COUNTIF(ParticipationAvril1[[#This Row],[1]:[30]],code18)</f>
        <v>0</v>
      </c>
      <c r="BJ85" s="331">
        <f>COUNTIF(ParticipationAvril1[[#This Row],[1]:[30]],code19)</f>
        <v>0</v>
      </c>
      <c r="BK85" s="331">
        <f>COUNTIF(ParticipationAvril1[[#This Row],[1]:[30]],code20)</f>
        <v>0</v>
      </c>
      <c r="BL85" s="436">
        <f>COUNTIF(ParticipationAvril1[[#This Row],[1]:[30]],code29)</f>
        <v>1</v>
      </c>
      <c r="BM85" s="297"/>
      <c r="BN85" s="297">
        <v>2</v>
      </c>
      <c r="BO85" s="297"/>
      <c r="BP85" s="297"/>
      <c r="BQ85" s="297"/>
      <c r="BR85" s="297"/>
      <c r="BS85" s="297"/>
      <c r="BT85" s="297">
        <v>4</v>
      </c>
      <c r="BU85" s="297"/>
      <c r="BV85" s="297"/>
      <c r="BW85" s="297"/>
      <c r="BX85" s="297">
        <v>1</v>
      </c>
      <c r="BY85" s="297"/>
      <c r="BZ85" s="297"/>
      <c r="CA85" s="297"/>
      <c r="CB85" s="297"/>
      <c r="CC85" s="297"/>
      <c r="CD85" s="297"/>
      <c r="CE85" s="297"/>
      <c r="CF85" s="297"/>
      <c r="CG85" s="297"/>
      <c r="CH85" s="297"/>
      <c r="CI85" s="297"/>
      <c r="CJ85" s="297"/>
      <c r="CK85" s="297"/>
      <c r="CL85" s="297"/>
      <c r="CM85" s="297"/>
      <c r="CN85" s="297"/>
      <c r="CO85" s="297"/>
      <c r="CP85" s="297"/>
      <c r="CQ85" s="297"/>
      <c r="CR85" s="297"/>
      <c r="CS85" s="307"/>
      <c r="CT85" s="307"/>
      <c r="CU85" s="300"/>
      <c r="CV85" s="485">
        <f t="shared" si="7"/>
        <v>0</v>
      </c>
      <c r="CW85" s="499">
        <f t="shared" si="8"/>
        <v>20</v>
      </c>
      <c r="CX85" s="331">
        <f t="shared" si="9"/>
        <v>3</v>
      </c>
      <c r="CY85" s="438"/>
    </row>
    <row r="86" spans="1:104" ht="15" thickTop="1" thickBot="1">
      <c r="A86" s="510" t="s">
        <v>427</v>
      </c>
      <c r="B86" s="162" t="str">
        <f>IFERROR(VLOOKUP(ParticipationAvril1[[#This Row],[Référence]],ListeÉtudiants1[],18,FALSE),"")</f>
        <v>LACROIX LORRY</v>
      </c>
      <c r="C86" s="19"/>
      <c r="D86" s="19"/>
      <c r="E86" s="19"/>
      <c r="F86" s="19" t="s">
        <v>108</v>
      </c>
      <c r="G86" s="19"/>
      <c r="H86" s="19" t="s">
        <v>35</v>
      </c>
      <c r="I86" s="19"/>
      <c r="J86" s="19"/>
      <c r="K86" s="19" t="s">
        <v>108</v>
      </c>
      <c r="L86" s="19" t="s">
        <v>108</v>
      </c>
      <c r="M86" s="19" t="s">
        <v>108</v>
      </c>
      <c r="N86" s="19"/>
      <c r="O86" s="19"/>
      <c r="P86" s="19"/>
      <c r="Q86" s="19"/>
      <c r="R86" s="19"/>
      <c r="S86" s="19"/>
      <c r="T86" s="19"/>
      <c r="U86" s="19"/>
      <c r="V86" s="19"/>
      <c r="W86" s="19"/>
      <c r="X86" s="19"/>
      <c r="Y86" s="19"/>
      <c r="Z86" s="19"/>
      <c r="AA86" s="19"/>
      <c r="AB86" s="19"/>
      <c r="AC86" s="19"/>
      <c r="AD86" s="19"/>
      <c r="AE86" s="19"/>
      <c r="AF86" s="19"/>
      <c r="AG86" s="441"/>
      <c r="AH86" s="6">
        <f>COUNTIF(ParticipationAvril1[[#This Row],[1]:[30]],Code1)</f>
        <v>0</v>
      </c>
      <c r="AI86" s="331">
        <f>COUNTIF(ParticipationAvril1[[#This Row],[1]:[30]],code22)</f>
        <v>0</v>
      </c>
      <c r="AJ86" s="6">
        <f>COUNTIF(ParticipationAvril1[[#This Row],[1]:[30]],Code2)</f>
        <v>0</v>
      </c>
      <c r="AK86" s="6">
        <f>COUNTIF(ParticipationAvril1[[#This Row],[1]:[30]],Code3)</f>
        <v>0</v>
      </c>
      <c r="AL86" s="6">
        <f>COUNTIF(ParticipationAvril1[[#This Row],[1]:[30]],Code4)</f>
        <v>0</v>
      </c>
      <c r="AM86" s="331">
        <f>COUNTIF(ParticipationAvril1[[#This Row],[1]:[30]],Code5)</f>
        <v>1</v>
      </c>
      <c r="AN86" s="331">
        <f>COUNTIF(ParticipationAvril1[[#This Row],[1]:[30]],Code23)</f>
        <v>0</v>
      </c>
      <c r="AO86" s="331">
        <f>COUNTIF(ParticipationAvril1[[#This Row],[1]:[30]],Code6)</f>
        <v>4</v>
      </c>
      <c r="AP86" s="331">
        <f>COUNTIF(ParticipationAvril1[[#This Row],[1]:[30]],Code7)</f>
        <v>0</v>
      </c>
      <c r="AQ86" s="331">
        <f>COUNTIF(ParticipationAvril1[[#This Row],[1]:[30]],Code8)</f>
        <v>0</v>
      </c>
      <c r="AR86" s="331">
        <f>COUNTIF(ParticipationAvril1[[#This Row],[1]:[30]],Code9)</f>
        <v>0</v>
      </c>
      <c r="AS86" s="331">
        <f>COUNTIF(ParticipationAvril1[[#This Row],[1]:[30]],Code10)</f>
        <v>0</v>
      </c>
      <c r="AT86" s="331">
        <f>COUNTIF(ParticipationAvril1[[#This Row],[1]:[30]],Code11)</f>
        <v>0</v>
      </c>
      <c r="AU86" s="331">
        <f>COUNTIF(ParticipationAvril1[[#This Row],[1]:[30]],Code12)</f>
        <v>0</v>
      </c>
      <c r="AV86" s="331">
        <f>COUNTIF(ParticipationAvril1[[#This Row],[1]:[30]],Code13)</f>
        <v>0</v>
      </c>
      <c r="AW86" s="331">
        <f>COUNTIF(ParticipationAvril1[[#This Row],[1]:[30]],Code14)</f>
        <v>0</v>
      </c>
      <c r="AX86" s="331">
        <f>COUNTIF(ParticipationAvril1[[#This Row],[1]:[30]],Code16)</f>
        <v>0</v>
      </c>
      <c r="AY86" s="331">
        <f>COUNTIF(ParticipationAvril1[[#This Row],[1]:[30]],Code15)</f>
        <v>0</v>
      </c>
      <c r="AZ86" s="331">
        <f>COUNTIF(ParticipationAvril1[[#This Row],[1]:[30]],Code17)</f>
        <v>0</v>
      </c>
      <c r="BA86" s="331">
        <f>COUNTIF(ParticipationAvril1[[#This Row],[1]:[30]],Code25)</f>
        <v>0</v>
      </c>
      <c r="BB86" s="331">
        <f>COUNTIF(ParticipationAvril1[[#This Row],[1]:[30]],Code26)</f>
        <v>0</v>
      </c>
      <c r="BC86" s="435">
        <f>COUNTIF(ParticipationAvril1[[#This Row],[1]:[30]],Code27)</f>
        <v>0</v>
      </c>
      <c r="BD86" s="331">
        <f>COUNTIF(ParticipationAvril1[[#This Row],[1]:[30]],Code28)</f>
        <v>0</v>
      </c>
      <c r="BE86" s="331">
        <f>COUNTIF(ParticipationAvril1[[#This Row],[1]:[30]],code30)</f>
        <v>0</v>
      </c>
      <c r="BF86" s="331">
        <f>COUNTIF(ParticipationAvril1[[#This Row],[1]:[30]],Code31)</f>
        <v>0</v>
      </c>
      <c r="BG86" s="331">
        <f>COUNTIF(ParticipationAvril1[[#This Row],[1]:[30]],code21)</f>
        <v>0</v>
      </c>
      <c r="BH86" s="331">
        <f>COUNTIF(ParticipationAvril1[[#This Row],[1]:[30]],Code24)</f>
        <v>0</v>
      </c>
      <c r="BI86" s="331">
        <f>COUNTIF(ParticipationAvril1[[#This Row],[1]:[30]],code18)</f>
        <v>0</v>
      </c>
      <c r="BJ86" s="331">
        <f>COUNTIF(ParticipationAvril1[[#This Row],[1]:[30]],code19)</f>
        <v>0</v>
      </c>
      <c r="BK86" s="331">
        <f>COUNTIF(ParticipationAvril1[[#This Row],[1]:[30]],code20)</f>
        <v>0</v>
      </c>
      <c r="BL86" s="436">
        <f>COUNTIF(ParticipationAvril1[[#This Row],[1]:[30]],code29)</f>
        <v>0</v>
      </c>
      <c r="BM86" s="297"/>
      <c r="BN86" s="297">
        <v>1</v>
      </c>
      <c r="BO86" s="297"/>
      <c r="BP86" s="297"/>
      <c r="BQ86" s="297"/>
      <c r="BR86" s="297"/>
      <c r="BS86" s="297"/>
      <c r="BT86" s="297">
        <v>3</v>
      </c>
      <c r="BU86" s="297"/>
      <c r="BV86" s="297"/>
      <c r="BW86" s="297"/>
      <c r="BX86" s="297">
        <v>1</v>
      </c>
      <c r="BY86" s="297"/>
      <c r="BZ86" s="297"/>
      <c r="CA86" s="297"/>
      <c r="CB86" s="297"/>
      <c r="CC86" s="297"/>
      <c r="CD86" s="297"/>
      <c r="CE86" s="297"/>
      <c r="CF86" s="297"/>
      <c r="CG86" s="297"/>
      <c r="CH86" s="297"/>
      <c r="CI86" s="297"/>
      <c r="CJ86" s="297"/>
      <c r="CK86" s="297"/>
      <c r="CL86" s="297"/>
      <c r="CM86" s="297"/>
      <c r="CN86" s="297"/>
      <c r="CO86" s="297"/>
      <c r="CP86" s="297"/>
      <c r="CQ86" s="297"/>
      <c r="CR86" s="297"/>
      <c r="CS86" s="307"/>
      <c r="CT86" s="307"/>
      <c r="CU86" s="300"/>
      <c r="CV86" s="485">
        <f t="shared" si="7"/>
        <v>0</v>
      </c>
      <c r="CW86" s="499">
        <f t="shared" si="8"/>
        <v>14</v>
      </c>
      <c r="CX86" s="331">
        <f t="shared" si="9"/>
        <v>0</v>
      </c>
      <c r="CY86" s="438"/>
    </row>
    <row r="87" spans="1:104" ht="15" thickTop="1" thickBot="1">
      <c r="A87" s="534" t="s">
        <v>428</v>
      </c>
      <c r="B87" s="162" t="str">
        <f>IFERROR(VLOOKUP(ParticipationAvril1[[#This Row],[Référence]],ListeÉtudiants1[],18,FALSE),"")</f>
        <v>LADERVAL TATIANA</v>
      </c>
      <c r="G87" s="510" t="s">
        <v>105</v>
      </c>
      <c r="AF87" s="482"/>
      <c r="AG87" s="560"/>
      <c r="AH87" s="439">
        <f>COUNTIF(ParticipationAvril1[[#This Row],[1]:[30]],Code1)</f>
        <v>0</v>
      </c>
      <c r="AI87" s="435">
        <f>COUNTIF(ParticipationAvril1[[#This Row],[1]:[30]],code22)</f>
        <v>0</v>
      </c>
      <c r="AJ87" s="439">
        <f>COUNTIF(ParticipationAvril1[[#This Row],[1]:[30]],Code2)</f>
        <v>1</v>
      </c>
      <c r="AK87" s="439">
        <f>COUNTIF(ParticipationAvril1[[#This Row],[1]:[30]],Code3)</f>
        <v>0</v>
      </c>
      <c r="AL87" s="439">
        <f>COUNTIF(ParticipationAvril1[[#This Row],[1]:[30]],Code4)</f>
        <v>0</v>
      </c>
      <c r="AM87" s="435">
        <f>COUNTIF(ParticipationAvril1[[#This Row],[1]:[30]],Code5)</f>
        <v>0</v>
      </c>
      <c r="AN87" s="435">
        <f>COUNTIF(ParticipationAvril1[[#This Row],[1]:[30]],Code23)</f>
        <v>0</v>
      </c>
      <c r="AO87" s="435">
        <f>COUNTIF(ParticipationAvril1[[#This Row],[1]:[30]],Code6)</f>
        <v>0</v>
      </c>
      <c r="AP87" s="435">
        <f>COUNTIF(ParticipationAvril1[[#This Row],[1]:[30]],Code7)</f>
        <v>0</v>
      </c>
      <c r="AQ87" s="435">
        <f>COUNTIF(ParticipationAvril1[[#This Row],[1]:[30]],Code8)</f>
        <v>0</v>
      </c>
      <c r="AR87" s="435">
        <f>COUNTIF(ParticipationAvril1[[#This Row],[1]:[30]],Code9)</f>
        <v>0</v>
      </c>
      <c r="AS87" s="435">
        <f>COUNTIF(ParticipationAvril1[[#This Row],[1]:[30]],Code10)</f>
        <v>0</v>
      </c>
      <c r="AT87" s="435">
        <f>COUNTIF(ParticipationAvril1[[#This Row],[1]:[30]],Code11)</f>
        <v>0</v>
      </c>
      <c r="AU87" s="435">
        <f>COUNTIF(ParticipationAvril1[[#This Row],[1]:[30]],Code12)</f>
        <v>0</v>
      </c>
      <c r="AV87" s="435">
        <f>COUNTIF(ParticipationAvril1[[#This Row],[1]:[30]],Code13)</f>
        <v>0</v>
      </c>
      <c r="AW87" s="435">
        <f>COUNTIF(ParticipationAvril1[[#This Row],[1]:[30]],Code14)</f>
        <v>0</v>
      </c>
      <c r="AX87" s="435">
        <f>COUNTIF(ParticipationAvril1[[#This Row],[1]:[30]],Code16)</f>
        <v>0</v>
      </c>
      <c r="AY87" s="435">
        <f>COUNTIF(ParticipationAvril1[[#This Row],[1]:[30]],Code15)</f>
        <v>0</v>
      </c>
      <c r="AZ87" s="435">
        <f>COUNTIF(ParticipationAvril1[[#This Row],[1]:[30]],Code17)</f>
        <v>0</v>
      </c>
      <c r="BA87" s="435">
        <f>COUNTIF(ParticipationAvril1[[#This Row],[1]:[30]],Code25)</f>
        <v>0</v>
      </c>
      <c r="BB87" s="435">
        <f>COUNTIF(ParticipationAvril1[[#This Row],[1]:[30]],Code26)</f>
        <v>0</v>
      </c>
      <c r="BC87" s="435">
        <f>COUNTIF(ParticipationAvril1[[#This Row],[1]:[30]],Code27)</f>
        <v>0</v>
      </c>
      <c r="BD87" s="435">
        <f>COUNTIF(ParticipationAvril1[[#This Row],[1]:[30]],Code28)</f>
        <v>0</v>
      </c>
      <c r="BE87" s="435">
        <f>COUNTIF(ParticipationAvril1[[#This Row],[1]:[30]],code30)</f>
        <v>0</v>
      </c>
      <c r="BF87" s="435">
        <f>COUNTIF(ParticipationAvril1[[#This Row],[1]:[30]],Code31)</f>
        <v>0</v>
      </c>
      <c r="BG87" s="435">
        <f>COUNTIF(ParticipationAvril1[[#This Row],[1]:[30]],code21)</f>
        <v>0</v>
      </c>
      <c r="BH87" s="435">
        <f>COUNTIF(ParticipationAvril1[[#This Row],[1]:[30]],Code24)</f>
        <v>0</v>
      </c>
      <c r="BI87" s="435">
        <f>COUNTIF(ParticipationAvril1[[#This Row],[1]:[30]],code18)</f>
        <v>0</v>
      </c>
      <c r="BJ87" s="435">
        <f>COUNTIF(ParticipationAvril1[[#This Row],[1]:[30]],code19)</f>
        <v>0</v>
      </c>
      <c r="BK87" s="435">
        <f>COUNTIF(ParticipationAvril1[[#This Row],[1]:[30]],code20)</f>
        <v>0</v>
      </c>
      <c r="BL87" s="436">
        <f>COUNTIF(ParticipationAvril1[[#This Row],[1]:[30]],code29)</f>
        <v>0</v>
      </c>
      <c r="BM87" s="297"/>
      <c r="BN87" s="297"/>
      <c r="BO87" s="297"/>
      <c r="BP87" s="297"/>
      <c r="BQ87" s="297"/>
      <c r="BR87" s="297"/>
      <c r="BS87" s="297"/>
      <c r="BT87" s="297"/>
      <c r="BU87" s="297"/>
      <c r="BV87" s="297"/>
      <c r="BW87" s="297"/>
      <c r="BX87" s="297"/>
      <c r="BY87" s="297"/>
      <c r="BZ87" s="297"/>
      <c r="CA87" s="297"/>
      <c r="CB87" s="297"/>
      <c r="CC87" s="297"/>
      <c r="CD87" s="297"/>
      <c r="CE87" s="297"/>
      <c r="CF87" s="297"/>
      <c r="CG87" s="297"/>
      <c r="CH87" s="297"/>
      <c r="CI87" s="297"/>
      <c r="CJ87" s="297"/>
      <c r="CK87" s="297">
        <v>1</v>
      </c>
      <c r="CL87" s="297"/>
      <c r="CM87" s="297"/>
      <c r="CN87" s="297"/>
      <c r="CO87" s="297"/>
      <c r="CP87" s="297"/>
      <c r="CQ87" s="297"/>
      <c r="CR87" s="297"/>
      <c r="CS87" s="297"/>
      <c r="CT87" s="297"/>
      <c r="CU87" s="561"/>
      <c r="CV87" s="485">
        <f t="shared" si="7"/>
        <v>2</v>
      </c>
      <c r="CW87" s="563">
        <f t="shared" si="8"/>
        <v>0</v>
      </c>
      <c r="CX87" s="435">
        <f t="shared" si="9"/>
        <v>0</v>
      </c>
      <c r="CY87" s="438"/>
    </row>
    <row r="88" spans="1:104" ht="15" thickTop="1" thickBot="1">
      <c r="A88" s="510" t="s">
        <v>429</v>
      </c>
      <c r="B88" s="162" t="str">
        <f>IFERROR(VLOOKUP(ParticipationAvril1[[#This Row],[Référence]],ListeÉtudiants1[],18,FALSE),"")</f>
        <v>LALARDIE EMMANUELLE</v>
      </c>
      <c r="C88" s="19"/>
      <c r="D88" s="19"/>
      <c r="E88" s="19" t="s">
        <v>527</v>
      </c>
      <c r="F88" s="19"/>
      <c r="G88" s="19"/>
      <c r="H88" s="19"/>
      <c r="I88" s="19"/>
      <c r="J88" s="19"/>
      <c r="K88" s="19"/>
      <c r="L88" s="19" t="s">
        <v>108</v>
      </c>
      <c r="M88" s="19"/>
      <c r="N88" s="19"/>
      <c r="O88" s="19"/>
      <c r="P88" s="19"/>
      <c r="Q88" s="19"/>
      <c r="R88" s="19"/>
      <c r="S88" s="19"/>
      <c r="T88" s="19"/>
      <c r="U88" s="19"/>
      <c r="V88" s="19"/>
      <c r="W88" s="19"/>
      <c r="X88" s="19"/>
      <c r="Y88" s="19"/>
      <c r="Z88" s="19"/>
      <c r="AA88" s="19"/>
      <c r="AB88" s="19"/>
      <c r="AC88" s="19"/>
      <c r="AD88" s="19"/>
      <c r="AE88" s="19"/>
      <c r="AF88" s="19"/>
      <c r="AG88" s="144"/>
      <c r="AH88" s="6">
        <f>COUNTIF(ParticipationAvril1[[#This Row],[1]:[30]],Code1)</f>
        <v>0</v>
      </c>
      <c r="AI88" s="6">
        <f>COUNTIF(ParticipationAvril1[[#This Row],[1]:[30]],code22)</f>
        <v>1</v>
      </c>
      <c r="AJ88" s="6">
        <f>COUNTIF(ParticipationAvril1[[#This Row],[1]:[30]],Code2)</f>
        <v>0</v>
      </c>
      <c r="AK88" s="6">
        <f>COUNTIF(ParticipationAvril1[[#This Row],[1]:[30]],Code3)</f>
        <v>0</v>
      </c>
      <c r="AL88" s="6">
        <f>COUNTIF(ParticipationAvril1[[#This Row],[1]:[30]],Code4)</f>
        <v>0</v>
      </c>
      <c r="AM88" s="6">
        <f>COUNTIF(ParticipationAvril1[[#This Row],[1]:[30]],Code5)</f>
        <v>0</v>
      </c>
      <c r="AN88" s="6">
        <f>COUNTIF(ParticipationAvril1[[#This Row],[1]:[30]],Code23)</f>
        <v>0</v>
      </c>
      <c r="AO88" s="6">
        <f>COUNTIF(ParticipationAvril1[[#This Row],[1]:[30]],Code6)</f>
        <v>1</v>
      </c>
      <c r="AP88" s="6">
        <f>COUNTIF(ParticipationAvril1[[#This Row],[1]:[30]],Code7)</f>
        <v>0</v>
      </c>
      <c r="AQ88" s="6">
        <f>COUNTIF(ParticipationAvril1[[#This Row],[1]:[30]],Code8)</f>
        <v>0</v>
      </c>
      <c r="AR88" s="6">
        <f>COUNTIF(ParticipationAvril1[[#This Row],[1]:[30]],Code9)</f>
        <v>0</v>
      </c>
      <c r="AS88" s="6">
        <f>COUNTIF(ParticipationAvril1[[#This Row],[1]:[30]],Code10)</f>
        <v>0</v>
      </c>
      <c r="AT88" s="6">
        <f>COUNTIF(ParticipationAvril1[[#This Row],[1]:[30]],Code11)</f>
        <v>0</v>
      </c>
      <c r="AU88" s="6">
        <f>COUNTIF(ParticipationAvril1[[#This Row],[1]:[30]],Code12)</f>
        <v>0</v>
      </c>
      <c r="AV88" s="6">
        <f>COUNTIF(ParticipationAvril1[[#This Row],[1]:[30]],Code13)</f>
        <v>0</v>
      </c>
      <c r="AW88" s="6">
        <f>COUNTIF(ParticipationAvril1[[#This Row],[1]:[30]],Code14)</f>
        <v>0</v>
      </c>
      <c r="AX88" s="6">
        <f>COUNTIF(ParticipationAvril1[[#This Row],[1]:[30]],Code16)</f>
        <v>0</v>
      </c>
      <c r="AY88" s="6">
        <f>COUNTIF(ParticipationAvril1[[#This Row],[1]:[30]],Code15)</f>
        <v>0</v>
      </c>
      <c r="AZ88" s="6">
        <f>COUNTIF(ParticipationAvril1[[#This Row],[1]:[30]],Code17)</f>
        <v>0</v>
      </c>
      <c r="BA88" s="6">
        <f>COUNTIF(ParticipationAvril1[[#This Row],[1]:[30]],Code25)</f>
        <v>0</v>
      </c>
      <c r="BB88" s="6">
        <f>COUNTIF(ParticipationAvril1[[#This Row],[1]:[30]],Code26)</f>
        <v>0</v>
      </c>
      <c r="BC88" s="432">
        <f>COUNTIF(ParticipationAvril1[[#This Row],[1]:[30]],Code27)</f>
        <v>0</v>
      </c>
      <c r="BD88" s="6">
        <f>COUNTIF(ParticipationAvril1[[#This Row],[1]:[30]],Code28)</f>
        <v>0</v>
      </c>
      <c r="BE88" s="6">
        <f>COUNTIF(ParticipationAvril1[[#This Row],[1]:[30]],code30)</f>
        <v>0</v>
      </c>
      <c r="BF88" s="6">
        <f>COUNTIF(ParticipationAvril1[[#This Row],[1]:[30]],Code31)</f>
        <v>0</v>
      </c>
      <c r="BG88" s="6">
        <f>COUNTIF(ParticipationAvril1[[#This Row],[1]:[30]],code21)</f>
        <v>0</v>
      </c>
      <c r="BH88" s="6">
        <f>COUNTIF(ParticipationAvril1[[#This Row],[1]:[30]],Code24)</f>
        <v>0</v>
      </c>
      <c r="BI88" s="6">
        <f>COUNTIF(ParticipationAvril1[[#This Row],[1]:[30]],code18)</f>
        <v>0</v>
      </c>
      <c r="BJ88" s="6">
        <f>COUNTIF(ParticipationAvril1[[#This Row],[1]:[30]],code19)</f>
        <v>0</v>
      </c>
      <c r="BK88" s="6">
        <f>COUNTIF(ParticipationAvril1[[#This Row],[1]:[30]],code20)</f>
        <v>0</v>
      </c>
      <c r="BL88" s="182">
        <f>COUNTIF(ParticipationAvril1[[#This Row],[1]:[30]],code29)</f>
        <v>0</v>
      </c>
      <c r="BM88" s="297"/>
      <c r="BN88" s="297">
        <v>1</v>
      </c>
      <c r="BO88" s="297"/>
      <c r="BP88" s="297"/>
      <c r="BQ88" s="297"/>
      <c r="BR88" s="297"/>
      <c r="BS88" s="297"/>
      <c r="BT88" s="297"/>
      <c r="BU88" s="297"/>
      <c r="BV88" s="297"/>
      <c r="BW88" s="297"/>
      <c r="BX88" s="297"/>
      <c r="BY88" s="297"/>
      <c r="BZ88" s="297">
        <v>1</v>
      </c>
      <c r="CA88" s="297"/>
      <c r="CB88" s="297"/>
      <c r="CC88" s="297"/>
      <c r="CD88" s="297"/>
      <c r="CE88" s="297"/>
      <c r="CF88" s="297"/>
      <c r="CG88" s="297"/>
      <c r="CH88" s="297"/>
      <c r="CI88" s="297"/>
      <c r="CJ88" s="297"/>
      <c r="CK88" s="297"/>
      <c r="CL88" s="297"/>
      <c r="CM88" s="297"/>
      <c r="CN88" s="297"/>
      <c r="CO88" s="297"/>
      <c r="CP88" s="297"/>
      <c r="CQ88" s="297"/>
      <c r="CR88" s="297"/>
      <c r="CS88" s="307"/>
      <c r="CT88" s="307"/>
      <c r="CU88" s="300"/>
      <c r="CV88" s="485">
        <f t="shared" si="7"/>
        <v>1.5</v>
      </c>
      <c r="CW88" s="499">
        <f t="shared" si="8"/>
        <v>3</v>
      </c>
      <c r="CX88" s="6">
        <f t="shared" si="9"/>
        <v>0</v>
      </c>
      <c r="CY88" s="179">
        <f>SUM((BI88*7)+(BJ88*10)+(BK88*12))</f>
        <v>0</v>
      </c>
    </row>
    <row r="89" spans="1:104" ht="15" thickTop="1" thickBot="1">
      <c r="A89" s="535" t="s">
        <v>430</v>
      </c>
      <c r="B89" s="162" t="str">
        <f>IFERROR(VLOOKUP(ParticipationAvril1[[#This Row],[Référence]],ListeÉtudiants1[],18,FALSE),"")</f>
        <v/>
      </c>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558"/>
      <c r="AG89" s="484"/>
      <c r="AH89" s="6">
        <f>COUNTIF(ParticipationAvril1[[#This Row],[1]:[30]],Code1)</f>
        <v>0</v>
      </c>
      <c r="AI89" s="475">
        <f>COUNTIF(ParticipationAvril1[[#This Row],[1]:[30]],code22)</f>
        <v>0</v>
      </c>
      <c r="AJ89" s="6">
        <f>COUNTIF(ParticipationAvril1[[#This Row],[1]:[30]],Code2)</f>
        <v>0</v>
      </c>
      <c r="AK89" s="6">
        <f>COUNTIF(ParticipationAvril1[[#This Row],[1]:[30]],Code3)</f>
        <v>0</v>
      </c>
      <c r="AL89" s="6">
        <f>COUNTIF(ParticipationAvril1[[#This Row],[1]:[30]],Code4)</f>
        <v>0</v>
      </c>
      <c r="AM89" s="475">
        <f>COUNTIF(ParticipationAvril1[[#This Row],[1]:[30]],Code5)</f>
        <v>0</v>
      </c>
      <c r="AN89" s="475">
        <f>COUNTIF(ParticipationAvril1[[#This Row],[1]:[30]],Code23)</f>
        <v>0</v>
      </c>
      <c r="AO89" s="475">
        <f>COUNTIF(ParticipationAvril1[[#This Row],[1]:[30]],Code6)</f>
        <v>0</v>
      </c>
      <c r="AP89" s="475">
        <f>COUNTIF(ParticipationAvril1[[#This Row],[1]:[30]],Code7)</f>
        <v>0</v>
      </c>
      <c r="AQ89" s="475">
        <f>COUNTIF(ParticipationAvril1[[#This Row],[1]:[30]],Code8)</f>
        <v>0</v>
      </c>
      <c r="AR89" s="475">
        <f>COUNTIF(ParticipationAvril1[[#This Row],[1]:[30]],Code9)</f>
        <v>0</v>
      </c>
      <c r="AS89" s="475">
        <f>COUNTIF(ParticipationAvril1[[#This Row],[1]:[30]],Code10)</f>
        <v>0</v>
      </c>
      <c r="AT89" s="475">
        <f>COUNTIF(ParticipationAvril1[[#This Row],[1]:[30]],Code11)</f>
        <v>0</v>
      </c>
      <c r="AU89" s="475">
        <f>COUNTIF(ParticipationAvril1[[#This Row],[1]:[30]],Code12)</f>
        <v>0</v>
      </c>
      <c r="AV89" s="475">
        <f>COUNTIF(ParticipationAvril1[[#This Row],[1]:[30]],Code13)</f>
        <v>0</v>
      </c>
      <c r="AW89" s="475">
        <f>COUNTIF(ParticipationAvril1[[#This Row],[1]:[30]],Code14)</f>
        <v>0</v>
      </c>
      <c r="AX89" s="475">
        <f>COUNTIF(ParticipationAvril1[[#This Row],[1]:[30]],Code16)</f>
        <v>0</v>
      </c>
      <c r="AY89" s="475">
        <f>COUNTIF(ParticipationAvril1[[#This Row],[1]:[30]],Code15)</f>
        <v>0</v>
      </c>
      <c r="AZ89" s="475">
        <f>COUNTIF(ParticipationAvril1[[#This Row],[1]:[30]],Code17)</f>
        <v>0</v>
      </c>
      <c r="BA89" s="475">
        <f>COUNTIF(ParticipationAvril1[[#This Row],[1]:[30]],Code25)</f>
        <v>0</v>
      </c>
      <c r="BB89" s="475">
        <f>COUNTIF(ParticipationAvril1[[#This Row],[1]:[30]],Code26)</f>
        <v>0</v>
      </c>
      <c r="BC89" s="474">
        <f>COUNTIF(ParticipationAvril1[[#This Row],[1]:[30]],Code27)</f>
        <v>0</v>
      </c>
      <c r="BD89" s="475">
        <f>COUNTIF(ParticipationAvril1[[#This Row],[1]:[30]],Code28)</f>
        <v>0</v>
      </c>
      <c r="BE89" s="475">
        <f>COUNTIF(ParticipationAvril1[[#This Row],[1]:[30]],code30)</f>
        <v>0</v>
      </c>
      <c r="BF89" s="475">
        <f>COUNTIF(ParticipationAvril1[[#This Row],[1]:[30]],Code31)</f>
        <v>0</v>
      </c>
      <c r="BG89" s="475">
        <f>COUNTIF(ParticipationAvril1[[#This Row],[1]:[30]],code21)</f>
        <v>0</v>
      </c>
      <c r="BH89" s="475">
        <f>COUNTIF(ParticipationAvril1[[#This Row],[1]:[30]],Code24)</f>
        <v>0</v>
      </c>
      <c r="BI89" s="475">
        <f>COUNTIF(ParticipationAvril1[[#This Row],[1]:[30]],code18)</f>
        <v>0</v>
      </c>
      <c r="BJ89" s="475">
        <f>COUNTIF(ParticipationAvril1[[#This Row],[1]:[30]],code19)</f>
        <v>0</v>
      </c>
      <c r="BK89" s="475">
        <f>COUNTIF(ParticipationAvril1[[#This Row],[1]:[30]],code20)</f>
        <v>0</v>
      </c>
      <c r="BL89" s="476">
        <f>COUNTIF(ParticipationAvril1[[#This Row],[1]:[30]],code29)</f>
        <v>0</v>
      </c>
      <c r="BM89" s="472"/>
      <c r="BN89" s="472"/>
      <c r="BO89" s="472"/>
      <c r="BP89" s="472"/>
      <c r="BQ89" s="472"/>
      <c r="BR89" s="472"/>
      <c r="BS89" s="472"/>
      <c r="BT89" s="472"/>
      <c r="BU89" s="472"/>
      <c r="BV89" s="472"/>
      <c r="BW89" s="472"/>
      <c r="BX89" s="472"/>
      <c r="BY89" s="472"/>
      <c r="BZ89" s="472"/>
      <c r="CA89" s="472"/>
      <c r="CB89" s="472"/>
      <c r="CC89" s="472"/>
      <c r="CD89" s="472"/>
      <c r="CE89" s="472"/>
      <c r="CF89" s="472"/>
      <c r="CG89" s="472"/>
      <c r="CH89" s="472"/>
      <c r="CI89" s="472"/>
      <c r="CJ89" s="472"/>
      <c r="CK89" s="472"/>
      <c r="CL89" s="472"/>
      <c r="CM89" s="472"/>
      <c r="CN89" s="472"/>
      <c r="CO89" s="472"/>
      <c r="CP89" s="472"/>
      <c r="CQ89" s="472"/>
      <c r="CR89" s="472"/>
      <c r="CS89" s="473"/>
      <c r="CT89" s="473"/>
      <c r="CU89" s="554">
        <f>SUM((AH89*1)+(AI89*1.5)+(AJ89*2)+(AK89*4)+(AP89*5)+(AQ89*6)+(AR89*7)+(AU89*2)+(AX89*3)+(AY89*4)+(AZ89*5)+(BB89*3)+(BA89*2)+(BG89*2)+(BC89*2)+(BD89*2))</f>
        <v>0</v>
      </c>
      <c r="CV89" s="555">
        <f t="shared" si="7"/>
        <v>0</v>
      </c>
      <c r="CW89" s="556">
        <f t="shared" si="8"/>
        <v>0</v>
      </c>
      <c r="CX89" s="475">
        <f t="shared" si="9"/>
        <v>0</v>
      </c>
      <c r="CY89" s="477"/>
    </row>
    <row r="90" spans="1:104" ht="15" thickTop="1" thickBot="1">
      <c r="A90" s="510" t="s">
        <v>431</v>
      </c>
      <c r="B90" s="162" t="str">
        <f>IFERROR(VLOOKUP(ParticipationAvril1[[#This Row],[Référence]],ListeÉtudiants1[],18,FALSE),"")</f>
        <v>LAMETTE JENNYFER</v>
      </c>
      <c r="H90" s="510" t="s">
        <v>35</v>
      </c>
      <c r="L90" s="510" t="s">
        <v>108</v>
      </c>
      <c r="AF90" s="482"/>
      <c r="AG90" s="560"/>
      <c r="AH90" s="439">
        <f>COUNTIF(ParticipationAvril1[[#This Row],[1]:[30]],Code1)</f>
        <v>0</v>
      </c>
      <c r="AI90" s="435">
        <f>COUNTIF(ParticipationAvril1[[#This Row],[1]:[30]],code22)</f>
        <v>0</v>
      </c>
      <c r="AJ90" s="439">
        <f>COUNTIF(ParticipationAvril1[[#This Row],[1]:[30]],Code2)</f>
        <v>0</v>
      </c>
      <c r="AK90" s="439">
        <f>COUNTIF(ParticipationAvril1[[#This Row],[1]:[30]],Code3)</f>
        <v>0</v>
      </c>
      <c r="AL90" s="439">
        <f>COUNTIF(ParticipationAvril1[[#This Row],[1]:[30]],Code4)</f>
        <v>0</v>
      </c>
      <c r="AM90" s="435">
        <f>COUNTIF(ParticipationAvril1[[#This Row],[1]:[30]],Code5)</f>
        <v>1</v>
      </c>
      <c r="AN90" s="435">
        <f>COUNTIF(ParticipationAvril1[[#This Row],[1]:[30]],Code23)</f>
        <v>0</v>
      </c>
      <c r="AO90" s="435">
        <f>COUNTIF(ParticipationAvril1[[#This Row],[1]:[30]],Code6)</f>
        <v>1</v>
      </c>
      <c r="AP90" s="435">
        <f>COUNTIF(ParticipationAvril1[[#This Row],[1]:[30]],Code7)</f>
        <v>0</v>
      </c>
      <c r="AQ90" s="435">
        <f>COUNTIF(ParticipationAvril1[[#This Row],[1]:[30]],Code8)</f>
        <v>0</v>
      </c>
      <c r="AR90" s="435">
        <f>COUNTIF(ParticipationAvril1[[#This Row],[1]:[30]],Code9)</f>
        <v>0</v>
      </c>
      <c r="AS90" s="435">
        <f>COUNTIF(ParticipationAvril1[[#This Row],[1]:[30]],Code10)</f>
        <v>0</v>
      </c>
      <c r="AT90" s="435">
        <f>COUNTIF(ParticipationAvril1[[#This Row],[1]:[30]],Code11)</f>
        <v>0</v>
      </c>
      <c r="AU90" s="435">
        <f>COUNTIF(ParticipationAvril1[[#This Row],[1]:[30]],Code12)</f>
        <v>0</v>
      </c>
      <c r="AV90" s="435">
        <f>COUNTIF(ParticipationAvril1[[#This Row],[1]:[30]],Code13)</f>
        <v>0</v>
      </c>
      <c r="AW90" s="435">
        <f>COUNTIF(ParticipationAvril1[[#This Row],[1]:[30]],Code14)</f>
        <v>0</v>
      </c>
      <c r="AX90" s="435">
        <f>COUNTIF(ParticipationAvril1[[#This Row],[1]:[30]],Code16)</f>
        <v>0</v>
      </c>
      <c r="AY90" s="435">
        <f>COUNTIF(ParticipationAvril1[[#This Row],[1]:[30]],Code15)</f>
        <v>0</v>
      </c>
      <c r="AZ90" s="435">
        <f>COUNTIF(ParticipationAvril1[[#This Row],[1]:[30]],Code17)</f>
        <v>0</v>
      </c>
      <c r="BA90" s="435">
        <f>COUNTIF(ParticipationAvril1[[#This Row],[1]:[30]],Code25)</f>
        <v>0</v>
      </c>
      <c r="BB90" s="435">
        <f>COUNTIF(ParticipationAvril1[[#This Row],[1]:[30]],Code26)</f>
        <v>0</v>
      </c>
      <c r="BC90" s="435">
        <f>COUNTIF(ParticipationAvril1[[#This Row],[1]:[30]],Code27)</f>
        <v>0</v>
      </c>
      <c r="BD90" s="435">
        <f>COUNTIF(ParticipationAvril1[[#This Row],[1]:[30]],Code28)</f>
        <v>0</v>
      </c>
      <c r="BE90" s="435">
        <f>COUNTIF(ParticipationAvril1[[#This Row],[1]:[30]],code30)</f>
        <v>0</v>
      </c>
      <c r="BF90" s="435">
        <f>COUNTIF(ParticipationAvril1[[#This Row],[1]:[30]],Code31)</f>
        <v>0</v>
      </c>
      <c r="BG90" s="435">
        <f>COUNTIF(ParticipationAvril1[[#This Row],[1]:[30]],code21)</f>
        <v>0</v>
      </c>
      <c r="BH90" s="435">
        <f>COUNTIF(ParticipationAvril1[[#This Row],[1]:[30]],Code24)</f>
        <v>0</v>
      </c>
      <c r="BI90" s="435">
        <f>COUNTIF(ParticipationAvril1[[#This Row],[1]:[30]],code18)</f>
        <v>0</v>
      </c>
      <c r="BJ90" s="435">
        <f>COUNTIF(ParticipationAvril1[[#This Row],[1]:[30]],code19)</f>
        <v>0</v>
      </c>
      <c r="BK90" s="435">
        <f>COUNTIF(ParticipationAvril1[[#This Row],[1]:[30]],code20)</f>
        <v>0</v>
      </c>
      <c r="BL90" s="436">
        <f>COUNTIF(ParticipationAvril1[[#This Row],[1]:[30]],code29)</f>
        <v>0</v>
      </c>
      <c r="BM90" s="297"/>
      <c r="BN90" s="297">
        <v>1</v>
      </c>
      <c r="BO90" s="297"/>
      <c r="BP90" s="297"/>
      <c r="BQ90" s="297"/>
      <c r="BR90" s="297"/>
      <c r="BS90" s="297"/>
      <c r="BT90" s="297">
        <v>1</v>
      </c>
      <c r="BU90" s="297"/>
      <c r="BV90" s="297"/>
      <c r="BW90" s="297"/>
      <c r="BX90" s="297"/>
      <c r="BY90" s="297"/>
      <c r="BZ90" s="297"/>
      <c r="CA90" s="297"/>
      <c r="CB90" s="297"/>
      <c r="CC90" s="297"/>
      <c r="CD90" s="297"/>
      <c r="CE90" s="297"/>
      <c r="CF90" s="297"/>
      <c r="CG90" s="297"/>
      <c r="CH90" s="297"/>
      <c r="CI90" s="297"/>
      <c r="CJ90" s="297"/>
      <c r="CK90" s="297"/>
      <c r="CL90" s="297"/>
      <c r="CM90" s="297"/>
      <c r="CN90" s="297"/>
      <c r="CO90" s="297"/>
      <c r="CP90" s="297"/>
      <c r="CQ90" s="297"/>
      <c r="CR90" s="297"/>
      <c r="CS90" s="297"/>
      <c r="CT90" s="297"/>
      <c r="CU90" s="561"/>
      <c r="CV90" s="485">
        <f t="shared" si="7"/>
        <v>0</v>
      </c>
      <c r="CW90" s="563">
        <f t="shared" si="8"/>
        <v>5</v>
      </c>
      <c r="CX90" s="331">
        <f t="shared" si="9"/>
        <v>0</v>
      </c>
      <c r="CY90" s="438"/>
    </row>
    <row r="91" spans="1:104" ht="15" thickTop="1" thickBot="1">
      <c r="A91" s="534" t="s">
        <v>432</v>
      </c>
      <c r="B91" s="162" t="str">
        <f>IFERROR(VLOOKUP(ParticipationAvril1[[#This Row],[Référence]],ListeÉtudiants1[],18,FALSE),"")</f>
        <v>LAMGHARI / DAHAN BOUCHRA</v>
      </c>
      <c r="H91" s="510"/>
      <c r="L91" s="510"/>
      <c r="AF91" s="88"/>
      <c r="AG91" s="478"/>
      <c r="AH91" s="439">
        <f>COUNTIF(ParticipationAvril1[[#This Row],[1]:[30]],Code1)</f>
        <v>0</v>
      </c>
      <c r="AI91" s="474">
        <f>COUNTIF(ParticipationAvril1[[#This Row],[1]:[30]],code22)</f>
        <v>0</v>
      </c>
      <c r="AJ91" s="439">
        <f>COUNTIF(ParticipationAvril1[[#This Row],[1]:[30]],Code2)</f>
        <v>0</v>
      </c>
      <c r="AK91" s="439">
        <f>COUNTIF(ParticipationAvril1[[#This Row],[1]:[30]],Code3)</f>
        <v>0</v>
      </c>
      <c r="AL91" s="439">
        <f>COUNTIF(ParticipationAvril1[[#This Row],[1]:[30]],Code4)</f>
        <v>0</v>
      </c>
      <c r="AM91" s="474">
        <f>COUNTIF(ParticipationAvril1[[#This Row],[1]:[30]],Code5)</f>
        <v>0</v>
      </c>
      <c r="AN91" s="474">
        <f>COUNTIF(ParticipationAvril1[[#This Row],[1]:[30]],Code23)</f>
        <v>0</v>
      </c>
      <c r="AO91" s="474">
        <f>COUNTIF(ParticipationAvril1[[#This Row],[1]:[30]],Code6)</f>
        <v>0</v>
      </c>
      <c r="AP91" s="474">
        <f>COUNTIF(ParticipationAvril1[[#This Row],[1]:[30]],Code7)</f>
        <v>0</v>
      </c>
      <c r="AQ91" s="474">
        <f>COUNTIF(ParticipationAvril1[[#This Row],[1]:[30]],Code8)</f>
        <v>0</v>
      </c>
      <c r="AR91" s="474">
        <f>COUNTIF(ParticipationAvril1[[#This Row],[1]:[30]],Code9)</f>
        <v>0</v>
      </c>
      <c r="AS91" s="474">
        <f>COUNTIF(ParticipationAvril1[[#This Row],[1]:[30]],Code10)</f>
        <v>0</v>
      </c>
      <c r="AT91" s="474">
        <f>COUNTIF(ParticipationAvril1[[#This Row],[1]:[30]],Code11)</f>
        <v>0</v>
      </c>
      <c r="AU91" s="474">
        <f>COUNTIF(ParticipationAvril1[[#This Row],[1]:[30]],Code12)</f>
        <v>0</v>
      </c>
      <c r="AV91" s="474">
        <f>COUNTIF(ParticipationAvril1[[#This Row],[1]:[30]],Code13)</f>
        <v>0</v>
      </c>
      <c r="AW91" s="474">
        <f>COUNTIF(ParticipationAvril1[[#This Row],[1]:[30]],Code14)</f>
        <v>0</v>
      </c>
      <c r="AX91" s="474">
        <f>COUNTIF(ParticipationAvril1[[#This Row],[1]:[30]],Code16)</f>
        <v>0</v>
      </c>
      <c r="AY91" s="474">
        <f>COUNTIF(ParticipationAvril1[[#This Row],[1]:[30]],Code15)</f>
        <v>0</v>
      </c>
      <c r="AZ91" s="474">
        <f>COUNTIF(ParticipationAvril1[[#This Row],[1]:[30]],Code17)</f>
        <v>0</v>
      </c>
      <c r="BA91" s="474">
        <f>COUNTIF(ParticipationAvril1[[#This Row],[1]:[30]],Code25)</f>
        <v>0</v>
      </c>
      <c r="BB91" s="474">
        <f>COUNTIF(ParticipationAvril1[[#This Row],[1]:[30]],Code26)</f>
        <v>0</v>
      </c>
      <c r="BC91" s="474">
        <f>COUNTIF(ParticipationAvril1[[#This Row],[1]:[30]],Code27)</f>
        <v>0</v>
      </c>
      <c r="BD91" s="474">
        <f>COUNTIF(ParticipationAvril1[[#This Row],[1]:[30]],Code28)</f>
        <v>0</v>
      </c>
      <c r="BE91" s="474">
        <f>COUNTIF(ParticipationAvril1[[#This Row],[1]:[30]],code30)</f>
        <v>0</v>
      </c>
      <c r="BF91" s="474">
        <f>COUNTIF(ParticipationAvril1[[#This Row],[1]:[30]],Code31)</f>
        <v>0</v>
      </c>
      <c r="BG91" s="474">
        <f>COUNTIF(ParticipationAvril1[[#This Row],[1]:[30]],code21)</f>
        <v>0</v>
      </c>
      <c r="BH91" s="474">
        <f>COUNTIF(ParticipationAvril1[[#This Row],[1]:[30]],Code24)</f>
        <v>0</v>
      </c>
      <c r="BI91" s="474">
        <f>COUNTIF(ParticipationAvril1[[#This Row],[1]:[30]],code18)</f>
        <v>0</v>
      </c>
      <c r="BJ91" s="474">
        <f>COUNTIF(ParticipationAvril1[[#This Row],[1]:[30]],code19)</f>
        <v>0</v>
      </c>
      <c r="BK91" s="474">
        <f>COUNTIF(ParticipationAvril1[[#This Row],[1]:[30]],code20)</f>
        <v>0</v>
      </c>
      <c r="BL91" s="476">
        <f>COUNTIF(ParticipationAvril1[[#This Row],[1]:[30]],code29)</f>
        <v>0</v>
      </c>
      <c r="BM91" s="472"/>
      <c r="BN91" s="472"/>
      <c r="BO91" s="472"/>
      <c r="BP91" s="472"/>
      <c r="BQ91" s="472"/>
      <c r="BR91" s="472"/>
      <c r="BS91" s="472"/>
      <c r="BT91" s="472"/>
      <c r="BU91" s="472"/>
      <c r="BV91" s="472"/>
      <c r="BW91" s="472"/>
      <c r="BX91" s="472"/>
      <c r="BY91" s="472"/>
      <c r="BZ91" s="472"/>
      <c r="CA91" s="472"/>
      <c r="CB91" s="472"/>
      <c r="CC91" s="472"/>
      <c r="CD91" s="472"/>
      <c r="CE91" s="472"/>
      <c r="CF91" s="472"/>
      <c r="CG91" s="472"/>
      <c r="CH91" s="472"/>
      <c r="CI91" s="472"/>
      <c r="CJ91" s="472"/>
      <c r="CK91" s="472"/>
      <c r="CL91" s="472"/>
      <c r="CM91" s="472"/>
      <c r="CN91" s="472"/>
      <c r="CO91" s="472"/>
      <c r="CP91" s="472"/>
      <c r="CQ91" s="472"/>
      <c r="CR91" s="472"/>
      <c r="CS91" s="472"/>
      <c r="CT91" s="472"/>
      <c r="CU91" s="516">
        <f>SUM((AH91*1)+(AI91*1.5)+(AJ91*2)+(AK91*4)+(AP91*5)+(AQ91*6)+(AR91*7)+(AU91*2)+(AX91*3)+(AY91*4)+(AZ91*5)+(BB91*3)+(BA91*2)+(BG91*2)+(BC91*2)+(BD91*2))</f>
        <v>0</v>
      </c>
      <c r="CV91" s="555">
        <f t="shared" si="7"/>
        <v>0</v>
      </c>
      <c r="CW91" s="562">
        <f t="shared" si="8"/>
        <v>0</v>
      </c>
      <c r="CX91" s="475">
        <f t="shared" si="9"/>
        <v>0</v>
      </c>
      <c r="CY91" s="477"/>
    </row>
    <row r="92" spans="1:104" s="453" customFormat="1" ht="15" thickTop="1" thickBot="1">
      <c r="A92" s="510" t="s">
        <v>433</v>
      </c>
      <c r="B92" s="162" t="str">
        <f>IFERROR(VLOOKUP(ParticipationAvril1[[#This Row],[Référence]],ListeÉtudiants1[],18,FALSE),"")</f>
        <v>LAURENT GUILLAUME</v>
      </c>
      <c r="C92"/>
      <c r="D92"/>
      <c r="E92"/>
      <c r="F92"/>
      <c r="G92"/>
      <c r="H92" s="510"/>
      <c r="I92"/>
      <c r="J92"/>
      <c r="K92"/>
      <c r="L92" s="510"/>
      <c r="M92"/>
      <c r="N92"/>
      <c r="O92"/>
      <c r="P92"/>
      <c r="Q92"/>
      <c r="R92"/>
      <c r="S92"/>
      <c r="T92"/>
      <c r="U92"/>
      <c r="V92"/>
      <c r="W92"/>
      <c r="X92"/>
      <c r="Y92"/>
      <c r="Z92"/>
      <c r="AA92"/>
      <c r="AB92"/>
      <c r="AC92"/>
      <c r="AD92"/>
      <c r="AE92"/>
      <c r="AF92" s="88"/>
      <c r="AG92" s="478"/>
      <c r="AH92" s="439">
        <f>COUNTIF(ParticipationAvril1[[#This Row],[1]:[30]],Code1)</f>
        <v>0</v>
      </c>
      <c r="AI92" s="474">
        <f>COUNTIF(ParticipationAvril1[[#This Row],[1]:[30]],code22)</f>
        <v>0</v>
      </c>
      <c r="AJ92" s="439">
        <f>COUNTIF(ParticipationAvril1[[#This Row],[1]:[30]],Code2)</f>
        <v>0</v>
      </c>
      <c r="AK92" s="439">
        <f>COUNTIF(ParticipationAvril1[[#This Row],[1]:[30]],Code3)</f>
        <v>0</v>
      </c>
      <c r="AL92" s="439">
        <f>COUNTIF(ParticipationAvril1[[#This Row],[1]:[30]],Code4)</f>
        <v>0</v>
      </c>
      <c r="AM92" s="474">
        <f>COUNTIF(ParticipationAvril1[[#This Row],[1]:[30]],Code5)</f>
        <v>0</v>
      </c>
      <c r="AN92" s="474">
        <f>COUNTIF(ParticipationAvril1[[#This Row],[1]:[30]],Code23)</f>
        <v>0</v>
      </c>
      <c r="AO92" s="474">
        <f>COUNTIF(ParticipationAvril1[[#This Row],[1]:[30]],Code6)</f>
        <v>0</v>
      </c>
      <c r="AP92" s="474">
        <f>COUNTIF(ParticipationAvril1[[#This Row],[1]:[30]],Code7)</f>
        <v>0</v>
      </c>
      <c r="AQ92" s="474">
        <f>COUNTIF(ParticipationAvril1[[#This Row],[1]:[30]],Code8)</f>
        <v>0</v>
      </c>
      <c r="AR92" s="474">
        <f>COUNTIF(ParticipationAvril1[[#This Row],[1]:[30]],Code9)</f>
        <v>0</v>
      </c>
      <c r="AS92" s="474">
        <f>COUNTIF(ParticipationAvril1[[#This Row],[1]:[30]],Code10)</f>
        <v>0</v>
      </c>
      <c r="AT92" s="474">
        <f>COUNTIF(ParticipationAvril1[[#This Row],[1]:[30]],Code11)</f>
        <v>0</v>
      </c>
      <c r="AU92" s="474">
        <f>COUNTIF(ParticipationAvril1[[#This Row],[1]:[30]],Code12)</f>
        <v>0</v>
      </c>
      <c r="AV92" s="474">
        <f>COUNTIF(ParticipationAvril1[[#This Row],[1]:[30]],Code13)</f>
        <v>0</v>
      </c>
      <c r="AW92" s="474">
        <f>COUNTIF(ParticipationAvril1[[#This Row],[1]:[30]],Code14)</f>
        <v>0</v>
      </c>
      <c r="AX92" s="474">
        <f>COUNTIF(ParticipationAvril1[[#This Row],[1]:[30]],Code16)</f>
        <v>0</v>
      </c>
      <c r="AY92" s="474">
        <f>COUNTIF(ParticipationAvril1[[#This Row],[1]:[30]],Code15)</f>
        <v>0</v>
      </c>
      <c r="AZ92" s="474">
        <f>COUNTIF(ParticipationAvril1[[#This Row],[1]:[30]],Code17)</f>
        <v>0</v>
      </c>
      <c r="BA92" s="474">
        <f>COUNTIF(ParticipationAvril1[[#This Row],[1]:[30]],Code25)</f>
        <v>0</v>
      </c>
      <c r="BB92" s="474">
        <f>COUNTIF(ParticipationAvril1[[#This Row],[1]:[30]],Code26)</f>
        <v>0</v>
      </c>
      <c r="BC92" s="474">
        <f>COUNTIF(ParticipationAvril1[[#This Row],[1]:[30]],Code27)</f>
        <v>0</v>
      </c>
      <c r="BD92" s="474">
        <f>COUNTIF(ParticipationAvril1[[#This Row],[1]:[30]],Code28)</f>
        <v>0</v>
      </c>
      <c r="BE92" s="474">
        <f>COUNTIF(ParticipationAvril1[[#This Row],[1]:[30]],code30)</f>
        <v>0</v>
      </c>
      <c r="BF92" s="474">
        <f>COUNTIF(ParticipationAvril1[[#This Row],[1]:[30]],Code31)</f>
        <v>0</v>
      </c>
      <c r="BG92" s="474">
        <f>COUNTIF(ParticipationAvril1[[#This Row],[1]:[30]],code21)</f>
        <v>0</v>
      </c>
      <c r="BH92" s="474">
        <f>COUNTIF(ParticipationAvril1[[#This Row],[1]:[30]],Code24)</f>
        <v>0</v>
      </c>
      <c r="BI92" s="474">
        <f>COUNTIF(ParticipationAvril1[[#This Row],[1]:[30]],code18)</f>
        <v>0</v>
      </c>
      <c r="BJ92" s="474">
        <f>COUNTIF(ParticipationAvril1[[#This Row],[1]:[30]],code19)</f>
        <v>0</v>
      </c>
      <c r="BK92" s="474">
        <f>COUNTIF(ParticipationAvril1[[#This Row],[1]:[30]],code20)</f>
        <v>0</v>
      </c>
      <c r="BL92" s="476">
        <f>COUNTIF(ParticipationAvril1[[#This Row],[1]:[30]],code29)</f>
        <v>0</v>
      </c>
      <c r="BM92" s="472"/>
      <c r="BN92" s="472"/>
      <c r="BO92" s="472"/>
      <c r="BP92" s="472"/>
      <c r="BQ92" s="472"/>
      <c r="BR92" s="472"/>
      <c r="BS92" s="472"/>
      <c r="BT92" s="472"/>
      <c r="BU92" s="472"/>
      <c r="BV92" s="472"/>
      <c r="BW92" s="472"/>
      <c r="BX92" s="472"/>
      <c r="BY92" s="472"/>
      <c r="BZ92" s="472"/>
      <c r="CA92" s="472"/>
      <c r="CB92" s="472"/>
      <c r="CC92" s="472"/>
      <c r="CD92" s="472"/>
      <c r="CE92" s="472"/>
      <c r="CF92" s="472"/>
      <c r="CG92" s="472"/>
      <c r="CH92" s="472"/>
      <c r="CI92" s="472"/>
      <c r="CJ92" s="472"/>
      <c r="CK92" s="472"/>
      <c r="CL92" s="472"/>
      <c r="CM92" s="472"/>
      <c r="CN92" s="472"/>
      <c r="CO92" s="472"/>
      <c r="CP92" s="472"/>
      <c r="CQ92" s="472"/>
      <c r="CR92" s="472"/>
      <c r="CS92" s="472"/>
      <c r="CT92" s="472"/>
      <c r="CU92" s="516">
        <f>SUM((AH92*1)+(AI92*1.5)+(AJ92*2)+(AK92*4)+(AP92*5)+(AQ92*6)+(AR92*7)+(AU92*2)+(AX92*3)+(AY92*4)+(AZ92*5)+(BB92*3)+(BA92*2)+(BG92*2)+(BC92*2)+(BD92*2))</f>
        <v>0</v>
      </c>
      <c r="CV92" s="555">
        <f t="shared" si="7"/>
        <v>0</v>
      </c>
      <c r="CW92" s="562">
        <f t="shared" si="8"/>
        <v>0</v>
      </c>
      <c r="CX92" s="475">
        <f t="shared" si="9"/>
        <v>0</v>
      </c>
      <c r="CY92" s="477"/>
      <c r="CZ92"/>
    </row>
    <row r="93" spans="1:104" ht="15" thickTop="1" thickBot="1">
      <c r="A93" s="510" t="s">
        <v>434</v>
      </c>
      <c r="B93" s="162" t="str">
        <f>IFERROR(VLOOKUP(ParticipationAvril1[[#This Row],[Référence]],ListeÉtudiants1[],18,FALSE),"")</f>
        <v>LEMAIRE SHANONE</v>
      </c>
      <c r="C93" s="19"/>
      <c r="D93" s="19"/>
      <c r="E93" s="19"/>
      <c r="F93" s="19" t="s">
        <v>108</v>
      </c>
      <c r="G93" s="19"/>
      <c r="H93" s="19"/>
      <c r="I93" s="19"/>
      <c r="J93" s="19"/>
      <c r="K93" s="19" t="s">
        <v>108</v>
      </c>
      <c r="L93" s="19" t="s">
        <v>487</v>
      </c>
      <c r="M93" s="19" t="s">
        <v>487</v>
      </c>
      <c r="N93" s="19"/>
      <c r="O93" s="19"/>
      <c r="P93" s="19"/>
      <c r="Q93" s="19"/>
      <c r="R93" s="19"/>
      <c r="S93" s="19"/>
      <c r="T93" s="19"/>
      <c r="U93" s="19"/>
      <c r="V93" s="19"/>
      <c r="W93" s="19"/>
      <c r="X93" s="19"/>
      <c r="Y93" s="19"/>
      <c r="Z93" s="19"/>
      <c r="AA93" s="19"/>
      <c r="AB93" s="19"/>
      <c r="AC93" s="19"/>
      <c r="AD93" s="19"/>
      <c r="AE93" s="19"/>
      <c r="AF93" s="19"/>
      <c r="AG93" s="441"/>
      <c r="AH93" s="6">
        <f>COUNTIF(ParticipationAvril1[[#This Row],[1]:[30]],Code1)</f>
        <v>0</v>
      </c>
      <c r="AI93" s="331">
        <f>COUNTIF(ParticipationAvril1[[#This Row],[1]:[30]],code22)</f>
        <v>0</v>
      </c>
      <c r="AJ93" s="6">
        <f>COUNTIF(ParticipationAvril1[[#This Row],[1]:[30]],Code2)</f>
        <v>0</v>
      </c>
      <c r="AK93" s="6">
        <f>COUNTIF(ParticipationAvril1[[#This Row],[1]:[30]],Code3)</f>
        <v>0</v>
      </c>
      <c r="AL93" s="6">
        <f>COUNTIF(ParticipationAvril1[[#This Row],[1]:[30]],Code4)</f>
        <v>0</v>
      </c>
      <c r="AM93" s="331">
        <f>COUNTIF(ParticipationAvril1[[#This Row],[1]:[30]],Code5)</f>
        <v>0</v>
      </c>
      <c r="AN93" s="331">
        <f>COUNTIF(ParticipationAvril1[[#This Row],[1]:[30]],Code23)</f>
        <v>0</v>
      </c>
      <c r="AO93" s="331">
        <f>COUNTIF(ParticipationAvril1[[#This Row],[1]:[30]],Code6)</f>
        <v>2</v>
      </c>
      <c r="AP93" s="331">
        <f>COUNTIF(ParticipationAvril1[[#This Row],[1]:[30]],Code7)</f>
        <v>0</v>
      </c>
      <c r="AQ93" s="331">
        <f>COUNTIF(ParticipationAvril1[[#This Row],[1]:[30]],Code8)</f>
        <v>0</v>
      </c>
      <c r="AR93" s="331">
        <f>COUNTIF(ParticipationAvril1[[#This Row],[1]:[30]],Code9)</f>
        <v>0</v>
      </c>
      <c r="AS93" s="331">
        <f>COUNTIF(ParticipationAvril1[[#This Row],[1]:[30]],Code10)</f>
        <v>0</v>
      </c>
      <c r="AT93" s="331">
        <f>COUNTIF(ParticipationAvril1[[#This Row],[1]:[30]],Code11)</f>
        <v>0</v>
      </c>
      <c r="AU93" s="331">
        <f>COUNTIF(ParticipationAvril1[[#This Row],[1]:[30]],Code12)</f>
        <v>2</v>
      </c>
      <c r="AV93" s="331">
        <f>COUNTIF(ParticipationAvril1[[#This Row],[1]:[30]],Code13)</f>
        <v>0</v>
      </c>
      <c r="AW93" s="331">
        <f>COUNTIF(ParticipationAvril1[[#This Row],[1]:[30]],Code14)</f>
        <v>0</v>
      </c>
      <c r="AX93" s="331">
        <f>COUNTIF(ParticipationAvril1[[#This Row],[1]:[30]],Code16)</f>
        <v>0</v>
      </c>
      <c r="AY93" s="331">
        <f>COUNTIF(ParticipationAvril1[[#This Row],[1]:[30]],Code15)</f>
        <v>0</v>
      </c>
      <c r="AZ93" s="331">
        <f>COUNTIF(ParticipationAvril1[[#This Row],[1]:[30]],Code17)</f>
        <v>0</v>
      </c>
      <c r="BA93" s="331">
        <f>COUNTIF(ParticipationAvril1[[#This Row],[1]:[30]],Code25)</f>
        <v>0</v>
      </c>
      <c r="BB93" s="331">
        <f>COUNTIF(ParticipationAvril1[[#This Row],[1]:[30]],Code26)</f>
        <v>0</v>
      </c>
      <c r="BC93" s="435">
        <f>COUNTIF(ParticipationAvril1[[#This Row],[1]:[30]],Code27)</f>
        <v>0</v>
      </c>
      <c r="BD93" s="331">
        <f>COUNTIF(ParticipationAvril1[[#This Row],[1]:[30]],Code28)</f>
        <v>0</v>
      </c>
      <c r="BE93" s="331">
        <f>COUNTIF(ParticipationAvril1[[#This Row],[1]:[30]],code30)</f>
        <v>0</v>
      </c>
      <c r="BF93" s="331">
        <f>COUNTIF(ParticipationAvril1[[#This Row],[1]:[30]],Code31)</f>
        <v>0</v>
      </c>
      <c r="BG93" s="331">
        <f>COUNTIF(ParticipationAvril1[[#This Row],[1]:[30]],code21)</f>
        <v>0</v>
      </c>
      <c r="BH93" s="331">
        <f>COUNTIF(ParticipationAvril1[[#This Row],[1]:[30]],Code24)</f>
        <v>0</v>
      </c>
      <c r="BI93" s="331">
        <f>COUNTIF(ParticipationAvril1[[#This Row],[1]:[30]],code18)</f>
        <v>0</v>
      </c>
      <c r="BJ93" s="331">
        <f>COUNTIF(ParticipationAvril1[[#This Row],[1]:[30]],code19)</f>
        <v>0</v>
      </c>
      <c r="BK93" s="331">
        <f>COUNTIF(ParticipationAvril1[[#This Row],[1]:[30]],code20)</f>
        <v>0</v>
      </c>
      <c r="BL93" s="436">
        <f>COUNTIF(ParticipationAvril1[[#This Row],[1]:[30]],code29)</f>
        <v>0</v>
      </c>
      <c r="BM93" s="297"/>
      <c r="BN93" s="297">
        <v>2</v>
      </c>
      <c r="BO93" s="297"/>
      <c r="BP93" s="297"/>
      <c r="BQ93" s="297"/>
      <c r="BR93" s="297"/>
      <c r="BS93" s="297"/>
      <c r="BT93" s="297">
        <v>3</v>
      </c>
      <c r="BU93" s="297"/>
      <c r="BV93" s="297"/>
      <c r="BW93" s="297">
        <v>1</v>
      </c>
      <c r="BX93" s="297"/>
      <c r="BY93" s="297"/>
      <c r="BZ93" s="297"/>
      <c r="CA93" s="297"/>
      <c r="CB93" s="297"/>
      <c r="CC93" s="297"/>
      <c r="CD93" s="297"/>
      <c r="CE93" s="297"/>
      <c r="CF93" s="297"/>
      <c r="CG93" s="297"/>
      <c r="CH93" s="297"/>
      <c r="CI93" s="297"/>
      <c r="CJ93" s="297"/>
      <c r="CK93" s="297"/>
      <c r="CL93" s="297"/>
      <c r="CM93" s="297"/>
      <c r="CN93" s="297"/>
      <c r="CO93" s="297"/>
      <c r="CP93" s="297"/>
      <c r="CQ93" s="297"/>
      <c r="CR93" s="297"/>
      <c r="CS93" s="307"/>
      <c r="CT93" s="307"/>
      <c r="CU93" s="300"/>
      <c r="CV93" s="485">
        <f t="shared" si="7"/>
        <v>0</v>
      </c>
      <c r="CW93" s="499">
        <f t="shared" si="8"/>
        <v>18</v>
      </c>
      <c r="CX93" s="331">
        <f t="shared" si="9"/>
        <v>0</v>
      </c>
      <c r="CY93" s="438"/>
    </row>
    <row r="94" spans="1:104" ht="15" thickTop="1" thickBot="1">
      <c r="A94" s="510" t="s">
        <v>435</v>
      </c>
      <c r="B94" s="162" t="str">
        <f>IFERROR(VLOOKUP(ParticipationAvril1[[#This Row],[Référence]],ListeÉtudiants1[],18,FALSE),"")</f>
        <v>L'HERMITTE ROMAIN</v>
      </c>
      <c r="C94" s="471"/>
      <c r="D94" s="471"/>
      <c r="E94" s="471"/>
      <c r="F94" s="471"/>
      <c r="G94" s="471"/>
      <c r="H94" s="471"/>
      <c r="I94" s="471"/>
      <c r="J94" s="471"/>
      <c r="K94" s="471"/>
      <c r="L94" s="471" t="s">
        <v>108</v>
      </c>
      <c r="M94" s="471" t="s">
        <v>108</v>
      </c>
      <c r="N94" s="471"/>
      <c r="O94" s="471"/>
      <c r="P94" s="471"/>
      <c r="Q94" s="471"/>
      <c r="R94" s="471"/>
      <c r="S94" s="471"/>
      <c r="T94" s="471"/>
      <c r="U94" s="471"/>
      <c r="V94" s="471"/>
      <c r="W94" s="471"/>
      <c r="X94" s="471"/>
      <c r="Y94" s="471"/>
      <c r="Z94" s="471"/>
      <c r="AA94" s="471"/>
      <c r="AB94" s="471"/>
      <c r="AC94" s="471"/>
      <c r="AD94" s="471"/>
      <c r="AE94" s="471"/>
      <c r="AF94" s="471"/>
      <c r="AG94" s="478"/>
      <c r="AH94" s="471">
        <f>COUNTIF(ParticipationAvril1[[#This Row],[1]:[30]],Code1)</f>
        <v>0</v>
      </c>
      <c r="AI94" s="475">
        <f>COUNTIF(ParticipationAvril1[[#This Row],[1]:[30]],code22)</f>
        <v>0</v>
      </c>
      <c r="AJ94" s="471">
        <f>COUNTIF(ParticipationAvril1[[#This Row],[1]:[30]],Code2)</f>
        <v>0</v>
      </c>
      <c r="AK94" s="471">
        <f>COUNTIF(ParticipationAvril1[[#This Row],[1]:[30]],Code3)</f>
        <v>0</v>
      </c>
      <c r="AL94" s="471">
        <f>COUNTIF(ParticipationAvril1[[#This Row],[1]:[30]],Code4)</f>
        <v>0</v>
      </c>
      <c r="AM94" s="475">
        <f>COUNTIF(ParticipationAvril1[[#This Row],[1]:[30]],Code5)</f>
        <v>0</v>
      </c>
      <c r="AN94" s="475">
        <f>COUNTIF(ParticipationAvril1[[#This Row],[1]:[30]],Code23)</f>
        <v>0</v>
      </c>
      <c r="AO94" s="475">
        <f>COUNTIF(ParticipationAvril1[[#This Row],[1]:[30]],Code6)</f>
        <v>2</v>
      </c>
      <c r="AP94" s="475">
        <f>COUNTIF(ParticipationAvril1[[#This Row],[1]:[30]],Code7)</f>
        <v>0</v>
      </c>
      <c r="AQ94" s="475">
        <f>COUNTIF(ParticipationAvril1[[#This Row],[1]:[30]],Code8)</f>
        <v>0</v>
      </c>
      <c r="AR94" s="475">
        <f>COUNTIF(ParticipationAvril1[[#This Row],[1]:[30]],Code9)</f>
        <v>0</v>
      </c>
      <c r="AS94" s="475">
        <f>COUNTIF(ParticipationAvril1[[#This Row],[1]:[30]],Code10)</f>
        <v>0</v>
      </c>
      <c r="AT94" s="475">
        <f>COUNTIF(ParticipationAvril1[[#This Row],[1]:[30]],Code11)</f>
        <v>0</v>
      </c>
      <c r="AU94" s="475">
        <f>COUNTIF(ParticipationAvril1[[#This Row],[1]:[30]],Code12)</f>
        <v>0</v>
      </c>
      <c r="AV94" s="475">
        <f>COUNTIF(ParticipationAvril1[[#This Row],[1]:[30]],Code13)</f>
        <v>0</v>
      </c>
      <c r="AW94" s="475">
        <f>COUNTIF(ParticipationAvril1[[#This Row],[1]:[30]],Code14)</f>
        <v>0</v>
      </c>
      <c r="AX94" s="475">
        <f>COUNTIF(ParticipationAvril1[[#This Row],[1]:[30]],Code16)</f>
        <v>0</v>
      </c>
      <c r="AY94" s="475">
        <f>COUNTIF(ParticipationAvril1[[#This Row],[1]:[30]],Code15)</f>
        <v>0</v>
      </c>
      <c r="AZ94" s="475">
        <f>COUNTIF(ParticipationAvril1[[#This Row],[1]:[30]],Code17)</f>
        <v>0</v>
      </c>
      <c r="BA94" s="475">
        <f>COUNTIF(ParticipationAvril1[[#This Row],[1]:[30]],Code25)</f>
        <v>0</v>
      </c>
      <c r="BB94" s="475">
        <f>COUNTIF(ParticipationAvril1[[#This Row],[1]:[30]],Code26)</f>
        <v>0</v>
      </c>
      <c r="BC94" s="475">
        <f>COUNTIF(ParticipationAvril1[[#This Row],[1]:[30]],Code27)</f>
        <v>0</v>
      </c>
      <c r="BD94" s="475">
        <f>COUNTIF(ParticipationAvril1[[#This Row],[1]:[30]],Code28)</f>
        <v>0</v>
      </c>
      <c r="BE94" s="475">
        <f>COUNTIF(ParticipationAvril1[[#This Row],[1]:[30]],code30)</f>
        <v>0</v>
      </c>
      <c r="BF94" s="475">
        <f>COUNTIF(ParticipationAvril1[[#This Row],[1]:[30]],Code31)</f>
        <v>0</v>
      </c>
      <c r="BG94" s="475">
        <f>COUNTIF(ParticipationAvril1[[#This Row],[1]:[30]],code21)</f>
        <v>0</v>
      </c>
      <c r="BH94" s="475">
        <f>COUNTIF(ParticipationAvril1[[#This Row],[1]:[30]],Code24)</f>
        <v>0</v>
      </c>
      <c r="BI94" s="475">
        <f>COUNTIF(ParticipationAvril1[[#This Row],[1]:[30]],code18)</f>
        <v>0</v>
      </c>
      <c r="BJ94" s="475">
        <f>COUNTIF(ParticipationAvril1[[#This Row],[1]:[30]],code19)</f>
        <v>0</v>
      </c>
      <c r="BK94" s="475">
        <f>COUNTIF(ParticipationAvril1[[#This Row],[1]:[30]],code20)</f>
        <v>0</v>
      </c>
      <c r="BL94" s="476">
        <f>COUNTIF(ParticipationAvril1[[#This Row],[1]:[30]],code29)</f>
        <v>0</v>
      </c>
      <c r="BM94" s="472"/>
      <c r="BN94" s="472">
        <v>2</v>
      </c>
      <c r="BO94" s="472"/>
      <c r="BP94" s="472"/>
      <c r="BQ94" s="472"/>
      <c r="BR94" s="472"/>
      <c r="BS94" s="472"/>
      <c r="BT94" s="472"/>
      <c r="BU94" s="472"/>
      <c r="BV94" s="472"/>
      <c r="BW94" s="472"/>
      <c r="BX94" s="472"/>
      <c r="BY94" s="472"/>
      <c r="BZ94" s="472"/>
      <c r="CA94" s="472"/>
      <c r="CB94" s="472"/>
      <c r="CC94" s="472"/>
      <c r="CD94" s="472"/>
      <c r="CE94" s="472"/>
      <c r="CF94" s="472"/>
      <c r="CG94" s="472"/>
      <c r="CH94" s="472"/>
      <c r="CI94" s="472"/>
      <c r="CJ94" s="472"/>
      <c r="CK94" s="472"/>
      <c r="CL94" s="472"/>
      <c r="CM94" s="472"/>
      <c r="CN94" s="472"/>
      <c r="CO94" s="472"/>
      <c r="CP94" s="472"/>
      <c r="CQ94" s="472"/>
      <c r="CR94" s="472"/>
      <c r="CS94" s="473"/>
      <c r="CT94" s="473"/>
      <c r="CU94" s="300"/>
      <c r="CV94" s="485">
        <f t="shared" si="7"/>
        <v>0</v>
      </c>
      <c r="CW94" s="499">
        <f t="shared" si="8"/>
        <v>6</v>
      </c>
      <c r="CX94" s="475">
        <f t="shared" si="9"/>
        <v>0</v>
      </c>
      <c r="CY94" s="477"/>
      <c r="CZ94" s="469"/>
    </row>
    <row r="95" spans="1:104" ht="15" thickTop="1" thickBot="1">
      <c r="A95" s="534" t="s">
        <v>436</v>
      </c>
      <c r="B95" s="162" t="str">
        <f>IFERROR(VLOOKUP(ParticipationAvril1[[#This Row],[Référence]],ListeÉtudiants1[],18,FALSE),"")</f>
        <v>LIBON ADRIANA</v>
      </c>
      <c r="C95" s="471"/>
      <c r="D95" s="471"/>
      <c r="E95" s="471"/>
      <c r="F95" s="471"/>
      <c r="G95" s="471"/>
      <c r="H95" s="471"/>
      <c r="I95" s="471"/>
      <c r="J95" s="471"/>
      <c r="K95" s="471"/>
      <c r="L95" s="471" t="s">
        <v>108</v>
      </c>
      <c r="M95" s="471" t="s">
        <v>487</v>
      </c>
      <c r="N95" s="471"/>
      <c r="O95" s="471"/>
      <c r="P95" s="471"/>
      <c r="Q95" s="471"/>
      <c r="R95" s="471"/>
      <c r="S95" s="471"/>
      <c r="T95" s="471"/>
      <c r="U95" s="471"/>
      <c r="V95" s="471"/>
      <c r="W95" s="471"/>
      <c r="X95" s="471"/>
      <c r="Y95" s="471"/>
      <c r="Z95" s="471"/>
      <c r="AA95" s="471"/>
      <c r="AB95" s="471"/>
      <c r="AC95" s="471"/>
      <c r="AD95" s="471"/>
      <c r="AE95" s="471"/>
      <c r="AF95" s="471"/>
      <c r="AG95" s="478"/>
      <c r="AH95" s="471">
        <f>COUNTIF(ParticipationAvril1[[#This Row],[1]:[30]],Code1)</f>
        <v>0</v>
      </c>
      <c r="AI95" s="475">
        <f>COUNTIF(ParticipationAvril1[[#This Row],[1]:[30]],code22)</f>
        <v>0</v>
      </c>
      <c r="AJ95" s="471">
        <f>COUNTIF(ParticipationAvril1[[#This Row],[1]:[30]],Code2)</f>
        <v>0</v>
      </c>
      <c r="AK95" s="471">
        <f>COUNTIF(ParticipationAvril1[[#This Row],[1]:[30]],Code3)</f>
        <v>0</v>
      </c>
      <c r="AL95" s="471">
        <f>COUNTIF(ParticipationAvril1[[#This Row],[1]:[30]],Code4)</f>
        <v>0</v>
      </c>
      <c r="AM95" s="475">
        <f>COUNTIF(ParticipationAvril1[[#This Row],[1]:[30]],Code5)</f>
        <v>0</v>
      </c>
      <c r="AN95" s="475">
        <f>COUNTIF(ParticipationAvril1[[#This Row],[1]:[30]],Code23)</f>
        <v>0</v>
      </c>
      <c r="AO95" s="475">
        <f>COUNTIF(ParticipationAvril1[[#This Row],[1]:[30]],Code6)</f>
        <v>1</v>
      </c>
      <c r="AP95" s="475">
        <f>COUNTIF(ParticipationAvril1[[#This Row],[1]:[30]],Code7)</f>
        <v>0</v>
      </c>
      <c r="AQ95" s="475">
        <f>COUNTIF(ParticipationAvril1[[#This Row],[1]:[30]],Code8)</f>
        <v>0</v>
      </c>
      <c r="AR95" s="475">
        <f>COUNTIF(ParticipationAvril1[[#This Row],[1]:[30]],Code9)</f>
        <v>0</v>
      </c>
      <c r="AS95" s="475">
        <f>COUNTIF(ParticipationAvril1[[#This Row],[1]:[30]],Code10)</f>
        <v>0</v>
      </c>
      <c r="AT95" s="475">
        <f>COUNTIF(ParticipationAvril1[[#This Row],[1]:[30]],Code11)</f>
        <v>0</v>
      </c>
      <c r="AU95" s="475">
        <f>COUNTIF(ParticipationAvril1[[#This Row],[1]:[30]],Code12)</f>
        <v>1</v>
      </c>
      <c r="AV95" s="475">
        <f>COUNTIF(ParticipationAvril1[[#This Row],[1]:[30]],Code13)</f>
        <v>0</v>
      </c>
      <c r="AW95" s="475">
        <f>COUNTIF(ParticipationAvril1[[#This Row],[1]:[30]],Code14)</f>
        <v>0</v>
      </c>
      <c r="AX95" s="475">
        <f>COUNTIF(ParticipationAvril1[[#This Row],[1]:[30]],Code16)</f>
        <v>0</v>
      </c>
      <c r="AY95" s="475">
        <f>COUNTIF(ParticipationAvril1[[#This Row],[1]:[30]],Code15)</f>
        <v>0</v>
      </c>
      <c r="AZ95" s="475">
        <f>COUNTIF(ParticipationAvril1[[#This Row],[1]:[30]],Code17)</f>
        <v>0</v>
      </c>
      <c r="BA95" s="475">
        <f>COUNTIF(ParticipationAvril1[[#This Row],[1]:[30]],Code25)</f>
        <v>0</v>
      </c>
      <c r="BB95" s="475">
        <f>COUNTIF(ParticipationAvril1[[#This Row],[1]:[30]],Code26)</f>
        <v>0</v>
      </c>
      <c r="BC95" s="475">
        <f>COUNTIF(ParticipationAvril1[[#This Row],[1]:[30]],Code27)</f>
        <v>0</v>
      </c>
      <c r="BD95" s="475">
        <f>COUNTIF(ParticipationAvril1[[#This Row],[1]:[30]],Code28)</f>
        <v>0</v>
      </c>
      <c r="BE95" s="475">
        <f>COUNTIF(ParticipationAvril1[[#This Row],[1]:[30]],code30)</f>
        <v>0</v>
      </c>
      <c r="BF95" s="475">
        <f>COUNTIF(ParticipationAvril1[[#This Row],[1]:[30]],Code31)</f>
        <v>0</v>
      </c>
      <c r="BG95" s="475">
        <f>COUNTIF(ParticipationAvril1[[#This Row],[1]:[30]],code21)</f>
        <v>0</v>
      </c>
      <c r="BH95" s="475">
        <f>COUNTIF(ParticipationAvril1[[#This Row],[1]:[30]],Code24)</f>
        <v>0</v>
      </c>
      <c r="BI95" s="475">
        <f>COUNTIF(ParticipationAvril1[[#This Row],[1]:[30]],code18)</f>
        <v>0</v>
      </c>
      <c r="BJ95" s="475">
        <f>COUNTIF(ParticipationAvril1[[#This Row],[1]:[30]],code19)</f>
        <v>0</v>
      </c>
      <c r="BK95" s="475">
        <f>COUNTIF(ParticipationAvril1[[#This Row],[1]:[30]],code20)</f>
        <v>0</v>
      </c>
      <c r="BL95" s="476">
        <f>COUNTIF(ParticipationAvril1[[#This Row],[1]:[30]],code29)</f>
        <v>0</v>
      </c>
      <c r="BM95" s="472"/>
      <c r="BN95" s="472">
        <v>2</v>
      </c>
      <c r="BO95" s="472"/>
      <c r="BP95" s="472"/>
      <c r="BQ95" s="472"/>
      <c r="BR95" s="472"/>
      <c r="BS95" s="472"/>
      <c r="BT95" s="472">
        <v>1</v>
      </c>
      <c r="BU95" s="472"/>
      <c r="BV95" s="472"/>
      <c r="BW95" s="472"/>
      <c r="BX95" s="472"/>
      <c r="BY95" s="472"/>
      <c r="BZ95" s="472"/>
      <c r="CA95" s="472"/>
      <c r="CB95" s="472"/>
      <c r="CC95" s="472"/>
      <c r="CD95" s="472"/>
      <c r="CE95" s="472"/>
      <c r="CF95" s="472"/>
      <c r="CG95" s="472"/>
      <c r="CH95" s="472"/>
      <c r="CI95" s="472"/>
      <c r="CJ95" s="472"/>
      <c r="CK95" s="472"/>
      <c r="CL95" s="472"/>
      <c r="CM95" s="472"/>
      <c r="CN95" s="472"/>
      <c r="CO95" s="472"/>
      <c r="CP95" s="472"/>
      <c r="CQ95" s="472"/>
      <c r="CR95" s="472"/>
      <c r="CS95" s="473"/>
      <c r="CT95" s="473"/>
      <c r="CU95" s="300"/>
      <c r="CV95" s="485">
        <f t="shared" si="7"/>
        <v>0</v>
      </c>
      <c r="CW95" s="499">
        <f t="shared" si="8"/>
        <v>9</v>
      </c>
      <c r="CX95" s="475">
        <f t="shared" si="9"/>
        <v>0</v>
      </c>
      <c r="CY95" s="477"/>
      <c r="CZ95" s="469"/>
    </row>
    <row r="96" spans="1:104" ht="15" thickTop="1" thickBot="1">
      <c r="A96" s="534" t="s">
        <v>437</v>
      </c>
      <c r="B96" s="372" t="str">
        <f>IFERROR(VLOOKUP(ParticipationAvril1[[#This Row],[Référence]],ListeÉtudiants1[],18,FALSE),"")</f>
        <v>LIGER MARION</v>
      </c>
      <c r="C96" s="510"/>
      <c r="D96" s="510"/>
      <c r="E96" s="510"/>
      <c r="F96" s="510"/>
      <c r="G96" s="510"/>
      <c r="H96" s="510" t="s">
        <v>637</v>
      </c>
      <c r="I96" s="510"/>
      <c r="J96" s="510"/>
      <c r="K96" s="510"/>
      <c r="L96" s="510" t="s">
        <v>108</v>
      </c>
      <c r="M96" s="510"/>
      <c r="N96" s="510" t="s">
        <v>507</v>
      </c>
      <c r="O96" s="510"/>
      <c r="P96" s="510"/>
      <c r="Q96" s="510"/>
      <c r="R96" s="510"/>
      <c r="S96" s="510"/>
      <c r="T96" s="510"/>
      <c r="U96" s="510"/>
      <c r="V96" s="510"/>
      <c r="W96" s="510"/>
      <c r="X96" s="510"/>
      <c r="Y96" s="510"/>
      <c r="Z96" s="510"/>
      <c r="AA96" s="510"/>
      <c r="AB96" s="510"/>
      <c r="AC96" s="510"/>
      <c r="AD96" s="510"/>
      <c r="AE96" s="510"/>
      <c r="AF96" s="444"/>
      <c r="AG96" s="441"/>
      <c r="AH96" s="439">
        <f>COUNTIF(ParticipationAvril1[[#This Row],[1]:[30]],Code1)</f>
        <v>0</v>
      </c>
      <c r="AI96" s="435">
        <f>COUNTIF(ParticipationAvril1[[#This Row],[1]:[30]],code22)</f>
        <v>0</v>
      </c>
      <c r="AJ96" s="439">
        <f>COUNTIF(ParticipationAvril1[[#This Row],[1]:[30]],Code2)</f>
        <v>0</v>
      </c>
      <c r="AK96" s="439">
        <f>COUNTIF(ParticipationAvril1[[#This Row],[1]:[30]],Code3)</f>
        <v>0</v>
      </c>
      <c r="AL96" s="439">
        <f>COUNTIF(ParticipationAvril1[[#This Row],[1]:[30]],Code4)</f>
        <v>0</v>
      </c>
      <c r="AM96" s="435">
        <f>COUNTIF(ParticipationAvril1[[#This Row],[1]:[30]],Code5)</f>
        <v>0</v>
      </c>
      <c r="AN96" s="435">
        <f>COUNTIF(ParticipationAvril1[[#This Row],[1]:[30]],Code23)</f>
        <v>0</v>
      </c>
      <c r="AO96" s="435">
        <f>COUNTIF(ParticipationAvril1[[#This Row],[1]:[30]],Code6)</f>
        <v>1</v>
      </c>
      <c r="AP96" s="435">
        <f>COUNTIF(ParticipationAvril1[[#This Row],[1]:[30]],Code7)</f>
        <v>0</v>
      </c>
      <c r="AQ96" s="435">
        <f>COUNTIF(ParticipationAvril1[[#This Row],[1]:[30]],Code8)</f>
        <v>0</v>
      </c>
      <c r="AR96" s="435">
        <f>COUNTIF(ParticipationAvril1[[#This Row],[1]:[30]],Code9)</f>
        <v>0</v>
      </c>
      <c r="AS96" s="435">
        <f>COUNTIF(ParticipationAvril1[[#This Row],[1]:[30]],Code10)</f>
        <v>0</v>
      </c>
      <c r="AT96" s="435">
        <f>COUNTIF(ParticipationAvril1[[#This Row],[1]:[30]],Code11)</f>
        <v>0</v>
      </c>
      <c r="AU96" s="435">
        <f>COUNTIF(ParticipationAvril1[[#This Row],[1]:[30]],Code12)</f>
        <v>0</v>
      </c>
      <c r="AV96" s="435">
        <f>COUNTIF(ParticipationAvril1[[#This Row],[1]:[30]],Code13)</f>
        <v>0</v>
      </c>
      <c r="AW96" s="435">
        <f>COUNTIF(ParticipationAvril1[[#This Row],[1]:[30]],Code14)</f>
        <v>0</v>
      </c>
      <c r="AX96" s="435">
        <f>COUNTIF(ParticipationAvril1[[#This Row],[1]:[30]],Code16)</f>
        <v>0</v>
      </c>
      <c r="AY96" s="435">
        <f>COUNTIF(ParticipationAvril1[[#This Row],[1]:[30]],Code15)</f>
        <v>0</v>
      </c>
      <c r="AZ96" s="435">
        <f>COUNTIF(ParticipationAvril1[[#This Row],[1]:[30]],Code17)</f>
        <v>0</v>
      </c>
      <c r="BA96" s="435">
        <f>COUNTIF(ParticipationAvril1[[#This Row],[1]:[30]],Code25)</f>
        <v>0</v>
      </c>
      <c r="BB96" s="435">
        <f>COUNTIF(ParticipationAvril1[[#This Row],[1]:[30]],Code26)</f>
        <v>0</v>
      </c>
      <c r="BC96" s="435">
        <f>COUNTIF(ParticipationAvril1[[#This Row],[1]:[30]],Code27)</f>
        <v>0</v>
      </c>
      <c r="BD96" s="435">
        <f>COUNTIF(ParticipationAvril1[[#This Row],[1]:[30]],Code28)</f>
        <v>0</v>
      </c>
      <c r="BE96" s="435">
        <f>COUNTIF(ParticipationAvril1[[#This Row],[1]:[30]],code30)</f>
        <v>1</v>
      </c>
      <c r="BF96" s="435">
        <f>COUNTIF(ParticipationAvril1[[#This Row],[1]:[30]],Code31)</f>
        <v>0</v>
      </c>
      <c r="BG96" s="435">
        <f>COUNTIF(ParticipationAvril1[[#This Row],[1]:[30]],code21)</f>
        <v>1</v>
      </c>
      <c r="BH96" s="435">
        <f>COUNTIF(ParticipationAvril1[[#This Row],[1]:[30]],Code24)</f>
        <v>0</v>
      </c>
      <c r="BI96" s="435">
        <f>COUNTIF(ParticipationAvril1[[#This Row],[1]:[30]],code18)</f>
        <v>0</v>
      </c>
      <c r="BJ96" s="435">
        <f>COUNTIF(ParticipationAvril1[[#This Row],[1]:[30]],code19)</f>
        <v>0</v>
      </c>
      <c r="BK96" s="435">
        <f>COUNTIF(ParticipationAvril1[[#This Row],[1]:[30]],code20)</f>
        <v>0</v>
      </c>
      <c r="BL96" s="436">
        <f>COUNTIF(ParticipationAvril1[[#This Row],[1]:[30]],code29)</f>
        <v>0</v>
      </c>
      <c r="BM96" s="297"/>
      <c r="BN96" s="297">
        <v>1</v>
      </c>
      <c r="BO96" s="297"/>
      <c r="BP96" s="297"/>
      <c r="BQ96" s="297"/>
      <c r="BR96" s="297"/>
      <c r="BS96" s="297"/>
      <c r="BT96" s="297">
        <v>1</v>
      </c>
      <c r="BU96" s="297"/>
      <c r="BV96" s="297"/>
      <c r="BW96" s="297">
        <v>1</v>
      </c>
      <c r="BX96" s="297"/>
      <c r="BY96" s="297"/>
      <c r="BZ96" s="297"/>
      <c r="CA96" s="297"/>
      <c r="CB96" s="297">
        <v>2</v>
      </c>
      <c r="CC96" s="297"/>
      <c r="CD96" s="297"/>
      <c r="CE96" s="297"/>
      <c r="CF96" s="297"/>
      <c r="CG96" s="297"/>
      <c r="CH96" s="297"/>
      <c r="CI96" s="297"/>
      <c r="CJ96" s="297"/>
      <c r="CK96" s="297"/>
      <c r="CL96" s="297"/>
      <c r="CM96" s="297"/>
      <c r="CN96" s="297"/>
      <c r="CO96" s="297"/>
      <c r="CP96" s="297"/>
      <c r="CQ96" s="297"/>
      <c r="CR96" s="297"/>
      <c r="CS96" s="297"/>
      <c r="CT96" s="297"/>
      <c r="CU96" s="300"/>
      <c r="CV96" s="485">
        <f t="shared" si="7"/>
        <v>5</v>
      </c>
      <c r="CW96" s="499">
        <f t="shared" si="8"/>
        <v>6</v>
      </c>
      <c r="CX96" s="331">
        <f t="shared" si="9"/>
        <v>0</v>
      </c>
      <c r="CY96" s="438"/>
      <c r="CZ96" s="510"/>
    </row>
    <row r="97" spans="1:104" ht="15" thickTop="1" thickBot="1">
      <c r="A97" s="534" t="s">
        <v>438</v>
      </c>
      <c r="B97" s="162" t="str">
        <f>IFERROR(VLOOKUP(ParticipationAvril1[[#This Row],[Référence]],ListeÉtudiants1[],18,FALSE),"")</f>
        <v>MARCHAL RAPHAEL</v>
      </c>
      <c r="C97" s="471"/>
      <c r="D97" s="471"/>
      <c r="E97" s="471"/>
      <c r="F97" s="471"/>
      <c r="G97" s="471"/>
      <c r="H97" s="471"/>
      <c r="I97" s="471"/>
      <c r="J97" s="471"/>
      <c r="K97" s="471"/>
      <c r="L97" s="471"/>
      <c r="M97" s="471" t="s">
        <v>108</v>
      </c>
      <c r="N97" s="471"/>
      <c r="O97" s="471"/>
      <c r="P97" s="471"/>
      <c r="Q97" s="471"/>
      <c r="R97" s="471"/>
      <c r="S97" s="471"/>
      <c r="T97" s="471"/>
      <c r="U97" s="471"/>
      <c r="V97" s="471"/>
      <c r="W97" s="471"/>
      <c r="X97" s="471"/>
      <c r="Y97" s="471"/>
      <c r="Z97" s="471"/>
      <c r="AA97" s="471"/>
      <c r="AB97" s="471"/>
      <c r="AC97" s="471"/>
      <c r="AD97" s="471"/>
      <c r="AE97" s="471"/>
      <c r="AF97" s="471"/>
      <c r="AG97" s="478"/>
      <c r="AH97" s="471">
        <f>COUNTIF(ParticipationAvril1[[#This Row],[1]:[30]],Code1)</f>
        <v>0</v>
      </c>
      <c r="AI97" s="475">
        <f>COUNTIF(ParticipationAvril1[[#This Row],[1]:[30]],code22)</f>
        <v>0</v>
      </c>
      <c r="AJ97" s="471">
        <f>COUNTIF(ParticipationAvril1[[#This Row],[1]:[30]],Code2)</f>
        <v>0</v>
      </c>
      <c r="AK97" s="471">
        <f>COUNTIF(ParticipationAvril1[[#This Row],[1]:[30]],Code3)</f>
        <v>0</v>
      </c>
      <c r="AL97" s="471">
        <f>COUNTIF(ParticipationAvril1[[#This Row],[1]:[30]],Code4)</f>
        <v>0</v>
      </c>
      <c r="AM97" s="475">
        <f>COUNTIF(ParticipationAvril1[[#This Row],[1]:[30]],Code5)</f>
        <v>0</v>
      </c>
      <c r="AN97" s="475">
        <f>COUNTIF(ParticipationAvril1[[#This Row],[1]:[30]],Code23)</f>
        <v>0</v>
      </c>
      <c r="AO97" s="475">
        <f>COUNTIF(ParticipationAvril1[[#This Row],[1]:[30]],Code6)</f>
        <v>1</v>
      </c>
      <c r="AP97" s="475">
        <f>COUNTIF(ParticipationAvril1[[#This Row],[1]:[30]],Code7)</f>
        <v>0</v>
      </c>
      <c r="AQ97" s="475">
        <f>COUNTIF(ParticipationAvril1[[#This Row],[1]:[30]],Code8)</f>
        <v>0</v>
      </c>
      <c r="AR97" s="475">
        <f>COUNTIF(ParticipationAvril1[[#This Row],[1]:[30]],Code9)</f>
        <v>0</v>
      </c>
      <c r="AS97" s="475">
        <f>COUNTIF(ParticipationAvril1[[#This Row],[1]:[30]],Code10)</f>
        <v>0</v>
      </c>
      <c r="AT97" s="475">
        <f>COUNTIF(ParticipationAvril1[[#This Row],[1]:[30]],Code11)</f>
        <v>0</v>
      </c>
      <c r="AU97" s="475">
        <f>COUNTIF(ParticipationAvril1[[#This Row],[1]:[30]],Code12)</f>
        <v>0</v>
      </c>
      <c r="AV97" s="475">
        <f>COUNTIF(ParticipationAvril1[[#This Row],[1]:[30]],Code13)</f>
        <v>0</v>
      </c>
      <c r="AW97" s="475">
        <f>COUNTIF(ParticipationAvril1[[#This Row],[1]:[30]],Code14)</f>
        <v>0</v>
      </c>
      <c r="AX97" s="475">
        <f>COUNTIF(ParticipationAvril1[[#This Row],[1]:[30]],Code16)</f>
        <v>0</v>
      </c>
      <c r="AY97" s="475">
        <f>COUNTIF(ParticipationAvril1[[#This Row],[1]:[30]],Code15)</f>
        <v>0</v>
      </c>
      <c r="AZ97" s="475">
        <f>COUNTIF(ParticipationAvril1[[#This Row],[1]:[30]],Code17)</f>
        <v>0</v>
      </c>
      <c r="BA97" s="475">
        <f>COUNTIF(ParticipationAvril1[[#This Row],[1]:[30]],Code25)</f>
        <v>0</v>
      </c>
      <c r="BB97" s="475">
        <f>COUNTIF(ParticipationAvril1[[#This Row],[1]:[30]],Code26)</f>
        <v>0</v>
      </c>
      <c r="BC97" s="475">
        <f>COUNTIF(ParticipationAvril1[[#This Row],[1]:[30]],Code27)</f>
        <v>0</v>
      </c>
      <c r="BD97" s="475">
        <f>COUNTIF(ParticipationAvril1[[#This Row],[1]:[30]],Code28)</f>
        <v>0</v>
      </c>
      <c r="BE97" s="475">
        <f>COUNTIF(ParticipationAvril1[[#This Row],[1]:[30]],code30)</f>
        <v>0</v>
      </c>
      <c r="BF97" s="475">
        <f>COUNTIF(ParticipationAvril1[[#This Row],[1]:[30]],Code31)</f>
        <v>0</v>
      </c>
      <c r="BG97" s="475">
        <f>COUNTIF(ParticipationAvril1[[#This Row],[1]:[30]],code21)</f>
        <v>0</v>
      </c>
      <c r="BH97" s="475">
        <f>COUNTIF(ParticipationAvril1[[#This Row],[1]:[30]],Code24)</f>
        <v>0</v>
      </c>
      <c r="BI97" s="475">
        <f>COUNTIF(ParticipationAvril1[[#This Row],[1]:[30]],code18)</f>
        <v>0</v>
      </c>
      <c r="BJ97" s="475">
        <f>COUNTIF(ParticipationAvril1[[#This Row],[1]:[30]],code19)</f>
        <v>0</v>
      </c>
      <c r="BK97" s="475">
        <f>COUNTIF(ParticipationAvril1[[#This Row],[1]:[30]],code20)</f>
        <v>0</v>
      </c>
      <c r="BL97" s="476">
        <f>COUNTIF(ParticipationAvril1[[#This Row],[1]:[30]],code29)</f>
        <v>0</v>
      </c>
      <c r="BM97" s="472"/>
      <c r="BN97" s="472">
        <v>1</v>
      </c>
      <c r="BO97" s="472"/>
      <c r="BP97" s="472"/>
      <c r="BQ97" s="472"/>
      <c r="BR97" s="472"/>
      <c r="BS97" s="472"/>
      <c r="BT97" s="472"/>
      <c r="BU97" s="472"/>
      <c r="BV97" s="472"/>
      <c r="BW97" s="472"/>
      <c r="BX97" s="472"/>
      <c r="BY97" s="472"/>
      <c r="BZ97" s="472"/>
      <c r="CA97" s="472"/>
      <c r="CB97" s="472"/>
      <c r="CC97" s="472"/>
      <c r="CD97" s="472"/>
      <c r="CE97" s="472"/>
      <c r="CF97" s="472"/>
      <c r="CG97" s="472"/>
      <c r="CH97" s="472"/>
      <c r="CI97" s="472"/>
      <c r="CJ97" s="472"/>
      <c r="CK97" s="472"/>
      <c r="CL97" s="472"/>
      <c r="CM97" s="472"/>
      <c r="CN97" s="472"/>
      <c r="CO97" s="472"/>
      <c r="CP97" s="472"/>
      <c r="CQ97" s="472"/>
      <c r="CR97" s="472"/>
      <c r="CS97" s="473"/>
      <c r="CT97" s="473"/>
      <c r="CU97" s="300"/>
      <c r="CV97" s="485">
        <f t="shared" si="7"/>
        <v>0</v>
      </c>
      <c r="CW97" s="499">
        <f t="shared" si="8"/>
        <v>3</v>
      </c>
      <c r="CX97" s="475">
        <f t="shared" si="9"/>
        <v>0</v>
      </c>
      <c r="CY97" s="477"/>
      <c r="CZ97" s="469"/>
    </row>
    <row r="98" spans="1:104" ht="15" thickTop="1" thickBot="1">
      <c r="A98" s="510" t="s">
        <v>439</v>
      </c>
      <c r="B98" s="162" t="str">
        <f>IFERROR(VLOOKUP(ParticipationAvril1[[#This Row],[Référence]],ListeÉtudiants1[],18,FALSE),"")</f>
        <v>MARIE-ANAIS OLIVIER</v>
      </c>
      <c r="C98" s="19"/>
      <c r="D98" s="19"/>
      <c r="E98" s="19"/>
      <c r="F98" s="19" t="s">
        <v>108</v>
      </c>
      <c r="G98" s="19"/>
      <c r="H98" s="19" t="s">
        <v>35</v>
      </c>
      <c r="I98" s="19"/>
      <c r="J98" s="19"/>
      <c r="K98" s="19"/>
      <c r="L98" s="19" t="s">
        <v>108</v>
      </c>
      <c r="M98" s="19" t="s">
        <v>108</v>
      </c>
      <c r="N98" s="19"/>
      <c r="O98" s="19"/>
      <c r="P98" s="19"/>
      <c r="Q98" s="19"/>
      <c r="R98" s="19"/>
      <c r="S98" s="19"/>
      <c r="T98" s="19"/>
      <c r="U98" s="19"/>
      <c r="V98" s="19"/>
      <c r="W98" s="19"/>
      <c r="X98" s="19"/>
      <c r="Y98" s="19"/>
      <c r="Z98" s="19"/>
      <c r="AA98" s="19"/>
      <c r="AB98" s="19"/>
      <c r="AC98" s="19"/>
      <c r="AD98" s="19"/>
      <c r="AE98" s="19"/>
      <c r="AF98" s="19"/>
      <c r="AG98" s="441"/>
      <c r="AH98" s="6">
        <f>COUNTIF(ParticipationAvril1[[#This Row],[1]:[30]],Code1)</f>
        <v>0</v>
      </c>
      <c r="AI98" s="331">
        <f>COUNTIF(ParticipationAvril1[[#This Row],[1]:[30]],code22)</f>
        <v>0</v>
      </c>
      <c r="AJ98" s="6">
        <f>COUNTIF(ParticipationAvril1[[#This Row],[1]:[30]],Code2)</f>
        <v>0</v>
      </c>
      <c r="AK98" s="6">
        <f>COUNTIF(ParticipationAvril1[[#This Row],[1]:[30]],Code3)</f>
        <v>0</v>
      </c>
      <c r="AL98" s="6">
        <f>COUNTIF(ParticipationAvril1[[#This Row],[1]:[30]],Code4)</f>
        <v>0</v>
      </c>
      <c r="AM98" s="331">
        <f>COUNTIF(ParticipationAvril1[[#This Row],[1]:[30]],Code5)</f>
        <v>1</v>
      </c>
      <c r="AN98" s="331">
        <f>COUNTIF(ParticipationAvril1[[#This Row],[1]:[30]],Code23)</f>
        <v>0</v>
      </c>
      <c r="AO98" s="331">
        <f>COUNTIF(ParticipationAvril1[[#This Row],[1]:[30]],Code6)</f>
        <v>3</v>
      </c>
      <c r="AP98" s="331">
        <f>COUNTIF(ParticipationAvril1[[#This Row],[1]:[30]],Code7)</f>
        <v>0</v>
      </c>
      <c r="AQ98" s="331">
        <f>COUNTIF(ParticipationAvril1[[#This Row],[1]:[30]],Code8)</f>
        <v>0</v>
      </c>
      <c r="AR98" s="331">
        <f>COUNTIF(ParticipationAvril1[[#This Row],[1]:[30]],Code9)</f>
        <v>0</v>
      </c>
      <c r="AS98" s="331">
        <f>COUNTIF(ParticipationAvril1[[#This Row],[1]:[30]],Code10)</f>
        <v>0</v>
      </c>
      <c r="AT98" s="331">
        <f>COUNTIF(ParticipationAvril1[[#This Row],[1]:[30]],Code11)</f>
        <v>0</v>
      </c>
      <c r="AU98" s="331">
        <f>COUNTIF(ParticipationAvril1[[#This Row],[1]:[30]],Code12)</f>
        <v>0</v>
      </c>
      <c r="AV98" s="331">
        <f>COUNTIF(ParticipationAvril1[[#This Row],[1]:[30]],Code13)</f>
        <v>0</v>
      </c>
      <c r="AW98" s="331">
        <f>COUNTIF(ParticipationAvril1[[#This Row],[1]:[30]],Code14)</f>
        <v>0</v>
      </c>
      <c r="AX98" s="331">
        <f>COUNTIF(ParticipationAvril1[[#This Row],[1]:[30]],Code16)</f>
        <v>0</v>
      </c>
      <c r="AY98" s="331">
        <f>COUNTIF(ParticipationAvril1[[#This Row],[1]:[30]],Code15)</f>
        <v>0</v>
      </c>
      <c r="AZ98" s="331">
        <f>COUNTIF(ParticipationAvril1[[#This Row],[1]:[30]],Code17)</f>
        <v>0</v>
      </c>
      <c r="BA98" s="331">
        <f>COUNTIF(ParticipationAvril1[[#This Row],[1]:[30]],Code25)</f>
        <v>0</v>
      </c>
      <c r="BB98" s="331">
        <f>COUNTIF(ParticipationAvril1[[#This Row],[1]:[30]],Code26)</f>
        <v>0</v>
      </c>
      <c r="BC98" s="435">
        <f>COUNTIF(ParticipationAvril1[[#This Row],[1]:[30]],Code27)</f>
        <v>0</v>
      </c>
      <c r="BD98" s="331">
        <f>COUNTIF(ParticipationAvril1[[#This Row],[1]:[30]],Code28)</f>
        <v>0</v>
      </c>
      <c r="BE98" s="331">
        <f>COUNTIF(ParticipationAvril1[[#This Row],[1]:[30]],code30)</f>
        <v>0</v>
      </c>
      <c r="BF98" s="331">
        <f>COUNTIF(ParticipationAvril1[[#This Row],[1]:[30]],Code31)</f>
        <v>0</v>
      </c>
      <c r="BG98" s="331">
        <f>COUNTIF(ParticipationAvril1[[#This Row],[1]:[30]],code21)</f>
        <v>0</v>
      </c>
      <c r="BH98" s="331">
        <f>COUNTIF(ParticipationAvril1[[#This Row],[1]:[30]],Code24)</f>
        <v>0</v>
      </c>
      <c r="BI98" s="331">
        <f>COUNTIF(ParticipationAvril1[[#This Row],[1]:[30]],code18)</f>
        <v>0</v>
      </c>
      <c r="BJ98" s="331">
        <f>COUNTIF(ParticipationAvril1[[#This Row],[1]:[30]],code19)</f>
        <v>0</v>
      </c>
      <c r="BK98" s="331">
        <f>COUNTIF(ParticipationAvril1[[#This Row],[1]:[30]],code20)</f>
        <v>0</v>
      </c>
      <c r="BL98" s="436">
        <f>COUNTIF(ParticipationAvril1[[#This Row],[1]:[30]],code29)</f>
        <v>0</v>
      </c>
      <c r="BM98" s="297"/>
      <c r="BN98" s="297">
        <v>2</v>
      </c>
      <c r="BO98" s="297"/>
      <c r="BP98" s="297"/>
      <c r="BQ98" s="297"/>
      <c r="BR98" s="297"/>
      <c r="BS98" s="297"/>
      <c r="BT98" s="297">
        <v>2</v>
      </c>
      <c r="BU98" s="297"/>
      <c r="BV98" s="297"/>
      <c r="BW98" s="297"/>
      <c r="BX98" s="297"/>
      <c r="BY98" s="297"/>
      <c r="BZ98" s="297"/>
      <c r="CA98" s="297"/>
      <c r="CB98" s="297"/>
      <c r="CC98" s="297"/>
      <c r="CD98" s="297"/>
      <c r="CE98" s="297"/>
      <c r="CF98" s="297"/>
      <c r="CG98" s="297"/>
      <c r="CH98" s="297"/>
      <c r="CI98" s="297"/>
      <c r="CJ98" s="297"/>
      <c r="CK98" s="297"/>
      <c r="CL98" s="297"/>
      <c r="CM98" s="297"/>
      <c r="CN98" s="297"/>
      <c r="CO98" s="297"/>
      <c r="CP98" s="297"/>
      <c r="CQ98" s="297"/>
      <c r="CR98" s="297"/>
      <c r="CS98" s="307"/>
      <c r="CT98" s="307"/>
      <c r="CU98" s="300"/>
      <c r="CV98" s="485">
        <f t="shared" si="7"/>
        <v>0</v>
      </c>
      <c r="CW98" s="499">
        <f t="shared" si="8"/>
        <v>11</v>
      </c>
      <c r="CX98" s="331">
        <f t="shared" si="9"/>
        <v>0</v>
      </c>
      <c r="CY98" s="438"/>
    </row>
    <row r="99" spans="1:104" ht="15" thickTop="1" thickBot="1">
      <c r="A99" s="510" t="s">
        <v>440</v>
      </c>
      <c r="B99" s="162" t="str">
        <f>IFERROR(VLOOKUP(ParticipationAvril1[[#This Row],[Référence]],ListeÉtudiants1[],18,FALSE),"")</f>
        <v>MATEUS ANDREA</v>
      </c>
      <c r="C99" s="19"/>
      <c r="D99" s="19"/>
      <c r="E99" s="19"/>
      <c r="F99" s="19" t="s">
        <v>108</v>
      </c>
      <c r="G99" s="19"/>
      <c r="H99" s="19" t="s">
        <v>35</v>
      </c>
      <c r="I99" s="19"/>
      <c r="J99" s="19"/>
      <c r="K99" s="19" t="s">
        <v>108</v>
      </c>
      <c r="L99" s="19" t="s">
        <v>108</v>
      </c>
      <c r="M99" s="19" t="s">
        <v>487</v>
      </c>
      <c r="N99" s="19" t="s">
        <v>106</v>
      </c>
      <c r="O99" s="19"/>
      <c r="P99" s="19"/>
      <c r="Q99" s="19"/>
      <c r="R99" s="19"/>
      <c r="S99" s="19"/>
      <c r="T99" s="19"/>
      <c r="U99" s="19"/>
      <c r="V99" s="19"/>
      <c r="W99" s="19"/>
      <c r="X99" s="19"/>
      <c r="Y99" s="19"/>
      <c r="Z99" s="19"/>
      <c r="AA99" s="19"/>
      <c r="AB99" s="19"/>
      <c r="AC99" s="19"/>
      <c r="AD99" s="19"/>
      <c r="AE99" s="19"/>
      <c r="AF99" s="19"/>
      <c r="AG99" s="441"/>
      <c r="AH99" s="6">
        <f>COUNTIF(ParticipationAvril1[[#This Row],[1]:[30]],Code1)</f>
        <v>0</v>
      </c>
      <c r="AI99" s="331">
        <f>COUNTIF(ParticipationAvril1[[#This Row],[1]:[30]],code22)</f>
        <v>0</v>
      </c>
      <c r="AJ99" s="6">
        <f>COUNTIF(ParticipationAvril1[[#This Row],[1]:[30]],Code2)</f>
        <v>0</v>
      </c>
      <c r="AK99" s="6">
        <f>COUNTIF(ParticipationAvril1[[#This Row],[1]:[30]],Code3)</f>
        <v>1</v>
      </c>
      <c r="AL99" s="6">
        <f>COUNTIF(ParticipationAvril1[[#This Row],[1]:[30]],Code4)</f>
        <v>0</v>
      </c>
      <c r="AM99" s="331">
        <f>COUNTIF(ParticipationAvril1[[#This Row],[1]:[30]],Code5)</f>
        <v>1</v>
      </c>
      <c r="AN99" s="331">
        <f>COUNTIF(ParticipationAvril1[[#This Row],[1]:[30]],Code23)</f>
        <v>0</v>
      </c>
      <c r="AO99" s="331">
        <f>COUNTIF(ParticipationAvril1[[#This Row],[1]:[30]],Code6)</f>
        <v>3</v>
      </c>
      <c r="AP99" s="331">
        <f>COUNTIF(ParticipationAvril1[[#This Row],[1]:[30]],Code7)</f>
        <v>0</v>
      </c>
      <c r="AQ99" s="331">
        <f>COUNTIF(ParticipationAvril1[[#This Row],[1]:[30]],Code8)</f>
        <v>0</v>
      </c>
      <c r="AR99" s="331">
        <f>COUNTIF(ParticipationAvril1[[#This Row],[1]:[30]],Code9)</f>
        <v>0</v>
      </c>
      <c r="AS99" s="331">
        <f>COUNTIF(ParticipationAvril1[[#This Row],[1]:[30]],Code10)</f>
        <v>0</v>
      </c>
      <c r="AT99" s="331">
        <f>COUNTIF(ParticipationAvril1[[#This Row],[1]:[30]],Code11)</f>
        <v>0</v>
      </c>
      <c r="AU99" s="331">
        <f>COUNTIF(ParticipationAvril1[[#This Row],[1]:[30]],Code12)</f>
        <v>1</v>
      </c>
      <c r="AV99" s="331">
        <f>COUNTIF(ParticipationAvril1[[#This Row],[1]:[30]],Code13)</f>
        <v>0</v>
      </c>
      <c r="AW99" s="331">
        <f>COUNTIF(ParticipationAvril1[[#This Row],[1]:[30]],Code14)</f>
        <v>0</v>
      </c>
      <c r="AX99" s="331">
        <f>COUNTIF(ParticipationAvril1[[#This Row],[1]:[30]],Code16)</f>
        <v>0</v>
      </c>
      <c r="AY99" s="331">
        <f>COUNTIF(ParticipationAvril1[[#This Row],[1]:[30]],Code15)</f>
        <v>0</v>
      </c>
      <c r="AZ99" s="331">
        <f>COUNTIF(ParticipationAvril1[[#This Row],[1]:[30]],Code17)</f>
        <v>0</v>
      </c>
      <c r="BA99" s="331">
        <f>COUNTIF(ParticipationAvril1[[#This Row],[1]:[30]],Code25)</f>
        <v>0</v>
      </c>
      <c r="BB99" s="331">
        <f>COUNTIF(ParticipationAvril1[[#This Row],[1]:[30]],Code26)</f>
        <v>0</v>
      </c>
      <c r="BC99" s="435">
        <f>COUNTIF(ParticipationAvril1[[#This Row],[1]:[30]],Code27)</f>
        <v>0</v>
      </c>
      <c r="BD99" s="331">
        <f>COUNTIF(ParticipationAvril1[[#This Row],[1]:[30]],Code28)</f>
        <v>0</v>
      </c>
      <c r="BE99" s="331">
        <f>COUNTIF(ParticipationAvril1[[#This Row],[1]:[30]],code30)</f>
        <v>0</v>
      </c>
      <c r="BF99" s="331">
        <f>COUNTIF(ParticipationAvril1[[#This Row],[1]:[30]],Code31)</f>
        <v>0</v>
      </c>
      <c r="BG99" s="331">
        <f>COUNTIF(ParticipationAvril1[[#This Row],[1]:[30]],code21)</f>
        <v>0</v>
      </c>
      <c r="BH99" s="331">
        <f>COUNTIF(ParticipationAvril1[[#This Row],[1]:[30]],Code24)</f>
        <v>0</v>
      </c>
      <c r="BI99" s="331">
        <f>COUNTIF(ParticipationAvril1[[#This Row],[1]:[30]],code18)</f>
        <v>0</v>
      </c>
      <c r="BJ99" s="331">
        <f>COUNTIF(ParticipationAvril1[[#This Row],[1]:[30]],code19)</f>
        <v>0</v>
      </c>
      <c r="BK99" s="331">
        <f>COUNTIF(ParticipationAvril1[[#This Row],[1]:[30]],code20)</f>
        <v>0</v>
      </c>
      <c r="BL99" s="436">
        <f>COUNTIF(ParticipationAvril1[[#This Row],[1]:[30]],code29)</f>
        <v>0</v>
      </c>
      <c r="BM99" s="297"/>
      <c r="BN99" s="297">
        <v>2</v>
      </c>
      <c r="BO99" s="297"/>
      <c r="BP99" s="297"/>
      <c r="BQ99" s="297"/>
      <c r="BR99" s="297"/>
      <c r="BS99" s="297"/>
      <c r="BT99" s="297">
        <v>2</v>
      </c>
      <c r="BU99" s="297"/>
      <c r="BV99" s="297"/>
      <c r="BW99" s="297">
        <v>1</v>
      </c>
      <c r="BX99" s="297"/>
      <c r="BY99" s="297"/>
      <c r="BZ99" s="297"/>
      <c r="CA99" s="297"/>
      <c r="CB99" s="297"/>
      <c r="CC99" s="297"/>
      <c r="CD99" s="297"/>
      <c r="CE99" s="297"/>
      <c r="CF99" s="297"/>
      <c r="CG99" s="297">
        <v>1</v>
      </c>
      <c r="CH99" s="297"/>
      <c r="CI99" s="297"/>
      <c r="CJ99" s="297"/>
      <c r="CK99" s="297">
        <v>1</v>
      </c>
      <c r="CL99" s="297"/>
      <c r="CM99" s="297"/>
      <c r="CN99" s="297"/>
      <c r="CO99" s="297"/>
      <c r="CP99" s="297"/>
      <c r="CQ99" s="297"/>
      <c r="CR99" s="297"/>
      <c r="CS99" s="307"/>
      <c r="CT99" s="307"/>
      <c r="CU99" s="300"/>
      <c r="CV99" s="485">
        <f t="shared" si="7"/>
        <v>3</v>
      </c>
      <c r="CW99" s="499">
        <f t="shared" si="8"/>
        <v>17</v>
      </c>
      <c r="CX99" s="331">
        <f t="shared" si="9"/>
        <v>0</v>
      </c>
      <c r="CY99" s="438"/>
    </row>
    <row r="100" spans="1:104" ht="15" thickTop="1" thickBot="1">
      <c r="A100" s="534" t="s">
        <v>441</v>
      </c>
      <c r="B100" s="162" t="str">
        <f>IFERROR(VLOOKUP(ParticipationAvril1[[#This Row],[Référence]],ListeÉtudiants1[],18,FALSE),"")</f>
        <v>MAWETE  JESSICA</v>
      </c>
      <c r="C100" s="202"/>
      <c r="D100" s="202"/>
      <c r="E100" s="202"/>
      <c r="F100" s="202"/>
      <c r="G100" s="202"/>
      <c r="H100" s="202"/>
      <c r="I100" s="202"/>
      <c r="J100" s="202"/>
      <c r="K100" s="202" t="s">
        <v>108</v>
      </c>
      <c r="L100" s="202"/>
      <c r="M100" s="202" t="s">
        <v>108</v>
      </c>
      <c r="N100" s="202" t="s">
        <v>527</v>
      </c>
      <c r="O100" s="202"/>
      <c r="P100" s="202"/>
      <c r="Q100" s="202"/>
      <c r="R100" s="202"/>
      <c r="S100" s="202"/>
      <c r="T100" s="202"/>
      <c r="U100" s="202"/>
      <c r="V100" s="202"/>
      <c r="W100" s="202"/>
      <c r="X100" s="202"/>
      <c r="Y100" s="202"/>
      <c r="Z100" s="202"/>
      <c r="AA100" s="202"/>
      <c r="AB100" s="202"/>
      <c r="AC100" s="202"/>
      <c r="AD100" s="202"/>
      <c r="AE100" s="202"/>
      <c r="AF100" s="559"/>
      <c r="AG100" s="340"/>
      <c r="AH100" s="202">
        <f>COUNTIF(ParticipationAvril1[[#This Row],[1]:[30]],Code1)</f>
        <v>0</v>
      </c>
      <c r="AI100" s="6">
        <f>COUNTIF(ParticipationAvril1[[#This Row],[1]:[30]],code22)</f>
        <v>1</v>
      </c>
      <c r="AJ100" s="202">
        <f>COUNTIF(ParticipationAvril1[[#This Row],[1]:[30]],Code2)</f>
        <v>0</v>
      </c>
      <c r="AK100" s="202">
        <f>COUNTIF(ParticipationAvril1[[#This Row],[1]:[30]],Code3)</f>
        <v>0</v>
      </c>
      <c r="AL100" s="202">
        <f>COUNTIF(ParticipationAvril1[[#This Row],[1]:[30]],Code4)</f>
        <v>0</v>
      </c>
      <c r="AM100" s="6">
        <f>COUNTIF(ParticipationAvril1[[#This Row],[1]:[30]],Code5)</f>
        <v>0</v>
      </c>
      <c r="AN100" s="6">
        <f>COUNTIF(ParticipationAvril1[[#This Row],[1]:[30]],Code23)</f>
        <v>0</v>
      </c>
      <c r="AO100" s="6">
        <f>COUNTIF(ParticipationAvril1[[#This Row],[1]:[30]],Code6)</f>
        <v>2</v>
      </c>
      <c r="AP100" s="6">
        <f>COUNTIF(ParticipationAvril1[[#This Row],[1]:[30]],Code7)</f>
        <v>0</v>
      </c>
      <c r="AQ100" s="6">
        <f>COUNTIF(ParticipationAvril1[[#This Row],[1]:[30]],Code8)</f>
        <v>0</v>
      </c>
      <c r="AR100" s="6">
        <f>COUNTIF(ParticipationAvril1[[#This Row],[1]:[30]],Code9)</f>
        <v>0</v>
      </c>
      <c r="AS100" s="6">
        <f>COUNTIF(ParticipationAvril1[[#This Row],[1]:[30]],Code10)</f>
        <v>0</v>
      </c>
      <c r="AT100" s="6">
        <f>COUNTIF(ParticipationAvril1[[#This Row],[1]:[30]],Code11)</f>
        <v>0</v>
      </c>
      <c r="AU100" s="6">
        <f>COUNTIF(ParticipationAvril1[[#This Row],[1]:[30]],Code12)</f>
        <v>0</v>
      </c>
      <c r="AV100" s="6">
        <f>COUNTIF(ParticipationAvril1[[#This Row],[1]:[30]],Code13)</f>
        <v>0</v>
      </c>
      <c r="AW100" s="6">
        <f>COUNTIF(ParticipationAvril1[[#This Row],[1]:[30]],Code14)</f>
        <v>0</v>
      </c>
      <c r="AX100" s="6">
        <f>COUNTIF(ParticipationAvril1[[#This Row],[1]:[30]],Code16)</f>
        <v>0</v>
      </c>
      <c r="AY100" s="6">
        <f>COUNTIF(ParticipationAvril1[[#This Row],[1]:[30]],Code15)</f>
        <v>0</v>
      </c>
      <c r="AZ100" s="6">
        <f>COUNTIF(ParticipationAvril1[[#This Row],[1]:[30]],Code17)</f>
        <v>0</v>
      </c>
      <c r="BA100" s="6">
        <f>COUNTIF(ParticipationAvril1[[#This Row],[1]:[30]],Code25)</f>
        <v>0</v>
      </c>
      <c r="BB100" s="6">
        <f>COUNTIF(ParticipationAvril1[[#This Row],[1]:[30]],Code26)</f>
        <v>0</v>
      </c>
      <c r="BC100" s="6">
        <f>COUNTIF(ParticipationAvril1[[#This Row],[1]:[30]],Code27)</f>
        <v>0</v>
      </c>
      <c r="BD100" s="6">
        <f>COUNTIF(ParticipationAvril1[[#This Row],[1]:[30]],Code28)</f>
        <v>0</v>
      </c>
      <c r="BE100" s="6">
        <f>COUNTIF(ParticipationAvril1[[#This Row],[1]:[30]],code30)</f>
        <v>0</v>
      </c>
      <c r="BF100" s="6">
        <f>COUNTIF(ParticipationAvril1[[#This Row],[1]:[30]],Code31)</f>
        <v>0</v>
      </c>
      <c r="BG100" s="6">
        <f>COUNTIF(ParticipationAvril1[[#This Row],[1]:[30]],code21)</f>
        <v>0</v>
      </c>
      <c r="BH100" s="6">
        <f>COUNTIF(ParticipationAvril1[[#This Row],[1]:[30]],Code24)</f>
        <v>0</v>
      </c>
      <c r="BI100" s="6">
        <f>COUNTIF(ParticipationAvril1[[#This Row],[1]:[30]],code18)</f>
        <v>0</v>
      </c>
      <c r="BJ100" s="6">
        <f>COUNTIF(ParticipationAvril1[[#This Row],[1]:[30]],code19)</f>
        <v>0</v>
      </c>
      <c r="BK100" s="6">
        <f>COUNTIF(ParticipationAvril1[[#This Row],[1]:[30]],code20)</f>
        <v>0</v>
      </c>
      <c r="BL100" s="182">
        <f>COUNTIF(ParticipationAvril1[[#This Row],[1]:[30]],code29)</f>
        <v>0</v>
      </c>
      <c r="BM100" s="139"/>
      <c r="BN100" s="139">
        <v>1</v>
      </c>
      <c r="BO100" s="139"/>
      <c r="BP100" s="139"/>
      <c r="BQ100" s="139"/>
      <c r="BR100" s="139"/>
      <c r="BS100" s="139"/>
      <c r="BT100" s="139"/>
      <c r="BU100" s="139"/>
      <c r="BV100" s="139"/>
      <c r="BW100" s="139">
        <v>1</v>
      </c>
      <c r="BX100" s="139"/>
      <c r="BY100" s="139"/>
      <c r="BZ100" s="139"/>
      <c r="CA100" s="139"/>
      <c r="CB100" s="139"/>
      <c r="CC100" s="139"/>
      <c r="CD100" s="139"/>
      <c r="CE100" s="139"/>
      <c r="CF100" s="139"/>
      <c r="CG100" s="139"/>
      <c r="CH100" s="139"/>
      <c r="CI100" s="139"/>
      <c r="CJ100" s="139"/>
      <c r="CK100" s="139">
        <v>1</v>
      </c>
      <c r="CL100" s="139"/>
      <c r="CM100" s="139"/>
      <c r="CN100" s="139"/>
      <c r="CO100" s="139"/>
      <c r="CP100" s="139"/>
      <c r="CQ100" s="139"/>
      <c r="CR100" s="139"/>
      <c r="CS100" s="30"/>
      <c r="CT100" s="30"/>
      <c r="CU100" s="561">
        <f>SUM((AH100*1)+(AI100*1.5)+(AJ100*2)+(AK100*4)+(AP100*5)+(AQ100*6)+(AR100*7)+(AU100*2)+(AX100*3)+(AY100*4)+(AZ100*5)+(BB100*3)+(BA100*2)+(BG100*2)+(BC100*2)+(BD100*2))</f>
        <v>1.5</v>
      </c>
      <c r="CV100" s="485">
        <f t="shared" si="7"/>
        <v>1.5</v>
      </c>
      <c r="CW100" s="563">
        <f t="shared" si="8"/>
        <v>6</v>
      </c>
      <c r="CX100" s="6">
        <f t="shared" si="9"/>
        <v>0</v>
      </c>
      <c r="CY100" s="179"/>
      <c r="CZ100" s="200"/>
    </row>
    <row r="101" spans="1:104" ht="15" thickTop="1" thickBot="1">
      <c r="A101" s="510" t="s">
        <v>442</v>
      </c>
      <c r="B101" s="162" t="str">
        <f>IFERROR(VLOOKUP(ParticipationAvril1[[#This Row],[Référence]],ListeÉtudiants1[],18,FALSE),"")</f>
        <v>MAZIERS LAURENCE</v>
      </c>
      <c r="C101" s="19"/>
      <c r="D101" s="19"/>
      <c r="E101" s="19"/>
      <c r="F101" s="19" t="s">
        <v>108</v>
      </c>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558"/>
      <c r="AG101" s="560"/>
      <c r="AH101" s="6">
        <f>COUNTIF(ParticipationAvril1[[#This Row],[1]:[30]],Code1)</f>
        <v>0</v>
      </c>
      <c r="AI101" s="331">
        <f>COUNTIF(ParticipationAvril1[[#This Row],[1]:[30]],code22)</f>
        <v>0</v>
      </c>
      <c r="AJ101" s="6">
        <f>COUNTIF(ParticipationAvril1[[#This Row],[1]:[30]],Code2)</f>
        <v>0</v>
      </c>
      <c r="AK101" s="6">
        <f>COUNTIF(ParticipationAvril1[[#This Row],[1]:[30]],Code3)</f>
        <v>0</v>
      </c>
      <c r="AL101" s="6">
        <f>COUNTIF(ParticipationAvril1[[#This Row],[1]:[30]],Code4)</f>
        <v>0</v>
      </c>
      <c r="AM101" s="331">
        <f>COUNTIF(ParticipationAvril1[[#This Row],[1]:[30]],Code5)</f>
        <v>0</v>
      </c>
      <c r="AN101" s="331">
        <f>COUNTIF(ParticipationAvril1[[#This Row],[1]:[30]],Code23)</f>
        <v>0</v>
      </c>
      <c r="AO101" s="331">
        <f>COUNTIF(ParticipationAvril1[[#This Row],[1]:[30]],Code6)</f>
        <v>1</v>
      </c>
      <c r="AP101" s="331">
        <f>COUNTIF(ParticipationAvril1[[#This Row],[1]:[30]],Code7)</f>
        <v>0</v>
      </c>
      <c r="AQ101" s="331">
        <f>COUNTIF(ParticipationAvril1[[#This Row],[1]:[30]],Code8)</f>
        <v>0</v>
      </c>
      <c r="AR101" s="331">
        <f>COUNTIF(ParticipationAvril1[[#This Row],[1]:[30]],Code9)</f>
        <v>0</v>
      </c>
      <c r="AS101" s="331">
        <f>COUNTIF(ParticipationAvril1[[#This Row],[1]:[30]],Code10)</f>
        <v>0</v>
      </c>
      <c r="AT101" s="331">
        <f>COUNTIF(ParticipationAvril1[[#This Row],[1]:[30]],Code11)</f>
        <v>0</v>
      </c>
      <c r="AU101" s="331">
        <f>COUNTIF(ParticipationAvril1[[#This Row],[1]:[30]],Code12)</f>
        <v>0</v>
      </c>
      <c r="AV101" s="331">
        <f>COUNTIF(ParticipationAvril1[[#This Row],[1]:[30]],Code13)</f>
        <v>0</v>
      </c>
      <c r="AW101" s="331">
        <f>COUNTIF(ParticipationAvril1[[#This Row],[1]:[30]],Code14)</f>
        <v>0</v>
      </c>
      <c r="AX101" s="331">
        <f>COUNTIF(ParticipationAvril1[[#This Row],[1]:[30]],Code16)</f>
        <v>0</v>
      </c>
      <c r="AY101" s="331">
        <f>COUNTIF(ParticipationAvril1[[#This Row],[1]:[30]],Code15)</f>
        <v>0</v>
      </c>
      <c r="AZ101" s="331">
        <f>COUNTIF(ParticipationAvril1[[#This Row],[1]:[30]],Code17)</f>
        <v>0</v>
      </c>
      <c r="BA101" s="331">
        <f>COUNTIF(ParticipationAvril1[[#This Row],[1]:[30]],Code25)</f>
        <v>0</v>
      </c>
      <c r="BB101" s="331">
        <f>COUNTIF(ParticipationAvril1[[#This Row],[1]:[30]],Code26)</f>
        <v>0</v>
      </c>
      <c r="BC101" s="435">
        <f>COUNTIF(ParticipationAvril1[[#This Row],[1]:[30]],Code27)</f>
        <v>0</v>
      </c>
      <c r="BD101" s="331">
        <f>COUNTIF(ParticipationAvril1[[#This Row],[1]:[30]],Code28)</f>
        <v>0</v>
      </c>
      <c r="BE101" s="331">
        <f>COUNTIF(ParticipationAvril1[[#This Row],[1]:[30]],code30)</f>
        <v>0</v>
      </c>
      <c r="BF101" s="331">
        <f>COUNTIF(ParticipationAvril1[[#This Row],[1]:[30]],Code31)</f>
        <v>0</v>
      </c>
      <c r="BG101" s="331">
        <f>COUNTIF(ParticipationAvril1[[#This Row],[1]:[30]],code21)</f>
        <v>0</v>
      </c>
      <c r="BH101" s="331">
        <f>COUNTIF(ParticipationAvril1[[#This Row],[1]:[30]],Code24)</f>
        <v>0</v>
      </c>
      <c r="BI101" s="331">
        <f>COUNTIF(ParticipationAvril1[[#This Row],[1]:[30]],code18)</f>
        <v>0</v>
      </c>
      <c r="BJ101" s="331">
        <f>COUNTIF(ParticipationAvril1[[#This Row],[1]:[30]],code19)</f>
        <v>0</v>
      </c>
      <c r="BK101" s="331">
        <f>COUNTIF(ParticipationAvril1[[#This Row],[1]:[30]],code20)</f>
        <v>0</v>
      </c>
      <c r="BL101" s="436">
        <f>COUNTIF(ParticipationAvril1[[#This Row],[1]:[30]],code29)</f>
        <v>0</v>
      </c>
      <c r="BM101" s="297"/>
      <c r="BN101" s="297"/>
      <c r="BO101" s="297"/>
      <c r="BP101" s="297"/>
      <c r="BQ101" s="297"/>
      <c r="BR101" s="297"/>
      <c r="BS101" s="297"/>
      <c r="BT101" s="297">
        <v>1</v>
      </c>
      <c r="BU101" s="297"/>
      <c r="BV101" s="297"/>
      <c r="BW101" s="297"/>
      <c r="BX101" s="297"/>
      <c r="BY101" s="297"/>
      <c r="BZ101" s="297"/>
      <c r="CA101" s="297"/>
      <c r="CB101" s="297"/>
      <c r="CC101" s="297"/>
      <c r="CD101" s="297"/>
      <c r="CE101" s="297"/>
      <c r="CF101" s="297"/>
      <c r="CG101" s="297"/>
      <c r="CH101" s="297"/>
      <c r="CI101" s="297"/>
      <c r="CJ101" s="297"/>
      <c r="CK101" s="297"/>
      <c r="CL101" s="297"/>
      <c r="CM101" s="297"/>
      <c r="CN101" s="297"/>
      <c r="CO101" s="297"/>
      <c r="CP101" s="297"/>
      <c r="CQ101" s="297"/>
      <c r="CR101" s="297"/>
      <c r="CS101" s="307"/>
      <c r="CT101" s="307"/>
      <c r="CU101" s="561"/>
      <c r="CV101" s="485">
        <f t="shared" si="7"/>
        <v>0</v>
      </c>
      <c r="CW101" s="563">
        <f t="shared" si="8"/>
        <v>3</v>
      </c>
      <c r="CX101" s="331">
        <f t="shared" si="9"/>
        <v>0</v>
      </c>
      <c r="CY101" s="438"/>
    </row>
    <row r="102" spans="1:104" ht="15" thickTop="1" thickBot="1">
      <c r="A102" s="510" t="s">
        <v>443</v>
      </c>
      <c r="B102" s="162" t="str">
        <f>IFERROR(VLOOKUP(ParticipationAvril1[[#This Row],[Référence]],ListeÉtudiants1[],18,FALSE),"")</f>
        <v>MENDES CORREIA GLADYS</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558"/>
      <c r="AG102" s="484"/>
      <c r="AH102" s="6">
        <f>COUNTIF(ParticipationAvril1[[#This Row],[1]:[30]],Code1)</f>
        <v>0</v>
      </c>
      <c r="AI102" s="475">
        <f>COUNTIF(ParticipationAvril1[[#This Row],[1]:[30]],code22)</f>
        <v>0</v>
      </c>
      <c r="AJ102" s="6">
        <f>COUNTIF(ParticipationAvril1[[#This Row],[1]:[30]],Code2)</f>
        <v>0</v>
      </c>
      <c r="AK102" s="6">
        <f>COUNTIF(ParticipationAvril1[[#This Row],[1]:[30]],Code3)</f>
        <v>0</v>
      </c>
      <c r="AL102" s="6">
        <f>COUNTIF(ParticipationAvril1[[#This Row],[1]:[30]],Code4)</f>
        <v>0</v>
      </c>
      <c r="AM102" s="475">
        <f>COUNTIF(ParticipationAvril1[[#This Row],[1]:[30]],Code5)</f>
        <v>0</v>
      </c>
      <c r="AN102" s="475">
        <f>COUNTIF(ParticipationAvril1[[#This Row],[1]:[30]],Code23)</f>
        <v>0</v>
      </c>
      <c r="AO102" s="475">
        <f>COUNTIF(ParticipationAvril1[[#This Row],[1]:[30]],Code6)</f>
        <v>0</v>
      </c>
      <c r="AP102" s="475">
        <f>COUNTIF(ParticipationAvril1[[#This Row],[1]:[30]],Code7)</f>
        <v>0</v>
      </c>
      <c r="AQ102" s="475">
        <f>COUNTIF(ParticipationAvril1[[#This Row],[1]:[30]],Code8)</f>
        <v>0</v>
      </c>
      <c r="AR102" s="475">
        <f>COUNTIF(ParticipationAvril1[[#This Row],[1]:[30]],Code9)</f>
        <v>0</v>
      </c>
      <c r="AS102" s="475">
        <f>COUNTIF(ParticipationAvril1[[#This Row],[1]:[30]],Code10)</f>
        <v>0</v>
      </c>
      <c r="AT102" s="475">
        <f>COUNTIF(ParticipationAvril1[[#This Row],[1]:[30]],Code11)</f>
        <v>0</v>
      </c>
      <c r="AU102" s="475">
        <f>COUNTIF(ParticipationAvril1[[#This Row],[1]:[30]],Code12)</f>
        <v>0</v>
      </c>
      <c r="AV102" s="475">
        <f>COUNTIF(ParticipationAvril1[[#This Row],[1]:[30]],Code13)</f>
        <v>0</v>
      </c>
      <c r="AW102" s="475">
        <f>COUNTIF(ParticipationAvril1[[#This Row],[1]:[30]],Code14)</f>
        <v>0</v>
      </c>
      <c r="AX102" s="475">
        <f>COUNTIF(ParticipationAvril1[[#This Row],[1]:[30]],Code16)</f>
        <v>0</v>
      </c>
      <c r="AY102" s="475">
        <f>COUNTIF(ParticipationAvril1[[#This Row],[1]:[30]],Code15)</f>
        <v>0</v>
      </c>
      <c r="AZ102" s="475">
        <f>COUNTIF(ParticipationAvril1[[#This Row],[1]:[30]],Code17)</f>
        <v>0</v>
      </c>
      <c r="BA102" s="475">
        <f>COUNTIF(ParticipationAvril1[[#This Row],[1]:[30]],Code25)</f>
        <v>0</v>
      </c>
      <c r="BB102" s="475">
        <f>COUNTIF(ParticipationAvril1[[#This Row],[1]:[30]],Code26)</f>
        <v>0</v>
      </c>
      <c r="BC102" s="474">
        <f>COUNTIF(ParticipationAvril1[[#This Row],[1]:[30]],Code27)</f>
        <v>0</v>
      </c>
      <c r="BD102" s="475">
        <f>COUNTIF(ParticipationAvril1[[#This Row],[1]:[30]],Code28)</f>
        <v>0</v>
      </c>
      <c r="BE102" s="475">
        <f>COUNTIF(ParticipationAvril1[[#This Row],[1]:[30]],code30)</f>
        <v>0</v>
      </c>
      <c r="BF102" s="475">
        <f>COUNTIF(ParticipationAvril1[[#This Row],[1]:[30]],Code31)</f>
        <v>0</v>
      </c>
      <c r="BG102" s="475">
        <f>COUNTIF(ParticipationAvril1[[#This Row],[1]:[30]],code21)</f>
        <v>0</v>
      </c>
      <c r="BH102" s="475">
        <f>COUNTIF(ParticipationAvril1[[#This Row],[1]:[30]],Code24)</f>
        <v>0</v>
      </c>
      <c r="BI102" s="475">
        <f>COUNTIF(ParticipationAvril1[[#This Row],[1]:[30]],code18)</f>
        <v>0</v>
      </c>
      <c r="BJ102" s="475">
        <f>COUNTIF(ParticipationAvril1[[#This Row],[1]:[30]],code19)</f>
        <v>0</v>
      </c>
      <c r="BK102" s="475">
        <f>COUNTIF(ParticipationAvril1[[#This Row],[1]:[30]],code20)</f>
        <v>0</v>
      </c>
      <c r="BL102" s="476">
        <f>COUNTIF(ParticipationAvril1[[#This Row],[1]:[30]],code29)</f>
        <v>0</v>
      </c>
      <c r="BM102" s="472"/>
      <c r="BN102" s="472"/>
      <c r="BO102" s="472"/>
      <c r="BP102" s="472"/>
      <c r="BQ102" s="472"/>
      <c r="BR102" s="472"/>
      <c r="BS102" s="472"/>
      <c r="BT102" s="472"/>
      <c r="BU102" s="472"/>
      <c r="BV102" s="472"/>
      <c r="BW102" s="472"/>
      <c r="BX102" s="472"/>
      <c r="BY102" s="472"/>
      <c r="BZ102" s="472"/>
      <c r="CA102" s="472"/>
      <c r="CB102" s="472"/>
      <c r="CC102" s="472"/>
      <c r="CD102" s="472"/>
      <c r="CE102" s="472"/>
      <c r="CF102" s="472"/>
      <c r="CG102" s="472"/>
      <c r="CH102" s="472"/>
      <c r="CI102" s="472"/>
      <c r="CJ102" s="472"/>
      <c r="CK102" s="472"/>
      <c r="CL102" s="472"/>
      <c r="CM102" s="472"/>
      <c r="CN102" s="472"/>
      <c r="CO102" s="472"/>
      <c r="CP102" s="472"/>
      <c r="CQ102" s="472"/>
      <c r="CR102" s="472"/>
      <c r="CS102" s="473"/>
      <c r="CT102" s="473"/>
      <c r="CU102" s="554">
        <f>SUM((AH102*1)+(AI102*1.5)+(AJ102*2)+(AK102*4)+(AP102*5)+(AQ102*6)+(AR102*7)+(AU102*2)+(AX102*3)+(AY102*4)+(AZ102*5)+(BB102*3)+(BA102*2)+(BG102*2)+(BC102*2)+(BD102*2))</f>
        <v>0</v>
      </c>
      <c r="CV102" s="555">
        <f t="shared" si="7"/>
        <v>0</v>
      </c>
      <c r="CW102" s="556">
        <f t="shared" si="8"/>
        <v>0</v>
      </c>
      <c r="CX102" s="475">
        <f t="shared" si="9"/>
        <v>0</v>
      </c>
      <c r="CY102" s="477"/>
    </row>
    <row r="103" spans="1:104" ht="15" thickTop="1" thickBot="1">
      <c r="A103" s="534" t="s">
        <v>444</v>
      </c>
      <c r="B103" s="162" t="str">
        <f>IFERROR(VLOOKUP(ParticipationAvril1[[#This Row],[Référence]],ListeÉtudiants1[],18,FALSE),"")</f>
        <v>MITRAN IONELA</v>
      </c>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478"/>
      <c r="AH103" s="6">
        <f>COUNTIF(ParticipationAvril1[[#This Row],[1]:[30]],Code1)</f>
        <v>0</v>
      </c>
      <c r="AI103" s="475">
        <f>COUNTIF(ParticipationAvril1[[#This Row],[1]:[30]],code22)</f>
        <v>0</v>
      </c>
      <c r="AJ103" s="6">
        <f>COUNTIF(ParticipationAvril1[[#This Row],[1]:[30]],Code2)</f>
        <v>0</v>
      </c>
      <c r="AK103" s="6">
        <f>COUNTIF(ParticipationAvril1[[#This Row],[1]:[30]],Code3)</f>
        <v>0</v>
      </c>
      <c r="AL103" s="6">
        <f>COUNTIF(ParticipationAvril1[[#This Row],[1]:[30]],Code4)</f>
        <v>0</v>
      </c>
      <c r="AM103" s="475">
        <f>COUNTIF(ParticipationAvril1[[#This Row],[1]:[30]],Code5)</f>
        <v>0</v>
      </c>
      <c r="AN103" s="475">
        <f>COUNTIF(ParticipationAvril1[[#This Row],[1]:[30]],Code23)</f>
        <v>0</v>
      </c>
      <c r="AO103" s="475">
        <f>COUNTIF(ParticipationAvril1[[#This Row],[1]:[30]],Code6)</f>
        <v>0</v>
      </c>
      <c r="AP103" s="475">
        <f>COUNTIF(ParticipationAvril1[[#This Row],[1]:[30]],Code7)</f>
        <v>0</v>
      </c>
      <c r="AQ103" s="475">
        <f>COUNTIF(ParticipationAvril1[[#This Row],[1]:[30]],Code8)</f>
        <v>0</v>
      </c>
      <c r="AR103" s="475">
        <f>COUNTIF(ParticipationAvril1[[#This Row],[1]:[30]],Code9)</f>
        <v>0</v>
      </c>
      <c r="AS103" s="475">
        <f>COUNTIF(ParticipationAvril1[[#This Row],[1]:[30]],Code10)</f>
        <v>0</v>
      </c>
      <c r="AT103" s="475">
        <f>COUNTIF(ParticipationAvril1[[#This Row],[1]:[30]],Code11)</f>
        <v>0</v>
      </c>
      <c r="AU103" s="475">
        <f>COUNTIF(ParticipationAvril1[[#This Row],[1]:[30]],Code12)</f>
        <v>0</v>
      </c>
      <c r="AV103" s="475">
        <f>COUNTIF(ParticipationAvril1[[#This Row],[1]:[30]],Code13)</f>
        <v>0</v>
      </c>
      <c r="AW103" s="475">
        <f>COUNTIF(ParticipationAvril1[[#This Row],[1]:[30]],Code14)</f>
        <v>0</v>
      </c>
      <c r="AX103" s="475">
        <f>COUNTIF(ParticipationAvril1[[#This Row],[1]:[30]],Code16)</f>
        <v>0</v>
      </c>
      <c r="AY103" s="475">
        <f>COUNTIF(ParticipationAvril1[[#This Row],[1]:[30]],Code15)</f>
        <v>0</v>
      </c>
      <c r="AZ103" s="475">
        <f>COUNTIF(ParticipationAvril1[[#This Row],[1]:[30]],Code17)</f>
        <v>0</v>
      </c>
      <c r="BA103" s="475">
        <f>COUNTIF(ParticipationAvril1[[#This Row],[1]:[30]],Code25)</f>
        <v>0</v>
      </c>
      <c r="BB103" s="475">
        <f>COUNTIF(ParticipationAvril1[[#This Row],[1]:[30]],Code26)</f>
        <v>0</v>
      </c>
      <c r="BC103" s="474">
        <f>COUNTIF(ParticipationAvril1[[#This Row],[1]:[30]],Code27)</f>
        <v>0</v>
      </c>
      <c r="BD103" s="475">
        <f>COUNTIF(ParticipationAvril1[[#This Row],[1]:[30]],Code28)</f>
        <v>0</v>
      </c>
      <c r="BE103" s="475">
        <f>COUNTIF(ParticipationAvril1[[#This Row],[1]:[30]],code30)</f>
        <v>0</v>
      </c>
      <c r="BF103" s="475">
        <f>COUNTIF(ParticipationAvril1[[#This Row],[1]:[30]],Code31)</f>
        <v>0</v>
      </c>
      <c r="BG103" s="475">
        <f>COUNTIF(ParticipationAvril1[[#This Row],[1]:[30]],code21)</f>
        <v>0</v>
      </c>
      <c r="BH103" s="475">
        <f>COUNTIF(ParticipationAvril1[[#This Row],[1]:[30]],Code24)</f>
        <v>0</v>
      </c>
      <c r="BI103" s="475">
        <f>COUNTIF(ParticipationAvril1[[#This Row],[1]:[30]],code18)</f>
        <v>0</v>
      </c>
      <c r="BJ103" s="475">
        <f>COUNTIF(ParticipationAvril1[[#This Row],[1]:[30]],code19)</f>
        <v>0</v>
      </c>
      <c r="BK103" s="475">
        <f>COUNTIF(ParticipationAvril1[[#This Row],[1]:[30]],code20)</f>
        <v>0</v>
      </c>
      <c r="BL103" s="476">
        <f>COUNTIF(ParticipationAvril1[[#This Row],[1]:[30]],code29)</f>
        <v>0</v>
      </c>
      <c r="BM103" s="472"/>
      <c r="BN103" s="472"/>
      <c r="BO103" s="472"/>
      <c r="BP103" s="472"/>
      <c r="BQ103" s="472"/>
      <c r="BR103" s="472"/>
      <c r="BS103" s="472"/>
      <c r="BT103" s="472"/>
      <c r="BU103" s="472"/>
      <c r="BV103" s="472"/>
      <c r="BW103" s="472"/>
      <c r="BX103" s="472"/>
      <c r="BY103" s="472"/>
      <c r="BZ103" s="472"/>
      <c r="CA103" s="472"/>
      <c r="CB103" s="472"/>
      <c r="CC103" s="472"/>
      <c r="CD103" s="472"/>
      <c r="CE103" s="472"/>
      <c r="CF103" s="472"/>
      <c r="CG103" s="472"/>
      <c r="CH103" s="472"/>
      <c r="CI103" s="472"/>
      <c r="CJ103" s="472"/>
      <c r="CK103" s="472"/>
      <c r="CL103" s="472"/>
      <c r="CM103" s="472"/>
      <c r="CN103" s="472"/>
      <c r="CO103" s="472"/>
      <c r="CP103" s="472"/>
      <c r="CQ103" s="472"/>
      <c r="CR103" s="472"/>
      <c r="CS103" s="473"/>
      <c r="CT103" s="473"/>
      <c r="CU103" s="516">
        <f>SUM((AH103*1)+(AI103*1.5)+(AJ103*2)+(AK103*4)+(AP103*5)+(AQ103*6)+(AR103*7)+(AU103*2)+(AX103*3)+(AY103*4)+(AZ103*5)+(BB103*3)+(BA103*2)+(BG103*2)+(BC103*2)+(BD103*2))</f>
        <v>0</v>
      </c>
      <c r="CV103" s="555">
        <f t="shared" si="7"/>
        <v>0</v>
      </c>
      <c r="CW103" s="562">
        <f t="shared" si="8"/>
        <v>0</v>
      </c>
      <c r="CX103" s="475">
        <f t="shared" si="9"/>
        <v>0</v>
      </c>
      <c r="CY103" s="477"/>
    </row>
    <row r="104" spans="1:104" ht="15" thickTop="1" thickBot="1">
      <c r="A104" s="510" t="s">
        <v>445</v>
      </c>
      <c r="B104" s="162" t="str">
        <f>IFERROR(VLOOKUP(ParticipationAvril1[[#This Row],[Référence]],ListeÉtudiants1[],18,FALSE),"")</f>
        <v>MOREAU NOEMIE</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558"/>
      <c r="AG104" s="484"/>
      <c r="AH104" s="6">
        <f>COUNTIF(ParticipationAvril1[[#This Row],[1]:[30]],Code1)</f>
        <v>0</v>
      </c>
      <c r="AI104" s="475">
        <f>COUNTIF(ParticipationAvril1[[#This Row],[1]:[30]],code22)</f>
        <v>0</v>
      </c>
      <c r="AJ104" s="6">
        <f>COUNTIF(ParticipationAvril1[[#This Row],[1]:[30]],Code2)</f>
        <v>0</v>
      </c>
      <c r="AK104" s="6">
        <f>COUNTIF(ParticipationAvril1[[#This Row],[1]:[30]],Code3)</f>
        <v>0</v>
      </c>
      <c r="AL104" s="6">
        <f>COUNTIF(ParticipationAvril1[[#This Row],[1]:[30]],Code4)</f>
        <v>0</v>
      </c>
      <c r="AM104" s="475">
        <f>COUNTIF(ParticipationAvril1[[#This Row],[1]:[30]],Code5)</f>
        <v>0</v>
      </c>
      <c r="AN104" s="475">
        <f>COUNTIF(ParticipationAvril1[[#This Row],[1]:[30]],Code23)</f>
        <v>0</v>
      </c>
      <c r="AO104" s="475">
        <f>COUNTIF(ParticipationAvril1[[#This Row],[1]:[30]],Code6)</f>
        <v>0</v>
      </c>
      <c r="AP104" s="475">
        <f>COUNTIF(ParticipationAvril1[[#This Row],[1]:[30]],Code7)</f>
        <v>0</v>
      </c>
      <c r="AQ104" s="475">
        <f>COUNTIF(ParticipationAvril1[[#This Row],[1]:[30]],Code8)</f>
        <v>0</v>
      </c>
      <c r="AR104" s="475">
        <f>COUNTIF(ParticipationAvril1[[#This Row],[1]:[30]],Code9)</f>
        <v>0</v>
      </c>
      <c r="AS104" s="475">
        <f>COUNTIF(ParticipationAvril1[[#This Row],[1]:[30]],Code10)</f>
        <v>0</v>
      </c>
      <c r="AT104" s="475">
        <f>COUNTIF(ParticipationAvril1[[#This Row],[1]:[30]],Code11)</f>
        <v>0</v>
      </c>
      <c r="AU104" s="475">
        <f>COUNTIF(ParticipationAvril1[[#This Row],[1]:[30]],Code12)</f>
        <v>0</v>
      </c>
      <c r="AV104" s="475">
        <f>COUNTIF(ParticipationAvril1[[#This Row],[1]:[30]],Code13)</f>
        <v>0</v>
      </c>
      <c r="AW104" s="475">
        <f>COUNTIF(ParticipationAvril1[[#This Row],[1]:[30]],Code14)</f>
        <v>0</v>
      </c>
      <c r="AX104" s="475">
        <f>COUNTIF(ParticipationAvril1[[#This Row],[1]:[30]],Code16)</f>
        <v>0</v>
      </c>
      <c r="AY104" s="475">
        <f>COUNTIF(ParticipationAvril1[[#This Row],[1]:[30]],Code15)</f>
        <v>0</v>
      </c>
      <c r="AZ104" s="475">
        <f>COUNTIF(ParticipationAvril1[[#This Row],[1]:[30]],Code17)</f>
        <v>0</v>
      </c>
      <c r="BA104" s="475">
        <f>COUNTIF(ParticipationAvril1[[#This Row],[1]:[30]],Code25)</f>
        <v>0</v>
      </c>
      <c r="BB104" s="475">
        <f>COUNTIF(ParticipationAvril1[[#This Row],[1]:[30]],Code26)</f>
        <v>0</v>
      </c>
      <c r="BC104" s="474">
        <f>COUNTIF(ParticipationAvril1[[#This Row],[1]:[30]],Code27)</f>
        <v>0</v>
      </c>
      <c r="BD104" s="475">
        <f>COUNTIF(ParticipationAvril1[[#This Row],[1]:[30]],Code28)</f>
        <v>0</v>
      </c>
      <c r="BE104" s="475">
        <f>COUNTIF(ParticipationAvril1[[#This Row],[1]:[30]],code30)</f>
        <v>0</v>
      </c>
      <c r="BF104" s="475">
        <f>COUNTIF(ParticipationAvril1[[#This Row],[1]:[30]],Code31)</f>
        <v>0</v>
      </c>
      <c r="BG104" s="475">
        <f>COUNTIF(ParticipationAvril1[[#This Row],[1]:[30]],code21)</f>
        <v>0</v>
      </c>
      <c r="BH104" s="475">
        <f>COUNTIF(ParticipationAvril1[[#This Row],[1]:[30]],Code24)</f>
        <v>0</v>
      </c>
      <c r="BI104" s="475">
        <f>COUNTIF(ParticipationAvril1[[#This Row],[1]:[30]],code18)</f>
        <v>0</v>
      </c>
      <c r="BJ104" s="475">
        <f>COUNTIF(ParticipationAvril1[[#This Row],[1]:[30]],code19)</f>
        <v>0</v>
      </c>
      <c r="BK104" s="475">
        <f>COUNTIF(ParticipationAvril1[[#This Row],[1]:[30]],code20)</f>
        <v>0</v>
      </c>
      <c r="BL104" s="476">
        <f>COUNTIF(ParticipationAvril1[[#This Row],[1]:[30]],code29)</f>
        <v>0</v>
      </c>
      <c r="BM104" s="472"/>
      <c r="BN104" s="472"/>
      <c r="BO104" s="472"/>
      <c r="BP104" s="472"/>
      <c r="BQ104" s="472"/>
      <c r="BR104" s="472"/>
      <c r="BS104" s="472"/>
      <c r="BT104" s="472"/>
      <c r="BU104" s="472"/>
      <c r="BV104" s="472"/>
      <c r="BW104" s="472"/>
      <c r="BX104" s="472"/>
      <c r="BY104" s="472"/>
      <c r="BZ104" s="472"/>
      <c r="CA104" s="472"/>
      <c r="CB104" s="472"/>
      <c r="CC104" s="472"/>
      <c r="CD104" s="472"/>
      <c r="CE104" s="472"/>
      <c r="CF104" s="472"/>
      <c r="CG104" s="472"/>
      <c r="CH104" s="472"/>
      <c r="CI104" s="472"/>
      <c r="CJ104" s="472"/>
      <c r="CK104" s="472"/>
      <c r="CL104" s="472"/>
      <c r="CM104" s="472"/>
      <c r="CN104" s="472"/>
      <c r="CO104" s="472"/>
      <c r="CP104" s="472"/>
      <c r="CQ104" s="472"/>
      <c r="CR104" s="472"/>
      <c r="CS104" s="473"/>
      <c r="CT104" s="473"/>
      <c r="CU104" s="554">
        <f>SUM((AH104*1)+(AI104*1.5)+(AJ104*2)+(AK104*4)+(AP104*5)+(AQ104*6)+(AR104*7)+(AU104*2)+(AX104*3)+(AY104*4)+(AZ104*5)+(BB104*3)+(BA104*2)+(BG104*2)+(BC104*2)+(BD104*2))</f>
        <v>0</v>
      </c>
      <c r="CV104" s="555">
        <f t="shared" si="7"/>
        <v>0</v>
      </c>
      <c r="CW104" s="556">
        <f t="shared" si="8"/>
        <v>0</v>
      </c>
      <c r="CX104" s="475">
        <f t="shared" si="9"/>
        <v>0</v>
      </c>
      <c r="CY104" s="477"/>
    </row>
    <row r="105" spans="1:104" ht="15" thickTop="1" thickBot="1">
      <c r="A105" s="534" t="s">
        <v>446</v>
      </c>
      <c r="B105" s="162" t="str">
        <f>IFERROR(VLOOKUP(ParticipationAvril1[[#This Row],[Référence]],ListeÉtudiants1[],18,FALSE),"")</f>
        <v>MOUNIER JEANNE</v>
      </c>
      <c r="C105" s="202"/>
      <c r="D105" s="202"/>
      <c r="E105" s="202"/>
      <c r="F105" s="202"/>
      <c r="G105" s="202"/>
      <c r="H105" s="202"/>
      <c r="I105" s="202"/>
      <c r="J105" s="202"/>
      <c r="K105" s="202" t="s">
        <v>639</v>
      </c>
      <c r="L105" s="202"/>
      <c r="M105" s="202"/>
      <c r="N105" s="202"/>
      <c r="O105" s="202"/>
      <c r="P105" s="202"/>
      <c r="Q105" s="202"/>
      <c r="R105" s="202"/>
      <c r="S105" s="202"/>
      <c r="T105" s="202"/>
      <c r="U105" s="202"/>
      <c r="V105" s="202"/>
      <c r="W105" s="202"/>
      <c r="X105" s="202"/>
      <c r="Y105" s="202"/>
      <c r="Z105" s="202"/>
      <c r="AA105" s="202"/>
      <c r="AB105" s="202"/>
      <c r="AC105" s="202"/>
      <c r="AD105" s="202"/>
      <c r="AE105" s="202"/>
      <c r="AF105" s="559"/>
      <c r="AG105" s="340"/>
      <c r="AH105" s="202">
        <f>COUNTIF(ParticipationAvril1[[#This Row],[1]:[30]],Code1)</f>
        <v>0</v>
      </c>
      <c r="AI105" s="6">
        <f>COUNTIF(ParticipationAvril1[[#This Row],[1]:[30]],code22)</f>
        <v>0</v>
      </c>
      <c r="AJ105" s="202">
        <f>COUNTIF(ParticipationAvril1[[#This Row],[1]:[30]],Code2)</f>
        <v>0</v>
      </c>
      <c r="AK105" s="202">
        <f>COUNTIF(ParticipationAvril1[[#This Row],[1]:[30]],Code3)</f>
        <v>0</v>
      </c>
      <c r="AL105" s="202">
        <f>COUNTIF(ParticipationAvril1[[#This Row],[1]:[30]],Code4)</f>
        <v>0</v>
      </c>
      <c r="AM105" s="6">
        <f>COUNTIF(ParticipationAvril1[[#This Row],[1]:[30]],Code5)</f>
        <v>0</v>
      </c>
      <c r="AN105" s="6">
        <f>COUNTIF(ParticipationAvril1[[#This Row],[1]:[30]],Code23)</f>
        <v>0</v>
      </c>
      <c r="AO105" s="6">
        <f>COUNTIF(ParticipationAvril1[[#This Row],[1]:[30]],Code6)</f>
        <v>0</v>
      </c>
      <c r="AP105" s="6">
        <f>COUNTIF(ParticipationAvril1[[#This Row],[1]:[30]],Code7)</f>
        <v>0</v>
      </c>
      <c r="AQ105" s="6">
        <f>COUNTIF(ParticipationAvril1[[#This Row],[1]:[30]],Code8)</f>
        <v>0</v>
      </c>
      <c r="AR105" s="6">
        <f>COUNTIF(ParticipationAvril1[[#This Row],[1]:[30]],Code9)</f>
        <v>0</v>
      </c>
      <c r="AS105" s="6">
        <f>COUNTIF(ParticipationAvril1[[#This Row],[1]:[30]],Code10)</f>
        <v>0</v>
      </c>
      <c r="AT105" s="6">
        <f>COUNTIF(ParticipationAvril1[[#This Row],[1]:[30]],Code11)</f>
        <v>0</v>
      </c>
      <c r="AU105" s="6">
        <f>COUNTIF(ParticipationAvril1[[#This Row],[1]:[30]],Code12)</f>
        <v>0</v>
      </c>
      <c r="AV105" s="6">
        <f>COUNTIF(ParticipationAvril1[[#This Row],[1]:[30]],Code13)</f>
        <v>0</v>
      </c>
      <c r="AW105" s="6">
        <f>COUNTIF(ParticipationAvril1[[#This Row],[1]:[30]],Code14)</f>
        <v>0</v>
      </c>
      <c r="AX105" s="6">
        <f>COUNTIF(ParticipationAvril1[[#This Row],[1]:[30]],Code16)</f>
        <v>0</v>
      </c>
      <c r="AY105" s="6">
        <f>COUNTIF(ParticipationAvril1[[#This Row],[1]:[30]],Code15)</f>
        <v>0</v>
      </c>
      <c r="AZ105" s="6">
        <f>COUNTIF(ParticipationAvril1[[#This Row],[1]:[30]],Code17)</f>
        <v>0</v>
      </c>
      <c r="BA105" s="6">
        <f>COUNTIF(ParticipationAvril1[[#This Row],[1]:[30]],Code25)</f>
        <v>0</v>
      </c>
      <c r="BB105" s="6">
        <f>COUNTIF(ParticipationAvril1[[#This Row],[1]:[30]],Code26)</f>
        <v>0</v>
      </c>
      <c r="BC105" s="6">
        <f>COUNTIF(ParticipationAvril1[[#This Row],[1]:[30]],Code27)</f>
        <v>0</v>
      </c>
      <c r="BD105" s="6">
        <f>COUNTIF(ParticipationAvril1[[#This Row],[1]:[30]],Code28)</f>
        <v>0</v>
      </c>
      <c r="BE105" s="6">
        <f>COUNTIF(ParticipationAvril1[[#This Row],[1]:[30]],code30)</f>
        <v>0</v>
      </c>
      <c r="BF105" s="6">
        <f>COUNTIF(ParticipationAvril1[[#This Row],[1]:[30]],Code31)</f>
        <v>1</v>
      </c>
      <c r="BG105" s="6">
        <f>COUNTIF(ParticipationAvril1[[#This Row],[1]:[30]],code21)</f>
        <v>0</v>
      </c>
      <c r="BH105" s="6">
        <f>COUNTIF(ParticipationAvril1[[#This Row],[1]:[30]],Code24)</f>
        <v>0</v>
      </c>
      <c r="BI105" s="6">
        <f>COUNTIF(ParticipationAvril1[[#This Row],[1]:[30]],code18)</f>
        <v>0</v>
      </c>
      <c r="BJ105" s="6">
        <f>COUNTIF(ParticipationAvril1[[#This Row],[1]:[30]],code19)</f>
        <v>0</v>
      </c>
      <c r="BK105" s="6">
        <f>COUNTIF(ParticipationAvril1[[#This Row],[1]:[30]],code20)</f>
        <v>0</v>
      </c>
      <c r="BL105" s="182">
        <f>COUNTIF(ParticipationAvril1[[#This Row],[1]:[30]],code29)</f>
        <v>0</v>
      </c>
      <c r="BM105" s="139"/>
      <c r="BN105" s="139"/>
      <c r="BO105" s="139"/>
      <c r="BP105" s="139"/>
      <c r="BQ105" s="139"/>
      <c r="BR105" s="139"/>
      <c r="BS105" s="139"/>
      <c r="BT105" s="139"/>
      <c r="BU105" s="139"/>
      <c r="BV105" s="139"/>
      <c r="BW105" s="139">
        <v>1</v>
      </c>
      <c r="BX105" s="139"/>
      <c r="BY105" s="139"/>
      <c r="BZ105" s="139"/>
      <c r="CA105" s="139"/>
      <c r="CB105" s="139"/>
      <c r="CC105" s="139"/>
      <c r="CD105" s="139"/>
      <c r="CE105" s="139"/>
      <c r="CF105" s="139"/>
      <c r="CG105" s="139">
        <v>1</v>
      </c>
      <c r="CH105" s="139"/>
      <c r="CI105" s="139"/>
      <c r="CJ105" s="139"/>
      <c r="CK105" s="139"/>
      <c r="CL105" s="139"/>
      <c r="CM105" s="139"/>
      <c r="CN105" s="139"/>
      <c r="CO105" s="139"/>
      <c r="CP105" s="139"/>
      <c r="CQ105" s="139"/>
      <c r="CR105" s="139"/>
      <c r="CS105" s="30"/>
      <c r="CT105" s="30"/>
      <c r="CU105" s="561">
        <f>SUM((AH105*1)+(AI105*1.5)+(AJ105*2)+(AK105*4)+(AP105*5)+(AQ105*6)+(AR105*7)+(AU105*2)+(AX105*3)+(AY105*4)+(AZ105*5)+(BB105*3)+(BA105*2)+(BG105*2)+(BC105*2)+(BD105*2))</f>
        <v>0</v>
      </c>
      <c r="CV105" s="485">
        <f t="shared" si="7"/>
        <v>0</v>
      </c>
      <c r="CW105" s="563">
        <f t="shared" si="8"/>
        <v>0</v>
      </c>
      <c r="CX105" s="6">
        <f t="shared" si="9"/>
        <v>0</v>
      </c>
      <c r="CY105" s="179"/>
      <c r="CZ105" s="200"/>
    </row>
    <row r="106" spans="1:104" ht="15" thickTop="1" thickBot="1">
      <c r="A106" s="510" t="s">
        <v>447</v>
      </c>
      <c r="B106" s="162" t="str">
        <f>IFERROR(VLOOKUP(ParticipationAvril1[[#This Row],[Référence]],ListeÉtudiants1[],18,FALSE),"")</f>
        <v>NGAMFULANGOMA ALEXANDRINE</v>
      </c>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478"/>
      <c r="AH106" s="202">
        <f>COUNTIF(ParticipationAvril1[[#This Row],[1]:[30]],Code1)</f>
        <v>0</v>
      </c>
      <c r="AI106" s="475">
        <f>COUNTIF(ParticipationAvril1[[#This Row],[1]:[30]],code22)</f>
        <v>0</v>
      </c>
      <c r="AJ106" s="202">
        <f>COUNTIF(ParticipationAvril1[[#This Row],[1]:[30]],Code2)</f>
        <v>0</v>
      </c>
      <c r="AK106" s="202">
        <f>COUNTIF(ParticipationAvril1[[#This Row],[1]:[30]],Code3)</f>
        <v>0</v>
      </c>
      <c r="AL106" s="202">
        <f>COUNTIF(ParticipationAvril1[[#This Row],[1]:[30]],Code4)</f>
        <v>0</v>
      </c>
      <c r="AM106" s="475">
        <f>COUNTIF(ParticipationAvril1[[#This Row],[1]:[30]],Code5)</f>
        <v>0</v>
      </c>
      <c r="AN106" s="475">
        <f>COUNTIF(ParticipationAvril1[[#This Row],[1]:[30]],Code23)</f>
        <v>0</v>
      </c>
      <c r="AO106" s="475">
        <f>COUNTIF(ParticipationAvril1[[#This Row],[1]:[30]],Code6)</f>
        <v>0</v>
      </c>
      <c r="AP106" s="475">
        <f>COUNTIF(ParticipationAvril1[[#This Row],[1]:[30]],Code7)</f>
        <v>0</v>
      </c>
      <c r="AQ106" s="475">
        <f>COUNTIF(ParticipationAvril1[[#This Row],[1]:[30]],Code8)</f>
        <v>0</v>
      </c>
      <c r="AR106" s="475">
        <f>COUNTIF(ParticipationAvril1[[#This Row],[1]:[30]],Code9)</f>
        <v>0</v>
      </c>
      <c r="AS106" s="475">
        <f>COUNTIF(ParticipationAvril1[[#This Row],[1]:[30]],Code10)</f>
        <v>0</v>
      </c>
      <c r="AT106" s="475">
        <f>COUNTIF(ParticipationAvril1[[#This Row],[1]:[30]],Code11)</f>
        <v>0</v>
      </c>
      <c r="AU106" s="475">
        <f>COUNTIF(ParticipationAvril1[[#This Row],[1]:[30]],Code12)</f>
        <v>0</v>
      </c>
      <c r="AV106" s="475">
        <f>COUNTIF(ParticipationAvril1[[#This Row],[1]:[30]],Code13)</f>
        <v>0</v>
      </c>
      <c r="AW106" s="475">
        <f>COUNTIF(ParticipationAvril1[[#This Row],[1]:[30]],Code14)</f>
        <v>0</v>
      </c>
      <c r="AX106" s="475">
        <f>COUNTIF(ParticipationAvril1[[#This Row],[1]:[30]],Code16)</f>
        <v>0</v>
      </c>
      <c r="AY106" s="475">
        <f>COUNTIF(ParticipationAvril1[[#This Row],[1]:[30]],Code15)</f>
        <v>0</v>
      </c>
      <c r="AZ106" s="475">
        <f>COUNTIF(ParticipationAvril1[[#This Row],[1]:[30]],Code17)</f>
        <v>0</v>
      </c>
      <c r="BA106" s="475">
        <f>COUNTIF(ParticipationAvril1[[#This Row],[1]:[30]],Code25)</f>
        <v>0</v>
      </c>
      <c r="BB106" s="475">
        <f>COUNTIF(ParticipationAvril1[[#This Row],[1]:[30]],Code26)</f>
        <v>0</v>
      </c>
      <c r="BC106" s="475">
        <f>COUNTIF(ParticipationAvril1[[#This Row],[1]:[30]],Code27)</f>
        <v>0</v>
      </c>
      <c r="BD106" s="475">
        <f>COUNTIF(ParticipationAvril1[[#This Row],[1]:[30]],Code28)</f>
        <v>0</v>
      </c>
      <c r="BE106" s="475">
        <f>COUNTIF(ParticipationAvril1[[#This Row],[1]:[30]],code30)</f>
        <v>0</v>
      </c>
      <c r="BF106" s="475">
        <f>COUNTIF(ParticipationAvril1[[#This Row],[1]:[30]],Code31)</f>
        <v>0</v>
      </c>
      <c r="BG106" s="475">
        <f>COUNTIF(ParticipationAvril1[[#This Row],[1]:[30]],code21)</f>
        <v>0</v>
      </c>
      <c r="BH106" s="475">
        <f>COUNTIF(ParticipationAvril1[[#This Row],[1]:[30]],Code24)</f>
        <v>0</v>
      </c>
      <c r="BI106" s="475">
        <f>COUNTIF(ParticipationAvril1[[#This Row],[1]:[30]],code18)</f>
        <v>0</v>
      </c>
      <c r="BJ106" s="475">
        <f>COUNTIF(ParticipationAvril1[[#This Row],[1]:[30]],code19)</f>
        <v>0</v>
      </c>
      <c r="BK106" s="475">
        <f>COUNTIF(ParticipationAvril1[[#This Row],[1]:[30]],code20)</f>
        <v>0</v>
      </c>
      <c r="BL106" s="476">
        <f>COUNTIF(ParticipationAvril1[[#This Row],[1]:[30]],code29)</f>
        <v>0</v>
      </c>
      <c r="BM106" s="472"/>
      <c r="BN106" s="472"/>
      <c r="BO106" s="472"/>
      <c r="BP106" s="472"/>
      <c r="BQ106" s="472"/>
      <c r="BR106" s="472"/>
      <c r="BS106" s="472"/>
      <c r="BT106" s="472"/>
      <c r="BU106" s="472"/>
      <c r="BV106" s="472"/>
      <c r="BW106" s="472"/>
      <c r="BX106" s="472"/>
      <c r="BY106" s="472"/>
      <c r="BZ106" s="472"/>
      <c r="CA106" s="472"/>
      <c r="CB106" s="472"/>
      <c r="CC106" s="472"/>
      <c r="CD106" s="472"/>
      <c r="CE106" s="472"/>
      <c r="CF106" s="472"/>
      <c r="CG106" s="472"/>
      <c r="CH106" s="472"/>
      <c r="CI106" s="472"/>
      <c r="CJ106" s="472"/>
      <c r="CK106" s="472"/>
      <c r="CL106" s="472"/>
      <c r="CM106" s="472"/>
      <c r="CN106" s="472"/>
      <c r="CO106" s="472"/>
      <c r="CP106" s="472"/>
      <c r="CQ106" s="472"/>
      <c r="CR106" s="472"/>
      <c r="CS106" s="473"/>
      <c r="CT106" s="473"/>
      <c r="CU106" s="516">
        <f>SUM((AH106*1)+(AI106*1.5)+(AJ106*2)+(AK106*4)+(AP106*5)+(AQ106*6)+(AR106*7)+(AU106*2)+(AX106*3)+(AY106*4)+(AZ106*5)+(BB106*3)+(BA106*2)+(BG106*2)+(BC106*2)+(BD106*2))</f>
        <v>0</v>
      </c>
      <c r="CV106" s="555">
        <f t="shared" si="7"/>
        <v>0</v>
      </c>
      <c r="CW106" s="562">
        <f t="shared" si="8"/>
        <v>0</v>
      </c>
      <c r="CX106" s="475">
        <f t="shared" si="9"/>
        <v>0</v>
      </c>
      <c r="CY106" s="477"/>
      <c r="CZ106" s="200"/>
    </row>
    <row r="107" spans="1:104" ht="15" thickTop="1" thickBot="1">
      <c r="A107" s="510" t="s">
        <v>448</v>
      </c>
      <c r="B107" s="162" t="str">
        <f>IFERROR(VLOOKUP(ParticipationAvril1[[#This Row],[Référence]],ListeÉtudiants1[],18,FALSE),"")</f>
        <v>NGO BONJE ERNESTINE</v>
      </c>
      <c r="O107" s="510" t="s">
        <v>484</v>
      </c>
      <c r="AF107" s="88"/>
      <c r="AG107" s="478"/>
      <c r="AH107" s="439">
        <f>COUNTIF(ParticipationAvril1[[#This Row],[1]:[30]],Code1)</f>
        <v>0</v>
      </c>
      <c r="AI107" s="474">
        <f>COUNTIF(ParticipationAvril1[[#This Row],[1]:[30]],code22)</f>
        <v>0</v>
      </c>
      <c r="AJ107" s="439">
        <f>COUNTIF(ParticipationAvril1[[#This Row],[1]:[30]],Code2)</f>
        <v>0</v>
      </c>
      <c r="AK107" s="439">
        <f>COUNTIF(ParticipationAvril1[[#This Row],[1]:[30]],Code3)</f>
        <v>0</v>
      </c>
      <c r="AL107" s="439">
        <f>COUNTIF(ParticipationAvril1[[#This Row],[1]:[30]],Code4)</f>
        <v>0</v>
      </c>
      <c r="AM107" s="474">
        <f>COUNTIF(ParticipationAvril1[[#This Row],[1]:[30]],Code5)</f>
        <v>0</v>
      </c>
      <c r="AN107" s="474">
        <f>COUNTIF(ParticipationAvril1[[#This Row],[1]:[30]],Code23)</f>
        <v>0</v>
      </c>
      <c r="AO107" s="474">
        <f>COUNTIF(ParticipationAvril1[[#This Row],[1]:[30]],Code6)</f>
        <v>0</v>
      </c>
      <c r="AP107" s="474">
        <f>COUNTIF(ParticipationAvril1[[#This Row],[1]:[30]],Code7)</f>
        <v>0</v>
      </c>
      <c r="AQ107" s="474">
        <f>COUNTIF(ParticipationAvril1[[#This Row],[1]:[30]],Code8)</f>
        <v>0</v>
      </c>
      <c r="AR107" s="474">
        <f>COUNTIF(ParticipationAvril1[[#This Row],[1]:[30]],Code9)</f>
        <v>1</v>
      </c>
      <c r="AS107" s="474">
        <f>COUNTIF(ParticipationAvril1[[#This Row],[1]:[30]],Code10)</f>
        <v>0</v>
      </c>
      <c r="AT107" s="474">
        <f>COUNTIF(ParticipationAvril1[[#This Row],[1]:[30]],Code11)</f>
        <v>0</v>
      </c>
      <c r="AU107" s="474">
        <f>COUNTIF(ParticipationAvril1[[#This Row],[1]:[30]],Code12)</f>
        <v>0</v>
      </c>
      <c r="AV107" s="474">
        <f>COUNTIF(ParticipationAvril1[[#This Row],[1]:[30]],Code13)</f>
        <v>0</v>
      </c>
      <c r="AW107" s="474">
        <f>COUNTIF(ParticipationAvril1[[#This Row],[1]:[30]],Code14)</f>
        <v>0</v>
      </c>
      <c r="AX107" s="474">
        <f>COUNTIF(ParticipationAvril1[[#This Row],[1]:[30]],Code16)</f>
        <v>0</v>
      </c>
      <c r="AY107" s="474">
        <f>COUNTIF(ParticipationAvril1[[#This Row],[1]:[30]],Code15)</f>
        <v>0</v>
      </c>
      <c r="AZ107" s="474">
        <f>COUNTIF(ParticipationAvril1[[#This Row],[1]:[30]],Code17)</f>
        <v>0</v>
      </c>
      <c r="BA107" s="474">
        <f>COUNTIF(ParticipationAvril1[[#This Row],[1]:[30]],Code25)</f>
        <v>0</v>
      </c>
      <c r="BB107" s="474">
        <f>COUNTIF(ParticipationAvril1[[#This Row],[1]:[30]],Code26)</f>
        <v>0</v>
      </c>
      <c r="BC107" s="474">
        <f>COUNTIF(ParticipationAvril1[[#This Row],[1]:[30]],Code27)</f>
        <v>0</v>
      </c>
      <c r="BD107" s="474">
        <f>COUNTIF(ParticipationAvril1[[#This Row],[1]:[30]],Code28)</f>
        <v>0</v>
      </c>
      <c r="BE107" s="474">
        <f>COUNTIF(ParticipationAvril1[[#This Row],[1]:[30]],code30)</f>
        <v>0</v>
      </c>
      <c r="BF107" s="474">
        <f>COUNTIF(ParticipationAvril1[[#This Row],[1]:[30]],Code31)</f>
        <v>0</v>
      </c>
      <c r="BG107" s="474">
        <f>COUNTIF(ParticipationAvril1[[#This Row],[1]:[30]],code21)</f>
        <v>0</v>
      </c>
      <c r="BH107" s="474">
        <f>COUNTIF(ParticipationAvril1[[#This Row],[1]:[30]],Code24)</f>
        <v>0</v>
      </c>
      <c r="BI107" s="474">
        <f>COUNTIF(ParticipationAvril1[[#This Row],[1]:[30]],code18)</f>
        <v>0</v>
      </c>
      <c r="BJ107" s="474">
        <f>COUNTIF(ParticipationAvril1[[#This Row],[1]:[30]],code19)</f>
        <v>0</v>
      </c>
      <c r="BK107" s="474">
        <f>COUNTIF(ParticipationAvril1[[#This Row],[1]:[30]],code20)</f>
        <v>0</v>
      </c>
      <c r="BL107" s="476">
        <f>COUNTIF(ParticipationAvril1[[#This Row],[1]:[30]],code29)</f>
        <v>0</v>
      </c>
      <c r="BM107" s="472"/>
      <c r="BN107" s="472"/>
      <c r="BO107" s="472"/>
      <c r="BP107" s="472"/>
      <c r="BQ107" s="472"/>
      <c r="BR107" s="472"/>
      <c r="BS107" s="472"/>
      <c r="BT107" s="472"/>
      <c r="BU107" s="472"/>
      <c r="BV107" s="472"/>
      <c r="BW107" s="472">
        <v>1</v>
      </c>
      <c r="BX107" s="472"/>
      <c r="BY107" s="472"/>
      <c r="BZ107" s="472"/>
      <c r="CA107" s="472"/>
      <c r="CB107" s="472"/>
      <c r="CC107" s="472"/>
      <c r="CD107" s="472"/>
      <c r="CE107" s="472"/>
      <c r="CF107" s="472"/>
      <c r="CG107" s="472"/>
      <c r="CH107" s="472"/>
      <c r="CI107" s="472"/>
      <c r="CJ107" s="472"/>
      <c r="CK107" s="472"/>
      <c r="CL107" s="472"/>
      <c r="CM107" s="472"/>
      <c r="CN107" s="472"/>
      <c r="CO107" s="472"/>
      <c r="CP107" s="472"/>
      <c r="CQ107" s="472"/>
      <c r="CR107" s="472"/>
      <c r="CS107" s="472"/>
      <c r="CT107" s="472">
        <v>1</v>
      </c>
      <c r="CU107" s="300"/>
      <c r="CV107" s="485">
        <f t="shared" ref="CV107:CV138" si="10">SUM((AH107*1)+(AI107*1.5)+(AJ107*2)+(AK107*3)+(AP107*5)+(AQ107*6)+(AR107*7)+(AX107*3)+(AY107*4)+(BB107*5)+(BA107*3)+(BD107*2)+(BH107*2)+(AZ107*2)+(BG107*2)+(BE107*3))</f>
        <v>7</v>
      </c>
      <c r="CW107" s="499">
        <f t="shared" ref="CW107:CW138" si="11">SUM((AN107*1)+(AM107*2)+(AO107*3)+(AP107*4)+(AT107*5)+(AU107*6)+(AV107*7)+(AW107*7)+(AX107*4)+(AY107*3)+(BB107*2)+(BD107*4)+(BA107*1)+(BH107*2)+(AZ107*5)+(BG107*1)+(BE107*2))</f>
        <v>0</v>
      </c>
      <c r="CX107" s="474">
        <f t="shared" ref="CX107:CX138" si="12">BH107*1+BL107*3</f>
        <v>0</v>
      </c>
      <c r="CY107" s="477"/>
    </row>
    <row r="108" spans="1:104" ht="15" thickTop="1" thickBot="1">
      <c r="A108" s="510" t="s">
        <v>449</v>
      </c>
      <c r="B108" s="162" t="str">
        <f>IFERROR(VLOOKUP(ParticipationAvril1[[#This Row],[Référence]],ListeÉtudiants1[],18,FALSE),"")</f>
        <v>NIRDE NICOLAS</v>
      </c>
      <c r="C108" s="19"/>
      <c r="D108" s="19"/>
      <c r="E108" s="19"/>
      <c r="F108" s="19" t="s">
        <v>108</v>
      </c>
      <c r="G108" s="19"/>
      <c r="H108" s="19"/>
      <c r="I108" s="19"/>
      <c r="J108" s="19"/>
      <c r="K108" s="19" t="s">
        <v>108</v>
      </c>
      <c r="L108" s="19" t="s">
        <v>487</v>
      </c>
      <c r="M108" s="19" t="s">
        <v>108</v>
      </c>
      <c r="N108" s="19"/>
      <c r="O108" s="19"/>
      <c r="P108" s="19"/>
      <c r="Q108" s="19"/>
      <c r="R108" s="19"/>
      <c r="S108" s="19"/>
      <c r="T108" s="19"/>
      <c r="U108" s="19"/>
      <c r="V108" s="19"/>
      <c r="W108" s="19"/>
      <c r="X108" s="19"/>
      <c r="Y108" s="19"/>
      <c r="Z108" s="19"/>
      <c r="AA108" s="19"/>
      <c r="AB108" s="19"/>
      <c r="AC108" s="19"/>
      <c r="AD108" s="19"/>
      <c r="AE108" s="19"/>
      <c r="AF108" s="19"/>
      <c r="AG108" s="144"/>
      <c r="AH108" s="6">
        <f>COUNTIF(ParticipationAvril1[[#This Row],[1]:[30]],Code1)</f>
        <v>0</v>
      </c>
      <c r="AI108" s="6">
        <f>COUNTIF(ParticipationAvril1[[#This Row],[1]:[30]],code22)</f>
        <v>0</v>
      </c>
      <c r="AJ108" s="6">
        <f>COUNTIF(ParticipationAvril1[[#This Row],[1]:[30]],Code2)</f>
        <v>0</v>
      </c>
      <c r="AK108" s="6">
        <f>COUNTIF(ParticipationAvril1[[#This Row],[1]:[30]],Code3)</f>
        <v>0</v>
      </c>
      <c r="AL108" s="6">
        <f>COUNTIF(ParticipationAvril1[[#This Row],[1]:[30]],Code4)</f>
        <v>0</v>
      </c>
      <c r="AM108" s="6">
        <f>COUNTIF(ParticipationAvril1[[#This Row],[1]:[30]],Code5)</f>
        <v>0</v>
      </c>
      <c r="AN108" s="6">
        <f>COUNTIF(ParticipationAvril1[[#This Row],[1]:[30]],Code23)</f>
        <v>0</v>
      </c>
      <c r="AO108" s="6">
        <f>COUNTIF(ParticipationAvril1[[#This Row],[1]:[30]],Code6)</f>
        <v>3</v>
      </c>
      <c r="AP108" s="6">
        <f>COUNTIF(ParticipationAvril1[[#This Row],[1]:[30]],Code7)</f>
        <v>0</v>
      </c>
      <c r="AQ108" s="6">
        <f>COUNTIF(ParticipationAvril1[[#This Row],[1]:[30]],Code8)</f>
        <v>0</v>
      </c>
      <c r="AR108" s="6">
        <f>COUNTIF(ParticipationAvril1[[#This Row],[1]:[30]],Code9)</f>
        <v>0</v>
      </c>
      <c r="AS108" s="6">
        <f>COUNTIF(ParticipationAvril1[[#This Row],[1]:[30]],Code10)</f>
        <v>0</v>
      </c>
      <c r="AT108" s="6">
        <f>COUNTIF(ParticipationAvril1[[#This Row],[1]:[30]],Code11)</f>
        <v>0</v>
      </c>
      <c r="AU108" s="6">
        <f>COUNTIF(ParticipationAvril1[[#This Row],[1]:[30]],Code12)</f>
        <v>1</v>
      </c>
      <c r="AV108" s="6">
        <f>COUNTIF(ParticipationAvril1[[#This Row],[1]:[30]],Code13)</f>
        <v>0</v>
      </c>
      <c r="AW108" s="6">
        <f>COUNTIF(ParticipationAvril1[[#This Row],[1]:[30]],Code14)</f>
        <v>0</v>
      </c>
      <c r="AX108" s="6">
        <f>COUNTIF(ParticipationAvril1[[#This Row],[1]:[30]],Code16)</f>
        <v>0</v>
      </c>
      <c r="AY108" s="6">
        <f>COUNTIF(ParticipationAvril1[[#This Row],[1]:[30]],Code15)</f>
        <v>0</v>
      </c>
      <c r="AZ108" s="6">
        <f>COUNTIF(ParticipationAvril1[[#This Row],[1]:[30]],Code17)</f>
        <v>0</v>
      </c>
      <c r="BA108" s="6">
        <f>COUNTIF(ParticipationAvril1[[#This Row],[1]:[30]],Code25)</f>
        <v>0</v>
      </c>
      <c r="BB108" s="6">
        <f>COUNTIF(ParticipationAvril1[[#This Row],[1]:[30]],Code26)</f>
        <v>0</v>
      </c>
      <c r="BC108" s="432">
        <f>COUNTIF(ParticipationAvril1[[#This Row],[1]:[30]],Code27)</f>
        <v>0</v>
      </c>
      <c r="BD108" s="6">
        <f>COUNTIF(ParticipationAvril1[[#This Row],[1]:[30]],Code28)</f>
        <v>0</v>
      </c>
      <c r="BE108" s="6">
        <f>COUNTIF(ParticipationAvril1[[#This Row],[1]:[30]],code30)</f>
        <v>0</v>
      </c>
      <c r="BF108" s="6">
        <f>COUNTIF(ParticipationAvril1[[#This Row],[1]:[30]],Code31)</f>
        <v>0</v>
      </c>
      <c r="BG108" s="6">
        <f>COUNTIF(ParticipationAvril1[[#This Row],[1]:[30]],code21)</f>
        <v>0</v>
      </c>
      <c r="BH108" s="6">
        <f>COUNTIF(ParticipationAvril1[[#This Row],[1]:[30]],Code24)</f>
        <v>0</v>
      </c>
      <c r="BI108" s="6">
        <f>COUNTIF(ParticipationAvril1[[#This Row],[1]:[30]],code18)</f>
        <v>0</v>
      </c>
      <c r="BJ108" s="6">
        <f>COUNTIF(ParticipationAvril1[[#This Row],[1]:[30]],code19)</f>
        <v>0</v>
      </c>
      <c r="BK108" s="6">
        <f>COUNTIF(ParticipationAvril1[[#This Row],[1]:[30]],code20)</f>
        <v>0</v>
      </c>
      <c r="BL108" s="182">
        <f>COUNTIF(ParticipationAvril1[[#This Row],[1]:[30]],code29)</f>
        <v>0</v>
      </c>
      <c r="BM108" s="297"/>
      <c r="BN108" s="297">
        <v>1</v>
      </c>
      <c r="BO108" s="297"/>
      <c r="BP108" s="297"/>
      <c r="BQ108" s="297"/>
      <c r="BR108" s="297"/>
      <c r="BS108" s="297"/>
      <c r="BT108" s="297">
        <v>3</v>
      </c>
      <c r="BU108" s="297"/>
      <c r="BV108" s="297"/>
      <c r="BW108" s="297">
        <v>1</v>
      </c>
      <c r="BX108" s="297"/>
      <c r="BY108" s="297"/>
      <c r="BZ108" s="297"/>
      <c r="CA108" s="297"/>
      <c r="CB108" s="297"/>
      <c r="CC108" s="297"/>
      <c r="CD108" s="297"/>
      <c r="CE108" s="297"/>
      <c r="CF108" s="297"/>
      <c r="CG108" s="297"/>
      <c r="CH108" s="297"/>
      <c r="CI108" s="297"/>
      <c r="CJ108" s="297"/>
      <c r="CK108" s="297"/>
      <c r="CL108" s="297"/>
      <c r="CM108" s="297"/>
      <c r="CN108" s="297"/>
      <c r="CO108" s="297"/>
      <c r="CP108" s="297"/>
      <c r="CQ108" s="297"/>
      <c r="CR108" s="297"/>
      <c r="CS108" s="307"/>
      <c r="CT108" s="307"/>
      <c r="CU108" s="300"/>
      <c r="CV108" s="485">
        <f t="shared" si="10"/>
        <v>0</v>
      </c>
      <c r="CW108" s="499">
        <f t="shared" si="11"/>
        <v>15</v>
      </c>
      <c r="CX108" s="6">
        <f t="shared" si="12"/>
        <v>0</v>
      </c>
      <c r="CY108" s="179">
        <f>SUM(AQ108:CV108)</f>
        <v>6</v>
      </c>
    </row>
    <row r="109" spans="1:104" ht="15" thickTop="1" thickBot="1">
      <c r="A109" s="510" t="s">
        <v>450</v>
      </c>
      <c r="B109" s="162" t="str">
        <f>IFERROR(VLOOKUP(ParticipationAvril1[[#This Row],[Référence]],ListeÉtudiants1[],18,FALSE),"")</f>
        <v>NOBIAL FABIENNE</v>
      </c>
      <c r="C109" s="471"/>
      <c r="D109" s="471"/>
      <c r="E109" s="471"/>
      <c r="F109" s="471"/>
      <c r="G109" s="471"/>
      <c r="H109" s="471"/>
      <c r="I109" s="471"/>
      <c r="J109" s="471"/>
      <c r="K109" s="471"/>
      <c r="L109" s="471" t="s">
        <v>108</v>
      </c>
      <c r="M109" s="471"/>
      <c r="N109" s="471"/>
      <c r="O109" s="471"/>
      <c r="P109" s="471"/>
      <c r="Q109" s="471"/>
      <c r="R109" s="471"/>
      <c r="S109" s="471"/>
      <c r="T109" s="471"/>
      <c r="U109" s="471"/>
      <c r="V109" s="471"/>
      <c r="W109" s="471"/>
      <c r="X109" s="471"/>
      <c r="Y109" s="471"/>
      <c r="Z109" s="471"/>
      <c r="AA109" s="471"/>
      <c r="AB109" s="471"/>
      <c r="AC109" s="471"/>
      <c r="AD109" s="471"/>
      <c r="AE109" s="471"/>
      <c r="AF109" s="471"/>
      <c r="AG109" s="478"/>
      <c r="AH109" s="471">
        <f>COUNTIF(ParticipationAvril1[[#This Row],[1]:[30]],Code1)</f>
        <v>0</v>
      </c>
      <c r="AI109" s="475">
        <f>COUNTIF(ParticipationAvril1[[#This Row],[1]:[30]],code22)</f>
        <v>0</v>
      </c>
      <c r="AJ109" s="471">
        <f>COUNTIF(ParticipationAvril1[[#This Row],[1]:[30]],Code2)</f>
        <v>0</v>
      </c>
      <c r="AK109" s="471">
        <f>COUNTIF(ParticipationAvril1[[#This Row],[1]:[30]],Code3)</f>
        <v>0</v>
      </c>
      <c r="AL109" s="471">
        <f>COUNTIF(ParticipationAvril1[[#This Row],[1]:[30]],Code4)</f>
        <v>0</v>
      </c>
      <c r="AM109" s="475">
        <f>COUNTIF(ParticipationAvril1[[#This Row],[1]:[30]],Code5)</f>
        <v>0</v>
      </c>
      <c r="AN109" s="475">
        <f>COUNTIF(ParticipationAvril1[[#This Row],[1]:[30]],Code23)</f>
        <v>0</v>
      </c>
      <c r="AO109" s="475">
        <f>COUNTIF(ParticipationAvril1[[#This Row],[1]:[30]],Code6)</f>
        <v>1</v>
      </c>
      <c r="AP109" s="475">
        <f>COUNTIF(ParticipationAvril1[[#This Row],[1]:[30]],Code7)</f>
        <v>0</v>
      </c>
      <c r="AQ109" s="475">
        <f>COUNTIF(ParticipationAvril1[[#This Row],[1]:[30]],Code8)</f>
        <v>0</v>
      </c>
      <c r="AR109" s="475">
        <f>COUNTIF(ParticipationAvril1[[#This Row],[1]:[30]],Code9)</f>
        <v>0</v>
      </c>
      <c r="AS109" s="475">
        <f>COUNTIF(ParticipationAvril1[[#This Row],[1]:[30]],Code10)</f>
        <v>0</v>
      </c>
      <c r="AT109" s="475">
        <f>COUNTIF(ParticipationAvril1[[#This Row],[1]:[30]],Code11)</f>
        <v>0</v>
      </c>
      <c r="AU109" s="475">
        <f>COUNTIF(ParticipationAvril1[[#This Row],[1]:[30]],Code12)</f>
        <v>0</v>
      </c>
      <c r="AV109" s="475">
        <f>COUNTIF(ParticipationAvril1[[#This Row],[1]:[30]],Code13)</f>
        <v>0</v>
      </c>
      <c r="AW109" s="475">
        <f>COUNTIF(ParticipationAvril1[[#This Row],[1]:[30]],Code14)</f>
        <v>0</v>
      </c>
      <c r="AX109" s="475">
        <f>COUNTIF(ParticipationAvril1[[#This Row],[1]:[30]],Code16)</f>
        <v>0</v>
      </c>
      <c r="AY109" s="475">
        <f>COUNTIF(ParticipationAvril1[[#This Row],[1]:[30]],Code15)</f>
        <v>0</v>
      </c>
      <c r="AZ109" s="475">
        <f>COUNTIF(ParticipationAvril1[[#This Row],[1]:[30]],Code17)</f>
        <v>0</v>
      </c>
      <c r="BA109" s="475">
        <f>COUNTIF(ParticipationAvril1[[#This Row],[1]:[30]],Code25)</f>
        <v>0</v>
      </c>
      <c r="BB109" s="475">
        <f>COUNTIF(ParticipationAvril1[[#This Row],[1]:[30]],Code26)</f>
        <v>0</v>
      </c>
      <c r="BC109" s="475">
        <f>COUNTIF(ParticipationAvril1[[#This Row],[1]:[30]],Code27)</f>
        <v>0</v>
      </c>
      <c r="BD109" s="475">
        <f>COUNTIF(ParticipationAvril1[[#This Row],[1]:[30]],Code28)</f>
        <v>0</v>
      </c>
      <c r="BE109" s="475">
        <f>COUNTIF(ParticipationAvril1[[#This Row],[1]:[30]],code30)</f>
        <v>0</v>
      </c>
      <c r="BF109" s="475">
        <f>COUNTIF(ParticipationAvril1[[#This Row],[1]:[30]],Code31)</f>
        <v>0</v>
      </c>
      <c r="BG109" s="475">
        <f>COUNTIF(ParticipationAvril1[[#This Row],[1]:[30]],code21)</f>
        <v>0</v>
      </c>
      <c r="BH109" s="475">
        <f>COUNTIF(ParticipationAvril1[[#This Row],[1]:[30]],Code24)</f>
        <v>0</v>
      </c>
      <c r="BI109" s="475">
        <f>COUNTIF(ParticipationAvril1[[#This Row],[1]:[30]],code18)</f>
        <v>0</v>
      </c>
      <c r="BJ109" s="475">
        <f>COUNTIF(ParticipationAvril1[[#This Row],[1]:[30]],code19)</f>
        <v>0</v>
      </c>
      <c r="BK109" s="475">
        <f>COUNTIF(ParticipationAvril1[[#This Row],[1]:[30]],code20)</f>
        <v>0</v>
      </c>
      <c r="BL109" s="476">
        <f>COUNTIF(ParticipationAvril1[[#This Row],[1]:[30]],code29)</f>
        <v>0</v>
      </c>
      <c r="BM109" s="472"/>
      <c r="BN109" s="472">
        <v>1</v>
      </c>
      <c r="BO109" s="472"/>
      <c r="BP109" s="472"/>
      <c r="BQ109" s="472"/>
      <c r="BR109" s="472"/>
      <c r="BS109" s="472"/>
      <c r="BT109" s="472"/>
      <c r="BU109" s="472"/>
      <c r="BV109" s="472"/>
      <c r="BW109" s="472"/>
      <c r="BX109" s="472"/>
      <c r="BY109" s="472"/>
      <c r="BZ109" s="472"/>
      <c r="CA109" s="472"/>
      <c r="CB109" s="472"/>
      <c r="CC109" s="472"/>
      <c r="CD109" s="472"/>
      <c r="CE109" s="472"/>
      <c r="CF109" s="472"/>
      <c r="CG109" s="472"/>
      <c r="CH109" s="472"/>
      <c r="CI109" s="472"/>
      <c r="CJ109" s="472"/>
      <c r="CK109" s="472"/>
      <c r="CL109" s="472"/>
      <c r="CM109" s="472"/>
      <c r="CN109" s="472"/>
      <c r="CO109" s="472"/>
      <c r="CP109" s="472"/>
      <c r="CQ109" s="472"/>
      <c r="CR109" s="472"/>
      <c r="CS109" s="473"/>
      <c r="CT109" s="473"/>
      <c r="CU109" s="300"/>
      <c r="CV109" s="485">
        <f t="shared" si="10"/>
        <v>0</v>
      </c>
      <c r="CW109" s="499">
        <f t="shared" si="11"/>
        <v>3</v>
      </c>
      <c r="CX109" s="475">
        <f t="shared" si="12"/>
        <v>0</v>
      </c>
      <c r="CY109" s="477"/>
      <c r="CZ109" s="469"/>
    </row>
    <row r="110" spans="1:104" ht="15" thickTop="1" thickBot="1">
      <c r="A110" s="534" t="s">
        <v>451</v>
      </c>
      <c r="B110" s="162" t="str">
        <f>IFERROR(VLOOKUP(ParticipationAvril1[[#This Row],[Référence]],ListeÉtudiants1[],18,FALSE),"")</f>
        <v>OUSSENI-COMBO ROMINAH</v>
      </c>
      <c r="C110" s="19"/>
      <c r="D110" s="19"/>
      <c r="E110" s="19" t="s">
        <v>527</v>
      </c>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558"/>
      <c r="AG110" s="340"/>
      <c r="AH110" s="6">
        <f>COUNTIF(ParticipationAvril1[[#This Row],[1]:[30]],Code1)</f>
        <v>0</v>
      </c>
      <c r="AI110" s="6">
        <f>COUNTIF(ParticipationAvril1[[#This Row],[1]:[30]],code22)</f>
        <v>1</v>
      </c>
      <c r="AJ110" s="6">
        <f>COUNTIF(ParticipationAvril1[[#This Row],[1]:[30]],Code2)</f>
        <v>0</v>
      </c>
      <c r="AK110" s="6">
        <f>COUNTIF(ParticipationAvril1[[#This Row],[1]:[30]],Code3)</f>
        <v>0</v>
      </c>
      <c r="AL110" s="6">
        <f>COUNTIF(ParticipationAvril1[[#This Row],[1]:[30]],Code4)</f>
        <v>0</v>
      </c>
      <c r="AM110" s="6">
        <f>COUNTIF(ParticipationAvril1[[#This Row],[1]:[30]],Code5)</f>
        <v>0</v>
      </c>
      <c r="AN110" s="6">
        <f>COUNTIF(ParticipationAvril1[[#This Row],[1]:[30]],Code23)</f>
        <v>0</v>
      </c>
      <c r="AO110" s="6">
        <f>COUNTIF(ParticipationAvril1[[#This Row],[1]:[30]],Code6)</f>
        <v>0</v>
      </c>
      <c r="AP110" s="6">
        <f>COUNTIF(ParticipationAvril1[[#This Row],[1]:[30]],Code7)</f>
        <v>0</v>
      </c>
      <c r="AQ110" s="6">
        <f>COUNTIF(ParticipationAvril1[[#This Row],[1]:[30]],Code8)</f>
        <v>0</v>
      </c>
      <c r="AR110" s="6">
        <f>COUNTIF(ParticipationAvril1[[#This Row],[1]:[30]],Code9)</f>
        <v>0</v>
      </c>
      <c r="AS110" s="6">
        <f>COUNTIF(ParticipationAvril1[[#This Row],[1]:[30]],Code10)</f>
        <v>0</v>
      </c>
      <c r="AT110" s="6">
        <f>COUNTIF(ParticipationAvril1[[#This Row],[1]:[30]],Code11)</f>
        <v>0</v>
      </c>
      <c r="AU110" s="6">
        <f>COUNTIF(ParticipationAvril1[[#This Row],[1]:[30]],Code12)</f>
        <v>0</v>
      </c>
      <c r="AV110" s="6">
        <f>COUNTIF(ParticipationAvril1[[#This Row],[1]:[30]],Code13)</f>
        <v>0</v>
      </c>
      <c r="AW110" s="6">
        <f>COUNTIF(ParticipationAvril1[[#This Row],[1]:[30]],Code14)</f>
        <v>0</v>
      </c>
      <c r="AX110" s="6">
        <f>COUNTIF(ParticipationAvril1[[#This Row],[1]:[30]],Code16)</f>
        <v>0</v>
      </c>
      <c r="AY110" s="6">
        <f>COUNTIF(ParticipationAvril1[[#This Row],[1]:[30]],Code15)</f>
        <v>0</v>
      </c>
      <c r="AZ110" s="6">
        <f>COUNTIF(ParticipationAvril1[[#This Row],[1]:[30]],Code17)</f>
        <v>0</v>
      </c>
      <c r="BA110" s="6">
        <f>COUNTIF(ParticipationAvril1[[#This Row],[1]:[30]],Code25)</f>
        <v>0</v>
      </c>
      <c r="BB110" s="6">
        <f>COUNTIF(ParticipationAvril1[[#This Row],[1]:[30]],Code26)</f>
        <v>0</v>
      </c>
      <c r="BC110" s="6">
        <f>COUNTIF(ParticipationAvril1[[#This Row],[1]:[30]],Code27)</f>
        <v>0</v>
      </c>
      <c r="BD110" s="6">
        <f>COUNTIF(ParticipationAvril1[[#This Row],[1]:[30]],Code28)</f>
        <v>0</v>
      </c>
      <c r="BE110" s="6">
        <f>COUNTIF(ParticipationAvril1[[#This Row],[1]:[30]],code30)</f>
        <v>0</v>
      </c>
      <c r="BF110" s="6">
        <f>COUNTIF(ParticipationAvril1[[#This Row],[1]:[30]],Code31)</f>
        <v>0</v>
      </c>
      <c r="BG110" s="6">
        <f>COUNTIF(ParticipationAvril1[[#This Row],[1]:[30]],code21)</f>
        <v>0</v>
      </c>
      <c r="BH110" s="6">
        <f>COUNTIF(ParticipationAvril1[[#This Row],[1]:[30]],Code24)</f>
        <v>0</v>
      </c>
      <c r="BI110" s="6">
        <f>COUNTIF(ParticipationAvril1[[#This Row],[1]:[30]],code18)</f>
        <v>0</v>
      </c>
      <c r="BJ110" s="6">
        <f>COUNTIF(ParticipationAvril1[[#This Row],[1]:[30]],code19)</f>
        <v>0</v>
      </c>
      <c r="BK110" s="6">
        <f>COUNTIF(ParticipationAvril1[[#This Row],[1]:[30]],code20)</f>
        <v>0</v>
      </c>
      <c r="BL110" s="182">
        <f>COUNTIF(ParticipationAvril1[[#This Row],[1]:[30]],code29)</f>
        <v>0</v>
      </c>
      <c r="BM110" s="307"/>
      <c r="BN110" s="297"/>
      <c r="BO110" s="297"/>
      <c r="BP110" s="297"/>
      <c r="BQ110" s="297"/>
      <c r="BR110" s="297"/>
      <c r="BS110" s="297"/>
      <c r="BT110" s="297"/>
      <c r="BU110" s="297"/>
      <c r="BV110" s="297"/>
      <c r="BW110" s="297"/>
      <c r="BX110" s="297"/>
      <c r="BY110" s="297"/>
      <c r="BZ110" s="297"/>
      <c r="CA110" s="297"/>
      <c r="CB110" s="297"/>
      <c r="CC110" s="297"/>
      <c r="CD110" s="297"/>
      <c r="CE110" s="297"/>
      <c r="CF110" s="297"/>
      <c r="CG110" s="297">
        <v>1</v>
      </c>
      <c r="CH110" s="297"/>
      <c r="CI110" s="297"/>
      <c r="CJ110" s="297"/>
      <c r="CK110" s="297"/>
      <c r="CL110" s="297"/>
      <c r="CM110" s="297"/>
      <c r="CN110" s="297"/>
      <c r="CO110" s="297"/>
      <c r="CP110" s="297"/>
      <c r="CQ110" s="297"/>
      <c r="CR110" s="297"/>
      <c r="CS110" s="307"/>
      <c r="CT110" s="307"/>
      <c r="CU110" s="561"/>
      <c r="CV110" s="485">
        <f t="shared" si="10"/>
        <v>1.5</v>
      </c>
      <c r="CW110" s="563">
        <f t="shared" si="11"/>
        <v>0</v>
      </c>
      <c r="CX110" s="6">
        <f t="shared" si="12"/>
        <v>0</v>
      </c>
      <c r="CY110" s="179">
        <f>SUM((BI110*7)+(BJ110*10)+(BK110*12))</f>
        <v>0</v>
      </c>
    </row>
    <row r="111" spans="1:104" ht="15" thickTop="1" thickBot="1">
      <c r="A111" s="510" t="s">
        <v>452</v>
      </c>
      <c r="B111" s="162" t="str">
        <f>IFERROR(VLOOKUP(ParticipationAvril1[[#This Row],[Référence]],ListeÉtudiants1[],18,FALSE),"")</f>
        <v>PAPAIL SIMON</v>
      </c>
      <c r="C111" s="19"/>
      <c r="D111" s="19"/>
      <c r="E111" s="19"/>
      <c r="F111" s="19" t="s">
        <v>108</v>
      </c>
      <c r="G111" s="19"/>
      <c r="H111" s="19" t="s">
        <v>35</v>
      </c>
      <c r="I111" s="19"/>
      <c r="J111" s="19"/>
      <c r="K111" s="19"/>
      <c r="L111" s="19" t="s">
        <v>487</v>
      </c>
      <c r="M111" s="19"/>
      <c r="N111" s="19"/>
      <c r="O111" s="19"/>
      <c r="P111" s="19"/>
      <c r="Q111" s="19"/>
      <c r="R111" s="19"/>
      <c r="S111" s="19"/>
      <c r="T111" s="19"/>
      <c r="U111" s="19"/>
      <c r="V111" s="19"/>
      <c r="W111" s="19"/>
      <c r="X111" s="19"/>
      <c r="Y111" s="19"/>
      <c r="Z111" s="19"/>
      <c r="AA111" s="19"/>
      <c r="AB111" s="19"/>
      <c r="AC111" s="19"/>
      <c r="AD111" s="19"/>
      <c r="AE111" s="19"/>
      <c r="AF111" s="19"/>
      <c r="AG111" s="144"/>
      <c r="AH111" s="6">
        <f>COUNTIF(ParticipationAvril1[[#This Row],[1]:[30]],Code1)</f>
        <v>0</v>
      </c>
      <c r="AI111" s="6">
        <f>COUNTIF(ParticipationAvril1[[#This Row],[1]:[30]],code22)</f>
        <v>0</v>
      </c>
      <c r="AJ111" s="6">
        <f>COUNTIF(ParticipationAvril1[[#This Row],[1]:[30]],Code2)</f>
        <v>0</v>
      </c>
      <c r="AK111" s="6">
        <f>COUNTIF(ParticipationAvril1[[#This Row],[1]:[30]],Code3)</f>
        <v>0</v>
      </c>
      <c r="AL111" s="6">
        <f>COUNTIF(ParticipationAvril1[[#This Row],[1]:[30]],Code4)</f>
        <v>0</v>
      </c>
      <c r="AM111" s="6">
        <f>COUNTIF(ParticipationAvril1[[#This Row],[1]:[30]],Code5)</f>
        <v>1</v>
      </c>
      <c r="AN111" s="6">
        <f>COUNTIF(ParticipationAvril1[[#This Row],[1]:[30]],Code23)</f>
        <v>0</v>
      </c>
      <c r="AO111" s="6">
        <f>COUNTIF(ParticipationAvril1[[#This Row],[1]:[30]],Code6)</f>
        <v>1</v>
      </c>
      <c r="AP111" s="6">
        <f>COUNTIF(ParticipationAvril1[[#This Row],[1]:[30]],Code7)</f>
        <v>0</v>
      </c>
      <c r="AQ111" s="6">
        <f>COUNTIF(ParticipationAvril1[[#This Row],[1]:[30]],Code8)</f>
        <v>0</v>
      </c>
      <c r="AR111" s="6">
        <f>COUNTIF(ParticipationAvril1[[#This Row],[1]:[30]],Code9)</f>
        <v>0</v>
      </c>
      <c r="AS111" s="6">
        <f>COUNTIF(ParticipationAvril1[[#This Row],[1]:[30]],Code10)</f>
        <v>0</v>
      </c>
      <c r="AT111" s="6">
        <f>COUNTIF(ParticipationAvril1[[#This Row],[1]:[30]],Code11)</f>
        <v>0</v>
      </c>
      <c r="AU111" s="6">
        <f>COUNTIF(ParticipationAvril1[[#This Row],[1]:[30]],Code12)</f>
        <v>1</v>
      </c>
      <c r="AV111" s="6">
        <f>COUNTIF(ParticipationAvril1[[#This Row],[1]:[30]],Code13)</f>
        <v>0</v>
      </c>
      <c r="AW111" s="6">
        <f>COUNTIF(ParticipationAvril1[[#This Row],[1]:[30]],Code14)</f>
        <v>0</v>
      </c>
      <c r="AX111" s="6">
        <f>COUNTIF(ParticipationAvril1[[#This Row],[1]:[30]],Code16)</f>
        <v>0</v>
      </c>
      <c r="AY111" s="6">
        <f>COUNTIF(ParticipationAvril1[[#This Row],[1]:[30]],Code15)</f>
        <v>0</v>
      </c>
      <c r="AZ111" s="6">
        <f>COUNTIF(ParticipationAvril1[[#This Row],[1]:[30]],Code17)</f>
        <v>0</v>
      </c>
      <c r="BA111" s="6">
        <f>COUNTIF(ParticipationAvril1[[#This Row],[1]:[30]],Code25)</f>
        <v>0</v>
      </c>
      <c r="BB111" s="6">
        <f>COUNTIF(ParticipationAvril1[[#This Row],[1]:[30]],Code26)</f>
        <v>0</v>
      </c>
      <c r="BC111" s="432">
        <f>COUNTIF(ParticipationAvril1[[#This Row],[1]:[30]],Code27)</f>
        <v>0</v>
      </c>
      <c r="BD111" s="6">
        <f>COUNTIF(ParticipationAvril1[[#This Row],[1]:[30]],Code28)</f>
        <v>0</v>
      </c>
      <c r="BE111" s="6">
        <f>COUNTIF(ParticipationAvril1[[#This Row],[1]:[30]],code30)</f>
        <v>0</v>
      </c>
      <c r="BF111" s="6">
        <f>COUNTIF(ParticipationAvril1[[#This Row],[1]:[30]],Code31)</f>
        <v>0</v>
      </c>
      <c r="BG111" s="6">
        <f>COUNTIF(ParticipationAvril1[[#This Row],[1]:[30]],code21)</f>
        <v>0</v>
      </c>
      <c r="BH111" s="6">
        <f>COUNTIF(ParticipationAvril1[[#This Row],[1]:[30]],Code24)</f>
        <v>0</v>
      </c>
      <c r="BI111" s="6">
        <f>COUNTIF(ParticipationAvril1[[#This Row],[1]:[30]],code18)</f>
        <v>0</v>
      </c>
      <c r="BJ111" s="6">
        <f>COUNTIF(ParticipationAvril1[[#This Row],[1]:[30]],code19)</f>
        <v>0</v>
      </c>
      <c r="BK111" s="6">
        <f>COUNTIF(ParticipationAvril1[[#This Row],[1]:[30]],code20)</f>
        <v>0</v>
      </c>
      <c r="BL111" s="182">
        <f>COUNTIF(ParticipationAvril1[[#This Row],[1]:[30]],code29)</f>
        <v>0</v>
      </c>
      <c r="BM111" s="297"/>
      <c r="BN111" s="297">
        <v>1</v>
      </c>
      <c r="BO111" s="297"/>
      <c r="BP111" s="297"/>
      <c r="BQ111" s="297"/>
      <c r="BR111" s="297"/>
      <c r="BS111" s="297"/>
      <c r="BT111" s="297">
        <v>3</v>
      </c>
      <c r="BU111" s="297"/>
      <c r="BV111" s="297"/>
      <c r="BW111" s="297"/>
      <c r="BX111" s="297"/>
      <c r="BY111" s="297"/>
      <c r="BZ111" s="297"/>
      <c r="CA111" s="297"/>
      <c r="CB111" s="297"/>
      <c r="CC111" s="297"/>
      <c r="CD111" s="297"/>
      <c r="CE111" s="297"/>
      <c r="CF111" s="297"/>
      <c r="CG111" s="297"/>
      <c r="CH111" s="297"/>
      <c r="CI111" s="297"/>
      <c r="CJ111" s="297"/>
      <c r="CK111" s="297"/>
      <c r="CL111" s="297"/>
      <c r="CM111" s="297"/>
      <c r="CN111" s="297"/>
      <c r="CO111" s="297"/>
      <c r="CP111" s="297"/>
      <c r="CQ111" s="297"/>
      <c r="CR111" s="297"/>
      <c r="CS111" s="307"/>
      <c r="CT111" s="307"/>
      <c r="CU111" s="300"/>
      <c r="CV111" s="485">
        <f t="shared" si="10"/>
        <v>0</v>
      </c>
      <c r="CW111" s="499">
        <f t="shared" si="11"/>
        <v>11</v>
      </c>
      <c r="CX111" s="6">
        <f t="shared" si="12"/>
        <v>0</v>
      </c>
      <c r="CY111" s="179">
        <f>SUM(AQ111:CV111)</f>
        <v>5</v>
      </c>
    </row>
    <row r="112" spans="1:104" ht="15" thickTop="1" thickBot="1">
      <c r="A112" s="510" t="s">
        <v>453</v>
      </c>
      <c r="B112" s="162" t="str">
        <f>IFERROR(VLOOKUP(ParticipationAvril1[[#This Row],[Référence]],ListeÉtudiants1[],18,FALSE),"")</f>
        <v>PICARDET LISSANNDRA</v>
      </c>
      <c r="C112" s="19"/>
      <c r="D112" s="19"/>
      <c r="E112" s="19"/>
      <c r="F112" s="19" t="s">
        <v>108</v>
      </c>
      <c r="G112" s="19"/>
      <c r="H112" s="19" t="s">
        <v>35</v>
      </c>
      <c r="I112" s="19"/>
      <c r="J112" s="19"/>
      <c r="K112" s="19" t="s">
        <v>108</v>
      </c>
      <c r="L112" s="19" t="s">
        <v>487</v>
      </c>
      <c r="M112" s="19" t="s">
        <v>487</v>
      </c>
      <c r="N112" s="19"/>
      <c r="O112" s="19"/>
      <c r="P112" s="19"/>
      <c r="Q112" s="19"/>
      <c r="R112" s="19"/>
      <c r="S112" s="19"/>
      <c r="T112" s="19"/>
      <c r="U112" s="19"/>
      <c r="V112" s="19"/>
      <c r="W112" s="19"/>
      <c r="X112" s="19"/>
      <c r="Y112" s="19"/>
      <c r="Z112" s="19"/>
      <c r="AA112" s="19"/>
      <c r="AB112" s="19"/>
      <c r="AC112" s="19"/>
      <c r="AD112" s="19"/>
      <c r="AE112" s="19"/>
      <c r="AF112" s="19"/>
      <c r="AG112" s="144"/>
      <c r="AH112" s="6">
        <f>COUNTIF(ParticipationAvril1[[#This Row],[1]:[30]],Code1)</f>
        <v>0</v>
      </c>
      <c r="AI112" s="6">
        <f>COUNTIF(ParticipationAvril1[[#This Row],[1]:[30]],code22)</f>
        <v>0</v>
      </c>
      <c r="AJ112" s="6">
        <f>COUNTIF(ParticipationAvril1[[#This Row],[1]:[30]],Code2)</f>
        <v>0</v>
      </c>
      <c r="AK112" s="6">
        <f>COUNTIF(ParticipationAvril1[[#This Row],[1]:[30]],Code3)</f>
        <v>0</v>
      </c>
      <c r="AL112" s="6">
        <f>COUNTIF(ParticipationAvril1[[#This Row],[1]:[30]],Code4)</f>
        <v>0</v>
      </c>
      <c r="AM112" s="6">
        <f>COUNTIF(ParticipationAvril1[[#This Row],[1]:[30]],Code5)</f>
        <v>1</v>
      </c>
      <c r="AN112" s="6">
        <f>COUNTIF(ParticipationAvril1[[#This Row],[1]:[30]],Code23)</f>
        <v>0</v>
      </c>
      <c r="AO112" s="6">
        <f>COUNTIF(ParticipationAvril1[[#This Row],[1]:[30]],Code6)</f>
        <v>2</v>
      </c>
      <c r="AP112" s="6">
        <f>COUNTIF(ParticipationAvril1[[#This Row],[1]:[30]],Code7)</f>
        <v>0</v>
      </c>
      <c r="AQ112" s="6">
        <f>COUNTIF(ParticipationAvril1[[#This Row],[1]:[30]],Code8)</f>
        <v>0</v>
      </c>
      <c r="AR112" s="6">
        <f>COUNTIF(ParticipationAvril1[[#This Row],[1]:[30]],Code9)</f>
        <v>0</v>
      </c>
      <c r="AS112" s="6">
        <f>COUNTIF(ParticipationAvril1[[#This Row],[1]:[30]],Code10)</f>
        <v>0</v>
      </c>
      <c r="AT112" s="6">
        <f>COUNTIF(ParticipationAvril1[[#This Row],[1]:[30]],Code11)</f>
        <v>0</v>
      </c>
      <c r="AU112" s="6">
        <f>COUNTIF(ParticipationAvril1[[#This Row],[1]:[30]],Code12)</f>
        <v>2</v>
      </c>
      <c r="AV112" s="6">
        <f>COUNTIF(ParticipationAvril1[[#This Row],[1]:[30]],Code13)</f>
        <v>0</v>
      </c>
      <c r="AW112" s="6">
        <f>COUNTIF(ParticipationAvril1[[#This Row],[1]:[30]],Code14)</f>
        <v>0</v>
      </c>
      <c r="AX112" s="6">
        <f>COUNTIF(ParticipationAvril1[[#This Row],[1]:[30]],Code16)</f>
        <v>0</v>
      </c>
      <c r="AY112" s="6">
        <f>COUNTIF(ParticipationAvril1[[#This Row],[1]:[30]],Code15)</f>
        <v>0</v>
      </c>
      <c r="AZ112" s="6">
        <f>COUNTIF(ParticipationAvril1[[#This Row],[1]:[30]],Code17)</f>
        <v>0</v>
      </c>
      <c r="BA112" s="6">
        <f>COUNTIF(ParticipationAvril1[[#This Row],[1]:[30]],Code25)</f>
        <v>0</v>
      </c>
      <c r="BB112" s="6">
        <f>COUNTIF(ParticipationAvril1[[#This Row],[1]:[30]],Code26)</f>
        <v>0</v>
      </c>
      <c r="BC112" s="432">
        <f>COUNTIF(ParticipationAvril1[[#This Row],[1]:[30]],Code27)</f>
        <v>0</v>
      </c>
      <c r="BD112" s="6">
        <f>COUNTIF(ParticipationAvril1[[#This Row],[1]:[30]],Code28)</f>
        <v>0</v>
      </c>
      <c r="BE112" s="6">
        <f>COUNTIF(ParticipationAvril1[[#This Row],[1]:[30]],code30)</f>
        <v>0</v>
      </c>
      <c r="BF112" s="6">
        <f>COUNTIF(ParticipationAvril1[[#This Row],[1]:[30]],Code31)</f>
        <v>0</v>
      </c>
      <c r="BG112" s="6">
        <f>COUNTIF(ParticipationAvril1[[#This Row],[1]:[30]],code21)</f>
        <v>0</v>
      </c>
      <c r="BH112" s="6">
        <f>COUNTIF(ParticipationAvril1[[#This Row],[1]:[30]],Code24)</f>
        <v>0</v>
      </c>
      <c r="BI112" s="6">
        <f>COUNTIF(ParticipationAvril1[[#This Row],[1]:[30]],code18)</f>
        <v>0</v>
      </c>
      <c r="BJ112" s="6">
        <f>COUNTIF(ParticipationAvril1[[#This Row],[1]:[30]],code19)</f>
        <v>0</v>
      </c>
      <c r="BK112" s="6">
        <f>COUNTIF(ParticipationAvril1[[#This Row],[1]:[30]],code20)</f>
        <v>0</v>
      </c>
      <c r="BL112" s="182">
        <f>COUNTIF(ParticipationAvril1[[#This Row],[1]:[30]],code29)</f>
        <v>0</v>
      </c>
      <c r="BM112" s="307"/>
      <c r="BN112" s="307">
        <v>2</v>
      </c>
      <c r="BO112" s="307"/>
      <c r="BP112" s="307"/>
      <c r="BQ112" s="307"/>
      <c r="BR112" s="307"/>
      <c r="BS112" s="307"/>
      <c r="BT112" s="297">
        <v>4</v>
      </c>
      <c r="BU112" s="307"/>
      <c r="BV112" s="307"/>
      <c r="BW112" s="307">
        <v>1</v>
      </c>
      <c r="BX112" s="307"/>
      <c r="BY112" s="307"/>
      <c r="BZ112" s="307"/>
      <c r="CA112" s="307"/>
      <c r="CB112" s="307"/>
      <c r="CC112" s="307"/>
      <c r="CD112" s="307"/>
      <c r="CE112" s="307"/>
      <c r="CF112" s="307"/>
      <c r="CG112" s="307"/>
      <c r="CH112" s="307"/>
      <c r="CI112" s="307"/>
      <c r="CJ112" s="307"/>
      <c r="CK112" s="307"/>
      <c r="CL112" s="307"/>
      <c r="CM112" s="307"/>
      <c r="CN112" s="307"/>
      <c r="CO112" s="307"/>
      <c r="CP112" s="307"/>
      <c r="CQ112" s="307"/>
      <c r="CR112" s="307"/>
      <c r="CS112" s="307"/>
      <c r="CT112" s="307"/>
      <c r="CU112" s="300"/>
      <c r="CV112" s="485">
        <f t="shared" si="10"/>
        <v>0</v>
      </c>
      <c r="CW112" s="499">
        <f t="shared" si="11"/>
        <v>20</v>
      </c>
      <c r="CX112" s="6">
        <f t="shared" si="12"/>
        <v>0</v>
      </c>
      <c r="CY112" s="179"/>
    </row>
    <row r="113" spans="1:104" ht="15" thickTop="1" thickBot="1">
      <c r="A113" s="510" t="s">
        <v>454</v>
      </c>
      <c r="B113" s="162" t="str">
        <f>IFERROR(VLOOKUP(ParticipationAvril1[[#This Row],[Référence]],ListeÉtudiants1[],18,FALSE),"")</f>
        <v>PIRES KEVIN</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558"/>
      <c r="AG113" s="484"/>
      <c r="AH113" s="6">
        <f>COUNTIF(ParticipationAvril1[[#This Row],[1]:[30]],Code1)</f>
        <v>0</v>
      </c>
      <c r="AI113" s="475">
        <f>COUNTIF(ParticipationAvril1[[#This Row],[1]:[30]],code22)</f>
        <v>0</v>
      </c>
      <c r="AJ113" s="6">
        <f>COUNTIF(ParticipationAvril1[[#This Row],[1]:[30]],Code2)</f>
        <v>0</v>
      </c>
      <c r="AK113" s="6">
        <f>COUNTIF(ParticipationAvril1[[#This Row],[1]:[30]],Code3)</f>
        <v>0</v>
      </c>
      <c r="AL113" s="6">
        <f>COUNTIF(ParticipationAvril1[[#This Row],[1]:[30]],Code4)</f>
        <v>0</v>
      </c>
      <c r="AM113" s="475">
        <f>COUNTIF(ParticipationAvril1[[#This Row],[1]:[30]],Code5)</f>
        <v>0</v>
      </c>
      <c r="AN113" s="475">
        <f>COUNTIF(ParticipationAvril1[[#This Row],[1]:[30]],Code23)</f>
        <v>0</v>
      </c>
      <c r="AO113" s="475">
        <f>COUNTIF(ParticipationAvril1[[#This Row],[1]:[30]],Code6)</f>
        <v>0</v>
      </c>
      <c r="AP113" s="475">
        <f>COUNTIF(ParticipationAvril1[[#This Row],[1]:[30]],Code7)</f>
        <v>0</v>
      </c>
      <c r="AQ113" s="475">
        <f>COUNTIF(ParticipationAvril1[[#This Row],[1]:[30]],Code8)</f>
        <v>0</v>
      </c>
      <c r="AR113" s="475">
        <f>COUNTIF(ParticipationAvril1[[#This Row],[1]:[30]],Code9)</f>
        <v>0</v>
      </c>
      <c r="AS113" s="475">
        <f>COUNTIF(ParticipationAvril1[[#This Row],[1]:[30]],Code10)</f>
        <v>0</v>
      </c>
      <c r="AT113" s="475">
        <f>COUNTIF(ParticipationAvril1[[#This Row],[1]:[30]],Code11)</f>
        <v>0</v>
      </c>
      <c r="AU113" s="475">
        <f>COUNTIF(ParticipationAvril1[[#This Row],[1]:[30]],Code12)</f>
        <v>0</v>
      </c>
      <c r="AV113" s="475">
        <f>COUNTIF(ParticipationAvril1[[#This Row],[1]:[30]],Code13)</f>
        <v>0</v>
      </c>
      <c r="AW113" s="475">
        <f>COUNTIF(ParticipationAvril1[[#This Row],[1]:[30]],Code14)</f>
        <v>0</v>
      </c>
      <c r="AX113" s="475">
        <f>COUNTIF(ParticipationAvril1[[#This Row],[1]:[30]],Code16)</f>
        <v>0</v>
      </c>
      <c r="AY113" s="475">
        <f>COUNTIF(ParticipationAvril1[[#This Row],[1]:[30]],Code15)</f>
        <v>0</v>
      </c>
      <c r="AZ113" s="475">
        <f>COUNTIF(ParticipationAvril1[[#This Row],[1]:[30]],Code17)</f>
        <v>0</v>
      </c>
      <c r="BA113" s="475">
        <f>COUNTIF(ParticipationAvril1[[#This Row],[1]:[30]],Code25)</f>
        <v>0</v>
      </c>
      <c r="BB113" s="475">
        <f>COUNTIF(ParticipationAvril1[[#This Row],[1]:[30]],Code26)</f>
        <v>0</v>
      </c>
      <c r="BC113" s="474">
        <f>COUNTIF(ParticipationAvril1[[#This Row],[1]:[30]],Code27)</f>
        <v>0</v>
      </c>
      <c r="BD113" s="475">
        <f>COUNTIF(ParticipationAvril1[[#This Row],[1]:[30]],Code28)</f>
        <v>0</v>
      </c>
      <c r="BE113" s="475">
        <f>COUNTIF(ParticipationAvril1[[#This Row],[1]:[30]],code30)</f>
        <v>0</v>
      </c>
      <c r="BF113" s="475">
        <f>COUNTIF(ParticipationAvril1[[#This Row],[1]:[30]],Code31)</f>
        <v>0</v>
      </c>
      <c r="BG113" s="475">
        <f>COUNTIF(ParticipationAvril1[[#This Row],[1]:[30]],code21)</f>
        <v>0</v>
      </c>
      <c r="BH113" s="475">
        <f>COUNTIF(ParticipationAvril1[[#This Row],[1]:[30]],Code24)</f>
        <v>0</v>
      </c>
      <c r="BI113" s="475">
        <f>COUNTIF(ParticipationAvril1[[#This Row],[1]:[30]],code18)</f>
        <v>0</v>
      </c>
      <c r="BJ113" s="475">
        <f>COUNTIF(ParticipationAvril1[[#This Row],[1]:[30]],code19)</f>
        <v>0</v>
      </c>
      <c r="BK113" s="475">
        <f>COUNTIF(ParticipationAvril1[[#This Row],[1]:[30]],code20)</f>
        <v>0</v>
      </c>
      <c r="BL113" s="476">
        <f>COUNTIF(ParticipationAvril1[[#This Row],[1]:[30]],code29)</f>
        <v>0</v>
      </c>
      <c r="BM113" s="473"/>
      <c r="BN113" s="473"/>
      <c r="BO113" s="473"/>
      <c r="BP113" s="473"/>
      <c r="BQ113" s="473"/>
      <c r="BR113" s="473"/>
      <c r="BS113" s="473"/>
      <c r="BT113" s="472"/>
      <c r="BU113" s="473"/>
      <c r="BV113" s="473"/>
      <c r="BW113" s="473"/>
      <c r="BX113" s="473"/>
      <c r="BY113" s="473"/>
      <c r="BZ113" s="473"/>
      <c r="CA113" s="473"/>
      <c r="CB113" s="473"/>
      <c r="CC113" s="473"/>
      <c r="CD113" s="473"/>
      <c r="CE113" s="473"/>
      <c r="CF113" s="473"/>
      <c r="CG113" s="473"/>
      <c r="CH113" s="473"/>
      <c r="CI113" s="473"/>
      <c r="CJ113" s="473"/>
      <c r="CK113" s="473"/>
      <c r="CL113" s="473"/>
      <c r="CM113" s="473"/>
      <c r="CN113" s="473"/>
      <c r="CO113" s="473"/>
      <c r="CP113" s="473"/>
      <c r="CQ113" s="473"/>
      <c r="CR113" s="473"/>
      <c r="CS113" s="473"/>
      <c r="CT113" s="473"/>
      <c r="CU113" s="554">
        <f>SUM((AH113*1)+(AI113*1.5)+(AJ113*2)+(AK113*4)+(AP113*5)+(AQ113*6)+(AR113*7)+(AU113*2)+(AX113*3)+(AY113*4)+(AZ113*5)+(BB113*3)+(BA113*2)+(BG113*2)+(BC113*2)+(BD113*2))</f>
        <v>0</v>
      </c>
      <c r="CV113" s="555">
        <f t="shared" si="10"/>
        <v>0</v>
      </c>
      <c r="CW113" s="556">
        <f t="shared" si="11"/>
        <v>0</v>
      </c>
      <c r="CX113" s="475">
        <f t="shared" si="12"/>
        <v>0</v>
      </c>
      <c r="CY113" s="477"/>
    </row>
    <row r="114" spans="1:104" ht="15" thickTop="1" thickBot="1">
      <c r="A114" s="534" t="s">
        <v>455</v>
      </c>
      <c r="B114" s="162" t="str">
        <f>IFERROR(VLOOKUP(ParticipationAvril1[[#This Row],[Référence]],ListeÉtudiants1[],18,FALSE),"")</f>
        <v>PITKIAYE MPOUTOU JESSICA</v>
      </c>
      <c r="C114" s="471"/>
      <c r="D114" s="471"/>
      <c r="E114" s="471"/>
      <c r="F114" s="471"/>
      <c r="G114" s="471"/>
      <c r="H114" s="471"/>
      <c r="I114" s="471"/>
      <c r="J114" s="471"/>
      <c r="K114" s="471"/>
      <c r="L114" s="471" t="s">
        <v>108</v>
      </c>
      <c r="M114" s="471"/>
      <c r="N114" s="471"/>
      <c r="O114" s="471"/>
      <c r="P114" s="471"/>
      <c r="Q114" s="471"/>
      <c r="R114" s="471"/>
      <c r="S114" s="471"/>
      <c r="T114" s="471"/>
      <c r="U114" s="471"/>
      <c r="V114" s="471"/>
      <c r="W114" s="471"/>
      <c r="X114" s="471"/>
      <c r="Y114" s="471"/>
      <c r="Z114" s="471"/>
      <c r="AA114" s="471"/>
      <c r="AB114" s="471"/>
      <c r="AC114" s="471"/>
      <c r="AD114" s="471"/>
      <c r="AE114" s="471"/>
      <c r="AF114" s="483"/>
      <c r="AG114" s="484"/>
      <c r="AH114" s="471">
        <f>COUNTIF(ParticipationAvril1[[#This Row],[1]:[30]],Code1)</f>
        <v>0</v>
      </c>
      <c r="AI114" s="475">
        <f>COUNTIF(ParticipationAvril1[[#This Row],[1]:[30]],code22)</f>
        <v>0</v>
      </c>
      <c r="AJ114" s="471">
        <f>COUNTIF(ParticipationAvril1[[#This Row],[1]:[30]],Code2)</f>
        <v>0</v>
      </c>
      <c r="AK114" s="471">
        <f>COUNTIF(ParticipationAvril1[[#This Row],[1]:[30]],Code3)</f>
        <v>0</v>
      </c>
      <c r="AL114" s="471">
        <f>COUNTIF(ParticipationAvril1[[#This Row],[1]:[30]],Code4)</f>
        <v>0</v>
      </c>
      <c r="AM114" s="475">
        <f>COUNTIF(ParticipationAvril1[[#This Row],[1]:[30]],Code5)</f>
        <v>0</v>
      </c>
      <c r="AN114" s="475">
        <f>COUNTIF(ParticipationAvril1[[#This Row],[1]:[30]],Code23)</f>
        <v>0</v>
      </c>
      <c r="AO114" s="475">
        <f>COUNTIF(ParticipationAvril1[[#This Row],[1]:[30]],Code6)</f>
        <v>1</v>
      </c>
      <c r="AP114" s="475">
        <f>COUNTIF(ParticipationAvril1[[#This Row],[1]:[30]],Code7)</f>
        <v>0</v>
      </c>
      <c r="AQ114" s="475">
        <f>COUNTIF(ParticipationAvril1[[#This Row],[1]:[30]],Code8)</f>
        <v>0</v>
      </c>
      <c r="AR114" s="475">
        <f>COUNTIF(ParticipationAvril1[[#This Row],[1]:[30]],Code9)</f>
        <v>0</v>
      </c>
      <c r="AS114" s="475">
        <f>COUNTIF(ParticipationAvril1[[#This Row],[1]:[30]],Code10)</f>
        <v>0</v>
      </c>
      <c r="AT114" s="475">
        <f>COUNTIF(ParticipationAvril1[[#This Row],[1]:[30]],Code11)</f>
        <v>0</v>
      </c>
      <c r="AU114" s="475">
        <f>COUNTIF(ParticipationAvril1[[#This Row],[1]:[30]],Code12)</f>
        <v>0</v>
      </c>
      <c r="AV114" s="475">
        <f>COUNTIF(ParticipationAvril1[[#This Row],[1]:[30]],Code13)</f>
        <v>0</v>
      </c>
      <c r="AW114" s="475">
        <f>COUNTIF(ParticipationAvril1[[#This Row],[1]:[30]],Code14)</f>
        <v>0</v>
      </c>
      <c r="AX114" s="475">
        <f>COUNTIF(ParticipationAvril1[[#This Row],[1]:[30]],Code16)</f>
        <v>0</v>
      </c>
      <c r="AY114" s="475">
        <f>COUNTIF(ParticipationAvril1[[#This Row],[1]:[30]],Code15)</f>
        <v>0</v>
      </c>
      <c r="AZ114" s="475">
        <f>COUNTIF(ParticipationAvril1[[#This Row],[1]:[30]],Code17)</f>
        <v>0</v>
      </c>
      <c r="BA114" s="475">
        <f>COUNTIF(ParticipationAvril1[[#This Row],[1]:[30]],Code25)</f>
        <v>0</v>
      </c>
      <c r="BB114" s="475">
        <f>COUNTIF(ParticipationAvril1[[#This Row],[1]:[30]],Code26)</f>
        <v>0</v>
      </c>
      <c r="BC114" s="475">
        <f>COUNTIF(ParticipationAvril1[[#This Row],[1]:[30]],Code27)</f>
        <v>0</v>
      </c>
      <c r="BD114" s="475">
        <f>COUNTIF(ParticipationAvril1[[#This Row],[1]:[30]],Code28)</f>
        <v>0</v>
      </c>
      <c r="BE114" s="475">
        <f>COUNTIF(ParticipationAvril1[[#This Row],[1]:[30]],code30)</f>
        <v>0</v>
      </c>
      <c r="BF114" s="475">
        <f>COUNTIF(ParticipationAvril1[[#This Row],[1]:[30]],Code31)</f>
        <v>0</v>
      </c>
      <c r="BG114" s="475">
        <f>COUNTIF(ParticipationAvril1[[#This Row],[1]:[30]],code21)</f>
        <v>0</v>
      </c>
      <c r="BH114" s="475">
        <f>COUNTIF(ParticipationAvril1[[#This Row],[1]:[30]],Code24)</f>
        <v>0</v>
      </c>
      <c r="BI114" s="475">
        <f>COUNTIF(ParticipationAvril1[[#This Row],[1]:[30]],code18)</f>
        <v>0</v>
      </c>
      <c r="BJ114" s="475">
        <f>COUNTIF(ParticipationAvril1[[#This Row],[1]:[30]],code19)</f>
        <v>0</v>
      </c>
      <c r="BK114" s="475">
        <f>COUNTIF(ParticipationAvril1[[#This Row],[1]:[30]],code20)</f>
        <v>0</v>
      </c>
      <c r="BL114" s="476">
        <f>COUNTIF(ParticipationAvril1[[#This Row],[1]:[30]],code29)</f>
        <v>0</v>
      </c>
      <c r="BM114" s="472"/>
      <c r="BN114" s="472">
        <v>1</v>
      </c>
      <c r="BO114" s="472"/>
      <c r="BP114" s="472"/>
      <c r="BQ114" s="472"/>
      <c r="BR114" s="472"/>
      <c r="BS114" s="472"/>
      <c r="BT114" s="472"/>
      <c r="BU114" s="472"/>
      <c r="BV114" s="472"/>
      <c r="BW114" s="472"/>
      <c r="BX114" s="472"/>
      <c r="BY114" s="472"/>
      <c r="BZ114" s="472"/>
      <c r="CA114" s="472"/>
      <c r="CB114" s="472"/>
      <c r="CC114" s="472"/>
      <c r="CD114" s="472"/>
      <c r="CE114" s="472"/>
      <c r="CF114" s="472"/>
      <c r="CG114" s="472"/>
      <c r="CH114" s="472"/>
      <c r="CI114" s="472"/>
      <c r="CJ114" s="472"/>
      <c r="CK114" s="472"/>
      <c r="CL114" s="472"/>
      <c r="CM114" s="472"/>
      <c r="CN114" s="472"/>
      <c r="CO114" s="472"/>
      <c r="CP114" s="472"/>
      <c r="CQ114" s="472"/>
      <c r="CR114" s="472"/>
      <c r="CS114" s="473"/>
      <c r="CT114" s="473"/>
      <c r="CU114" s="561"/>
      <c r="CV114" s="485">
        <f t="shared" si="10"/>
        <v>0</v>
      </c>
      <c r="CW114" s="563">
        <f t="shared" si="11"/>
        <v>3</v>
      </c>
      <c r="CX114" s="475">
        <f t="shared" si="12"/>
        <v>0</v>
      </c>
      <c r="CY114" s="477"/>
      <c r="CZ114" s="469"/>
    </row>
    <row r="115" spans="1:104" ht="15" thickTop="1" thickBot="1">
      <c r="A115" s="510" t="s">
        <v>456</v>
      </c>
      <c r="B115" s="162" t="str">
        <f>IFERROR(VLOOKUP(ParticipationAvril1[[#This Row],[Référence]],ListeÉtudiants1[],18,FALSE),"")</f>
        <v>QUINTAIS ALEXANDRE</v>
      </c>
      <c r="C115" s="19"/>
      <c r="D115" s="19"/>
      <c r="E115" s="19" t="s">
        <v>492</v>
      </c>
      <c r="F115" s="19" t="s">
        <v>108</v>
      </c>
      <c r="G115" s="19"/>
      <c r="H115" s="19" t="s">
        <v>35</v>
      </c>
      <c r="I115" s="19"/>
      <c r="J115" s="19"/>
      <c r="K115" s="19"/>
      <c r="L115" s="19" t="s">
        <v>108</v>
      </c>
      <c r="M115" s="19" t="s">
        <v>487</v>
      </c>
      <c r="N115" s="19"/>
      <c r="O115" s="19"/>
      <c r="P115" s="19"/>
      <c r="Q115" s="19"/>
      <c r="R115" s="19"/>
      <c r="S115" s="19"/>
      <c r="T115" s="19"/>
      <c r="U115" s="19"/>
      <c r="V115" s="19"/>
      <c r="W115" s="19"/>
      <c r="X115" s="19"/>
      <c r="Y115" s="19"/>
      <c r="Z115" s="19"/>
      <c r="AA115" s="19"/>
      <c r="AB115" s="19"/>
      <c r="AC115" s="19"/>
      <c r="AD115" s="19"/>
      <c r="AE115" s="19"/>
      <c r="AF115" s="19"/>
      <c r="AG115" s="144"/>
      <c r="AH115" s="6">
        <f>COUNTIF(ParticipationAvril1[[#This Row],[1]:[30]],Code1)</f>
        <v>0</v>
      </c>
      <c r="AI115" s="6">
        <f>COUNTIF(ParticipationAvril1[[#This Row],[1]:[30]],code22)</f>
        <v>0</v>
      </c>
      <c r="AJ115" s="6">
        <f>COUNTIF(ParticipationAvril1[[#This Row],[1]:[30]],Code2)</f>
        <v>0</v>
      </c>
      <c r="AK115" s="6">
        <f>COUNTIF(ParticipationAvril1[[#This Row],[1]:[30]],Code3)</f>
        <v>0</v>
      </c>
      <c r="AL115" s="6">
        <f>COUNTIF(ParticipationAvril1[[#This Row],[1]:[30]],Code4)</f>
        <v>0</v>
      </c>
      <c r="AM115" s="6">
        <f>COUNTIF(ParticipationAvril1[[#This Row],[1]:[30]],Code5)</f>
        <v>1</v>
      </c>
      <c r="AN115" s="6">
        <f>COUNTIF(ParticipationAvril1[[#This Row],[1]:[30]],Code23)</f>
        <v>0</v>
      </c>
      <c r="AO115" s="6">
        <f>COUNTIF(ParticipationAvril1[[#This Row],[1]:[30]],Code6)</f>
        <v>2</v>
      </c>
      <c r="AP115" s="6">
        <f>COUNTIF(ParticipationAvril1[[#This Row],[1]:[30]],Code7)</f>
        <v>0</v>
      </c>
      <c r="AQ115" s="6">
        <f>COUNTIF(ParticipationAvril1[[#This Row],[1]:[30]],Code8)</f>
        <v>0</v>
      </c>
      <c r="AR115" s="6">
        <f>COUNTIF(ParticipationAvril1[[#This Row],[1]:[30]],Code9)</f>
        <v>0</v>
      </c>
      <c r="AS115" s="6">
        <f>COUNTIF(ParticipationAvril1[[#This Row],[1]:[30]],Code10)</f>
        <v>0</v>
      </c>
      <c r="AT115" s="6">
        <f>COUNTIF(ParticipationAvril1[[#This Row],[1]:[30]],Code11)</f>
        <v>0</v>
      </c>
      <c r="AU115" s="6">
        <f>COUNTIF(ParticipationAvril1[[#This Row],[1]:[30]],Code12)</f>
        <v>1</v>
      </c>
      <c r="AV115" s="6">
        <f>COUNTIF(ParticipationAvril1[[#This Row],[1]:[30]],Code13)</f>
        <v>0</v>
      </c>
      <c r="AW115" s="6">
        <f>COUNTIF(ParticipationAvril1[[#This Row],[1]:[30]],Code14)</f>
        <v>0</v>
      </c>
      <c r="AX115" s="6">
        <f>COUNTIF(ParticipationAvril1[[#This Row],[1]:[30]],Code16)</f>
        <v>0</v>
      </c>
      <c r="AY115" s="6">
        <f>COUNTIF(ParticipationAvril1[[#This Row],[1]:[30]],Code15)</f>
        <v>0</v>
      </c>
      <c r="AZ115" s="6">
        <f>COUNTIF(ParticipationAvril1[[#This Row],[1]:[30]],Code17)</f>
        <v>1</v>
      </c>
      <c r="BA115" s="6">
        <f>COUNTIF(ParticipationAvril1[[#This Row],[1]:[30]],Code25)</f>
        <v>0</v>
      </c>
      <c r="BB115" s="6">
        <f>COUNTIF(ParticipationAvril1[[#This Row],[1]:[30]],Code26)</f>
        <v>0</v>
      </c>
      <c r="BC115" s="432">
        <f>COUNTIF(ParticipationAvril1[[#This Row],[1]:[30]],Code27)</f>
        <v>0</v>
      </c>
      <c r="BD115" s="6">
        <f>COUNTIF(ParticipationAvril1[[#This Row],[1]:[30]],Code28)</f>
        <v>0</v>
      </c>
      <c r="BE115" s="6">
        <f>COUNTIF(ParticipationAvril1[[#This Row],[1]:[30]],code30)</f>
        <v>0</v>
      </c>
      <c r="BF115" s="6">
        <f>COUNTIF(ParticipationAvril1[[#This Row],[1]:[30]],Code31)</f>
        <v>0</v>
      </c>
      <c r="BG115" s="6">
        <f>COUNTIF(ParticipationAvril1[[#This Row],[1]:[30]],code21)</f>
        <v>0</v>
      </c>
      <c r="BH115" s="6">
        <f>COUNTIF(ParticipationAvril1[[#This Row],[1]:[30]],Code24)</f>
        <v>0</v>
      </c>
      <c r="BI115" s="6">
        <f>COUNTIF(ParticipationAvril1[[#This Row],[1]:[30]],code18)</f>
        <v>0</v>
      </c>
      <c r="BJ115" s="6">
        <f>COUNTIF(ParticipationAvril1[[#This Row],[1]:[30]],code19)</f>
        <v>0</v>
      </c>
      <c r="BK115" s="6">
        <f>COUNTIF(ParticipationAvril1[[#This Row],[1]:[30]],code20)</f>
        <v>0</v>
      </c>
      <c r="BL115" s="182">
        <f>COUNTIF(ParticipationAvril1[[#This Row],[1]:[30]],code29)</f>
        <v>0</v>
      </c>
      <c r="BM115" s="297"/>
      <c r="BN115" s="297">
        <v>2</v>
      </c>
      <c r="BO115" s="297"/>
      <c r="BP115" s="297"/>
      <c r="BQ115" s="297"/>
      <c r="BR115" s="297"/>
      <c r="BS115" s="297"/>
      <c r="BT115" s="297">
        <v>2</v>
      </c>
      <c r="BU115" s="297"/>
      <c r="BV115" s="297"/>
      <c r="BW115" s="297"/>
      <c r="BX115" s="297"/>
      <c r="BY115" s="297"/>
      <c r="BZ115" s="297">
        <v>1</v>
      </c>
      <c r="CA115" s="297"/>
      <c r="CB115" s="297">
        <v>2</v>
      </c>
      <c r="CC115" s="297"/>
      <c r="CD115" s="297"/>
      <c r="CE115" s="297"/>
      <c r="CF115" s="297"/>
      <c r="CG115" s="297">
        <v>1</v>
      </c>
      <c r="CH115" s="297"/>
      <c r="CI115" s="297"/>
      <c r="CJ115" s="297"/>
      <c r="CK115" s="297"/>
      <c r="CL115" s="297"/>
      <c r="CM115" s="297"/>
      <c r="CN115" s="297"/>
      <c r="CO115" s="297"/>
      <c r="CP115" s="297"/>
      <c r="CQ115" s="297"/>
      <c r="CR115" s="297"/>
      <c r="CS115" s="307"/>
      <c r="CT115" s="307"/>
      <c r="CU115" s="300"/>
      <c r="CV115" s="485">
        <f t="shared" si="10"/>
        <v>2</v>
      </c>
      <c r="CW115" s="499">
        <f t="shared" si="11"/>
        <v>19</v>
      </c>
      <c r="CX115" s="6">
        <f t="shared" si="12"/>
        <v>0</v>
      </c>
      <c r="CY115" s="179">
        <f>SUM((BI115*7)+(BJ115*10)+(BK115*12))</f>
        <v>0</v>
      </c>
    </row>
    <row r="116" spans="1:104" ht="15" thickTop="1" thickBot="1">
      <c r="A116" s="510" t="s">
        <v>457</v>
      </c>
      <c r="B116" s="162" t="str">
        <f>IFERROR(VLOOKUP(ParticipationAvril1[[#This Row],[Référence]],ListeÉtudiants1[],18,FALSE),"")</f>
        <v>RAMOS MARION</v>
      </c>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478"/>
      <c r="AH116" s="6">
        <f>COUNTIF(ParticipationAvril1[[#This Row],[1]:[30]],Code1)</f>
        <v>0</v>
      </c>
      <c r="AI116" s="475">
        <f>COUNTIF(ParticipationAvril1[[#This Row],[1]:[30]],code22)</f>
        <v>0</v>
      </c>
      <c r="AJ116" s="6">
        <f>COUNTIF(ParticipationAvril1[[#This Row],[1]:[30]],Code2)</f>
        <v>0</v>
      </c>
      <c r="AK116" s="6">
        <f>COUNTIF(ParticipationAvril1[[#This Row],[1]:[30]],Code3)</f>
        <v>0</v>
      </c>
      <c r="AL116" s="6">
        <f>COUNTIF(ParticipationAvril1[[#This Row],[1]:[30]],Code4)</f>
        <v>0</v>
      </c>
      <c r="AM116" s="475">
        <f>COUNTIF(ParticipationAvril1[[#This Row],[1]:[30]],Code5)</f>
        <v>0</v>
      </c>
      <c r="AN116" s="475">
        <f>COUNTIF(ParticipationAvril1[[#This Row],[1]:[30]],Code23)</f>
        <v>0</v>
      </c>
      <c r="AO116" s="475">
        <f>COUNTIF(ParticipationAvril1[[#This Row],[1]:[30]],Code6)</f>
        <v>0</v>
      </c>
      <c r="AP116" s="475">
        <f>COUNTIF(ParticipationAvril1[[#This Row],[1]:[30]],Code7)</f>
        <v>0</v>
      </c>
      <c r="AQ116" s="475">
        <f>COUNTIF(ParticipationAvril1[[#This Row],[1]:[30]],Code8)</f>
        <v>0</v>
      </c>
      <c r="AR116" s="475">
        <f>COUNTIF(ParticipationAvril1[[#This Row],[1]:[30]],Code9)</f>
        <v>0</v>
      </c>
      <c r="AS116" s="475">
        <f>COUNTIF(ParticipationAvril1[[#This Row],[1]:[30]],Code10)</f>
        <v>0</v>
      </c>
      <c r="AT116" s="475">
        <f>COUNTIF(ParticipationAvril1[[#This Row],[1]:[30]],Code11)</f>
        <v>0</v>
      </c>
      <c r="AU116" s="475">
        <f>COUNTIF(ParticipationAvril1[[#This Row],[1]:[30]],Code12)</f>
        <v>0</v>
      </c>
      <c r="AV116" s="475">
        <f>COUNTIF(ParticipationAvril1[[#This Row],[1]:[30]],Code13)</f>
        <v>0</v>
      </c>
      <c r="AW116" s="475">
        <f>COUNTIF(ParticipationAvril1[[#This Row],[1]:[30]],Code14)</f>
        <v>0</v>
      </c>
      <c r="AX116" s="475">
        <f>COUNTIF(ParticipationAvril1[[#This Row],[1]:[30]],Code16)</f>
        <v>0</v>
      </c>
      <c r="AY116" s="475">
        <f>COUNTIF(ParticipationAvril1[[#This Row],[1]:[30]],Code15)</f>
        <v>0</v>
      </c>
      <c r="AZ116" s="475">
        <f>COUNTIF(ParticipationAvril1[[#This Row],[1]:[30]],Code17)</f>
        <v>0</v>
      </c>
      <c r="BA116" s="475">
        <f>COUNTIF(ParticipationAvril1[[#This Row],[1]:[30]],Code25)</f>
        <v>0</v>
      </c>
      <c r="BB116" s="475">
        <f>COUNTIF(ParticipationAvril1[[#This Row],[1]:[30]],Code26)</f>
        <v>0</v>
      </c>
      <c r="BC116" s="474">
        <f>COUNTIF(ParticipationAvril1[[#This Row],[1]:[30]],Code27)</f>
        <v>0</v>
      </c>
      <c r="BD116" s="475">
        <f>COUNTIF(ParticipationAvril1[[#This Row],[1]:[30]],Code28)</f>
        <v>0</v>
      </c>
      <c r="BE116" s="475">
        <f>COUNTIF(ParticipationAvril1[[#This Row],[1]:[30]],code30)</f>
        <v>0</v>
      </c>
      <c r="BF116" s="475">
        <f>COUNTIF(ParticipationAvril1[[#This Row],[1]:[30]],Code31)</f>
        <v>0</v>
      </c>
      <c r="BG116" s="475">
        <f>COUNTIF(ParticipationAvril1[[#This Row],[1]:[30]],code21)</f>
        <v>0</v>
      </c>
      <c r="BH116" s="475">
        <f>COUNTIF(ParticipationAvril1[[#This Row],[1]:[30]],Code24)</f>
        <v>0</v>
      </c>
      <c r="BI116" s="475">
        <f>COUNTIF(ParticipationAvril1[[#This Row],[1]:[30]],code18)</f>
        <v>0</v>
      </c>
      <c r="BJ116" s="475">
        <f>COUNTIF(ParticipationAvril1[[#This Row],[1]:[30]],code19)</f>
        <v>0</v>
      </c>
      <c r="BK116" s="475">
        <f>COUNTIF(ParticipationAvril1[[#This Row],[1]:[30]],code20)</f>
        <v>0</v>
      </c>
      <c r="BL116" s="476">
        <f>COUNTIF(ParticipationAvril1[[#This Row],[1]:[30]],code29)</f>
        <v>0</v>
      </c>
      <c r="BM116" s="472"/>
      <c r="BN116" s="472"/>
      <c r="BO116" s="472"/>
      <c r="BP116" s="472"/>
      <c r="BQ116" s="472"/>
      <c r="BR116" s="472"/>
      <c r="BS116" s="472"/>
      <c r="BT116" s="472"/>
      <c r="BU116" s="472"/>
      <c r="BV116" s="472"/>
      <c r="BW116" s="472"/>
      <c r="BX116" s="472"/>
      <c r="BY116" s="472"/>
      <c r="BZ116" s="472"/>
      <c r="CA116" s="472"/>
      <c r="CB116" s="472"/>
      <c r="CC116" s="472"/>
      <c r="CD116" s="472"/>
      <c r="CE116" s="472"/>
      <c r="CF116" s="472"/>
      <c r="CG116" s="472"/>
      <c r="CH116" s="472"/>
      <c r="CI116" s="472"/>
      <c r="CJ116" s="472"/>
      <c r="CK116" s="472"/>
      <c r="CL116" s="472"/>
      <c r="CM116" s="472"/>
      <c r="CN116" s="472"/>
      <c r="CO116" s="472"/>
      <c r="CP116" s="472"/>
      <c r="CQ116" s="472"/>
      <c r="CR116" s="472"/>
      <c r="CS116" s="473"/>
      <c r="CT116" s="473"/>
      <c r="CU116" s="516">
        <f>SUM((AH116*1)+(AI116*1.5)+(AJ116*2)+(AK116*4)+(AP116*5)+(AQ116*6)+(AR116*7)+(AU116*2)+(AX116*3)+(AY116*4)+(AZ116*5)+(BB116*3)+(BA116*2)+(BG116*2)+(BC116*2)+(BD116*2))</f>
        <v>0</v>
      </c>
      <c r="CV116" s="555">
        <f t="shared" si="10"/>
        <v>0</v>
      </c>
      <c r="CW116" s="562">
        <f t="shared" si="11"/>
        <v>0</v>
      </c>
      <c r="CX116" s="475">
        <f t="shared" si="12"/>
        <v>0</v>
      </c>
      <c r="CY116" s="477"/>
    </row>
    <row r="117" spans="1:104" ht="15" thickTop="1" thickBot="1">
      <c r="A117" s="510" t="s">
        <v>458</v>
      </c>
      <c r="B117" s="162" t="str">
        <f>IFERROR(VLOOKUP(ParticipationAvril1[[#This Row],[Référence]],ListeÉtudiants1[],18,FALSE),"")</f>
        <v>REMIR REBECCA</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478"/>
      <c r="AH117" s="6">
        <f>COUNTIF(ParticipationAvril1[[#This Row],[1]:[30]],Code1)</f>
        <v>0</v>
      </c>
      <c r="AI117" s="475">
        <f>COUNTIF(ParticipationAvril1[[#This Row],[1]:[30]],code22)</f>
        <v>0</v>
      </c>
      <c r="AJ117" s="6">
        <f>COUNTIF(ParticipationAvril1[[#This Row],[1]:[30]],Code2)</f>
        <v>0</v>
      </c>
      <c r="AK117" s="6">
        <f>COUNTIF(ParticipationAvril1[[#This Row],[1]:[30]],Code3)</f>
        <v>0</v>
      </c>
      <c r="AL117" s="6">
        <f>COUNTIF(ParticipationAvril1[[#This Row],[1]:[30]],Code4)</f>
        <v>0</v>
      </c>
      <c r="AM117" s="475">
        <f>COUNTIF(ParticipationAvril1[[#This Row],[1]:[30]],Code5)</f>
        <v>0</v>
      </c>
      <c r="AN117" s="475">
        <f>COUNTIF(ParticipationAvril1[[#This Row],[1]:[30]],Code23)</f>
        <v>0</v>
      </c>
      <c r="AO117" s="475">
        <f>COUNTIF(ParticipationAvril1[[#This Row],[1]:[30]],Code6)</f>
        <v>0</v>
      </c>
      <c r="AP117" s="475">
        <f>COUNTIF(ParticipationAvril1[[#This Row],[1]:[30]],Code7)</f>
        <v>0</v>
      </c>
      <c r="AQ117" s="475">
        <f>COUNTIF(ParticipationAvril1[[#This Row],[1]:[30]],Code8)</f>
        <v>0</v>
      </c>
      <c r="AR117" s="475">
        <f>COUNTIF(ParticipationAvril1[[#This Row],[1]:[30]],Code9)</f>
        <v>0</v>
      </c>
      <c r="AS117" s="475">
        <f>COUNTIF(ParticipationAvril1[[#This Row],[1]:[30]],Code10)</f>
        <v>0</v>
      </c>
      <c r="AT117" s="475">
        <f>COUNTIF(ParticipationAvril1[[#This Row],[1]:[30]],Code11)</f>
        <v>0</v>
      </c>
      <c r="AU117" s="475">
        <f>COUNTIF(ParticipationAvril1[[#This Row],[1]:[30]],Code12)</f>
        <v>0</v>
      </c>
      <c r="AV117" s="475">
        <f>COUNTIF(ParticipationAvril1[[#This Row],[1]:[30]],Code13)</f>
        <v>0</v>
      </c>
      <c r="AW117" s="475">
        <f>COUNTIF(ParticipationAvril1[[#This Row],[1]:[30]],Code14)</f>
        <v>0</v>
      </c>
      <c r="AX117" s="475">
        <f>COUNTIF(ParticipationAvril1[[#This Row],[1]:[30]],Code16)</f>
        <v>0</v>
      </c>
      <c r="AY117" s="475">
        <f>COUNTIF(ParticipationAvril1[[#This Row],[1]:[30]],Code15)</f>
        <v>0</v>
      </c>
      <c r="AZ117" s="475">
        <f>COUNTIF(ParticipationAvril1[[#This Row],[1]:[30]],Code17)</f>
        <v>0</v>
      </c>
      <c r="BA117" s="475">
        <f>COUNTIF(ParticipationAvril1[[#This Row],[1]:[30]],Code25)</f>
        <v>0</v>
      </c>
      <c r="BB117" s="475">
        <f>COUNTIF(ParticipationAvril1[[#This Row],[1]:[30]],Code26)</f>
        <v>0</v>
      </c>
      <c r="BC117" s="474">
        <f>COUNTIF(ParticipationAvril1[[#This Row],[1]:[30]],Code27)</f>
        <v>0</v>
      </c>
      <c r="BD117" s="475">
        <f>COUNTIF(ParticipationAvril1[[#This Row],[1]:[30]],Code28)</f>
        <v>0</v>
      </c>
      <c r="BE117" s="475">
        <f>COUNTIF(ParticipationAvril1[[#This Row],[1]:[30]],code30)</f>
        <v>0</v>
      </c>
      <c r="BF117" s="475">
        <f>COUNTIF(ParticipationAvril1[[#This Row],[1]:[30]],Code31)</f>
        <v>0</v>
      </c>
      <c r="BG117" s="475">
        <f>COUNTIF(ParticipationAvril1[[#This Row],[1]:[30]],code21)</f>
        <v>0</v>
      </c>
      <c r="BH117" s="475">
        <f>COUNTIF(ParticipationAvril1[[#This Row],[1]:[30]],Code24)</f>
        <v>0</v>
      </c>
      <c r="BI117" s="475">
        <f>COUNTIF(ParticipationAvril1[[#This Row],[1]:[30]],code18)</f>
        <v>0</v>
      </c>
      <c r="BJ117" s="475">
        <f>COUNTIF(ParticipationAvril1[[#This Row],[1]:[30]],code19)</f>
        <v>0</v>
      </c>
      <c r="BK117" s="475">
        <f>COUNTIF(ParticipationAvril1[[#This Row],[1]:[30]],code20)</f>
        <v>0</v>
      </c>
      <c r="BL117" s="476">
        <f>COUNTIF(ParticipationAvril1[[#This Row],[1]:[30]],code29)</f>
        <v>0</v>
      </c>
      <c r="BM117" s="472"/>
      <c r="BN117" s="472"/>
      <c r="BO117" s="472"/>
      <c r="BP117" s="472"/>
      <c r="BQ117" s="472"/>
      <c r="BR117" s="472"/>
      <c r="BS117" s="472"/>
      <c r="BT117" s="472"/>
      <c r="BU117" s="472"/>
      <c r="BV117" s="472"/>
      <c r="BW117" s="472"/>
      <c r="BX117" s="472"/>
      <c r="BY117" s="472"/>
      <c r="BZ117" s="472"/>
      <c r="CA117" s="472"/>
      <c r="CB117" s="472"/>
      <c r="CC117" s="472"/>
      <c r="CD117" s="472"/>
      <c r="CE117" s="472"/>
      <c r="CF117" s="472"/>
      <c r="CG117" s="472"/>
      <c r="CH117" s="472"/>
      <c r="CI117" s="472"/>
      <c r="CJ117" s="472"/>
      <c r="CK117" s="472"/>
      <c r="CL117" s="472"/>
      <c r="CM117" s="472"/>
      <c r="CN117" s="472"/>
      <c r="CO117" s="472"/>
      <c r="CP117" s="472"/>
      <c r="CQ117" s="472"/>
      <c r="CR117" s="472"/>
      <c r="CS117" s="473"/>
      <c r="CT117" s="473"/>
      <c r="CU117" s="516">
        <f>SUM((AH117*1)+(AI117*1.5)+(AJ117*2)+(AK117*4)+(AP117*5)+(AQ117*6)+(AR117*7)+(AU117*2)+(AX117*3)+(AY117*4)+(AZ117*5)+(BB117*3)+(BA117*2)+(BG117*2)+(BC117*2)+(BD117*2))</f>
        <v>0</v>
      </c>
      <c r="CV117" s="555">
        <f t="shared" si="10"/>
        <v>0</v>
      </c>
      <c r="CW117" s="562">
        <f t="shared" si="11"/>
        <v>0</v>
      </c>
      <c r="CX117" s="475">
        <f t="shared" si="12"/>
        <v>0</v>
      </c>
      <c r="CY117" s="477"/>
    </row>
    <row r="118" spans="1:104" ht="15" thickTop="1" thickBot="1">
      <c r="A118" s="510" t="s">
        <v>459</v>
      </c>
      <c r="B118" s="162" t="str">
        <f>IFERROR(VLOOKUP(ParticipationAvril1[[#This Row],[Référence]],ListeÉtudiants1[],18,FALSE),"")</f>
        <v>RODRIGUES AFONSO CHARLOTTE</v>
      </c>
      <c r="C118" s="4"/>
      <c r="D118" s="6"/>
      <c r="E118" s="6"/>
      <c r="F118" s="6" t="s">
        <v>108</v>
      </c>
      <c r="G118" s="6"/>
      <c r="H118" s="6" t="s">
        <v>35</v>
      </c>
      <c r="I118" s="6"/>
      <c r="J118" s="6"/>
      <c r="K118" s="6" t="s">
        <v>108</v>
      </c>
      <c r="L118" s="6" t="s">
        <v>487</v>
      </c>
      <c r="M118" s="6" t="s">
        <v>108</v>
      </c>
      <c r="N118" s="6"/>
      <c r="O118" s="6"/>
      <c r="P118" s="6"/>
      <c r="Q118" s="6"/>
      <c r="R118" s="6"/>
      <c r="S118" s="6"/>
      <c r="T118" s="6"/>
      <c r="U118" s="6"/>
      <c r="V118" s="6"/>
      <c r="W118" s="6"/>
      <c r="X118" s="6"/>
      <c r="Y118" s="6"/>
      <c r="Z118" s="6"/>
      <c r="AA118" s="6"/>
      <c r="AB118" s="6"/>
      <c r="AC118" s="6"/>
      <c r="AD118" s="6"/>
      <c r="AE118" s="6"/>
      <c r="AF118" s="558"/>
      <c r="AG118" s="340"/>
      <c r="AH118" s="6">
        <f>COUNTIF(ParticipationAvril1[[#This Row],[1]:[30]],Code1)</f>
        <v>0</v>
      </c>
      <c r="AI118" s="331">
        <f>COUNTIF(ParticipationAvril1[[#This Row],[1]:[30]],code22)</f>
        <v>0</v>
      </c>
      <c r="AJ118" s="6">
        <f>COUNTIF(ParticipationAvril1[[#This Row],[1]:[30]],Code2)</f>
        <v>0</v>
      </c>
      <c r="AK118" s="6">
        <f>COUNTIF(ParticipationAvril1[[#This Row],[1]:[30]],Code3)</f>
        <v>0</v>
      </c>
      <c r="AL118" s="6">
        <f>COUNTIF(ParticipationAvril1[[#This Row],[1]:[30]],Code4)</f>
        <v>0</v>
      </c>
      <c r="AM118" s="331">
        <f>COUNTIF(ParticipationAvril1[[#This Row],[1]:[30]],Code5)</f>
        <v>1</v>
      </c>
      <c r="AN118" s="331">
        <f>COUNTIF(ParticipationAvril1[[#This Row],[1]:[30]],Code23)</f>
        <v>0</v>
      </c>
      <c r="AO118" s="331">
        <f>COUNTIF(ParticipationAvril1[[#This Row],[1]:[30]],Code6)</f>
        <v>3</v>
      </c>
      <c r="AP118" s="331">
        <f>COUNTIF(ParticipationAvril1[[#This Row],[1]:[30]],Code7)</f>
        <v>0</v>
      </c>
      <c r="AQ118" s="331">
        <f>COUNTIF(ParticipationAvril1[[#This Row],[1]:[30]],Code8)</f>
        <v>0</v>
      </c>
      <c r="AR118" s="331">
        <f>COUNTIF(ParticipationAvril1[[#This Row],[1]:[30]],Code9)</f>
        <v>0</v>
      </c>
      <c r="AS118" s="331">
        <f>COUNTIF(ParticipationAvril1[[#This Row],[1]:[30]],Code10)</f>
        <v>0</v>
      </c>
      <c r="AT118" s="331">
        <f>COUNTIF(ParticipationAvril1[[#This Row],[1]:[30]],Code11)</f>
        <v>0</v>
      </c>
      <c r="AU118" s="331">
        <f>COUNTIF(ParticipationAvril1[[#This Row],[1]:[30]],Code12)</f>
        <v>1</v>
      </c>
      <c r="AV118" s="331">
        <f>COUNTIF(ParticipationAvril1[[#This Row],[1]:[30]],Code13)</f>
        <v>0</v>
      </c>
      <c r="AW118" s="331">
        <f>COUNTIF(ParticipationAvril1[[#This Row],[1]:[30]],Code14)</f>
        <v>0</v>
      </c>
      <c r="AX118" s="331">
        <f>COUNTIF(ParticipationAvril1[[#This Row],[1]:[30]],Code16)</f>
        <v>0</v>
      </c>
      <c r="AY118" s="331">
        <f>COUNTIF(ParticipationAvril1[[#This Row],[1]:[30]],Code15)</f>
        <v>0</v>
      </c>
      <c r="AZ118" s="331">
        <f>COUNTIF(ParticipationAvril1[[#This Row],[1]:[30]],Code17)</f>
        <v>0</v>
      </c>
      <c r="BA118" s="331">
        <f>COUNTIF(ParticipationAvril1[[#This Row],[1]:[30]],Code25)</f>
        <v>0</v>
      </c>
      <c r="BB118" s="331">
        <f>COUNTIF(ParticipationAvril1[[#This Row],[1]:[30]],Code26)</f>
        <v>0</v>
      </c>
      <c r="BC118" s="331">
        <f>COUNTIF(ParticipationAvril1[[#This Row],[1]:[30]],Code27)</f>
        <v>0</v>
      </c>
      <c r="BD118" s="331">
        <f>COUNTIF(ParticipationAvril1[[#This Row],[1]:[30]],Code28)</f>
        <v>0</v>
      </c>
      <c r="BE118" s="331">
        <f>COUNTIF(ParticipationAvril1[[#This Row],[1]:[30]],code30)</f>
        <v>0</v>
      </c>
      <c r="BF118" s="331">
        <f>COUNTIF(ParticipationAvril1[[#This Row],[1]:[30]],Code31)</f>
        <v>0</v>
      </c>
      <c r="BG118" s="331">
        <f>COUNTIF(ParticipationAvril1[[#This Row],[1]:[30]],code21)</f>
        <v>0</v>
      </c>
      <c r="BH118" s="331">
        <f>COUNTIF(ParticipationAvril1[[#This Row],[1]:[30]],Code24)</f>
        <v>0</v>
      </c>
      <c r="BI118" s="331">
        <f>COUNTIF(ParticipationAvril1[[#This Row],[1]:[30]],code18)</f>
        <v>0</v>
      </c>
      <c r="BJ118" s="331">
        <f>COUNTIF(ParticipationAvril1[[#This Row],[1]:[30]],code19)</f>
        <v>0</v>
      </c>
      <c r="BK118" s="331">
        <f>COUNTIF(ParticipationAvril1[[#This Row],[1]:[30]],code20)</f>
        <v>0</v>
      </c>
      <c r="BL118" s="436">
        <f>COUNTIF(ParticipationAvril1[[#This Row],[1]:[30]],code29)</f>
        <v>0</v>
      </c>
      <c r="BM118" s="307"/>
      <c r="BN118" s="307">
        <v>2</v>
      </c>
      <c r="BO118" s="307"/>
      <c r="BP118" s="307"/>
      <c r="BQ118" s="307"/>
      <c r="BR118" s="307"/>
      <c r="BS118" s="307"/>
      <c r="BT118" s="297">
        <v>3</v>
      </c>
      <c r="BU118" s="307"/>
      <c r="BV118" s="307"/>
      <c r="BW118" s="307">
        <v>1</v>
      </c>
      <c r="BX118" s="307"/>
      <c r="BY118" s="307"/>
      <c r="BZ118" s="307"/>
      <c r="CA118" s="307"/>
      <c r="CB118" s="307"/>
      <c r="CC118" s="307"/>
      <c r="CD118" s="307"/>
      <c r="CE118" s="307"/>
      <c r="CF118" s="307"/>
      <c r="CG118" s="307"/>
      <c r="CH118" s="307"/>
      <c r="CI118" s="307"/>
      <c r="CJ118" s="307"/>
      <c r="CK118" s="307"/>
      <c r="CL118" s="307"/>
      <c r="CM118" s="307"/>
      <c r="CN118" s="307"/>
      <c r="CO118" s="307"/>
      <c r="CP118" s="307"/>
      <c r="CQ118" s="307"/>
      <c r="CR118" s="307"/>
      <c r="CS118" s="307"/>
      <c r="CT118" s="307"/>
      <c r="CU118" s="561"/>
      <c r="CV118" s="485">
        <f t="shared" si="10"/>
        <v>0</v>
      </c>
      <c r="CW118" s="563">
        <f t="shared" si="11"/>
        <v>17</v>
      </c>
      <c r="CX118" s="331">
        <f t="shared" si="12"/>
        <v>0</v>
      </c>
      <c r="CY118" s="438"/>
      <c r="CZ118" s="88"/>
    </row>
    <row r="119" spans="1:104" ht="15" thickTop="1" thickBot="1">
      <c r="A119" s="534" t="s">
        <v>460</v>
      </c>
      <c r="B119" s="162" t="str">
        <f>IFERROR(VLOOKUP(ParticipationAvril1[[#This Row],[Référence]],ListeÉtudiants1[],18,FALSE),"")</f>
        <v>SARAOUI KATIA</v>
      </c>
      <c r="F119" s="479" t="s">
        <v>108</v>
      </c>
      <c r="H119" s="479" t="s">
        <v>35</v>
      </c>
      <c r="K119" s="510" t="s">
        <v>108</v>
      </c>
      <c r="L119" s="479" t="s">
        <v>487</v>
      </c>
      <c r="M119" s="479" t="s">
        <v>487</v>
      </c>
      <c r="N119" s="481" t="s">
        <v>35</v>
      </c>
      <c r="AF119" s="19"/>
      <c r="AG119" s="144"/>
      <c r="AH119" s="439">
        <f>COUNTIF(ParticipationAvril1[[#This Row],[1]:[30]],Code1)</f>
        <v>0</v>
      </c>
      <c r="AI119" s="435">
        <f>COUNTIF(ParticipationAvril1[[#This Row],[1]:[30]],code22)</f>
        <v>0</v>
      </c>
      <c r="AJ119" s="439">
        <f>COUNTIF(ParticipationAvril1[[#This Row],[1]:[30]],Code2)</f>
        <v>0</v>
      </c>
      <c r="AK119" s="439">
        <f>COUNTIF(ParticipationAvril1[[#This Row],[1]:[30]],Code3)</f>
        <v>0</v>
      </c>
      <c r="AL119" s="439">
        <f>COUNTIF(ParticipationAvril1[[#This Row],[1]:[30]],Code4)</f>
        <v>0</v>
      </c>
      <c r="AM119" s="435">
        <f>COUNTIF(ParticipationAvril1[[#This Row],[1]:[30]],Code5)</f>
        <v>2</v>
      </c>
      <c r="AN119" s="435">
        <f>COUNTIF(ParticipationAvril1[[#This Row],[1]:[30]],Code23)</f>
        <v>0</v>
      </c>
      <c r="AO119" s="435">
        <f>COUNTIF(ParticipationAvril1[[#This Row],[1]:[30]],Code6)</f>
        <v>2</v>
      </c>
      <c r="AP119" s="435">
        <f>COUNTIF(ParticipationAvril1[[#This Row],[1]:[30]],Code7)</f>
        <v>0</v>
      </c>
      <c r="AQ119" s="435">
        <f>COUNTIF(ParticipationAvril1[[#This Row],[1]:[30]],Code8)</f>
        <v>0</v>
      </c>
      <c r="AR119" s="435">
        <f>COUNTIF(ParticipationAvril1[[#This Row],[1]:[30]],Code9)</f>
        <v>0</v>
      </c>
      <c r="AS119" s="435">
        <f>COUNTIF(ParticipationAvril1[[#This Row],[1]:[30]],Code10)</f>
        <v>0</v>
      </c>
      <c r="AT119" s="435">
        <f>COUNTIF(ParticipationAvril1[[#This Row],[1]:[30]],Code11)</f>
        <v>0</v>
      </c>
      <c r="AU119" s="435">
        <f>COUNTIF(ParticipationAvril1[[#This Row],[1]:[30]],Code12)</f>
        <v>2</v>
      </c>
      <c r="AV119" s="435">
        <f>COUNTIF(ParticipationAvril1[[#This Row],[1]:[30]],Code13)</f>
        <v>0</v>
      </c>
      <c r="AW119" s="435">
        <f>COUNTIF(ParticipationAvril1[[#This Row],[1]:[30]],Code14)</f>
        <v>0</v>
      </c>
      <c r="AX119" s="435">
        <f>COUNTIF(ParticipationAvril1[[#This Row],[1]:[30]],Code16)</f>
        <v>0</v>
      </c>
      <c r="AY119" s="435">
        <f>COUNTIF(ParticipationAvril1[[#This Row],[1]:[30]],Code15)</f>
        <v>0</v>
      </c>
      <c r="AZ119" s="435">
        <f>COUNTIF(ParticipationAvril1[[#This Row],[1]:[30]],Code17)</f>
        <v>0</v>
      </c>
      <c r="BA119" s="435">
        <f>COUNTIF(ParticipationAvril1[[#This Row],[1]:[30]],Code25)</f>
        <v>0</v>
      </c>
      <c r="BB119" s="435">
        <f>COUNTIF(ParticipationAvril1[[#This Row],[1]:[30]],Code26)</f>
        <v>0</v>
      </c>
      <c r="BC119" s="435">
        <f>COUNTIF(ParticipationAvril1[[#This Row],[1]:[30]],Code27)</f>
        <v>0</v>
      </c>
      <c r="BD119" s="435">
        <f>COUNTIF(ParticipationAvril1[[#This Row],[1]:[30]],Code28)</f>
        <v>0</v>
      </c>
      <c r="BE119" s="435">
        <f>COUNTIF(ParticipationAvril1[[#This Row],[1]:[30]],code30)</f>
        <v>0</v>
      </c>
      <c r="BF119" s="435">
        <f>COUNTIF(ParticipationAvril1[[#This Row],[1]:[30]],Code31)</f>
        <v>0</v>
      </c>
      <c r="BG119" s="435">
        <f>COUNTIF(ParticipationAvril1[[#This Row],[1]:[30]],code21)</f>
        <v>0</v>
      </c>
      <c r="BH119" s="435">
        <f>COUNTIF(ParticipationAvril1[[#This Row],[1]:[30]],Code24)</f>
        <v>0</v>
      </c>
      <c r="BI119" s="435">
        <f>COUNTIF(ParticipationAvril1[[#This Row],[1]:[30]],code18)</f>
        <v>0</v>
      </c>
      <c r="BJ119" s="435">
        <f>COUNTIF(ParticipationAvril1[[#This Row],[1]:[30]],code19)</f>
        <v>0</v>
      </c>
      <c r="BK119" s="435">
        <f>COUNTIF(ParticipationAvril1[[#This Row],[1]:[30]],code20)</f>
        <v>0</v>
      </c>
      <c r="BL119" s="436">
        <f>COUNTIF(ParticipationAvril1[[#This Row],[1]:[30]],code29)</f>
        <v>0</v>
      </c>
      <c r="BM119" s="297"/>
      <c r="BN119" s="297">
        <v>2</v>
      </c>
      <c r="BO119" s="297"/>
      <c r="BP119" s="297"/>
      <c r="BQ119" s="297"/>
      <c r="BR119" s="297"/>
      <c r="BS119" s="297"/>
      <c r="BT119" s="297">
        <v>4</v>
      </c>
      <c r="BU119" s="297"/>
      <c r="BV119" s="297"/>
      <c r="BW119" s="297">
        <v>2</v>
      </c>
      <c r="BX119" s="297"/>
      <c r="BY119" s="297"/>
      <c r="BZ119" s="297"/>
      <c r="CA119" s="297"/>
      <c r="CB119" s="297"/>
      <c r="CC119" s="297"/>
      <c r="CD119" s="297"/>
      <c r="CE119" s="297"/>
      <c r="CF119" s="297"/>
      <c r="CG119" s="297"/>
      <c r="CH119" s="297"/>
      <c r="CI119" s="297"/>
      <c r="CJ119" s="297"/>
      <c r="CK119" s="297"/>
      <c r="CL119" s="297"/>
      <c r="CM119" s="297"/>
      <c r="CN119" s="297"/>
      <c r="CO119" s="297"/>
      <c r="CP119" s="297"/>
      <c r="CQ119" s="297"/>
      <c r="CR119" s="297"/>
      <c r="CS119" s="297"/>
      <c r="CT119" s="297"/>
      <c r="CU119" s="300"/>
      <c r="CV119" s="485">
        <f t="shared" si="10"/>
        <v>0</v>
      </c>
      <c r="CW119" s="499">
        <f t="shared" si="11"/>
        <v>22</v>
      </c>
      <c r="CX119" s="331">
        <f t="shared" si="12"/>
        <v>0</v>
      </c>
      <c r="CY119" s="438"/>
      <c r="CZ119" s="88"/>
    </row>
    <row r="120" spans="1:104" ht="15" thickTop="1" thickBot="1">
      <c r="A120" s="534" t="s">
        <v>461</v>
      </c>
      <c r="B120" s="162" t="str">
        <f>IFERROR(VLOOKUP(ParticipationAvril1[[#This Row],[Référence]],ListeÉtudiants1[],18,FALSE),"")</f>
        <v>SAUBER SEBASTIEN</v>
      </c>
      <c r="H120" s="510" t="s">
        <v>106</v>
      </c>
      <c r="AF120" s="558"/>
      <c r="AG120" s="340"/>
      <c r="AH120" s="439">
        <f>COUNTIF(ParticipationAvril1[[#This Row],[1]:[30]],Code1)</f>
        <v>0</v>
      </c>
      <c r="AI120" s="435">
        <f>COUNTIF(ParticipationAvril1[[#This Row],[1]:[30]],code22)</f>
        <v>0</v>
      </c>
      <c r="AJ120" s="439">
        <f>COUNTIF(ParticipationAvril1[[#This Row],[1]:[30]],Code2)</f>
        <v>0</v>
      </c>
      <c r="AK120" s="439">
        <f>COUNTIF(ParticipationAvril1[[#This Row],[1]:[30]],Code3)</f>
        <v>1</v>
      </c>
      <c r="AL120" s="439">
        <f>COUNTIF(ParticipationAvril1[[#This Row],[1]:[30]],Code4)</f>
        <v>0</v>
      </c>
      <c r="AM120" s="435">
        <f>COUNTIF(ParticipationAvril1[[#This Row],[1]:[30]],Code5)</f>
        <v>0</v>
      </c>
      <c r="AN120" s="435">
        <f>COUNTIF(ParticipationAvril1[[#This Row],[1]:[30]],Code23)</f>
        <v>0</v>
      </c>
      <c r="AO120" s="435">
        <f>COUNTIF(ParticipationAvril1[[#This Row],[1]:[30]],Code6)</f>
        <v>0</v>
      </c>
      <c r="AP120" s="435">
        <f>COUNTIF(ParticipationAvril1[[#This Row],[1]:[30]],Code7)</f>
        <v>0</v>
      </c>
      <c r="AQ120" s="435">
        <f>COUNTIF(ParticipationAvril1[[#This Row],[1]:[30]],Code8)</f>
        <v>0</v>
      </c>
      <c r="AR120" s="435">
        <f>COUNTIF(ParticipationAvril1[[#This Row],[1]:[30]],Code9)</f>
        <v>0</v>
      </c>
      <c r="AS120" s="435">
        <f>COUNTIF(ParticipationAvril1[[#This Row],[1]:[30]],Code10)</f>
        <v>0</v>
      </c>
      <c r="AT120" s="435">
        <f>COUNTIF(ParticipationAvril1[[#This Row],[1]:[30]],Code11)</f>
        <v>0</v>
      </c>
      <c r="AU120" s="435">
        <f>COUNTIF(ParticipationAvril1[[#This Row],[1]:[30]],Code12)</f>
        <v>0</v>
      </c>
      <c r="AV120" s="435">
        <f>COUNTIF(ParticipationAvril1[[#This Row],[1]:[30]],Code13)</f>
        <v>0</v>
      </c>
      <c r="AW120" s="435">
        <f>COUNTIF(ParticipationAvril1[[#This Row],[1]:[30]],Code14)</f>
        <v>0</v>
      </c>
      <c r="AX120" s="435">
        <f>COUNTIF(ParticipationAvril1[[#This Row],[1]:[30]],Code16)</f>
        <v>0</v>
      </c>
      <c r="AY120" s="435">
        <f>COUNTIF(ParticipationAvril1[[#This Row],[1]:[30]],Code15)</f>
        <v>0</v>
      </c>
      <c r="AZ120" s="435">
        <f>COUNTIF(ParticipationAvril1[[#This Row],[1]:[30]],Code17)</f>
        <v>0</v>
      </c>
      <c r="BA120" s="435">
        <f>COUNTIF(ParticipationAvril1[[#This Row],[1]:[30]],Code25)</f>
        <v>0</v>
      </c>
      <c r="BB120" s="435">
        <f>COUNTIF(ParticipationAvril1[[#This Row],[1]:[30]],Code26)</f>
        <v>0</v>
      </c>
      <c r="BC120" s="435">
        <f>COUNTIF(ParticipationAvril1[[#This Row],[1]:[30]],Code27)</f>
        <v>0</v>
      </c>
      <c r="BD120" s="435">
        <f>COUNTIF(ParticipationAvril1[[#This Row],[1]:[30]],Code28)</f>
        <v>0</v>
      </c>
      <c r="BE120" s="435">
        <f>COUNTIF(ParticipationAvril1[[#This Row],[1]:[30]],code30)</f>
        <v>0</v>
      </c>
      <c r="BF120" s="435">
        <f>COUNTIF(ParticipationAvril1[[#This Row],[1]:[30]],Code31)</f>
        <v>0</v>
      </c>
      <c r="BG120" s="435">
        <f>COUNTIF(ParticipationAvril1[[#This Row],[1]:[30]],code21)</f>
        <v>0</v>
      </c>
      <c r="BH120" s="435">
        <f>COUNTIF(ParticipationAvril1[[#This Row],[1]:[30]],Code24)</f>
        <v>0</v>
      </c>
      <c r="BI120" s="435">
        <f>COUNTIF(ParticipationAvril1[[#This Row],[1]:[30]],code18)</f>
        <v>0</v>
      </c>
      <c r="BJ120" s="435">
        <f>COUNTIF(ParticipationAvril1[[#This Row],[1]:[30]],code19)</f>
        <v>0</v>
      </c>
      <c r="BK120" s="435">
        <f>COUNTIF(ParticipationAvril1[[#This Row],[1]:[30]],code20)</f>
        <v>0</v>
      </c>
      <c r="BL120" s="436">
        <f>COUNTIF(ParticipationAvril1[[#This Row],[1]:[30]],code29)</f>
        <v>0</v>
      </c>
      <c r="BM120" s="297"/>
      <c r="BN120" s="297"/>
      <c r="BO120" s="297"/>
      <c r="BP120" s="297"/>
      <c r="BQ120" s="297"/>
      <c r="BR120" s="297"/>
      <c r="BS120" s="297"/>
      <c r="BT120" s="297">
        <v>1</v>
      </c>
      <c r="BU120" s="297"/>
      <c r="BV120" s="297"/>
      <c r="BW120" s="297"/>
      <c r="BX120" s="297"/>
      <c r="BY120" s="297"/>
      <c r="BZ120" s="297"/>
      <c r="CA120" s="297"/>
      <c r="CB120" s="297">
        <v>1</v>
      </c>
      <c r="CC120" s="297"/>
      <c r="CD120" s="297"/>
      <c r="CE120" s="297"/>
      <c r="CF120" s="297"/>
      <c r="CG120" s="297"/>
      <c r="CH120" s="297"/>
      <c r="CI120" s="297"/>
      <c r="CJ120" s="297"/>
      <c r="CK120" s="297"/>
      <c r="CL120" s="297"/>
      <c r="CM120" s="297"/>
      <c r="CN120" s="297"/>
      <c r="CO120" s="297"/>
      <c r="CP120" s="297"/>
      <c r="CQ120" s="297"/>
      <c r="CR120" s="297"/>
      <c r="CS120" s="297"/>
      <c r="CT120" s="297"/>
      <c r="CU120" s="561"/>
      <c r="CV120" s="485">
        <f t="shared" si="10"/>
        <v>3</v>
      </c>
      <c r="CW120" s="563">
        <f t="shared" si="11"/>
        <v>0</v>
      </c>
      <c r="CX120" s="435">
        <f t="shared" si="12"/>
        <v>0</v>
      </c>
      <c r="CY120" s="438"/>
    </row>
    <row r="121" spans="1:104" ht="15" thickTop="1" thickBot="1">
      <c r="A121" s="536" t="s">
        <v>462</v>
      </c>
      <c r="B121" s="162" t="str">
        <f>IFERROR(VLOOKUP(ParticipationAvril1[[#This Row],[Référence]],ListeÉtudiants1[],18,FALSE),"")</f>
        <v>SCHUTZ LAURA</v>
      </c>
      <c r="H121" s="510"/>
      <c r="AF121" s="558"/>
      <c r="AG121" s="484"/>
      <c r="AH121" s="439">
        <f>COUNTIF(ParticipationAvril1[[#This Row],[1]:[30]],Code1)</f>
        <v>0</v>
      </c>
      <c r="AI121" s="474">
        <f>COUNTIF(ParticipationAvril1[[#This Row],[1]:[30]],code22)</f>
        <v>0</v>
      </c>
      <c r="AJ121" s="439">
        <f>COUNTIF(ParticipationAvril1[[#This Row],[1]:[30]],Code2)</f>
        <v>0</v>
      </c>
      <c r="AK121" s="439">
        <f>COUNTIF(ParticipationAvril1[[#This Row],[1]:[30]],Code3)</f>
        <v>0</v>
      </c>
      <c r="AL121" s="439">
        <f>COUNTIF(ParticipationAvril1[[#This Row],[1]:[30]],Code4)</f>
        <v>0</v>
      </c>
      <c r="AM121" s="474">
        <f>COUNTIF(ParticipationAvril1[[#This Row],[1]:[30]],Code5)</f>
        <v>0</v>
      </c>
      <c r="AN121" s="474">
        <f>COUNTIF(ParticipationAvril1[[#This Row],[1]:[30]],Code23)</f>
        <v>0</v>
      </c>
      <c r="AO121" s="474">
        <f>COUNTIF(ParticipationAvril1[[#This Row],[1]:[30]],Code6)</f>
        <v>0</v>
      </c>
      <c r="AP121" s="474">
        <f>COUNTIF(ParticipationAvril1[[#This Row],[1]:[30]],Code7)</f>
        <v>0</v>
      </c>
      <c r="AQ121" s="474">
        <f>COUNTIF(ParticipationAvril1[[#This Row],[1]:[30]],Code8)</f>
        <v>0</v>
      </c>
      <c r="AR121" s="474">
        <f>COUNTIF(ParticipationAvril1[[#This Row],[1]:[30]],Code9)</f>
        <v>0</v>
      </c>
      <c r="AS121" s="474">
        <f>COUNTIF(ParticipationAvril1[[#This Row],[1]:[30]],Code10)</f>
        <v>0</v>
      </c>
      <c r="AT121" s="474">
        <f>COUNTIF(ParticipationAvril1[[#This Row],[1]:[30]],Code11)</f>
        <v>0</v>
      </c>
      <c r="AU121" s="474">
        <f>COUNTIF(ParticipationAvril1[[#This Row],[1]:[30]],Code12)</f>
        <v>0</v>
      </c>
      <c r="AV121" s="474">
        <f>COUNTIF(ParticipationAvril1[[#This Row],[1]:[30]],Code13)</f>
        <v>0</v>
      </c>
      <c r="AW121" s="474">
        <f>COUNTIF(ParticipationAvril1[[#This Row],[1]:[30]],Code14)</f>
        <v>0</v>
      </c>
      <c r="AX121" s="474">
        <f>COUNTIF(ParticipationAvril1[[#This Row],[1]:[30]],Code16)</f>
        <v>0</v>
      </c>
      <c r="AY121" s="474">
        <f>COUNTIF(ParticipationAvril1[[#This Row],[1]:[30]],Code15)</f>
        <v>0</v>
      </c>
      <c r="AZ121" s="474">
        <f>COUNTIF(ParticipationAvril1[[#This Row],[1]:[30]],Code17)</f>
        <v>0</v>
      </c>
      <c r="BA121" s="474">
        <f>COUNTIF(ParticipationAvril1[[#This Row],[1]:[30]],Code25)</f>
        <v>0</v>
      </c>
      <c r="BB121" s="474">
        <f>COUNTIF(ParticipationAvril1[[#This Row],[1]:[30]],Code26)</f>
        <v>0</v>
      </c>
      <c r="BC121" s="474">
        <f>COUNTIF(ParticipationAvril1[[#This Row],[1]:[30]],Code27)</f>
        <v>0</v>
      </c>
      <c r="BD121" s="474">
        <f>COUNTIF(ParticipationAvril1[[#This Row],[1]:[30]],Code28)</f>
        <v>0</v>
      </c>
      <c r="BE121" s="474">
        <f>COUNTIF(ParticipationAvril1[[#This Row],[1]:[30]],code30)</f>
        <v>0</v>
      </c>
      <c r="BF121" s="474">
        <f>COUNTIF(ParticipationAvril1[[#This Row],[1]:[30]],Code31)</f>
        <v>0</v>
      </c>
      <c r="BG121" s="474">
        <f>COUNTIF(ParticipationAvril1[[#This Row],[1]:[30]],code21)</f>
        <v>0</v>
      </c>
      <c r="BH121" s="474">
        <f>COUNTIF(ParticipationAvril1[[#This Row],[1]:[30]],Code24)</f>
        <v>0</v>
      </c>
      <c r="BI121" s="474">
        <f>COUNTIF(ParticipationAvril1[[#This Row],[1]:[30]],code18)</f>
        <v>0</v>
      </c>
      <c r="BJ121" s="474">
        <f>COUNTIF(ParticipationAvril1[[#This Row],[1]:[30]],code19)</f>
        <v>0</v>
      </c>
      <c r="BK121" s="474">
        <f>COUNTIF(ParticipationAvril1[[#This Row],[1]:[30]],code20)</f>
        <v>0</v>
      </c>
      <c r="BL121" s="476">
        <f>COUNTIF(ParticipationAvril1[[#This Row],[1]:[30]],code29)</f>
        <v>0</v>
      </c>
      <c r="BM121" s="472"/>
      <c r="BN121" s="472"/>
      <c r="BO121" s="472"/>
      <c r="BP121" s="472"/>
      <c r="BQ121" s="472"/>
      <c r="BR121" s="472"/>
      <c r="BS121" s="472"/>
      <c r="BT121" s="472"/>
      <c r="BU121" s="472"/>
      <c r="BV121" s="472"/>
      <c r="BW121" s="472"/>
      <c r="BX121" s="472"/>
      <c r="BY121" s="472"/>
      <c r="BZ121" s="472"/>
      <c r="CA121" s="472"/>
      <c r="CB121" s="472"/>
      <c r="CC121" s="472"/>
      <c r="CD121" s="472"/>
      <c r="CE121" s="472"/>
      <c r="CF121" s="472"/>
      <c r="CG121" s="472"/>
      <c r="CH121" s="472"/>
      <c r="CI121" s="472"/>
      <c r="CJ121" s="472"/>
      <c r="CK121" s="472"/>
      <c r="CL121" s="472"/>
      <c r="CM121" s="472"/>
      <c r="CN121" s="472"/>
      <c r="CO121" s="472"/>
      <c r="CP121" s="472"/>
      <c r="CQ121" s="472"/>
      <c r="CR121" s="472"/>
      <c r="CS121" s="472"/>
      <c r="CT121" s="472"/>
      <c r="CU121" s="554">
        <f>SUM((AH121*1)+(AI121*1.5)+(AJ121*2)+(AK121*4)+(AP121*5)+(AQ121*6)+(AR121*7)+(AU121*2)+(AX121*3)+(AY121*4)+(AZ121*5)+(BB121*3)+(BA121*2)+(BG121*2)+(BC121*2)+(BD121*2))</f>
        <v>0</v>
      </c>
      <c r="CV121" s="555">
        <f t="shared" si="10"/>
        <v>0</v>
      </c>
      <c r="CW121" s="556">
        <f t="shared" si="11"/>
        <v>0</v>
      </c>
      <c r="CX121" s="474">
        <f t="shared" si="12"/>
        <v>0</v>
      </c>
      <c r="CY121" s="477"/>
    </row>
    <row r="122" spans="1:104" ht="15" thickTop="1" thickBot="1">
      <c r="A122" s="510" t="s">
        <v>463</v>
      </c>
      <c r="B122" s="162" t="str">
        <f>IFERROR(VLOOKUP(ParticipationAvril1[[#This Row],[Référence]],ListeÉtudiants1[],18,FALSE),"")</f>
        <v>SEHIMI  INES</v>
      </c>
      <c r="F122" s="510" t="s">
        <v>108</v>
      </c>
      <c r="H122" s="510" t="s">
        <v>35</v>
      </c>
      <c r="L122" s="510" t="s">
        <v>108</v>
      </c>
      <c r="M122" s="510" t="s">
        <v>487</v>
      </c>
      <c r="N122" s="510" t="s">
        <v>106</v>
      </c>
      <c r="O122" s="510" t="s">
        <v>484</v>
      </c>
      <c r="AF122" s="558"/>
      <c r="AG122" s="340"/>
      <c r="AH122" s="439">
        <f>COUNTIF(ParticipationAvril1[[#This Row],[1]:[30]],Code1)</f>
        <v>0</v>
      </c>
      <c r="AI122" s="435">
        <f>COUNTIF(ParticipationAvril1[[#This Row],[1]:[30]],code22)</f>
        <v>0</v>
      </c>
      <c r="AJ122" s="439">
        <f>COUNTIF(ParticipationAvril1[[#This Row],[1]:[30]],Code2)</f>
        <v>0</v>
      </c>
      <c r="AK122" s="439">
        <f>COUNTIF(ParticipationAvril1[[#This Row],[1]:[30]],Code3)</f>
        <v>1</v>
      </c>
      <c r="AL122" s="439">
        <f>COUNTIF(ParticipationAvril1[[#This Row],[1]:[30]],Code4)</f>
        <v>0</v>
      </c>
      <c r="AM122" s="435">
        <f>COUNTIF(ParticipationAvril1[[#This Row],[1]:[30]],Code5)</f>
        <v>1</v>
      </c>
      <c r="AN122" s="435">
        <f>COUNTIF(ParticipationAvril1[[#This Row],[1]:[30]],Code23)</f>
        <v>0</v>
      </c>
      <c r="AO122" s="435">
        <f>COUNTIF(ParticipationAvril1[[#This Row],[1]:[30]],Code6)</f>
        <v>2</v>
      </c>
      <c r="AP122" s="435">
        <f>COUNTIF(ParticipationAvril1[[#This Row],[1]:[30]],Code7)</f>
        <v>0</v>
      </c>
      <c r="AQ122" s="435">
        <f>COUNTIF(ParticipationAvril1[[#This Row],[1]:[30]],Code8)</f>
        <v>0</v>
      </c>
      <c r="AR122" s="435">
        <f>COUNTIF(ParticipationAvril1[[#This Row],[1]:[30]],Code9)</f>
        <v>1</v>
      </c>
      <c r="AS122" s="435">
        <f>COUNTIF(ParticipationAvril1[[#This Row],[1]:[30]],Code10)</f>
        <v>0</v>
      </c>
      <c r="AT122" s="435">
        <f>COUNTIF(ParticipationAvril1[[#This Row],[1]:[30]],Code11)</f>
        <v>0</v>
      </c>
      <c r="AU122" s="435">
        <f>COUNTIF(ParticipationAvril1[[#This Row],[1]:[30]],Code12)</f>
        <v>1</v>
      </c>
      <c r="AV122" s="435">
        <f>COUNTIF(ParticipationAvril1[[#This Row],[1]:[30]],Code13)</f>
        <v>0</v>
      </c>
      <c r="AW122" s="435">
        <f>COUNTIF(ParticipationAvril1[[#This Row],[1]:[30]],Code14)</f>
        <v>0</v>
      </c>
      <c r="AX122" s="435">
        <f>COUNTIF(ParticipationAvril1[[#This Row],[1]:[30]],Code16)</f>
        <v>0</v>
      </c>
      <c r="AY122" s="435">
        <f>COUNTIF(ParticipationAvril1[[#This Row],[1]:[30]],Code15)</f>
        <v>0</v>
      </c>
      <c r="AZ122" s="435">
        <f>COUNTIF(ParticipationAvril1[[#This Row],[1]:[30]],Code17)</f>
        <v>0</v>
      </c>
      <c r="BA122" s="435">
        <f>COUNTIF(ParticipationAvril1[[#This Row],[1]:[30]],Code25)</f>
        <v>0</v>
      </c>
      <c r="BB122" s="435">
        <f>COUNTIF(ParticipationAvril1[[#This Row],[1]:[30]],Code26)</f>
        <v>0</v>
      </c>
      <c r="BC122" s="435">
        <f>COUNTIF(ParticipationAvril1[[#This Row],[1]:[30]],Code27)</f>
        <v>0</v>
      </c>
      <c r="BD122" s="435">
        <f>COUNTIF(ParticipationAvril1[[#This Row],[1]:[30]],Code28)</f>
        <v>0</v>
      </c>
      <c r="BE122" s="435">
        <f>COUNTIF(ParticipationAvril1[[#This Row],[1]:[30]],code30)</f>
        <v>0</v>
      </c>
      <c r="BF122" s="435">
        <f>COUNTIF(ParticipationAvril1[[#This Row],[1]:[30]],Code31)</f>
        <v>0</v>
      </c>
      <c r="BG122" s="435">
        <f>COUNTIF(ParticipationAvril1[[#This Row],[1]:[30]],code21)</f>
        <v>0</v>
      </c>
      <c r="BH122" s="435">
        <f>COUNTIF(ParticipationAvril1[[#This Row],[1]:[30]],Code24)</f>
        <v>0</v>
      </c>
      <c r="BI122" s="435">
        <f>COUNTIF(ParticipationAvril1[[#This Row],[1]:[30]],code18)</f>
        <v>0</v>
      </c>
      <c r="BJ122" s="435">
        <f>COUNTIF(ParticipationAvril1[[#This Row],[1]:[30]],code19)</f>
        <v>0</v>
      </c>
      <c r="BK122" s="435">
        <f>COUNTIF(ParticipationAvril1[[#This Row],[1]:[30]],code20)</f>
        <v>0</v>
      </c>
      <c r="BL122" s="436">
        <f>COUNTIF(ParticipationAvril1[[#This Row],[1]:[30]],code29)</f>
        <v>0</v>
      </c>
      <c r="BM122" s="297"/>
      <c r="BN122" s="297">
        <v>2</v>
      </c>
      <c r="BO122" s="297"/>
      <c r="BP122" s="297"/>
      <c r="BQ122" s="297"/>
      <c r="BR122" s="297"/>
      <c r="BS122" s="297"/>
      <c r="BT122" s="297">
        <v>3</v>
      </c>
      <c r="BU122" s="297"/>
      <c r="BV122" s="297"/>
      <c r="BW122" s="297">
        <v>1</v>
      </c>
      <c r="BX122" s="297"/>
      <c r="BY122" s="297"/>
      <c r="BZ122" s="297"/>
      <c r="CA122" s="297"/>
      <c r="CB122" s="297">
        <v>1</v>
      </c>
      <c r="CC122" s="297"/>
      <c r="CD122" s="297"/>
      <c r="CE122" s="297"/>
      <c r="CF122" s="297"/>
      <c r="CG122" s="297">
        <v>1</v>
      </c>
      <c r="CH122" s="297"/>
      <c r="CI122" s="297"/>
      <c r="CJ122" s="297"/>
      <c r="CK122" s="297"/>
      <c r="CL122" s="297"/>
      <c r="CM122" s="297"/>
      <c r="CN122" s="297"/>
      <c r="CO122" s="297"/>
      <c r="CP122" s="297"/>
      <c r="CQ122" s="297"/>
      <c r="CR122" s="297"/>
      <c r="CS122" s="297"/>
      <c r="CT122" s="297">
        <v>1</v>
      </c>
      <c r="CU122" s="561"/>
      <c r="CV122" s="485">
        <f t="shared" si="10"/>
        <v>10</v>
      </c>
      <c r="CW122" s="563">
        <f t="shared" si="11"/>
        <v>14</v>
      </c>
      <c r="CX122" s="331">
        <f t="shared" si="12"/>
        <v>0</v>
      </c>
      <c r="CY122" s="438"/>
      <c r="CZ122" s="88"/>
    </row>
    <row r="123" spans="1:104" ht="15" thickTop="1" thickBot="1">
      <c r="A123" s="536" t="s">
        <v>464</v>
      </c>
      <c r="B123" s="162" t="str">
        <f>IFERROR(VLOOKUP(ParticipationAvril1[[#This Row],[Référence]],ListeÉtudiants1[],18,FALSE),"")</f>
        <v>SEINGUERLET CONSTANCE</v>
      </c>
      <c r="F123" s="510"/>
      <c r="H123" s="510"/>
      <c r="L123" s="510"/>
      <c r="M123" s="510"/>
      <c r="N123" s="510"/>
      <c r="O123" s="510"/>
      <c r="AF123" s="558"/>
      <c r="AG123" s="484"/>
      <c r="AH123" s="439">
        <f>COUNTIF(ParticipationAvril1[[#This Row],[1]:[30]],Code1)</f>
        <v>0</v>
      </c>
      <c r="AI123" s="474">
        <f>COUNTIF(ParticipationAvril1[[#This Row],[1]:[30]],code22)</f>
        <v>0</v>
      </c>
      <c r="AJ123" s="439">
        <f>COUNTIF(ParticipationAvril1[[#This Row],[1]:[30]],Code2)</f>
        <v>0</v>
      </c>
      <c r="AK123" s="439">
        <f>COUNTIF(ParticipationAvril1[[#This Row],[1]:[30]],Code3)</f>
        <v>0</v>
      </c>
      <c r="AL123" s="439">
        <f>COUNTIF(ParticipationAvril1[[#This Row],[1]:[30]],Code4)</f>
        <v>0</v>
      </c>
      <c r="AM123" s="474">
        <f>COUNTIF(ParticipationAvril1[[#This Row],[1]:[30]],Code5)</f>
        <v>0</v>
      </c>
      <c r="AN123" s="474">
        <f>COUNTIF(ParticipationAvril1[[#This Row],[1]:[30]],Code23)</f>
        <v>0</v>
      </c>
      <c r="AO123" s="474">
        <f>COUNTIF(ParticipationAvril1[[#This Row],[1]:[30]],Code6)</f>
        <v>0</v>
      </c>
      <c r="AP123" s="474">
        <f>COUNTIF(ParticipationAvril1[[#This Row],[1]:[30]],Code7)</f>
        <v>0</v>
      </c>
      <c r="AQ123" s="474">
        <f>COUNTIF(ParticipationAvril1[[#This Row],[1]:[30]],Code8)</f>
        <v>0</v>
      </c>
      <c r="AR123" s="474">
        <f>COUNTIF(ParticipationAvril1[[#This Row],[1]:[30]],Code9)</f>
        <v>0</v>
      </c>
      <c r="AS123" s="474">
        <f>COUNTIF(ParticipationAvril1[[#This Row],[1]:[30]],Code10)</f>
        <v>0</v>
      </c>
      <c r="AT123" s="474">
        <f>COUNTIF(ParticipationAvril1[[#This Row],[1]:[30]],Code11)</f>
        <v>0</v>
      </c>
      <c r="AU123" s="474">
        <f>COUNTIF(ParticipationAvril1[[#This Row],[1]:[30]],Code12)</f>
        <v>0</v>
      </c>
      <c r="AV123" s="474">
        <f>COUNTIF(ParticipationAvril1[[#This Row],[1]:[30]],Code13)</f>
        <v>0</v>
      </c>
      <c r="AW123" s="474">
        <f>COUNTIF(ParticipationAvril1[[#This Row],[1]:[30]],Code14)</f>
        <v>0</v>
      </c>
      <c r="AX123" s="474">
        <f>COUNTIF(ParticipationAvril1[[#This Row],[1]:[30]],Code16)</f>
        <v>0</v>
      </c>
      <c r="AY123" s="474">
        <f>COUNTIF(ParticipationAvril1[[#This Row],[1]:[30]],Code15)</f>
        <v>0</v>
      </c>
      <c r="AZ123" s="474">
        <f>COUNTIF(ParticipationAvril1[[#This Row],[1]:[30]],Code17)</f>
        <v>0</v>
      </c>
      <c r="BA123" s="474">
        <f>COUNTIF(ParticipationAvril1[[#This Row],[1]:[30]],Code25)</f>
        <v>0</v>
      </c>
      <c r="BB123" s="474">
        <f>COUNTIF(ParticipationAvril1[[#This Row],[1]:[30]],Code26)</f>
        <v>0</v>
      </c>
      <c r="BC123" s="474">
        <f>COUNTIF(ParticipationAvril1[[#This Row],[1]:[30]],Code27)</f>
        <v>0</v>
      </c>
      <c r="BD123" s="474">
        <f>COUNTIF(ParticipationAvril1[[#This Row],[1]:[30]],Code28)</f>
        <v>0</v>
      </c>
      <c r="BE123" s="474">
        <f>COUNTIF(ParticipationAvril1[[#This Row],[1]:[30]],code30)</f>
        <v>0</v>
      </c>
      <c r="BF123" s="474">
        <f>COUNTIF(ParticipationAvril1[[#This Row],[1]:[30]],Code31)</f>
        <v>0</v>
      </c>
      <c r="BG123" s="474">
        <f>COUNTIF(ParticipationAvril1[[#This Row],[1]:[30]],code21)</f>
        <v>0</v>
      </c>
      <c r="BH123" s="474">
        <f>COUNTIF(ParticipationAvril1[[#This Row],[1]:[30]],Code24)</f>
        <v>0</v>
      </c>
      <c r="BI123" s="474">
        <f>COUNTIF(ParticipationAvril1[[#This Row],[1]:[30]],code18)</f>
        <v>0</v>
      </c>
      <c r="BJ123" s="474">
        <f>COUNTIF(ParticipationAvril1[[#This Row],[1]:[30]],code19)</f>
        <v>0</v>
      </c>
      <c r="BK123" s="474">
        <f>COUNTIF(ParticipationAvril1[[#This Row],[1]:[30]],code20)</f>
        <v>0</v>
      </c>
      <c r="BL123" s="476">
        <f>COUNTIF(ParticipationAvril1[[#This Row],[1]:[30]],code29)</f>
        <v>0</v>
      </c>
      <c r="BM123" s="472"/>
      <c r="BN123" s="472"/>
      <c r="BO123" s="472"/>
      <c r="BP123" s="472"/>
      <c r="BQ123" s="472"/>
      <c r="BR123" s="472"/>
      <c r="BS123" s="472"/>
      <c r="BT123" s="472"/>
      <c r="BU123" s="472"/>
      <c r="BV123" s="472"/>
      <c r="BW123" s="472"/>
      <c r="BX123" s="472"/>
      <c r="BY123" s="472"/>
      <c r="BZ123" s="472"/>
      <c r="CA123" s="472"/>
      <c r="CB123" s="472"/>
      <c r="CC123" s="472"/>
      <c r="CD123" s="472"/>
      <c r="CE123" s="472"/>
      <c r="CF123" s="472"/>
      <c r="CG123" s="472"/>
      <c r="CH123" s="472"/>
      <c r="CI123" s="472"/>
      <c r="CJ123" s="472"/>
      <c r="CK123" s="472"/>
      <c r="CL123" s="472"/>
      <c r="CM123" s="472"/>
      <c r="CN123" s="472"/>
      <c r="CO123" s="472"/>
      <c r="CP123" s="472"/>
      <c r="CQ123" s="472"/>
      <c r="CR123" s="472"/>
      <c r="CS123" s="472"/>
      <c r="CT123" s="472"/>
      <c r="CU123" s="554">
        <f>SUM((AH123*1)+(AI123*1.5)+(AJ123*2)+(AK123*4)+(AP123*5)+(AQ123*6)+(AR123*7)+(AU123*2)+(AX123*3)+(AY123*4)+(AZ123*5)+(BB123*3)+(BA123*2)+(BG123*2)+(BC123*2)+(BD123*2))</f>
        <v>0</v>
      </c>
      <c r="CV123" s="555">
        <f t="shared" si="10"/>
        <v>0</v>
      </c>
      <c r="CW123" s="556">
        <f t="shared" si="11"/>
        <v>0</v>
      </c>
      <c r="CX123" s="475">
        <f t="shared" si="12"/>
        <v>0</v>
      </c>
      <c r="CY123" s="477"/>
      <c r="CZ123" s="88"/>
    </row>
    <row r="124" spans="1:104" ht="15" thickTop="1" thickBot="1">
      <c r="A124" s="536" t="s">
        <v>465</v>
      </c>
      <c r="B124" s="162" t="str">
        <f>IFERROR(VLOOKUP(ParticipationAvril1[[#This Row],[Référence]],ListeÉtudiants1[],18,FALSE),"")</f>
        <v>SERVENT MARION</v>
      </c>
      <c r="F124" s="510"/>
      <c r="H124" s="510"/>
      <c r="L124" s="510"/>
      <c r="M124" s="510"/>
      <c r="N124" s="510"/>
      <c r="O124" s="510"/>
      <c r="AF124" s="19"/>
      <c r="AG124" s="478"/>
      <c r="AH124" s="439">
        <f>COUNTIF(ParticipationAvril1[[#This Row],[1]:[30]],Code1)</f>
        <v>0</v>
      </c>
      <c r="AI124" s="474">
        <f>COUNTIF(ParticipationAvril1[[#This Row],[1]:[30]],code22)</f>
        <v>0</v>
      </c>
      <c r="AJ124" s="439">
        <f>COUNTIF(ParticipationAvril1[[#This Row],[1]:[30]],Code2)</f>
        <v>0</v>
      </c>
      <c r="AK124" s="439">
        <f>COUNTIF(ParticipationAvril1[[#This Row],[1]:[30]],Code3)</f>
        <v>0</v>
      </c>
      <c r="AL124" s="439">
        <f>COUNTIF(ParticipationAvril1[[#This Row],[1]:[30]],Code4)</f>
        <v>0</v>
      </c>
      <c r="AM124" s="474">
        <f>COUNTIF(ParticipationAvril1[[#This Row],[1]:[30]],Code5)</f>
        <v>0</v>
      </c>
      <c r="AN124" s="474">
        <f>COUNTIF(ParticipationAvril1[[#This Row],[1]:[30]],Code23)</f>
        <v>0</v>
      </c>
      <c r="AO124" s="474">
        <f>COUNTIF(ParticipationAvril1[[#This Row],[1]:[30]],Code6)</f>
        <v>0</v>
      </c>
      <c r="AP124" s="474">
        <f>COUNTIF(ParticipationAvril1[[#This Row],[1]:[30]],Code7)</f>
        <v>0</v>
      </c>
      <c r="AQ124" s="474">
        <f>COUNTIF(ParticipationAvril1[[#This Row],[1]:[30]],Code8)</f>
        <v>0</v>
      </c>
      <c r="AR124" s="474">
        <f>COUNTIF(ParticipationAvril1[[#This Row],[1]:[30]],Code9)</f>
        <v>0</v>
      </c>
      <c r="AS124" s="474">
        <f>COUNTIF(ParticipationAvril1[[#This Row],[1]:[30]],Code10)</f>
        <v>0</v>
      </c>
      <c r="AT124" s="474">
        <f>COUNTIF(ParticipationAvril1[[#This Row],[1]:[30]],Code11)</f>
        <v>0</v>
      </c>
      <c r="AU124" s="474">
        <f>COUNTIF(ParticipationAvril1[[#This Row],[1]:[30]],Code12)</f>
        <v>0</v>
      </c>
      <c r="AV124" s="474">
        <f>COUNTIF(ParticipationAvril1[[#This Row],[1]:[30]],Code13)</f>
        <v>0</v>
      </c>
      <c r="AW124" s="474">
        <f>COUNTIF(ParticipationAvril1[[#This Row],[1]:[30]],Code14)</f>
        <v>0</v>
      </c>
      <c r="AX124" s="474">
        <f>COUNTIF(ParticipationAvril1[[#This Row],[1]:[30]],Code16)</f>
        <v>0</v>
      </c>
      <c r="AY124" s="474">
        <f>COUNTIF(ParticipationAvril1[[#This Row],[1]:[30]],Code15)</f>
        <v>0</v>
      </c>
      <c r="AZ124" s="474">
        <f>COUNTIF(ParticipationAvril1[[#This Row],[1]:[30]],Code17)</f>
        <v>0</v>
      </c>
      <c r="BA124" s="474">
        <f>COUNTIF(ParticipationAvril1[[#This Row],[1]:[30]],Code25)</f>
        <v>0</v>
      </c>
      <c r="BB124" s="474">
        <f>COUNTIF(ParticipationAvril1[[#This Row],[1]:[30]],Code26)</f>
        <v>0</v>
      </c>
      <c r="BC124" s="474">
        <f>COUNTIF(ParticipationAvril1[[#This Row],[1]:[30]],Code27)</f>
        <v>0</v>
      </c>
      <c r="BD124" s="474">
        <f>COUNTIF(ParticipationAvril1[[#This Row],[1]:[30]],Code28)</f>
        <v>0</v>
      </c>
      <c r="BE124" s="474">
        <f>COUNTIF(ParticipationAvril1[[#This Row],[1]:[30]],code30)</f>
        <v>0</v>
      </c>
      <c r="BF124" s="474">
        <f>COUNTIF(ParticipationAvril1[[#This Row],[1]:[30]],Code31)</f>
        <v>0</v>
      </c>
      <c r="BG124" s="474">
        <f>COUNTIF(ParticipationAvril1[[#This Row],[1]:[30]],code21)</f>
        <v>0</v>
      </c>
      <c r="BH124" s="474">
        <f>COUNTIF(ParticipationAvril1[[#This Row],[1]:[30]],Code24)</f>
        <v>0</v>
      </c>
      <c r="BI124" s="474">
        <f>COUNTIF(ParticipationAvril1[[#This Row],[1]:[30]],code18)</f>
        <v>0</v>
      </c>
      <c r="BJ124" s="474">
        <f>COUNTIF(ParticipationAvril1[[#This Row],[1]:[30]],code19)</f>
        <v>0</v>
      </c>
      <c r="BK124" s="474">
        <f>COUNTIF(ParticipationAvril1[[#This Row],[1]:[30]],code20)</f>
        <v>0</v>
      </c>
      <c r="BL124" s="476">
        <f>COUNTIF(ParticipationAvril1[[#This Row],[1]:[30]],code29)</f>
        <v>0</v>
      </c>
      <c r="BM124" s="472"/>
      <c r="BN124" s="472"/>
      <c r="BO124" s="472"/>
      <c r="BP124" s="472"/>
      <c r="BQ124" s="472"/>
      <c r="BR124" s="472"/>
      <c r="BS124" s="472"/>
      <c r="BT124" s="472"/>
      <c r="BU124" s="472"/>
      <c r="BV124" s="472"/>
      <c r="BW124" s="472"/>
      <c r="BX124" s="472"/>
      <c r="BY124" s="472"/>
      <c r="BZ124" s="472"/>
      <c r="CA124" s="472"/>
      <c r="CB124" s="472"/>
      <c r="CC124" s="472"/>
      <c r="CD124" s="472"/>
      <c r="CE124" s="472"/>
      <c r="CF124" s="472"/>
      <c r="CG124" s="472"/>
      <c r="CH124" s="472"/>
      <c r="CI124" s="472"/>
      <c r="CJ124" s="472"/>
      <c r="CK124" s="472"/>
      <c r="CL124" s="472"/>
      <c r="CM124" s="472"/>
      <c r="CN124" s="472"/>
      <c r="CO124" s="472"/>
      <c r="CP124" s="472"/>
      <c r="CQ124" s="472"/>
      <c r="CR124" s="472"/>
      <c r="CS124" s="472"/>
      <c r="CT124" s="472"/>
      <c r="CU124" s="516">
        <f>SUM((AH124*1)+(AI124*1.5)+(AJ124*2)+(AK124*4)+(AP124*5)+(AQ124*6)+(AR124*7)+(AU124*2)+(AX124*3)+(AY124*4)+(AZ124*5)+(BB124*3)+(BA124*2)+(BG124*2)+(BC124*2)+(BD124*2))</f>
        <v>0</v>
      </c>
      <c r="CV124" s="555">
        <f t="shared" si="10"/>
        <v>0</v>
      </c>
      <c r="CW124" s="562">
        <f t="shared" si="11"/>
        <v>0</v>
      </c>
      <c r="CX124" s="475">
        <f t="shared" si="12"/>
        <v>0</v>
      </c>
      <c r="CY124" s="477"/>
      <c r="CZ124" s="88"/>
    </row>
    <row r="125" spans="1:104" ht="15" thickTop="1" thickBot="1">
      <c r="A125" s="534" t="s">
        <v>466</v>
      </c>
      <c r="B125" s="162" t="str">
        <f>IFERROR(VLOOKUP(ParticipationAvril1[[#This Row],[Référence]],ListeÉtudiants1[],18,FALSE),"")</f>
        <v>SHEIKBOUDOU MACILIA</v>
      </c>
      <c r="F125" s="510"/>
      <c r="H125" s="510"/>
      <c r="L125" s="510"/>
      <c r="M125" s="510"/>
      <c r="N125" s="510"/>
      <c r="O125" s="510"/>
      <c r="AF125" s="19"/>
      <c r="AG125" s="478"/>
      <c r="AH125" s="439">
        <f>COUNTIF(ParticipationAvril1[[#This Row],[1]:[30]],Code1)</f>
        <v>0</v>
      </c>
      <c r="AI125" s="474">
        <f>COUNTIF(ParticipationAvril1[[#This Row],[1]:[30]],code22)</f>
        <v>0</v>
      </c>
      <c r="AJ125" s="439">
        <f>COUNTIF(ParticipationAvril1[[#This Row],[1]:[30]],Code2)</f>
        <v>0</v>
      </c>
      <c r="AK125" s="439">
        <f>COUNTIF(ParticipationAvril1[[#This Row],[1]:[30]],Code3)</f>
        <v>0</v>
      </c>
      <c r="AL125" s="439">
        <f>COUNTIF(ParticipationAvril1[[#This Row],[1]:[30]],Code4)</f>
        <v>0</v>
      </c>
      <c r="AM125" s="474">
        <f>COUNTIF(ParticipationAvril1[[#This Row],[1]:[30]],Code5)</f>
        <v>0</v>
      </c>
      <c r="AN125" s="474">
        <f>COUNTIF(ParticipationAvril1[[#This Row],[1]:[30]],Code23)</f>
        <v>0</v>
      </c>
      <c r="AO125" s="474">
        <f>COUNTIF(ParticipationAvril1[[#This Row],[1]:[30]],Code6)</f>
        <v>0</v>
      </c>
      <c r="AP125" s="474">
        <f>COUNTIF(ParticipationAvril1[[#This Row],[1]:[30]],Code7)</f>
        <v>0</v>
      </c>
      <c r="AQ125" s="474">
        <f>COUNTIF(ParticipationAvril1[[#This Row],[1]:[30]],Code8)</f>
        <v>0</v>
      </c>
      <c r="AR125" s="474">
        <f>COUNTIF(ParticipationAvril1[[#This Row],[1]:[30]],Code9)</f>
        <v>0</v>
      </c>
      <c r="AS125" s="474">
        <f>COUNTIF(ParticipationAvril1[[#This Row],[1]:[30]],Code10)</f>
        <v>0</v>
      </c>
      <c r="AT125" s="474">
        <f>COUNTIF(ParticipationAvril1[[#This Row],[1]:[30]],Code11)</f>
        <v>0</v>
      </c>
      <c r="AU125" s="474">
        <f>COUNTIF(ParticipationAvril1[[#This Row],[1]:[30]],Code12)</f>
        <v>0</v>
      </c>
      <c r="AV125" s="474">
        <f>COUNTIF(ParticipationAvril1[[#This Row],[1]:[30]],Code13)</f>
        <v>0</v>
      </c>
      <c r="AW125" s="474">
        <f>COUNTIF(ParticipationAvril1[[#This Row],[1]:[30]],Code14)</f>
        <v>0</v>
      </c>
      <c r="AX125" s="474">
        <f>COUNTIF(ParticipationAvril1[[#This Row],[1]:[30]],Code16)</f>
        <v>0</v>
      </c>
      <c r="AY125" s="474">
        <f>COUNTIF(ParticipationAvril1[[#This Row],[1]:[30]],Code15)</f>
        <v>0</v>
      </c>
      <c r="AZ125" s="474">
        <f>COUNTIF(ParticipationAvril1[[#This Row],[1]:[30]],Code17)</f>
        <v>0</v>
      </c>
      <c r="BA125" s="474">
        <f>COUNTIF(ParticipationAvril1[[#This Row],[1]:[30]],Code25)</f>
        <v>0</v>
      </c>
      <c r="BB125" s="474">
        <f>COUNTIF(ParticipationAvril1[[#This Row],[1]:[30]],Code26)</f>
        <v>0</v>
      </c>
      <c r="BC125" s="474">
        <f>COUNTIF(ParticipationAvril1[[#This Row],[1]:[30]],Code27)</f>
        <v>0</v>
      </c>
      <c r="BD125" s="474">
        <f>COUNTIF(ParticipationAvril1[[#This Row],[1]:[30]],Code28)</f>
        <v>0</v>
      </c>
      <c r="BE125" s="474">
        <f>COUNTIF(ParticipationAvril1[[#This Row],[1]:[30]],code30)</f>
        <v>0</v>
      </c>
      <c r="BF125" s="474">
        <f>COUNTIF(ParticipationAvril1[[#This Row],[1]:[30]],Code31)</f>
        <v>0</v>
      </c>
      <c r="BG125" s="474">
        <f>COUNTIF(ParticipationAvril1[[#This Row],[1]:[30]],code21)</f>
        <v>0</v>
      </c>
      <c r="BH125" s="474">
        <f>COUNTIF(ParticipationAvril1[[#This Row],[1]:[30]],Code24)</f>
        <v>0</v>
      </c>
      <c r="BI125" s="474">
        <f>COUNTIF(ParticipationAvril1[[#This Row],[1]:[30]],code18)</f>
        <v>0</v>
      </c>
      <c r="BJ125" s="474">
        <f>COUNTIF(ParticipationAvril1[[#This Row],[1]:[30]],code19)</f>
        <v>0</v>
      </c>
      <c r="BK125" s="474">
        <f>COUNTIF(ParticipationAvril1[[#This Row],[1]:[30]],code20)</f>
        <v>0</v>
      </c>
      <c r="BL125" s="476">
        <f>COUNTIF(ParticipationAvril1[[#This Row],[1]:[30]],code29)</f>
        <v>0</v>
      </c>
      <c r="BM125" s="472"/>
      <c r="BN125" s="472"/>
      <c r="BO125" s="472"/>
      <c r="BP125" s="472"/>
      <c r="BQ125" s="472"/>
      <c r="BR125" s="472"/>
      <c r="BS125" s="472"/>
      <c r="BT125" s="472"/>
      <c r="BU125" s="472"/>
      <c r="BV125" s="472"/>
      <c r="BW125" s="472"/>
      <c r="BX125" s="472"/>
      <c r="BY125" s="472"/>
      <c r="BZ125" s="472"/>
      <c r="CA125" s="472"/>
      <c r="CB125" s="472"/>
      <c r="CC125" s="472"/>
      <c r="CD125" s="472"/>
      <c r="CE125" s="472"/>
      <c r="CF125" s="472"/>
      <c r="CG125" s="472"/>
      <c r="CH125" s="472"/>
      <c r="CI125" s="472"/>
      <c r="CJ125" s="472"/>
      <c r="CK125" s="472"/>
      <c r="CL125" s="472"/>
      <c r="CM125" s="472"/>
      <c r="CN125" s="472"/>
      <c r="CO125" s="472"/>
      <c r="CP125" s="472"/>
      <c r="CQ125" s="472"/>
      <c r="CR125" s="472"/>
      <c r="CS125" s="472"/>
      <c r="CT125" s="472"/>
      <c r="CU125" s="516">
        <f>SUM((AH125*1)+(AI125*1.5)+(AJ125*2)+(AK125*4)+(AP125*5)+(AQ125*6)+(AR125*7)+(AU125*2)+(AX125*3)+(AY125*4)+(AZ125*5)+(BB125*3)+(BA125*2)+(BG125*2)+(BC125*2)+(BD125*2))</f>
        <v>0</v>
      </c>
      <c r="CV125" s="555">
        <f t="shared" si="10"/>
        <v>0</v>
      </c>
      <c r="CW125" s="562">
        <f t="shared" si="11"/>
        <v>0</v>
      </c>
      <c r="CX125" s="475">
        <f t="shared" si="12"/>
        <v>0</v>
      </c>
      <c r="CY125" s="477"/>
      <c r="CZ125" s="88"/>
    </row>
    <row r="126" spans="1:104" ht="15" thickTop="1" thickBot="1">
      <c r="A126" s="534" t="s">
        <v>467</v>
      </c>
      <c r="B126" s="162" t="str">
        <f>IFERROR(VLOOKUP(ParticipationAvril1[[#This Row],[Référence]],ListeÉtudiants1[],18,FALSE),"")</f>
        <v>SILVERE SHERLEY</v>
      </c>
      <c r="F126" s="479"/>
      <c r="H126" s="510"/>
      <c r="L126" s="479"/>
      <c r="M126" s="510"/>
      <c r="N126" s="510"/>
      <c r="O126" s="510"/>
      <c r="AF126" s="19"/>
      <c r="AG126" s="478"/>
      <c r="AH126" s="439">
        <f>COUNTIF(ParticipationAvril1[[#This Row],[1]:[30]],Code1)</f>
        <v>0</v>
      </c>
      <c r="AI126" s="474">
        <f>COUNTIF(ParticipationAvril1[[#This Row],[1]:[30]],code22)</f>
        <v>0</v>
      </c>
      <c r="AJ126" s="439">
        <f>COUNTIF(ParticipationAvril1[[#This Row],[1]:[30]],Code2)</f>
        <v>0</v>
      </c>
      <c r="AK126" s="439">
        <f>COUNTIF(ParticipationAvril1[[#This Row],[1]:[30]],Code3)</f>
        <v>0</v>
      </c>
      <c r="AL126" s="439">
        <f>COUNTIF(ParticipationAvril1[[#This Row],[1]:[30]],Code4)</f>
        <v>0</v>
      </c>
      <c r="AM126" s="474">
        <f>COUNTIF(ParticipationAvril1[[#This Row],[1]:[30]],Code5)</f>
        <v>0</v>
      </c>
      <c r="AN126" s="474">
        <f>COUNTIF(ParticipationAvril1[[#This Row],[1]:[30]],Code23)</f>
        <v>0</v>
      </c>
      <c r="AO126" s="474">
        <f>COUNTIF(ParticipationAvril1[[#This Row],[1]:[30]],Code6)</f>
        <v>0</v>
      </c>
      <c r="AP126" s="474">
        <f>COUNTIF(ParticipationAvril1[[#This Row],[1]:[30]],Code7)</f>
        <v>0</v>
      </c>
      <c r="AQ126" s="474">
        <f>COUNTIF(ParticipationAvril1[[#This Row],[1]:[30]],Code8)</f>
        <v>0</v>
      </c>
      <c r="AR126" s="474">
        <f>COUNTIF(ParticipationAvril1[[#This Row],[1]:[30]],Code9)</f>
        <v>0</v>
      </c>
      <c r="AS126" s="474">
        <f>COUNTIF(ParticipationAvril1[[#This Row],[1]:[30]],Code10)</f>
        <v>0</v>
      </c>
      <c r="AT126" s="474">
        <f>COUNTIF(ParticipationAvril1[[#This Row],[1]:[30]],Code11)</f>
        <v>0</v>
      </c>
      <c r="AU126" s="474">
        <f>COUNTIF(ParticipationAvril1[[#This Row],[1]:[30]],Code12)</f>
        <v>0</v>
      </c>
      <c r="AV126" s="474">
        <f>COUNTIF(ParticipationAvril1[[#This Row],[1]:[30]],Code13)</f>
        <v>0</v>
      </c>
      <c r="AW126" s="474">
        <f>COUNTIF(ParticipationAvril1[[#This Row],[1]:[30]],Code14)</f>
        <v>0</v>
      </c>
      <c r="AX126" s="474">
        <f>COUNTIF(ParticipationAvril1[[#This Row],[1]:[30]],Code16)</f>
        <v>0</v>
      </c>
      <c r="AY126" s="474">
        <f>COUNTIF(ParticipationAvril1[[#This Row],[1]:[30]],Code15)</f>
        <v>0</v>
      </c>
      <c r="AZ126" s="474">
        <f>COUNTIF(ParticipationAvril1[[#This Row],[1]:[30]],Code17)</f>
        <v>0</v>
      </c>
      <c r="BA126" s="474">
        <f>COUNTIF(ParticipationAvril1[[#This Row],[1]:[30]],Code25)</f>
        <v>0</v>
      </c>
      <c r="BB126" s="474">
        <f>COUNTIF(ParticipationAvril1[[#This Row],[1]:[30]],Code26)</f>
        <v>0</v>
      </c>
      <c r="BC126" s="474">
        <f>COUNTIF(ParticipationAvril1[[#This Row],[1]:[30]],Code27)</f>
        <v>0</v>
      </c>
      <c r="BD126" s="474">
        <f>COUNTIF(ParticipationAvril1[[#This Row],[1]:[30]],Code28)</f>
        <v>0</v>
      </c>
      <c r="BE126" s="474">
        <f>COUNTIF(ParticipationAvril1[[#This Row],[1]:[30]],code30)</f>
        <v>0</v>
      </c>
      <c r="BF126" s="474">
        <f>COUNTIF(ParticipationAvril1[[#This Row],[1]:[30]],Code31)</f>
        <v>0</v>
      </c>
      <c r="BG126" s="474">
        <f>COUNTIF(ParticipationAvril1[[#This Row],[1]:[30]],code21)</f>
        <v>0</v>
      </c>
      <c r="BH126" s="474">
        <f>COUNTIF(ParticipationAvril1[[#This Row],[1]:[30]],Code24)</f>
        <v>0</v>
      </c>
      <c r="BI126" s="474">
        <f>COUNTIF(ParticipationAvril1[[#This Row],[1]:[30]],code18)</f>
        <v>0</v>
      </c>
      <c r="BJ126" s="474">
        <f>COUNTIF(ParticipationAvril1[[#This Row],[1]:[30]],code19)</f>
        <v>0</v>
      </c>
      <c r="BK126" s="474">
        <f>COUNTIF(ParticipationAvril1[[#This Row],[1]:[30]],code20)</f>
        <v>0</v>
      </c>
      <c r="BL126" s="476">
        <f>COUNTIF(ParticipationAvril1[[#This Row],[1]:[30]],code29)</f>
        <v>0</v>
      </c>
      <c r="BM126" s="472"/>
      <c r="BN126" s="472"/>
      <c r="BO126" s="472"/>
      <c r="BP126" s="472"/>
      <c r="BQ126" s="472"/>
      <c r="BR126" s="472"/>
      <c r="BS126" s="472"/>
      <c r="BT126" s="472"/>
      <c r="BU126" s="472"/>
      <c r="BV126" s="472"/>
      <c r="BW126" s="472"/>
      <c r="BX126" s="472"/>
      <c r="BY126" s="472"/>
      <c r="BZ126" s="472"/>
      <c r="CA126" s="472"/>
      <c r="CB126" s="472"/>
      <c r="CC126" s="472"/>
      <c r="CD126" s="472"/>
      <c r="CE126" s="472"/>
      <c r="CF126" s="472"/>
      <c r="CG126" s="472"/>
      <c r="CH126" s="472"/>
      <c r="CI126" s="472"/>
      <c r="CJ126" s="472"/>
      <c r="CK126" s="472"/>
      <c r="CL126" s="472"/>
      <c r="CM126" s="472"/>
      <c r="CN126" s="472"/>
      <c r="CO126" s="472"/>
      <c r="CP126" s="472"/>
      <c r="CQ126" s="472"/>
      <c r="CR126" s="472"/>
      <c r="CS126" s="472"/>
      <c r="CT126" s="472"/>
      <c r="CU126" s="516">
        <f>SUM((AH126*1)+(AI126*1.5)+(AJ126*2)+(AK126*4)+(AP126*5)+(AQ126*6)+(AR126*7)+(AU126*2)+(AX126*3)+(AY126*4)+(AZ126*5)+(BB126*3)+(BA126*2)+(BG126*2)+(BC126*2)+(BD126*2))</f>
        <v>0</v>
      </c>
      <c r="CV126" s="555">
        <f t="shared" si="10"/>
        <v>0</v>
      </c>
      <c r="CW126" s="562">
        <f t="shared" si="11"/>
        <v>0</v>
      </c>
      <c r="CX126" s="475">
        <f t="shared" si="12"/>
        <v>0</v>
      </c>
      <c r="CY126" s="477"/>
      <c r="CZ126" s="88"/>
    </row>
    <row r="127" spans="1:104" ht="15" thickTop="1" thickBot="1">
      <c r="A127" s="510" t="s">
        <v>468</v>
      </c>
      <c r="B127" s="162" t="str">
        <f>IFERROR(VLOOKUP(ParticipationAvril1[[#This Row],[Référence]],ListeÉtudiants1[],18,FALSE),"")</f>
        <v>SOUQUERE LAURANA</v>
      </c>
      <c r="C127" s="471"/>
      <c r="D127" s="471"/>
      <c r="E127" s="471"/>
      <c r="F127" s="471"/>
      <c r="G127" s="471"/>
      <c r="H127" s="471"/>
      <c r="I127" s="471"/>
      <c r="J127" s="471"/>
      <c r="K127" s="471"/>
      <c r="L127" s="471" t="s">
        <v>108</v>
      </c>
      <c r="M127" s="471"/>
      <c r="N127" s="471"/>
      <c r="O127" s="471"/>
      <c r="P127" s="471"/>
      <c r="Q127" s="471"/>
      <c r="R127" s="471"/>
      <c r="S127" s="471"/>
      <c r="T127" s="471"/>
      <c r="U127" s="471"/>
      <c r="V127" s="471"/>
      <c r="W127" s="471"/>
      <c r="X127" s="471"/>
      <c r="Y127" s="471"/>
      <c r="Z127" s="471"/>
      <c r="AA127" s="471"/>
      <c r="AB127" s="471"/>
      <c r="AC127" s="471"/>
      <c r="AD127" s="471"/>
      <c r="AE127" s="471"/>
      <c r="AF127" s="483"/>
      <c r="AG127" s="484"/>
      <c r="AH127" s="471">
        <f>COUNTIF(ParticipationAvril1[[#This Row],[1]:[30]],Code1)</f>
        <v>0</v>
      </c>
      <c r="AI127" s="475">
        <f>COUNTIF(ParticipationAvril1[[#This Row],[1]:[30]],code22)</f>
        <v>0</v>
      </c>
      <c r="AJ127" s="471">
        <f>COUNTIF(ParticipationAvril1[[#This Row],[1]:[30]],Code2)</f>
        <v>0</v>
      </c>
      <c r="AK127" s="471">
        <f>COUNTIF(ParticipationAvril1[[#This Row],[1]:[30]],Code3)</f>
        <v>0</v>
      </c>
      <c r="AL127" s="471">
        <f>COUNTIF(ParticipationAvril1[[#This Row],[1]:[30]],Code4)</f>
        <v>0</v>
      </c>
      <c r="AM127" s="475">
        <f>COUNTIF(ParticipationAvril1[[#This Row],[1]:[30]],Code5)</f>
        <v>0</v>
      </c>
      <c r="AN127" s="475">
        <f>COUNTIF(ParticipationAvril1[[#This Row],[1]:[30]],Code23)</f>
        <v>0</v>
      </c>
      <c r="AO127" s="475">
        <f>COUNTIF(ParticipationAvril1[[#This Row],[1]:[30]],Code6)</f>
        <v>1</v>
      </c>
      <c r="AP127" s="475">
        <f>COUNTIF(ParticipationAvril1[[#This Row],[1]:[30]],Code7)</f>
        <v>0</v>
      </c>
      <c r="AQ127" s="475">
        <f>COUNTIF(ParticipationAvril1[[#This Row],[1]:[30]],Code8)</f>
        <v>0</v>
      </c>
      <c r="AR127" s="475">
        <f>COUNTIF(ParticipationAvril1[[#This Row],[1]:[30]],Code9)</f>
        <v>0</v>
      </c>
      <c r="AS127" s="475">
        <f>COUNTIF(ParticipationAvril1[[#This Row],[1]:[30]],Code10)</f>
        <v>0</v>
      </c>
      <c r="AT127" s="475">
        <f>COUNTIF(ParticipationAvril1[[#This Row],[1]:[30]],Code11)</f>
        <v>0</v>
      </c>
      <c r="AU127" s="475">
        <f>COUNTIF(ParticipationAvril1[[#This Row],[1]:[30]],Code12)</f>
        <v>0</v>
      </c>
      <c r="AV127" s="475">
        <f>COUNTIF(ParticipationAvril1[[#This Row],[1]:[30]],Code13)</f>
        <v>0</v>
      </c>
      <c r="AW127" s="475">
        <f>COUNTIF(ParticipationAvril1[[#This Row],[1]:[30]],Code14)</f>
        <v>0</v>
      </c>
      <c r="AX127" s="475">
        <f>COUNTIF(ParticipationAvril1[[#This Row],[1]:[30]],Code16)</f>
        <v>0</v>
      </c>
      <c r="AY127" s="475">
        <f>COUNTIF(ParticipationAvril1[[#This Row],[1]:[30]],Code15)</f>
        <v>0</v>
      </c>
      <c r="AZ127" s="475">
        <f>COUNTIF(ParticipationAvril1[[#This Row],[1]:[30]],Code17)</f>
        <v>0</v>
      </c>
      <c r="BA127" s="475">
        <f>COUNTIF(ParticipationAvril1[[#This Row],[1]:[30]],Code25)</f>
        <v>0</v>
      </c>
      <c r="BB127" s="475">
        <f>COUNTIF(ParticipationAvril1[[#This Row],[1]:[30]],Code26)</f>
        <v>0</v>
      </c>
      <c r="BC127" s="475">
        <f>COUNTIF(ParticipationAvril1[[#This Row],[1]:[30]],Code27)</f>
        <v>0</v>
      </c>
      <c r="BD127" s="475">
        <f>COUNTIF(ParticipationAvril1[[#This Row],[1]:[30]],Code28)</f>
        <v>0</v>
      </c>
      <c r="BE127" s="475">
        <f>COUNTIF(ParticipationAvril1[[#This Row],[1]:[30]],code30)</f>
        <v>0</v>
      </c>
      <c r="BF127" s="475">
        <f>COUNTIF(ParticipationAvril1[[#This Row],[1]:[30]],Code31)</f>
        <v>0</v>
      </c>
      <c r="BG127" s="475">
        <f>COUNTIF(ParticipationAvril1[[#This Row],[1]:[30]],code21)</f>
        <v>0</v>
      </c>
      <c r="BH127" s="475">
        <f>COUNTIF(ParticipationAvril1[[#This Row],[1]:[30]],Code24)</f>
        <v>0</v>
      </c>
      <c r="BI127" s="475">
        <f>COUNTIF(ParticipationAvril1[[#This Row],[1]:[30]],code18)</f>
        <v>0</v>
      </c>
      <c r="BJ127" s="475">
        <f>COUNTIF(ParticipationAvril1[[#This Row],[1]:[30]],code19)</f>
        <v>0</v>
      </c>
      <c r="BK127" s="475">
        <f>COUNTIF(ParticipationAvril1[[#This Row],[1]:[30]],code20)</f>
        <v>0</v>
      </c>
      <c r="BL127" s="476">
        <f>COUNTIF(ParticipationAvril1[[#This Row],[1]:[30]],code29)</f>
        <v>0</v>
      </c>
      <c r="BM127" s="472"/>
      <c r="BN127" s="472">
        <v>1</v>
      </c>
      <c r="BO127" s="472"/>
      <c r="BP127" s="472"/>
      <c r="BQ127" s="472"/>
      <c r="BR127" s="472"/>
      <c r="BS127" s="472"/>
      <c r="BT127" s="472"/>
      <c r="BU127" s="472"/>
      <c r="BV127" s="472"/>
      <c r="BW127" s="472"/>
      <c r="BX127" s="472"/>
      <c r="BY127" s="472"/>
      <c r="BZ127" s="472"/>
      <c r="CA127" s="472"/>
      <c r="CB127" s="472"/>
      <c r="CC127" s="472"/>
      <c r="CD127" s="472"/>
      <c r="CE127" s="472"/>
      <c r="CF127" s="472"/>
      <c r="CG127" s="472"/>
      <c r="CH127" s="472"/>
      <c r="CI127" s="472"/>
      <c r="CJ127" s="472"/>
      <c r="CK127" s="472"/>
      <c r="CL127" s="472"/>
      <c r="CM127" s="472"/>
      <c r="CN127" s="472"/>
      <c r="CO127" s="472"/>
      <c r="CP127" s="472"/>
      <c r="CQ127" s="472"/>
      <c r="CR127" s="472"/>
      <c r="CS127" s="473"/>
      <c r="CT127" s="473"/>
      <c r="CU127" s="561"/>
      <c r="CV127" s="485">
        <f t="shared" si="10"/>
        <v>0</v>
      </c>
      <c r="CW127" s="563">
        <f t="shared" si="11"/>
        <v>3</v>
      </c>
      <c r="CX127" s="475">
        <f t="shared" si="12"/>
        <v>0</v>
      </c>
      <c r="CY127" s="477"/>
      <c r="CZ127" s="469"/>
    </row>
    <row r="128" spans="1:104" ht="15" thickTop="1" thickBot="1">
      <c r="A128" s="534" t="s">
        <v>469</v>
      </c>
      <c r="B128" s="162" t="str">
        <f>IFERROR(VLOOKUP(ParticipationAvril1[[#This Row],[Référence]],ListeÉtudiants1[],18,FALSE),"")</f>
        <v>TABUDI DARLENE</v>
      </c>
      <c r="C128" s="19"/>
      <c r="D128" s="19"/>
      <c r="E128" s="19" t="s">
        <v>492</v>
      </c>
      <c r="F128" s="19"/>
      <c r="G128" s="19"/>
      <c r="H128" s="19"/>
      <c r="I128" s="19"/>
      <c r="J128" s="19"/>
      <c r="K128" s="19" t="s">
        <v>108</v>
      </c>
      <c r="L128" s="19" t="s">
        <v>108</v>
      </c>
      <c r="M128" s="19" t="s">
        <v>487</v>
      </c>
      <c r="N128" s="19"/>
      <c r="O128" s="19"/>
      <c r="P128" s="19"/>
      <c r="Q128" s="19"/>
      <c r="R128" s="19"/>
      <c r="S128" s="19"/>
      <c r="T128" s="19"/>
      <c r="U128" s="19"/>
      <c r="V128" s="19"/>
      <c r="W128" s="19"/>
      <c r="X128" s="19"/>
      <c r="Y128" s="19"/>
      <c r="Z128" s="19"/>
      <c r="AA128" s="19"/>
      <c r="AB128" s="19"/>
      <c r="AC128" s="19"/>
      <c r="AD128" s="19"/>
      <c r="AE128" s="19"/>
      <c r="AF128" s="558"/>
      <c r="AG128" s="340"/>
      <c r="AH128" s="6">
        <f>COUNTIF(ParticipationAvril1[[#This Row],[1]:[30]],Code1)</f>
        <v>0</v>
      </c>
      <c r="AI128" s="6">
        <f>COUNTIF(ParticipationAvril1[[#This Row],[1]:[30]],code22)</f>
        <v>0</v>
      </c>
      <c r="AJ128" s="6">
        <f>COUNTIF(ParticipationAvril1[[#This Row],[1]:[30]],Code2)</f>
        <v>0</v>
      </c>
      <c r="AK128" s="6">
        <f>COUNTIF(ParticipationAvril1[[#This Row],[1]:[30]],Code3)</f>
        <v>0</v>
      </c>
      <c r="AL128" s="6">
        <f>COUNTIF(ParticipationAvril1[[#This Row],[1]:[30]],Code4)</f>
        <v>0</v>
      </c>
      <c r="AM128" s="6">
        <f>COUNTIF(ParticipationAvril1[[#This Row],[1]:[30]],Code5)</f>
        <v>0</v>
      </c>
      <c r="AN128" s="6">
        <f>COUNTIF(ParticipationAvril1[[#This Row],[1]:[30]],Code23)</f>
        <v>0</v>
      </c>
      <c r="AO128" s="6">
        <v>3</v>
      </c>
      <c r="AP128" s="6">
        <f>COUNTIF(ParticipationAvril1[[#This Row],[1]:[30]],Code7)</f>
        <v>0</v>
      </c>
      <c r="AQ128" s="6">
        <f>COUNTIF(ParticipationAvril1[[#This Row],[1]:[30]],Code8)</f>
        <v>0</v>
      </c>
      <c r="AR128" s="6">
        <f>COUNTIF(ParticipationAvril1[[#This Row],[1]:[30]],Code9)</f>
        <v>0</v>
      </c>
      <c r="AS128" s="6">
        <f>COUNTIF(ParticipationAvril1[[#This Row],[1]:[30]],Code10)</f>
        <v>0</v>
      </c>
      <c r="AT128" s="6">
        <f>COUNTIF(ParticipationAvril1[[#This Row],[1]:[30]],Code11)</f>
        <v>0</v>
      </c>
      <c r="AU128" s="6">
        <f>COUNTIF(ParticipationAvril1[[#This Row],[1]:[30]],Code12)</f>
        <v>1</v>
      </c>
      <c r="AV128" s="6">
        <f>COUNTIF(ParticipationAvril1[[#This Row],[1]:[30]],Code13)</f>
        <v>0</v>
      </c>
      <c r="AW128" s="6">
        <f>COUNTIF(ParticipationAvril1[[#This Row],[1]:[30]],Code14)</f>
        <v>0</v>
      </c>
      <c r="AX128" s="6">
        <f>COUNTIF(ParticipationAvril1[[#This Row],[1]:[30]],Code16)</f>
        <v>0</v>
      </c>
      <c r="AY128" s="6">
        <f>COUNTIF(ParticipationAvril1[[#This Row],[1]:[30]],Code15)</f>
        <v>0</v>
      </c>
      <c r="AZ128" s="6">
        <f>COUNTIF(ParticipationAvril1[[#This Row],[1]:[30]],Code17)</f>
        <v>1</v>
      </c>
      <c r="BA128" s="6">
        <f>COUNTIF(ParticipationAvril1[[#This Row],[1]:[30]],Code25)</f>
        <v>0</v>
      </c>
      <c r="BB128" s="6">
        <f>COUNTIF(ParticipationAvril1[[#This Row],[1]:[30]],Code26)</f>
        <v>0</v>
      </c>
      <c r="BC128" s="432">
        <f>COUNTIF(ParticipationAvril1[[#This Row],[1]:[30]],Code27)</f>
        <v>0</v>
      </c>
      <c r="BD128" s="6">
        <f>COUNTIF(ParticipationAvril1[[#This Row],[1]:[30]],Code28)</f>
        <v>0</v>
      </c>
      <c r="BE128" s="6">
        <f>COUNTIF(ParticipationAvril1[[#This Row],[1]:[30]],code30)</f>
        <v>0</v>
      </c>
      <c r="BF128" s="6">
        <f>COUNTIF(ParticipationAvril1[[#This Row],[1]:[30]],Code31)</f>
        <v>0</v>
      </c>
      <c r="BG128" s="6">
        <f>COUNTIF(ParticipationAvril1[[#This Row],[1]:[30]],code21)</f>
        <v>0</v>
      </c>
      <c r="BH128" s="6">
        <f>COUNTIF(ParticipationAvril1[[#This Row],[1]:[30]],Code24)</f>
        <v>0</v>
      </c>
      <c r="BI128" s="6">
        <f>COUNTIF(ParticipationAvril1[[#This Row],[1]:[30]],code18)</f>
        <v>0</v>
      </c>
      <c r="BJ128" s="6">
        <f>COUNTIF(ParticipationAvril1[[#This Row],[1]:[30]],code19)</f>
        <v>0</v>
      </c>
      <c r="BK128" s="6">
        <f>COUNTIF(ParticipationAvril1[[#This Row],[1]:[30]],code20)</f>
        <v>0</v>
      </c>
      <c r="BL128" s="182">
        <f>COUNTIF(ParticipationAvril1[[#This Row],[1]:[30]],code29)</f>
        <v>0</v>
      </c>
      <c r="BM128" s="297"/>
      <c r="BN128" s="297">
        <v>2</v>
      </c>
      <c r="BO128" s="297"/>
      <c r="BP128" s="297"/>
      <c r="BQ128" s="297"/>
      <c r="BR128" s="297"/>
      <c r="BS128" s="297"/>
      <c r="BT128" s="297"/>
      <c r="BU128" s="297"/>
      <c r="BV128" s="297"/>
      <c r="BW128" s="297">
        <v>1</v>
      </c>
      <c r="BX128" s="297"/>
      <c r="BY128" s="297"/>
      <c r="BZ128" s="297">
        <v>1</v>
      </c>
      <c r="CA128" s="297"/>
      <c r="CB128" s="297">
        <v>2</v>
      </c>
      <c r="CC128" s="297"/>
      <c r="CD128" s="297"/>
      <c r="CE128" s="297"/>
      <c r="CF128" s="297"/>
      <c r="CG128" s="297">
        <v>1</v>
      </c>
      <c r="CH128" s="297"/>
      <c r="CI128" s="297"/>
      <c r="CJ128" s="297"/>
      <c r="CK128" s="297"/>
      <c r="CL128" s="297"/>
      <c r="CM128" s="297"/>
      <c r="CN128" s="297"/>
      <c r="CO128" s="297"/>
      <c r="CP128" s="297"/>
      <c r="CQ128" s="297"/>
      <c r="CR128" s="297"/>
      <c r="CS128" s="307"/>
      <c r="CT128" s="307"/>
      <c r="CU128" s="561"/>
      <c r="CV128" s="485">
        <f t="shared" si="10"/>
        <v>2</v>
      </c>
      <c r="CW128" s="563">
        <f t="shared" si="11"/>
        <v>20</v>
      </c>
      <c r="CX128" s="6">
        <f t="shared" si="12"/>
        <v>0</v>
      </c>
      <c r="CY128" s="179">
        <f>SUM((BI128*7)+(BJ128*10)+(BK128*12))</f>
        <v>0</v>
      </c>
    </row>
    <row r="129" spans="1:104" ht="15" thickTop="1" thickBot="1">
      <c r="A129" s="534" t="s">
        <v>470</v>
      </c>
      <c r="B129" s="162" t="str">
        <f>IFERROR(VLOOKUP(ParticipationAvril1[[#This Row],[Référence]],ListeÉtudiants1[],18,FALSE),"")</f>
        <v>TAKERKART SIRINE</v>
      </c>
      <c r="F129" s="479" t="s">
        <v>108</v>
      </c>
      <c r="L129" s="479" t="s">
        <v>108</v>
      </c>
      <c r="AF129" s="19"/>
      <c r="AG129" s="144"/>
      <c r="AH129" s="439">
        <f>COUNTIF(ParticipationAvril1[[#This Row],[1]:[30]],Code1)</f>
        <v>0</v>
      </c>
      <c r="AI129" s="435">
        <f>COUNTIF(ParticipationAvril1[[#This Row],[1]:[30]],code22)</f>
        <v>0</v>
      </c>
      <c r="AJ129" s="439">
        <f>COUNTIF(ParticipationAvril1[[#This Row],[1]:[30]],Code2)</f>
        <v>0</v>
      </c>
      <c r="AK129" s="439">
        <f>COUNTIF(ParticipationAvril1[[#This Row],[1]:[30]],Code3)</f>
        <v>0</v>
      </c>
      <c r="AL129" s="439">
        <f>COUNTIF(ParticipationAvril1[[#This Row],[1]:[30]],Code4)</f>
        <v>0</v>
      </c>
      <c r="AM129" s="435">
        <f>COUNTIF(ParticipationAvril1[[#This Row],[1]:[30]],Code5)</f>
        <v>0</v>
      </c>
      <c r="AN129" s="435">
        <f>COUNTIF(ParticipationAvril1[[#This Row],[1]:[30]],Code23)</f>
        <v>0</v>
      </c>
      <c r="AO129" s="435">
        <f>COUNTIF(ParticipationAvril1[[#This Row],[1]:[30]],Code6)</f>
        <v>2</v>
      </c>
      <c r="AP129" s="435">
        <f>COUNTIF(ParticipationAvril1[[#This Row],[1]:[30]],Code7)</f>
        <v>0</v>
      </c>
      <c r="AQ129" s="435">
        <f>COUNTIF(ParticipationAvril1[[#This Row],[1]:[30]],Code8)</f>
        <v>0</v>
      </c>
      <c r="AR129" s="435">
        <f>COUNTIF(ParticipationAvril1[[#This Row],[1]:[30]],Code9)</f>
        <v>0</v>
      </c>
      <c r="AS129" s="435">
        <f>COUNTIF(ParticipationAvril1[[#This Row],[1]:[30]],Code10)</f>
        <v>0</v>
      </c>
      <c r="AT129" s="435">
        <f>COUNTIF(ParticipationAvril1[[#This Row],[1]:[30]],Code11)</f>
        <v>0</v>
      </c>
      <c r="AU129" s="435">
        <f>COUNTIF(ParticipationAvril1[[#This Row],[1]:[30]],Code12)</f>
        <v>0</v>
      </c>
      <c r="AV129" s="435">
        <f>COUNTIF(ParticipationAvril1[[#This Row],[1]:[30]],Code13)</f>
        <v>0</v>
      </c>
      <c r="AW129" s="435">
        <f>COUNTIF(ParticipationAvril1[[#This Row],[1]:[30]],Code14)</f>
        <v>0</v>
      </c>
      <c r="AX129" s="435">
        <f>COUNTIF(ParticipationAvril1[[#This Row],[1]:[30]],Code16)</f>
        <v>0</v>
      </c>
      <c r="AY129" s="435">
        <f>COUNTIF(ParticipationAvril1[[#This Row],[1]:[30]],Code15)</f>
        <v>0</v>
      </c>
      <c r="AZ129" s="435">
        <f>COUNTIF(ParticipationAvril1[[#This Row],[1]:[30]],Code17)</f>
        <v>0</v>
      </c>
      <c r="BA129" s="435">
        <f>COUNTIF(ParticipationAvril1[[#This Row],[1]:[30]],Code25)</f>
        <v>0</v>
      </c>
      <c r="BB129" s="435">
        <f>COUNTIF(ParticipationAvril1[[#This Row],[1]:[30]],Code26)</f>
        <v>0</v>
      </c>
      <c r="BC129" s="435">
        <f>COUNTIF(ParticipationAvril1[[#This Row],[1]:[30]],Code27)</f>
        <v>0</v>
      </c>
      <c r="BD129" s="435">
        <f>COUNTIF(ParticipationAvril1[[#This Row],[1]:[30]],Code28)</f>
        <v>0</v>
      </c>
      <c r="BE129" s="435">
        <f>COUNTIF(ParticipationAvril1[[#This Row],[1]:[30]],code30)</f>
        <v>0</v>
      </c>
      <c r="BF129" s="435">
        <f>COUNTIF(ParticipationAvril1[[#This Row],[1]:[30]],Code31)</f>
        <v>0</v>
      </c>
      <c r="BG129" s="435">
        <f>COUNTIF(ParticipationAvril1[[#This Row],[1]:[30]],code21)</f>
        <v>0</v>
      </c>
      <c r="BH129" s="435">
        <f>COUNTIF(ParticipationAvril1[[#This Row],[1]:[30]],Code24)</f>
        <v>0</v>
      </c>
      <c r="BI129" s="435">
        <f>COUNTIF(ParticipationAvril1[[#This Row],[1]:[30]],code18)</f>
        <v>0</v>
      </c>
      <c r="BJ129" s="435">
        <f>COUNTIF(ParticipationAvril1[[#This Row],[1]:[30]],code19)</f>
        <v>0</v>
      </c>
      <c r="BK129" s="435">
        <f>COUNTIF(ParticipationAvril1[[#This Row],[1]:[30]],code20)</f>
        <v>0</v>
      </c>
      <c r="BL129" s="436">
        <f>COUNTIF(ParticipationAvril1[[#This Row],[1]:[30]],code29)</f>
        <v>0</v>
      </c>
      <c r="BM129" s="297"/>
      <c r="BN129" s="297">
        <v>1</v>
      </c>
      <c r="BO129" s="297"/>
      <c r="BP129" s="297"/>
      <c r="BQ129" s="297"/>
      <c r="BR129" s="297"/>
      <c r="BS129" s="297"/>
      <c r="BT129" s="297">
        <v>1</v>
      </c>
      <c r="BU129" s="297"/>
      <c r="BV129" s="297"/>
      <c r="BW129" s="297"/>
      <c r="BX129" s="297"/>
      <c r="BY129" s="297"/>
      <c r="BZ129" s="297"/>
      <c r="CA129" s="297"/>
      <c r="CB129" s="297"/>
      <c r="CC129" s="297"/>
      <c r="CD129" s="297"/>
      <c r="CE129" s="297"/>
      <c r="CF129" s="297"/>
      <c r="CG129" s="297"/>
      <c r="CH129" s="297"/>
      <c r="CI129" s="297"/>
      <c r="CJ129" s="297"/>
      <c r="CK129" s="297"/>
      <c r="CL129" s="297"/>
      <c r="CM129" s="297"/>
      <c r="CN129" s="297"/>
      <c r="CO129" s="297"/>
      <c r="CP129" s="297"/>
      <c r="CQ129" s="297"/>
      <c r="CR129" s="297"/>
      <c r="CS129" s="297"/>
      <c r="CT129" s="297"/>
      <c r="CU129" s="300"/>
      <c r="CV129" s="485">
        <f t="shared" si="10"/>
        <v>0</v>
      </c>
      <c r="CW129" s="499">
        <f t="shared" si="11"/>
        <v>6</v>
      </c>
      <c r="CX129" s="435">
        <f t="shared" si="12"/>
        <v>0</v>
      </c>
      <c r="CY129" s="438"/>
    </row>
    <row r="130" spans="1:104" ht="15" thickTop="1" thickBot="1">
      <c r="A130" s="510" t="s">
        <v>471</v>
      </c>
      <c r="B130" s="162" t="str">
        <f>IFERROR(VLOOKUP(ParticipationAvril1[[#This Row],[Référence]],ListeÉtudiants1[],18,FALSE),"")</f>
        <v>THENARD FLORENCE</v>
      </c>
      <c r="F130" s="510"/>
      <c r="L130" s="510"/>
      <c r="AF130" s="558"/>
      <c r="AG130" s="484"/>
      <c r="AH130" s="439">
        <f>COUNTIF(ParticipationAvril1[[#This Row],[1]:[30]],Code1)</f>
        <v>0</v>
      </c>
      <c r="AI130" s="474">
        <f>COUNTIF(ParticipationAvril1[[#This Row],[1]:[30]],code22)</f>
        <v>0</v>
      </c>
      <c r="AJ130" s="439">
        <f>COUNTIF(ParticipationAvril1[[#This Row],[1]:[30]],Code2)</f>
        <v>0</v>
      </c>
      <c r="AK130" s="439">
        <f>COUNTIF(ParticipationAvril1[[#This Row],[1]:[30]],Code3)</f>
        <v>0</v>
      </c>
      <c r="AL130" s="439">
        <f>COUNTIF(ParticipationAvril1[[#This Row],[1]:[30]],Code4)</f>
        <v>0</v>
      </c>
      <c r="AM130" s="474">
        <f>COUNTIF(ParticipationAvril1[[#This Row],[1]:[30]],Code5)</f>
        <v>0</v>
      </c>
      <c r="AN130" s="474">
        <f>COUNTIF(ParticipationAvril1[[#This Row],[1]:[30]],Code23)</f>
        <v>0</v>
      </c>
      <c r="AO130" s="474">
        <f>COUNTIF(ParticipationAvril1[[#This Row],[1]:[30]],Code6)</f>
        <v>0</v>
      </c>
      <c r="AP130" s="474">
        <f>COUNTIF(ParticipationAvril1[[#This Row],[1]:[30]],Code7)</f>
        <v>0</v>
      </c>
      <c r="AQ130" s="474">
        <f>COUNTIF(ParticipationAvril1[[#This Row],[1]:[30]],Code8)</f>
        <v>0</v>
      </c>
      <c r="AR130" s="474">
        <f>COUNTIF(ParticipationAvril1[[#This Row],[1]:[30]],Code9)</f>
        <v>0</v>
      </c>
      <c r="AS130" s="474">
        <f>COUNTIF(ParticipationAvril1[[#This Row],[1]:[30]],Code10)</f>
        <v>0</v>
      </c>
      <c r="AT130" s="474">
        <f>COUNTIF(ParticipationAvril1[[#This Row],[1]:[30]],Code11)</f>
        <v>0</v>
      </c>
      <c r="AU130" s="474">
        <f>COUNTIF(ParticipationAvril1[[#This Row],[1]:[30]],Code12)</f>
        <v>0</v>
      </c>
      <c r="AV130" s="474">
        <f>COUNTIF(ParticipationAvril1[[#This Row],[1]:[30]],Code13)</f>
        <v>0</v>
      </c>
      <c r="AW130" s="474">
        <f>COUNTIF(ParticipationAvril1[[#This Row],[1]:[30]],Code14)</f>
        <v>0</v>
      </c>
      <c r="AX130" s="474">
        <f>COUNTIF(ParticipationAvril1[[#This Row],[1]:[30]],Code16)</f>
        <v>0</v>
      </c>
      <c r="AY130" s="474">
        <f>COUNTIF(ParticipationAvril1[[#This Row],[1]:[30]],Code15)</f>
        <v>0</v>
      </c>
      <c r="AZ130" s="474">
        <f>COUNTIF(ParticipationAvril1[[#This Row],[1]:[30]],Code17)</f>
        <v>0</v>
      </c>
      <c r="BA130" s="474">
        <f>COUNTIF(ParticipationAvril1[[#This Row],[1]:[30]],Code25)</f>
        <v>0</v>
      </c>
      <c r="BB130" s="474">
        <f>COUNTIF(ParticipationAvril1[[#This Row],[1]:[30]],Code26)</f>
        <v>0</v>
      </c>
      <c r="BC130" s="474">
        <f>COUNTIF(ParticipationAvril1[[#This Row],[1]:[30]],Code27)</f>
        <v>0</v>
      </c>
      <c r="BD130" s="474">
        <f>COUNTIF(ParticipationAvril1[[#This Row],[1]:[30]],Code28)</f>
        <v>0</v>
      </c>
      <c r="BE130" s="474">
        <f>COUNTIF(ParticipationAvril1[[#This Row],[1]:[30]],code30)</f>
        <v>0</v>
      </c>
      <c r="BF130" s="474">
        <f>COUNTIF(ParticipationAvril1[[#This Row],[1]:[30]],Code31)</f>
        <v>0</v>
      </c>
      <c r="BG130" s="474">
        <f>COUNTIF(ParticipationAvril1[[#This Row],[1]:[30]],code21)</f>
        <v>0</v>
      </c>
      <c r="BH130" s="474">
        <f>COUNTIF(ParticipationAvril1[[#This Row],[1]:[30]],Code24)</f>
        <v>0</v>
      </c>
      <c r="BI130" s="474">
        <f>COUNTIF(ParticipationAvril1[[#This Row],[1]:[30]],code18)</f>
        <v>0</v>
      </c>
      <c r="BJ130" s="474">
        <f>COUNTIF(ParticipationAvril1[[#This Row],[1]:[30]],code19)</f>
        <v>0</v>
      </c>
      <c r="BK130" s="474">
        <f>COUNTIF(ParticipationAvril1[[#This Row],[1]:[30]],code20)</f>
        <v>0</v>
      </c>
      <c r="BL130" s="476">
        <f>COUNTIF(ParticipationAvril1[[#This Row],[1]:[30]],code29)</f>
        <v>0</v>
      </c>
      <c r="BM130" s="472"/>
      <c r="BN130" s="472"/>
      <c r="BO130" s="472"/>
      <c r="BP130" s="472"/>
      <c r="BQ130" s="472"/>
      <c r="BR130" s="472"/>
      <c r="BS130" s="472"/>
      <c r="BT130" s="472"/>
      <c r="BU130" s="472"/>
      <c r="BV130" s="472"/>
      <c r="BW130" s="472"/>
      <c r="BX130" s="472"/>
      <c r="BY130" s="472"/>
      <c r="BZ130" s="472"/>
      <c r="CA130" s="472"/>
      <c r="CB130" s="472"/>
      <c r="CC130" s="472"/>
      <c r="CD130" s="472"/>
      <c r="CE130" s="472"/>
      <c r="CF130" s="472"/>
      <c r="CG130" s="472"/>
      <c r="CH130" s="472"/>
      <c r="CI130" s="472"/>
      <c r="CJ130" s="472"/>
      <c r="CK130" s="472"/>
      <c r="CL130" s="472"/>
      <c r="CM130" s="472"/>
      <c r="CN130" s="472"/>
      <c r="CO130" s="472"/>
      <c r="CP130" s="472"/>
      <c r="CQ130" s="472"/>
      <c r="CR130" s="472"/>
      <c r="CS130" s="472"/>
      <c r="CT130" s="472"/>
      <c r="CU130" s="554">
        <f>SUM((AH130*1)+(AI130*1.5)+(AJ130*2)+(AK130*4)+(AP130*5)+(AQ130*6)+(AR130*7)+(AU130*2)+(AX130*3)+(AY130*4)+(AZ130*5)+(BB130*3)+(BA130*2)+(BG130*2)+(BC130*2)+(BD130*2))</f>
        <v>0</v>
      </c>
      <c r="CV130" s="555">
        <f t="shared" si="10"/>
        <v>0</v>
      </c>
      <c r="CW130" s="556">
        <f t="shared" si="11"/>
        <v>0</v>
      </c>
      <c r="CX130" s="474">
        <f t="shared" si="12"/>
        <v>0</v>
      </c>
      <c r="CY130" s="477"/>
    </row>
    <row r="131" spans="1:104" ht="15" thickTop="1" thickBot="1">
      <c r="A131" s="510" t="s">
        <v>472</v>
      </c>
      <c r="B131" s="162" t="str">
        <f>IFERROR(VLOOKUP(ParticipationAvril1[[#This Row],[Référence]],ListeÉtudiants1[],18,FALSE),"")</f>
        <v>TOTO SANDY</v>
      </c>
      <c r="F131" s="510"/>
      <c r="L131" s="510"/>
      <c r="AF131" s="19"/>
      <c r="AG131" s="478"/>
      <c r="AH131" s="439">
        <f>COUNTIF(ParticipationAvril1[[#This Row],[1]:[30]],Code1)</f>
        <v>0</v>
      </c>
      <c r="AI131" s="474">
        <f>COUNTIF(ParticipationAvril1[[#This Row],[1]:[30]],code22)</f>
        <v>0</v>
      </c>
      <c r="AJ131" s="439">
        <f>COUNTIF(ParticipationAvril1[[#This Row],[1]:[30]],Code2)</f>
        <v>0</v>
      </c>
      <c r="AK131" s="439">
        <f>COUNTIF(ParticipationAvril1[[#This Row],[1]:[30]],Code3)</f>
        <v>0</v>
      </c>
      <c r="AL131" s="439">
        <f>COUNTIF(ParticipationAvril1[[#This Row],[1]:[30]],Code4)</f>
        <v>0</v>
      </c>
      <c r="AM131" s="474">
        <f>COUNTIF(ParticipationAvril1[[#This Row],[1]:[30]],Code5)</f>
        <v>0</v>
      </c>
      <c r="AN131" s="474">
        <f>COUNTIF(ParticipationAvril1[[#This Row],[1]:[30]],Code23)</f>
        <v>0</v>
      </c>
      <c r="AO131" s="474">
        <f>COUNTIF(ParticipationAvril1[[#This Row],[1]:[30]],Code6)</f>
        <v>0</v>
      </c>
      <c r="AP131" s="474">
        <f>COUNTIF(ParticipationAvril1[[#This Row],[1]:[30]],Code7)</f>
        <v>0</v>
      </c>
      <c r="AQ131" s="474">
        <f>COUNTIF(ParticipationAvril1[[#This Row],[1]:[30]],Code8)</f>
        <v>0</v>
      </c>
      <c r="AR131" s="474">
        <f>COUNTIF(ParticipationAvril1[[#This Row],[1]:[30]],Code9)</f>
        <v>0</v>
      </c>
      <c r="AS131" s="474">
        <f>COUNTIF(ParticipationAvril1[[#This Row],[1]:[30]],Code10)</f>
        <v>0</v>
      </c>
      <c r="AT131" s="474">
        <f>COUNTIF(ParticipationAvril1[[#This Row],[1]:[30]],Code11)</f>
        <v>0</v>
      </c>
      <c r="AU131" s="474">
        <f>COUNTIF(ParticipationAvril1[[#This Row],[1]:[30]],Code12)</f>
        <v>0</v>
      </c>
      <c r="AV131" s="474">
        <f>COUNTIF(ParticipationAvril1[[#This Row],[1]:[30]],Code13)</f>
        <v>0</v>
      </c>
      <c r="AW131" s="474">
        <f>COUNTIF(ParticipationAvril1[[#This Row],[1]:[30]],Code14)</f>
        <v>0</v>
      </c>
      <c r="AX131" s="474">
        <f>COUNTIF(ParticipationAvril1[[#This Row],[1]:[30]],Code16)</f>
        <v>0</v>
      </c>
      <c r="AY131" s="474">
        <f>COUNTIF(ParticipationAvril1[[#This Row],[1]:[30]],Code15)</f>
        <v>0</v>
      </c>
      <c r="AZ131" s="474">
        <f>COUNTIF(ParticipationAvril1[[#This Row],[1]:[30]],Code17)</f>
        <v>0</v>
      </c>
      <c r="BA131" s="474">
        <f>COUNTIF(ParticipationAvril1[[#This Row],[1]:[30]],Code25)</f>
        <v>0</v>
      </c>
      <c r="BB131" s="474">
        <f>COUNTIF(ParticipationAvril1[[#This Row],[1]:[30]],Code26)</f>
        <v>0</v>
      </c>
      <c r="BC131" s="474">
        <f>COUNTIF(ParticipationAvril1[[#This Row],[1]:[30]],Code27)</f>
        <v>0</v>
      </c>
      <c r="BD131" s="474">
        <f>COUNTIF(ParticipationAvril1[[#This Row],[1]:[30]],Code28)</f>
        <v>0</v>
      </c>
      <c r="BE131" s="474">
        <f>COUNTIF(ParticipationAvril1[[#This Row],[1]:[30]],code30)</f>
        <v>0</v>
      </c>
      <c r="BF131" s="474">
        <f>COUNTIF(ParticipationAvril1[[#This Row],[1]:[30]],Code31)</f>
        <v>0</v>
      </c>
      <c r="BG131" s="474">
        <f>COUNTIF(ParticipationAvril1[[#This Row],[1]:[30]],code21)</f>
        <v>0</v>
      </c>
      <c r="BH131" s="474">
        <f>COUNTIF(ParticipationAvril1[[#This Row],[1]:[30]],Code24)</f>
        <v>0</v>
      </c>
      <c r="BI131" s="474">
        <f>COUNTIF(ParticipationAvril1[[#This Row],[1]:[30]],code18)</f>
        <v>0</v>
      </c>
      <c r="BJ131" s="474">
        <f>COUNTIF(ParticipationAvril1[[#This Row],[1]:[30]],code19)</f>
        <v>0</v>
      </c>
      <c r="BK131" s="474">
        <f>COUNTIF(ParticipationAvril1[[#This Row],[1]:[30]],code20)</f>
        <v>0</v>
      </c>
      <c r="BL131" s="476">
        <f>COUNTIF(ParticipationAvril1[[#This Row],[1]:[30]],code29)</f>
        <v>0</v>
      </c>
      <c r="BM131" s="472"/>
      <c r="BN131" s="472"/>
      <c r="BO131" s="472"/>
      <c r="BP131" s="472"/>
      <c r="BQ131" s="472"/>
      <c r="BR131" s="472"/>
      <c r="BS131" s="472"/>
      <c r="BT131" s="472"/>
      <c r="BU131" s="472"/>
      <c r="BV131" s="472"/>
      <c r="BW131" s="472"/>
      <c r="BX131" s="472"/>
      <c r="BY131" s="472"/>
      <c r="BZ131" s="472"/>
      <c r="CA131" s="472"/>
      <c r="CB131" s="472"/>
      <c r="CC131" s="472"/>
      <c r="CD131" s="472"/>
      <c r="CE131" s="472"/>
      <c r="CF131" s="472"/>
      <c r="CG131" s="472"/>
      <c r="CH131" s="472"/>
      <c r="CI131" s="472"/>
      <c r="CJ131" s="472"/>
      <c r="CK131" s="472"/>
      <c r="CL131" s="472"/>
      <c r="CM131" s="472"/>
      <c r="CN131" s="472"/>
      <c r="CO131" s="472"/>
      <c r="CP131" s="472"/>
      <c r="CQ131" s="472"/>
      <c r="CR131" s="472"/>
      <c r="CS131" s="472"/>
      <c r="CT131" s="472"/>
      <c r="CU131" s="516">
        <f>SUM((AH131*1)+(AI131*1.5)+(AJ131*2)+(AK131*4)+(AP131*5)+(AQ131*6)+(AR131*7)+(AU131*2)+(AX131*3)+(AY131*4)+(AZ131*5)+(BB131*3)+(BA131*2)+(BG131*2)+(BC131*2)+(BD131*2))</f>
        <v>0</v>
      </c>
      <c r="CV131" s="555">
        <f t="shared" si="10"/>
        <v>0</v>
      </c>
      <c r="CW131" s="562">
        <f t="shared" si="11"/>
        <v>0</v>
      </c>
      <c r="CX131" s="474">
        <f t="shared" si="12"/>
        <v>0</v>
      </c>
      <c r="CY131" s="477"/>
    </row>
    <row r="132" spans="1:104" ht="15" thickTop="1" thickBot="1">
      <c r="A132" s="534" t="s">
        <v>473</v>
      </c>
      <c r="B132" s="162" t="str">
        <f>IFERROR(VLOOKUP(ParticipationAvril1[[#This Row],[Référence]],ListeÉtudiants1[],18,FALSE),"")</f>
        <v>TOUAZI EMMA</v>
      </c>
      <c r="C132" s="471"/>
      <c r="D132" s="471"/>
      <c r="E132" s="471"/>
      <c r="F132" s="471"/>
      <c r="G132" s="471"/>
      <c r="H132" s="471"/>
      <c r="I132" s="471"/>
      <c r="J132" s="471"/>
      <c r="K132" s="471"/>
      <c r="L132" s="471"/>
      <c r="M132" s="471" t="s">
        <v>108</v>
      </c>
      <c r="N132" s="471"/>
      <c r="O132" s="471"/>
      <c r="P132" s="471"/>
      <c r="Q132" s="471"/>
      <c r="R132" s="471"/>
      <c r="S132" s="471"/>
      <c r="T132" s="471"/>
      <c r="U132" s="471"/>
      <c r="V132" s="471"/>
      <c r="W132" s="471"/>
      <c r="X132" s="471"/>
      <c r="Y132" s="471"/>
      <c r="Z132" s="471"/>
      <c r="AA132" s="471"/>
      <c r="AB132" s="471"/>
      <c r="AC132" s="471"/>
      <c r="AD132" s="471"/>
      <c r="AE132" s="471"/>
      <c r="AF132" s="483"/>
      <c r="AG132" s="484"/>
      <c r="AH132" s="471">
        <f>COUNTIF(ParticipationAvril1[[#This Row],[1]:[30]],Code1)</f>
        <v>0</v>
      </c>
      <c r="AI132" s="475">
        <f>COUNTIF(ParticipationAvril1[[#This Row],[1]:[30]],code22)</f>
        <v>0</v>
      </c>
      <c r="AJ132" s="471">
        <f>COUNTIF(ParticipationAvril1[[#This Row],[1]:[30]],Code2)</f>
        <v>0</v>
      </c>
      <c r="AK132" s="471">
        <f>COUNTIF(ParticipationAvril1[[#This Row],[1]:[30]],Code3)</f>
        <v>0</v>
      </c>
      <c r="AL132" s="471">
        <f>COUNTIF(ParticipationAvril1[[#This Row],[1]:[30]],Code4)</f>
        <v>0</v>
      </c>
      <c r="AM132" s="475">
        <f>COUNTIF(ParticipationAvril1[[#This Row],[1]:[30]],Code5)</f>
        <v>0</v>
      </c>
      <c r="AN132" s="475">
        <f>COUNTIF(ParticipationAvril1[[#This Row],[1]:[30]],Code23)</f>
        <v>0</v>
      </c>
      <c r="AO132" s="475">
        <f>COUNTIF(ParticipationAvril1[[#This Row],[1]:[30]],Code6)</f>
        <v>1</v>
      </c>
      <c r="AP132" s="475">
        <f>COUNTIF(ParticipationAvril1[[#This Row],[1]:[30]],Code7)</f>
        <v>0</v>
      </c>
      <c r="AQ132" s="475">
        <f>COUNTIF(ParticipationAvril1[[#This Row],[1]:[30]],Code8)</f>
        <v>0</v>
      </c>
      <c r="AR132" s="475">
        <f>COUNTIF(ParticipationAvril1[[#This Row],[1]:[30]],Code9)</f>
        <v>0</v>
      </c>
      <c r="AS132" s="475">
        <f>COUNTIF(ParticipationAvril1[[#This Row],[1]:[30]],Code10)</f>
        <v>0</v>
      </c>
      <c r="AT132" s="475">
        <f>COUNTIF(ParticipationAvril1[[#This Row],[1]:[30]],Code11)</f>
        <v>0</v>
      </c>
      <c r="AU132" s="475">
        <f>COUNTIF(ParticipationAvril1[[#This Row],[1]:[30]],Code12)</f>
        <v>0</v>
      </c>
      <c r="AV132" s="475">
        <f>COUNTIF(ParticipationAvril1[[#This Row],[1]:[30]],Code13)</f>
        <v>0</v>
      </c>
      <c r="AW132" s="475">
        <f>COUNTIF(ParticipationAvril1[[#This Row],[1]:[30]],Code14)</f>
        <v>0</v>
      </c>
      <c r="AX132" s="475">
        <f>COUNTIF(ParticipationAvril1[[#This Row],[1]:[30]],Code16)</f>
        <v>0</v>
      </c>
      <c r="AY132" s="475">
        <f>COUNTIF(ParticipationAvril1[[#This Row],[1]:[30]],Code15)</f>
        <v>0</v>
      </c>
      <c r="AZ132" s="475">
        <f>COUNTIF(ParticipationAvril1[[#This Row],[1]:[30]],Code17)</f>
        <v>0</v>
      </c>
      <c r="BA132" s="475">
        <f>COUNTIF(ParticipationAvril1[[#This Row],[1]:[30]],Code25)</f>
        <v>0</v>
      </c>
      <c r="BB132" s="475">
        <f>COUNTIF(ParticipationAvril1[[#This Row],[1]:[30]],Code26)</f>
        <v>0</v>
      </c>
      <c r="BC132" s="475">
        <f>COUNTIF(ParticipationAvril1[[#This Row],[1]:[30]],Code27)</f>
        <v>0</v>
      </c>
      <c r="BD132" s="475">
        <f>COUNTIF(ParticipationAvril1[[#This Row],[1]:[30]],Code28)</f>
        <v>0</v>
      </c>
      <c r="BE132" s="475">
        <f>COUNTIF(ParticipationAvril1[[#This Row],[1]:[30]],code30)</f>
        <v>0</v>
      </c>
      <c r="BF132" s="475">
        <f>COUNTIF(ParticipationAvril1[[#This Row],[1]:[30]],Code31)</f>
        <v>0</v>
      </c>
      <c r="BG132" s="475">
        <f>COUNTIF(ParticipationAvril1[[#This Row],[1]:[30]],code21)</f>
        <v>0</v>
      </c>
      <c r="BH132" s="475">
        <f>COUNTIF(ParticipationAvril1[[#This Row],[1]:[30]],Code24)</f>
        <v>0</v>
      </c>
      <c r="BI132" s="475">
        <f>COUNTIF(ParticipationAvril1[[#This Row],[1]:[30]],code18)</f>
        <v>0</v>
      </c>
      <c r="BJ132" s="475">
        <f>COUNTIF(ParticipationAvril1[[#This Row],[1]:[30]],code19)</f>
        <v>0</v>
      </c>
      <c r="BK132" s="475">
        <f>COUNTIF(ParticipationAvril1[[#This Row],[1]:[30]],code20)</f>
        <v>0</v>
      </c>
      <c r="BL132" s="476">
        <f>COUNTIF(ParticipationAvril1[[#This Row],[1]:[30]],code29)</f>
        <v>0</v>
      </c>
      <c r="BM132" s="472"/>
      <c r="BN132" s="472"/>
      <c r="BO132" s="472"/>
      <c r="BP132" s="472"/>
      <c r="BQ132" s="472"/>
      <c r="BR132" s="472"/>
      <c r="BS132" s="472"/>
      <c r="BT132" s="472">
        <v>1</v>
      </c>
      <c r="BU132" s="472"/>
      <c r="BV132" s="472"/>
      <c r="BW132" s="472"/>
      <c r="BX132" s="472"/>
      <c r="BY132" s="472"/>
      <c r="BZ132" s="472"/>
      <c r="CA132" s="472"/>
      <c r="CB132" s="472"/>
      <c r="CC132" s="472"/>
      <c r="CD132" s="472"/>
      <c r="CE132" s="472"/>
      <c r="CF132" s="472"/>
      <c r="CG132" s="472"/>
      <c r="CH132" s="472"/>
      <c r="CI132" s="472"/>
      <c r="CJ132" s="472"/>
      <c r="CK132" s="472"/>
      <c r="CL132" s="472"/>
      <c r="CM132" s="472"/>
      <c r="CN132" s="472"/>
      <c r="CO132" s="472"/>
      <c r="CP132" s="472"/>
      <c r="CQ132" s="472"/>
      <c r="CR132" s="472"/>
      <c r="CS132" s="473"/>
      <c r="CT132" s="473"/>
      <c r="CU132" s="561"/>
      <c r="CV132" s="485">
        <f t="shared" si="10"/>
        <v>0</v>
      </c>
      <c r="CW132" s="563">
        <f t="shared" si="11"/>
        <v>3</v>
      </c>
      <c r="CX132" s="475">
        <f t="shared" si="12"/>
        <v>0</v>
      </c>
      <c r="CY132" s="477"/>
      <c r="CZ132" s="469"/>
    </row>
    <row r="133" spans="1:104" ht="15" thickTop="1" thickBot="1">
      <c r="A133" s="510" t="s">
        <v>474</v>
      </c>
      <c r="B133" s="162" t="str">
        <f>IFERROR(VLOOKUP(ParticipationAvril1[[#This Row],[Référence]],ListeÉtudiants1[],18,FALSE),"")</f>
        <v>TOUIDJINE VICTORIA</v>
      </c>
      <c r="F133" s="479" t="s">
        <v>108</v>
      </c>
      <c r="G133" s="510" t="s">
        <v>105</v>
      </c>
      <c r="L133" s="510" t="s">
        <v>108</v>
      </c>
      <c r="M133" s="510" t="s">
        <v>487</v>
      </c>
      <c r="AF133" s="19"/>
      <c r="AG133" s="144"/>
      <c r="AH133" s="439">
        <f>COUNTIF(ParticipationAvril1[[#This Row],[1]:[30]],Code1)</f>
        <v>0</v>
      </c>
      <c r="AI133" s="435">
        <f>COUNTIF(ParticipationAvril1[[#This Row],[1]:[30]],code22)</f>
        <v>0</v>
      </c>
      <c r="AJ133" s="439">
        <f>COUNTIF(ParticipationAvril1[[#This Row],[1]:[30]],Code2)</f>
        <v>1</v>
      </c>
      <c r="AK133" s="439">
        <f>COUNTIF(ParticipationAvril1[[#This Row],[1]:[30]],Code3)</f>
        <v>0</v>
      </c>
      <c r="AL133" s="439">
        <f>COUNTIF(ParticipationAvril1[[#This Row],[1]:[30]],Code4)</f>
        <v>0</v>
      </c>
      <c r="AM133" s="435">
        <f>COUNTIF(ParticipationAvril1[[#This Row],[1]:[30]],Code5)</f>
        <v>0</v>
      </c>
      <c r="AN133" s="435">
        <f>COUNTIF(ParticipationAvril1[[#This Row],[1]:[30]],Code23)</f>
        <v>0</v>
      </c>
      <c r="AO133" s="435">
        <f>COUNTIF(ParticipationAvril1[[#This Row],[1]:[30]],Code6)</f>
        <v>2</v>
      </c>
      <c r="AP133" s="435">
        <f>COUNTIF(ParticipationAvril1[[#This Row],[1]:[30]],Code7)</f>
        <v>0</v>
      </c>
      <c r="AQ133" s="435">
        <f>COUNTIF(ParticipationAvril1[[#This Row],[1]:[30]],Code8)</f>
        <v>0</v>
      </c>
      <c r="AR133" s="435">
        <f>COUNTIF(ParticipationAvril1[[#This Row],[1]:[30]],Code9)</f>
        <v>0</v>
      </c>
      <c r="AS133" s="435">
        <f>COUNTIF(ParticipationAvril1[[#This Row],[1]:[30]],Code10)</f>
        <v>0</v>
      </c>
      <c r="AT133" s="435">
        <f>COUNTIF(ParticipationAvril1[[#This Row],[1]:[30]],Code11)</f>
        <v>0</v>
      </c>
      <c r="AU133" s="435">
        <f>COUNTIF(ParticipationAvril1[[#This Row],[1]:[30]],Code12)</f>
        <v>1</v>
      </c>
      <c r="AV133" s="435">
        <f>COUNTIF(ParticipationAvril1[[#This Row],[1]:[30]],Code13)</f>
        <v>0</v>
      </c>
      <c r="AW133" s="435">
        <f>COUNTIF(ParticipationAvril1[[#This Row],[1]:[30]],Code14)</f>
        <v>0</v>
      </c>
      <c r="AX133" s="435">
        <f>COUNTIF(ParticipationAvril1[[#This Row],[1]:[30]],Code16)</f>
        <v>0</v>
      </c>
      <c r="AY133" s="435">
        <f>COUNTIF(ParticipationAvril1[[#This Row],[1]:[30]],Code15)</f>
        <v>0</v>
      </c>
      <c r="AZ133" s="435">
        <f>COUNTIF(ParticipationAvril1[[#This Row],[1]:[30]],Code17)</f>
        <v>0</v>
      </c>
      <c r="BA133" s="435">
        <f>COUNTIF(ParticipationAvril1[[#This Row],[1]:[30]],Code25)</f>
        <v>0</v>
      </c>
      <c r="BB133" s="435">
        <f>COUNTIF(ParticipationAvril1[[#This Row],[1]:[30]],Code26)</f>
        <v>0</v>
      </c>
      <c r="BC133" s="435">
        <f>COUNTIF(ParticipationAvril1[[#This Row],[1]:[30]],Code27)</f>
        <v>0</v>
      </c>
      <c r="BD133" s="435">
        <f>COUNTIF(ParticipationAvril1[[#This Row],[1]:[30]],Code28)</f>
        <v>0</v>
      </c>
      <c r="BE133" s="435">
        <f>COUNTIF(ParticipationAvril1[[#This Row],[1]:[30]],code30)</f>
        <v>0</v>
      </c>
      <c r="BF133" s="435">
        <f>COUNTIF(ParticipationAvril1[[#This Row],[1]:[30]],Code31)</f>
        <v>0</v>
      </c>
      <c r="BG133" s="435">
        <f>COUNTIF(ParticipationAvril1[[#This Row],[1]:[30]],code21)</f>
        <v>0</v>
      </c>
      <c r="BH133" s="435">
        <f>COUNTIF(ParticipationAvril1[[#This Row],[1]:[30]],Code24)</f>
        <v>0</v>
      </c>
      <c r="BI133" s="435">
        <f>COUNTIF(ParticipationAvril1[[#This Row],[1]:[30]],code18)</f>
        <v>0</v>
      </c>
      <c r="BJ133" s="435">
        <f>COUNTIF(ParticipationAvril1[[#This Row],[1]:[30]],code19)</f>
        <v>0</v>
      </c>
      <c r="BK133" s="435">
        <f>COUNTIF(ParticipationAvril1[[#This Row],[1]:[30]],code20)</f>
        <v>0</v>
      </c>
      <c r="BL133" s="436">
        <f>COUNTIF(ParticipationAvril1[[#This Row],[1]:[30]],code29)</f>
        <v>0</v>
      </c>
      <c r="BM133" s="297"/>
      <c r="BN133" s="297">
        <v>2</v>
      </c>
      <c r="BO133" s="297"/>
      <c r="BP133" s="297"/>
      <c r="BQ133" s="297"/>
      <c r="BR133" s="297"/>
      <c r="BS133" s="297"/>
      <c r="BT133" s="297">
        <v>2</v>
      </c>
      <c r="BU133" s="297"/>
      <c r="BV133" s="297"/>
      <c r="BW133" s="297"/>
      <c r="BX133" s="297"/>
      <c r="BY133" s="297"/>
      <c r="BZ133" s="297"/>
      <c r="CA133" s="297"/>
      <c r="CB133" s="297"/>
      <c r="CC133" s="297"/>
      <c r="CD133" s="297"/>
      <c r="CE133" s="297"/>
      <c r="CF133" s="297"/>
      <c r="CG133" s="297"/>
      <c r="CH133" s="297"/>
      <c r="CI133" s="297"/>
      <c r="CJ133" s="297"/>
      <c r="CK133" s="297"/>
      <c r="CL133" s="297"/>
      <c r="CM133" s="297"/>
      <c r="CN133" s="297"/>
      <c r="CO133" s="297"/>
      <c r="CP133" s="297"/>
      <c r="CQ133" s="297"/>
      <c r="CR133" s="297"/>
      <c r="CS133" s="297"/>
      <c r="CT133" s="297"/>
      <c r="CU133" s="300"/>
      <c r="CV133" s="485">
        <f t="shared" si="10"/>
        <v>2</v>
      </c>
      <c r="CW133" s="499">
        <f t="shared" si="11"/>
        <v>12</v>
      </c>
      <c r="CX133" s="435">
        <f t="shared" si="12"/>
        <v>0</v>
      </c>
      <c r="CY133" s="438"/>
    </row>
    <row r="134" spans="1:104" ht="15" thickTop="1" thickBot="1">
      <c r="A134" s="510" t="s">
        <v>475</v>
      </c>
      <c r="B134" s="162" t="str">
        <f>IFERROR(VLOOKUP(ParticipationAvril1[[#This Row],[Référence]],ListeÉtudiants1[],18,FALSE),"")</f>
        <v>TOURE SIPA</v>
      </c>
      <c r="F134" s="510"/>
      <c r="G134" s="510"/>
      <c r="L134" s="510"/>
      <c r="M134" s="510"/>
      <c r="AF134" s="558"/>
      <c r="AG134" s="484"/>
      <c r="AH134" s="439">
        <f>COUNTIF(ParticipationAvril1[[#This Row],[1]:[30]],Code1)</f>
        <v>0</v>
      </c>
      <c r="AI134" s="474">
        <f>COUNTIF(ParticipationAvril1[[#This Row],[1]:[30]],code22)</f>
        <v>0</v>
      </c>
      <c r="AJ134" s="439">
        <f>COUNTIF(ParticipationAvril1[[#This Row],[1]:[30]],Code2)</f>
        <v>0</v>
      </c>
      <c r="AK134" s="439">
        <f>COUNTIF(ParticipationAvril1[[#This Row],[1]:[30]],Code3)</f>
        <v>0</v>
      </c>
      <c r="AL134" s="439">
        <f>COUNTIF(ParticipationAvril1[[#This Row],[1]:[30]],Code4)</f>
        <v>0</v>
      </c>
      <c r="AM134" s="474">
        <f>COUNTIF(ParticipationAvril1[[#This Row],[1]:[30]],Code5)</f>
        <v>0</v>
      </c>
      <c r="AN134" s="474">
        <f>COUNTIF(ParticipationAvril1[[#This Row],[1]:[30]],Code23)</f>
        <v>0</v>
      </c>
      <c r="AO134" s="474">
        <f>COUNTIF(ParticipationAvril1[[#This Row],[1]:[30]],Code6)</f>
        <v>0</v>
      </c>
      <c r="AP134" s="474">
        <f>COUNTIF(ParticipationAvril1[[#This Row],[1]:[30]],Code7)</f>
        <v>0</v>
      </c>
      <c r="AQ134" s="474">
        <f>COUNTIF(ParticipationAvril1[[#This Row],[1]:[30]],Code8)</f>
        <v>0</v>
      </c>
      <c r="AR134" s="474">
        <f>COUNTIF(ParticipationAvril1[[#This Row],[1]:[30]],Code9)</f>
        <v>0</v>
      </c>
      <c r="AS134" s="474">
        <f>COUNTIF(ParticipationAvril1[[#This Row],[1]:[30]],Code10)</f>
        <v>0</v>
      </c>
      <c r="AT134" s="474">
        <f>COUNTIF(ParticipationAvril1[[#This Row],[1]:[30]],Code11)</f>
        <v>0</v>
      </c>
      <c r="AU134" s="474">
        <f>COUNTIF(ParticipationAvril1[[#This Row],[1]:[30]],Code12)</f>
        <v>0</v>
      </c>
      <c r="AV134" s="474">
        <f>COUNTIF(ParticipationAvril1[[#This Row],[1]:[30]],Code13)</f>
        <v>0</v>
      </c>
      <c r="AW134" s="474">
        <f>COUNTIF(ParticipationAvril1[[#This Row],[1]:[30]],Code14)</f>
        <v>0</v>
      </c>
      <c r="AX134" s="474">
        <f>COUNTIF(ParticipationAvril1[[#This Row],[1]:[30]],Code16)</f>
        <v>0</v>
      </c>
      <c r="AY134" s="474">
        <f>COUNTIF(ParticipationAvril1[[#This Row],[1]:[30]],Code15)</f>
        <v>0</v>
      </c>
      <c r="AZ134" s="474">
        <f>COUNTIF(ParticipationAvril1[[#This Row],[1]:[30]],Code17)</f>
        <v>0</v>
      </c>
      <c r="BA134" s="474">
        <f>COUNTIF(ParticipationAvril1[[#This Row],[1]:[30]],Code25)</f>
        <v>0</v>
      </c>
      <c r="BB134" s="474">
        <f>COUNTIF(ParticipationAvril1[[#This Row],[1]:[30]],Code26)</f>
        <v>0</v>
      </c>
      <c r="BC134" s="474">
        <f>COUNTIF(ParticipationAvril1[[#This Row],[1]:[30]],Code27)</f>
        <v>0</v>
      </c>
      <c r="BD134" s="474">
        <f>COUNTIF(ParticipationAvril1[[#This Row],[1]:[30]],Code28)</f>
        <v>0</v>
      </c>
      <c r="BE134" s="474">
        <f>COUNTIF(ParticipationAvril1[[#This Row],[1]:[30]],code30)</f>
        <v>0</v>
      </c>
      <c r="BF134" s="474">
        <f>COUNTIF(ParticipationAvril1[[#This Row],[1]:[30]],Code31)</f>
        <v>0</v>
      </c>
      <c r="BG134" s="474">
        <f>COUNTIF(ParticipationAvril1[[#This Row],[1]:[30]],code21)</f>
        <v>0</v>
      </c>
      <c r="BH134" s="474">
        <f>COUNTIF(ParticipationAvril1[[#This Row],[1]:[30]],Code24)</f>
        <v>0</v>
      </c>
      <c r="BI134" s="474">
        <f>COUNTIF(ParticipationAvril1[[#This Row],[1]:[30]],code18)</f>
        <v>0</v>
      </c>
      <c r="BJ134" s="474">
        <f>COUNTIF(ParticipationAvril1[[#This Row],[1]:[30]],code19)</f>
        <v>0</v>
      </c>
      <c r="BK134" s="474">
        <f>COUNTIF(ParticipationAvril1[[#This Row],[1]:[30]],code20)</f>
        <v>0</v>
      </c>
      <c r="BL134" s="476">
        <f>COUNTIF(ParticipationAvril1[[#This Row],[1]:[30]],code29)</f>
        <v>0</v>
      </c>
      <c r="BM134" s="472"/>
      <c r="BN134" s="472"/>
      <c r="BO134" s="472"/>
      <c r="BP134" s="472"/>
      <c r="BQ134" s="472"/>
      <c r="BR134" s="472"/>
      <c r="BS134" s="472"/>
      <c r="BT134" s="472"/>
      <c r="BU134" s="472"/>
      <c r="BV134" s="472"/>
      <c r="BW134" s="472"/>
      <c r="BX134" s="472"/>
      <c r="BY134" s="472"/>
      <c r="BZ134" s="472"/>
      <c r="CA134" s="472"/>
      <c r="CB134" s="472"/>
      <c r="CC134" s="472"/>
      <c r="CD134" s="472"/>
      <c r="CE134" s="472"/>
      <c r="CF134" s="472"/>
      <c r="CG134" s="472"/>
      <c r="CH134" s="472"/>
      <c r="CI134" s="472"/>
      <c r="CJ134" s="472"/>
      <c r="CK134" s="472"/>
      <c r="CL134" s="472"/>
      <c r="CM134" s="472"/>
      <c r="CN134" s="472"/>
      <c r="CO134" s="472"/>
      <c r="CP134" s="472"/>
      <c r="CQ134" s="472"/>
      <c r="CR134" s="472"/>
      <c r="CS134" s="472"/>
      <c r="CT134" s="472"/>
      <c r="CU134" s="554">
        <f>SUM((AH134*1)+(AI134*1.5)+(AJ134*2)+(AK134*4)+(AP134*5)+(AQ134*6)+(AR134*7)+(AU134*2)+(AX134*3)+(AY134*4)+(AZ134*5)+(BB134*3)+(BA134*2)+(BG134*2)+(BC134*2)+(BD134*2))</f>
        <v>0</v>
      </c>
      <c r="CV134" s="555">
        <f t="shared" si="10"/>
        <v>0</v>
      </c>
      <c r="CW134" s="556">
        <f t="shared" si="11"/>
        <v>0</v>
      </c>
      <c r="CX134" s="474">
        <f t="shared" si="12"/>
        <v>0</v>
      </c>
      <c r="CY134" s="477"/>
    </row>
    <row r="135" spans="1:104" ht="15" thickTop="1" thickBot="1">
      <c r="A135" s="536" t="s">
        <v>476</v>
      </c>
      <c r="B135" s="162" t="str">
        <f>IFERROR(VLOOKUP(ParticipationAvril1[[#This Row],[Référence]],ListeÉtudiants1[],18,FALSE),"")</f>
        <v>TRIPET AMANDINE</v>
      </c>
      <c r="C135" s="471"/>
      <c r="D135" s="471"/>
      <c r="E135" s="471"/>
      <c r="F135" s="471"/>
      <c r="G135" s="471"/>
      <c r="H135" s="471"/>
      <c r="I135" s="471"/>
      <c r="J135" s="471"/>
      <c r="K135" s="471"/>
      <c r="L135" s="471" t="s">
        <v>108</v>
      </c>
      <c r="M135" s="471"/>
      <c r="N135" s="471"/>
      <c r="O135" s="471"/>
      <c r="P135" s="471"/>
      <c r="Q135" s="471"/>
      <c r="R135" s="471"/>
      <c r="S135" s="471"/>
      <c r="T135" s="471"/>
      <c r="U135" s="471"/>
      <c r="V135" s="471"/>
      <c r="W135" s="471"/>
      <c r="X135" s="471"/>
      <c r="Y135" s="471"/>
      <c r="Z135" s="471"/>
      <c r="AA135" s="471"/>
      <c r="AB135" s="471"/>
      <c r="AC135" s="471"/>
      <c r="AD135" s="471"/>
      <c r="AE135" s="471"/>
      <c r="AF135" s="471"/>
      <c r="AG135" s="478"/>
      <c r="AH135" s="471">
        <f>COUNTIF(ParticipationAvril1[[#This Row],[1]:[30]],Code1)</f>
        <v>0</v>
      </c>
      <c r="AI135" s="475">
        <f>COUNTIF(ParticipationAvril1[[#This Row],[1]:[30]],code22)</f>
        <v>0</v>
      </c>
      <c r="AJ135" s="471">
        <f>COUNTIF(ParticipationAvril1[[#This Row],[1]:[30]],Code2)</f>
        <v>0</v>
      </c>
      <c r="AK135" s="471">
        <f>COUNTIF(ParticipationAvril1[[#This Row],[1]:[30]],Code3)</f>
        <v>0</v>
      </c>
      <c r="AL135" s="471">
        <f>COUNTIF(ParticipationAvril1[[#This Row],[1]:[30]],Code4)</f>
        <v>0</v>
      </c>
      <c r="AM135" s="475">
        <f>COUNTIF(ParticipationAvril1[[#This Row],[1]:[30]],Code5)</f>
        <v>0</v>
      </c>
      <c r="AN135" s="475">
        <f>COUNTIF(ParticipationAvril1[[#This Row],[1]:[30]],Code23)</f>
        <v>0</v>
      </c>
      <c r="AO135" s="475">
        <f>COUNTIF(ParticipationAvril1[[#This Row],[1]:[30]],Code6)</f>
        <v>1</v>
      </c>
      <c r="AP135" s="475">
        <f>COUNTIF(ParticipationAvril1[[#This Row],[1]:[30]],Code7)</f>
        <v>0</v>
      </c>
      <c r="AQ135" s="475">
        <f>COUNTIF(ParticipationAvril1[[#This Row],[1]:[30]],Code8)</f>
        <v>0</v>
      </c>
      <c r="AR135" s="475">
        <f>COUNTIF(ParticipationAvril1[[#This Row],[1]:[30]],Code9)</f>
        <v>0</v>
      </c>
      <c r="AS135" s="475">
        <f>COUNTIF(ParticipationAvril1[[#This Row],[1]:[30]],Code10)</f>
        <v>0</v>
      </c>
      <c r="AT135" s="475">
        <f>COUNTIF(ParticipationAvril1[[#This Row],[1]:[30]],Code11)</f>
        <v>0</v>
      </c>
      <c r="AU135" s="475">
        <f>COUNTIF(ParticipationAvril1[[#This Row],[1]:[30]],Code12)</f>
        <v>0</v>
      </c>
      <c r="AV135" s="475">
        <f>COUNTIF(ParticipationAvril1[[#This Row],[1]:[30]],Code13)</f>
        <v>0</v>
      </c>
      <c r="AW135" s="475">
        <f>COUNTIF(ParticipationAvril1[[#This Row],[1]:[30]],Code14)</f>
        <v>0</v>
      </c>
      <c r="AX135" s="475">
        <f>COUNTIF(ParticipationAvril1[[#This Row],[1]:[30]],Code16)</f>
        <v>0</v>
      </c>
      <c r="AY135" s="475">
        <f>COUNTIF(ParticipationAvril1[[#This Row],[1]:[30]],Code15)</f>
        <v>0</v>
      </c>
      <c r="AZ135" s="475">
        <f>COUNTIF(ParticipationAvril1[[#This Row],[1]:[30]],Code17)</f>
        <v>0</v>
      </c>
      <c r="BA135" s="475">
        <f>COUNTIF(ParticipationAvril1[[#This Row],[1]:[30]],Code25)</f>
        <v>0</v>
      </c>
      <c r="BB135" s="475">
        <f>COUNTIF(ParticipationAvril1[[#This Row],[1]:[30]],Code26)</f>
        <v>0</v>
      </c>
      <c r="BC135" s="475">
        <f>COUNTIF(ParticipationAvril1[[#This Row],[1]:[30]],Code27)</f>
        <v>0</v>
      </c>
      <c r="BD135" s="475">
        <f>COUNTIF(ParticipationAvril1[[#This Row],[1]:[30]],Code28)</f>
        <v>0</v>
      </c>
      <c r="BE135" s="475">
        <f>COUNTIF(ParticipationAvril1[[#This Row],[1]:[30]],code30)</f>
        <v>0</v>
      </c>
      <c r="BF135" s="475">
        <f>COUNTIF(ParticipationAvril1[[#This Row],[1]:[30]],Code31)</f>
        <v>0</v>
      </c>
      <c r="BG135" s="475">
        <f>COUNTIF(ParticipationAvril1[[#This Row],[1]:[30]],code21)</f>
        <v>0</v>
      </c>
      <c r="BH135" s="475">
        <f>COUNTIF(ParticipationAvril1[[#This Row],[1]:[30]],Code24)</f>
        <v>0</v>
      </c>
      <c r="BI135" s="475">
        <f>COUNTIF(ParticipationAvril1[[#This Row],[1]:[30]],code18)</f>
        <v>0</v>
      </c>
      <c r="BJ135" s="475">
        <f>COUNTIF(ParticipationAvril1[[#This Row],[1]:[30]],code19)</f>
        <v>0</v>
      </c>
      <c r="BK135" s="475">
        <f>COUNTIF(ParticipationAvril1[[#This Row],[1]:[30]],code20)</f>
        <v>0</v>
      </c>
      <c r="BL135" s="476">
        <f>COUNTIF(ParticipationAvril1[[#This Row],[1]:[30]],code29)</f>
        <v>0</v>
      </c>
      <c r="BM135" s="472"/>
      <c r="BN135" s="472">
        <v>1</v>
      </c>
      <c r="BO135" s="472"/>
      <c r="BP135" s="472"/>
      <c r="BQ135" s="472"/>
      <c r="BR135" s="472"/>
      <c r="BS135" s="472"/>
      <c r="BT135" s="472"/>
      <c r="BU135" s="472"/>
      <c r="BV135" s="472"/>
      <c r="BW135" s="472"/>
      <c r="BX135" s="472"/>
      <c r="BY135" s="472"/>
      <c r="BZ135" s="472"/>
      <c r="CA135" s="472"/>
      <c r="CB135" s="472"/>
      <c r="CC135" s="472"/>
      <c r="CD135" s="472"/>
      <c r="CE135" s="472"/>
      <c r="CF135" s="472"/>
      <c r="CG135" s="472"/>
      <c r="CH135" s="472"/>
      <c r="CI135" s="472"/>
      <c r="CJ135" s="472"/>
      <c r="CK135" s="472"/>
      <c r="CL135" s="472"/>
      <c r="CM135" s="472"/>
      <c r="CN135" s="472"/>
      <c r="CO135" s="472"/>
      <c r="CP135" s="472"/>
      <c r="CQ135" s="472"/>
      <c r="CR135" s="472"/>
      <c r="CS135" s="473"/>
      <c r="CT135" s="473"/>
      <c r="CU135" s="300"/>
      <c r="CV135" s="485">
        <f t="shared" si="10"/>
        <v>0</v>
      </c>
      <c r="CW135" s="499">
        <f t="shared" si="11"/>
        <v>3</v>
      </c>
      <c r="CX135" s="475">
        <f t="shared" si="12"/>
        <v>0</v>
      </c>
      <c r="CY135" s="477"/>
      <c r="CZ135" s="469"/>
    </row>
    <row r="136" spans="1:104" ht="15" thickTop="1" thickBot="1">
      <c r="A136" s="510" t="s">
        <v>477</v>
      </c>
      <c r="B136" s="162" t="str">
        <f>IFERROR(VLOOKUP(ParticipationAvril1[[#This Row],[Référence]],ListeÉtudiants1[],18,FALSE),"")</f>
        <v>UGOLIN MARIE-ROSE</v>
      </c>
      <c r="C136" s="471"/>
      <c r="D136" s="471"/>
      <c r="E136" s="471"/>
      <c r="F136" s="471"/>
      <c r="G136" s="471"/>
      <c r="H136" s="471"/>
      <c r="I136" s="471"/>
      <c r="J136" s="471"/>
      <c r="K136" s="471"/>
      <c r="L136" s="471"/>
      <c r="M136" s="471"/>
      <c r="N136" s="471"/>
      <c r="O136" s="471"/>
      <c r="P136" s="471"/>
      <c r="Q136" s="471"/>
      <c r="R136" s="471"/>
      <c r="S136" s="471"/>
      <c r="T136" s="471"/>
      <c r="U136" s="471"/>
      <c r="V136" s="471"/>
      <c r="W136" s="471"/>
      <c r="X136" s="471"/>
      <c r="Y136" s="471"/>
      <c r="Z136" s="471"/>
      <c r="AA136" s="471"/>
      <c r="AB136" s="471"/>
      <c r="AC136" s="471"/>
      <c r="AD136" s="471"/>
      <c r="AE136" s="471"/>
      <c r="AF136" s="471"/>
      <c r="AG136" s="478"/>
      <c r="AH136" s="471">
        <f>COUNTIF(ParticipationAvril1[[#This Row],[1]:[30]],Code1)</f>
        <v>0</v>
      </c>
      <c r="AI136" s="475">
        <f>COUNTIF(ParticipationAvril1[[#This Row],[1]:[30]],code22)</f>
        <v>0</v>
      </c>
      <c r="AJ136" s="471">
        <f>COUNTIF(ParticipationAvril1[[#This Row],[1]:[30]],Code2)</f>
        <v>0</v>
      </c>
      <c r="AK136" s="471">
        <f>COUNTIF(ParticipationAvril1[[#This Row],[1]:[30]],Code3)</f>
        <v>0</v>
      </c>
      <c r="AL136" s="471">
        <f>COUNTIF(ParticipationAvril1[[#This Row],[1]:[30]],Code4)</f>
        <v>0</v>
      </c>
      <c r="AM136" s="475">
        <f>COUNTIF(ParticipationAvril1[[#This Row],[1]:[30]],Code5)</f>
        <v>0</v>
      </c>
      <c r="AN136" s="475">
        <f>COUNTIF(ParticipationAvril1[[#This Row],[1]:[30]],Code23)</f>
        <v>0</v>
      </c>
      <c r="AO136" s="475">
        <f>COUNTIF(ParticipationAvril1[[#This Row],[1]:[30]],Code6)</f>
        <v>0</v>
      </c>
      <c r="AP136" s="475">
        <f>COUNTIF(ParticipationAvril1[[#This Row],[1]:[30]],Code7)</f>
        <v>0</v>
      </c>
      <c r="AQ136" s="475">
        <f>COUNTIF(ParticipationAvril1[[#This Row],[1]:[30]],Code8)</f>
        <v>0</v>
      </c>
      <c r="AR136" s="475">
        <f>COUNTIF(ParticipationAvril1[[#This Row],[1]:[30]],Code9)</f>
        <v>0</v>
      </c>
      <c r="AS136" s="475">
        <f>COUNTIF(ParticipationAvril1[[#This Row],[1]:[30]],Code10)</f>
        <v>0</v>
      </c>
      <c r="AT136" s="475">
        <f>COUNTIF(ParticipationAvril1[[#This Row],[1]:[30]],Code11)</f>
        <v>0</v>
      </c>
      <c r="AU136" s="475">
        <f>COUNTIF(ParticipationAvril1[[#This Row],[1]:[30]],Code12)</f>
        <v>0</v>
      </c>
      <c r="AV136" s="475">
        <f>COUNTIF(ParticipationAvril1[[#This Row],[1]:[30]],Code13)</f>
        <v>0</v>
      </c>
      <c r="AW136" s="475">
        <f>COUNTIF(ParticipationAvril1[[#This Row],[1]:[30]],Code14)</f>
        <v>0</v>
      </c>
      <c r="AX136" s="475">
        <f>COUNTIF(ParticipationAvril1[[#This Row],[1]:[30]],Code16)</f>
        <v>0</v>
      </c>
      <c r="AY136" s="475">
        <f>COUNTIF(ParticipationAvril1[[#This Row],[1]:[30]],Code15)</f>
        <v>0</v>
      </c>
      <c r="AZ136" s="475">
        <f>COUNTIF(ParticipationAvril1[[#This Row],[1]:[30]],Code17)</f>
        <v>0</v>
      </c>
      <c r="BA136" s="475">
        <f>COUNTIF(ParticipationAvril1[[#This Row],[1]:[30]],Code25)</f>
        <v>0</v>
      </c>
      <c r="BB136" s="475">
        <f>COUNTIF(ParticipationAvril1[[#This Row],[1]:[30]],Code26)</f>
        <v>0</v>
      </c>
      <c r="BC136" s="475">
        <f>COUNTIF(ParticipationAvril1[[#This Row],[1]:[30]],Code27)</f>
        <v>0</v>
      </c>
      <c r="BD136" s="475">
        <f>COUNTIF(ParticipationAvril1[[#This Row],[1]:[30]],Code28)</f>
        <v>0</v>
      </c>
      <c r="BE136" s="475">
        <f>COUNTIF(ParticipationAvril1[[#This Row],[1]:[30]],code30)</f>
        <v>0</v>
      </c>
      <c r="BF136" s="475">
        <f>COUNTIF(ParticipationAvril1[[#This Row],[1]:[30]],Code31)</f>
        <v>0</v>
      </c>
      <c r="BG136" s="475">
        <f>COUNTIF(ParticipationAvril1[[#This Row],[1]:[30]],code21)</f>
        <v>0</v>
      </c>
      <c r="BH136" s="475">
        <f>COUNTIF(ParticipationAvril1[[#This Row],[1]:[30]],Code24)</f>
        <v>0</v>
      </c>
      <c r="BI136" s="475">
        <f>COUNTIF(ParticipationAvril1[[#This Row],[1]:[30]],code18)</f>
        <v>0</v>
      </c>
      <c r="BJ136" s="475">
        <f>COUNTIF(ParticipationAvril1[[#This Row],[1]:[30]],code19)</f>
        <v>0</v>
      </c>
      <c r="BK136" s="475">
        <f>COUNTIF(ParticipationAvril1[[#This Row],[1]:[30]],code20)</f>
        <v>0</v>
      </c>
      <c r="BL136" s="476">
        <f>COUNTIF(ParticipationAvril1[[#This Row],[1]:[30]],code29)</f>
        <v>0</v>
      </c>
      <c r="BM136" s="472"/>
      <c r="BN136" s="472"/>
      <c r="BO136" s="472"/>
      <c r="BP136" s="472"/>
      <c r="BQ136" s="472"/>
      <c r="BR136" s="472"/>
      <c r="BS136" s="472"/>
      <c r="BT136" s="472"/>
      <c r="BU136" s="472"/>
      <c r="BV136" s="472"/>
      <c r="BW136" s="472"/>
      <c r="BX136" s="472"/>
      <c r="BY136" s="472"/>
      <c r="BZ136" s="472"/>
      <c r="CA136" s="472"/>
      <c r="CB136" s="472"/>
      <c r="CC136" s="472"/>
      <c r="CD136" s="472"/>
      <c r="CE136" s="472"/>
      <c r="CF136" s="472"/>
      <c r="CG136" s="472"/>
      <c r="CH136" s="472"/>
      <c r="CI136" s="472"/>
      <c r="CJ136" s="472"/>
      <c r="CK136" s="472"/>
      <c r="CL136" s="472"/>
      <c r="CM136" s="472"/>
      <c r="CN136" s="472"/>
      <c r="CO136" s="472"/>
      <c r="CP136" s="472"/>
      <c r="CQ136" s="472"/>
      <c r="CR136" s="472"/>
      <c r="CS136" s="473"/>
      <c r="CT136" s="473"/>
      <c r="CU136" s="516">
        <f>SUM((AH136*1)+(AI136*1.5)+(AJ136*2)+(AK136*4)+(AP136*5)+(AQ136*6)+(AR136*7)+(AU136*2)+(AX136*3)+(AY136*4)+(AZ136*5)+(BB136*3)+(BA136*2)+(BG136*2)+(BC136*2)+(BD136*2))</f>
        <v>0</v>
      </c>
      <c r="CV136" s="555">
        <f t="shared" si="10"/>
        <v>0</v>
      </c>
      <c r="CW136" s="562">
        <f t="shared" si="11"/>
        <v>0</v>
      </c>
      <c r="CX136" s="475">
        <f t="shared" si="12"/>
        <v>0</v>
      </c>
      <c r="CY136" s="477"/>
      <c r="CZ136" s="469"/>
    </row>
    <row r="137" spans="1:104" ht="15" thickTop="1" thickBot="1">
      <c r="A137" s="510" t="s">
        <v>478</v>
      </c>
      <c r="B137" s="162" t="str">
        <f>IFERROR(VLOOKUP(ParticipationAvril1[[#This Row],[Référence]],ListeÉtudiants1[],18,FALSE),"")</f>
        <v>VERKEST LEA</v>
      </c>
      <c r="F137" s="510" t="s">
        <v>105</v>
      </c>
      <c r="AF137" s="19"/>
      <c r="AG137" s="144"/>
      <c r="AH137" s="439">
        <f>COUNTIF(ParticipationAvril1[[#This Row],[1]:[30]],Code1)</f>
        <v>0</v>
      </c>
      <c r="AI137" s="435">
        <f>COUNTIF(ParticipationAvril1[[#This Row],[1]:[30]],code22)</f>
        <v>0</v>
      </c>
      <c r="AJ137" s="439">
        <f>COUNTIF(ParticipationAvril1[[#This Row],[1]:[30]],Code2)</f>
        <v>1</v>
      </c>
      <c r="AK137" s="439">
        <f>COUNTIF(ParticipationAvril1[[#This Row],[1]:[30]],Code3)</f>
        <v>0</v>
      </c>
      <c r="AL137" s="439">
        <f>COUNTIF(ParticipationAvril1[[#This Row],[1]:[30]],Code4)</f>
        <v>0</v>
      </c>
      <c r="AM137" s="435">
        <f>COUNTIF(ParticipationAvril1[[#This Row],[1]:[30]],Code5)</f>
        <v>0</v>
      </c>
      <c r="AN137" s="435">
        <f>COUNTIF(ParticipationAvril1[[#This Row],[1]:[30]],Code23)</f>
        <v>0</v>
      </c>
      <c r="AO137" s="435">
        <f>COUNTIF(ParticipationAvril1[[#This Row],[1]:[30]],Code6)</f>
        <v>0</v>
      </c>
      <c r="AP137" s="435">
        <f>COUNTIF(ParticipationAvril1[[#This Row],[1]:[30]],Code7)</f>
        <v>0</v>
      </c>
      <c r="AQ137" s="435">
        <f>COUNTIF(ParticipationAvril1[[#This Row],[1]:[30]],Code8)</f>
        <v>0</v>
      </c>
      <c r="AR137" s="435">
        <f>COUNTIF(ParticipationAvril1[[#This Row],[1]:[30]],Code9)</f>
        <v>0</v>
      </c>
      <c r="AS137" s="435">
        <f>COUNTIF(ParticipationAvril1[[#This Row],[1]:[30]],Code10)</f>
        <v>0</v>
      </c>
      <c r="AT137" s="435">
        <f>COUNTIF(ParticipationAvril1[[#This Row],[1]:[30]],Code11)</f>
        <v>0</v>
      </c>
      <c r="AU137" s="435">
        <f>COUNTIF(ParticipationAvril1[[#This Row],[1]:[30]],Code12)</f>
        <v>0</v>
      </c>
      <c r="AV137" s="435">
        <f>COUNTIF(ParticipationAvril1[[#This Row],[1]:[30]],Code13)</f>
        <v>0</v>
      </c>
      <c r="AW137" s="435">
        <f>COUNTIF(ParticipationAvril1[[#This Row],[1]:[30]],Code14)</f>
        <v>0</v>
      </c>
      <c r="AX137" s="435">
        <f>COUNTIF(ParticipationAvril1[[#This Row],[1]:[30]],Code16)</f>
        <v>0</v>
      </c>
      <c r="AY137" s="435">
        <f>COUNTIF(ParticipationAvril1[[#This Row],[1]:[30]],Code15)</f>
        <v>0</v>
      </c>
      <c r="AZ137" s="435">
        <f>COUNTIF(ParticipationAvril1[[#This Row],[1]:[30]],Code17)</f>
        <v>0</v>
      </c>
      <c r="BA137" s="435">
        <f>COUNTIF(ParticipationAvril1[[#This Row],[1]:[30]],Code25)</f>
        <v>0</v>
      </c>
      <c r="BB137" s="435">
        <f>COUNTIF(ParticipationAvril1[[#This Row],[1]:[30]],Code26)</f>
        <v>0</v>
      </c>
      <c r="BC137" s="435">
        <f>COUNTIF(ParticipationAvril1[[#This Row],[1]:[30]],Code27)</f>
        <v>0</v>
      </c>
      <c r="BD137" s="435">
        <f>COUNTIF(ParticipationAvril1[[#This Row],[1]:[30]],Code28)</f>
        <v>0</v>
      </c>
      <c r="BE137" s="435">
        <f>COUNTIF(ParticipationAvril1[[#This Row],[1]:[30]],code30)</f>
        <v>0</v>
      </c>
      <c r="BF137" s="435">
        <f>COUNTIF(ParticipationAvril1[[#This Row],[1]:[30]],Code31)</f>
        <v>0</v>
      </c>
      <c r="BG137" s="435">
        <f>COUNTIF(ParticipationAvril1[[#This Row],[1]:[30]],code21)</f>
        <v>0</v>
      </c>
      <c r="BH137" s="435">
        <f>COUNTIF(ParticipationAvril1[[#This Row],[1]:[30]],Code24)</f>
        <v>0</v>
      </c>
      <c r="BI137" s="435">
        <f>COUNTIF(ParticipationAvril1[[#This Row],[1]:[30]],code18)</f>
        <v>0</v>
      </c>
      <c r="BJ137" s="435">
        <f>COUNTIF(ParticipationAvril1[[#This Row],[1]:[30]],code19)</f>
        <v>0</v>
      </c>
      <c r="BK137" s="435">
        <f>COUNTIF(ParticipationAvril1[[#This Row],[1]:[30]],code20)</f>
        <v>0</v>
      </c>
      <c r="BL137" s="436">
        <f>COUNTIF(ParticipationAvril1[[#This Row],[1]:[30]],code29)</f>
        <v>0</v>
      </c>
      <c r="BM137" s="297"/>
      <c r="BN137" s="297"/>
      <c r="BO137" s="297"/>
      <c r="BP137" s="297"/>
      <c r="BQ137" s="297"/>
      <c r="BR137" s="297"/>
      <c r="BS137" s="297"/>
      <c r="BT137" s="297"/>
      <c r="BU137" s="297"/>
      <c r="BV137" s="297"/>
      <c r="BW137" s="297"/>
      <c r="BX137" s="297"/>
      <c r="BY137" s="297"/>
      <c r="BZ137" s="297"/>
      <c r="CA137" s="297"/>
      <c r="CB137" s="297"/>
      <c r="CC137" s="297"/>
      <c r="CD137" s="297"/>
      <c r="CE137" s="297"/>
      <c r="CF137" s="297"/>
      <c r="CG137" s="297">
        <v>1</v>
      </c>
      <c r="CH137" s="297"/>
      <c r="CI137" s="297"/>
      <c r="CJ137" s="297"/>
      <c r="CK137" s="297"/>
      <c r="CL137" s="297"/>
      <c r="CM137" s="297"/>
      <c r="CN137" s="297"/>
      <c r="CO137" s="297"/>
      <c r="CP137" s="297"/>
      <c r="CQ137" s="297"/>
      <c r="CR137" s="297"/>
      <c r="CS137" s="297"/>
      <c r="CT137" s="297"/>
      <c r="CU137" s="300"/>
      <c r="CV137" s="485">
        <f t="shared" si="10"/>
        <v>2</v>
      </c>
      <c r="CW137" s="499">
        <f t="shared" si="11"/>
        <v>0</v>
      </c>
      <c r="CX137" s="435">
        <f t="shared" si="12"/>
        <v>0</v>
      </c>
      <c r="CY137" s="438"/>
    </row>
    <row r="138" spans="1:104" ht="15" thickTop="1" thickBot="1">
      <c r="A138" s="534" t="s">
        <v>479</v>
      </c>
      <c r="B138" s="162" t="str">
        <f>IFERROR(VLOOKUP(ParticipationAvril1[[#This Row],[Référence]],ListeÉtudiants1[],18,FALSE),"")</f>
        <v>VIRIN AMANDINE</v>
      </c>
      <c r="F138" s="510"/>
      <c r="AF138" s="19"/>
      <c r="AG138" s="478"/>
      <c r="AH138" s="439">
        <f>COUNTIF(ParticipationAvril1[[#This Row],[1]:[30]],Code1)</f>
        <v>0</v>
      </c>
      <c r="AI138" s="474">
        <f>COUNTIF(ParticipationAvril1[[#This Row],[1]:[30]],code22)</f>
        <v>0</v>
      </c>
      <c r="AJ138" s="439">
        <f>COUNTIF(ParticipationAvril1[[#This Row],[1]:[30]],Code2)</f>
        <v>0</v>
      </c>
      <c r="AK138" s="439">
        <f>COUNTIF(ParticipationAvril1[[#This Row],[1]:[30]],Code3)</f>
        <v>0</v>
      </c>
      <c r="AL138" s="439">
        <f>COUNTIF(ParticipationAvril1[[#This Row],[1]:[30]],Code4)</f>
        <v>0</v>
      </c>
      <c r="AM138" s="474">
        <f>COUNTIF(ParticipationAvril1[[#This Row],[1]:[30]],Code5)</f>
        <v>0</v>
      </c>
      <c r="AN138" s="474">
        <f>COUNTIF(ParticipationAvril1[[#This Row],[1]:[30]],Code23)</f>
        <v>0</v>
      </c>
      <c r="AO138" s="474">
        <f>COUNTIF(ParticipationAvril1[[#This Row],[1]:[30]],Code6)</f>
        <v>0</v>
      </c>
      <c r="AP138" s="474">
        <f>COUNTIF(ParticipationAvril1[[#This Row],[1]:[30]],Code7)</f>
        <v>0</v>
      </c>
      <c r="AQ138" s="474">
        <f>COUNTIF(ParticipationAvril1[[#This Row],[1]:[30]],Code8)</f>
        <v>0</v>
      </c>
      <c r="AR138" s="474">
        <f>COUNTIF(ParticipationAvril1[[#This Row],[1]:[30]],Code9)</f>
        <v>0</v>
      </c>
      <c r="AS138" s="474">
        <f>COUNTIF(ParticipationAvril1[[#This Row],[1]:[30]],Code10)</f>
        <v>0</v>
      </c>
      <c r="AT138" s="474">
        <f>COUNTIF(ParticipationAvril1[[#This Row],[1]:[30]],Code11)</f>
        <v>0</v>
      </c>
      <c r="AU138" s="474">
        <f>COUNTIF(ParticipationAvril1[[#This Row],[1]:[30]],Code12)</f>
        <v>0</v>
      </c>
      <c r="AV138" s="474">
        <f>COUNTIF(ParticipationAvril1[[#This Row],[1]:[30]],Code13)</f>
        <v>0</v>
      </c>
      <c r="AW138" s="474">
        <f>COUNTIF(ParticipationAvril1[[#This Row],[1]:[30]],Code14)</f>
        <v>0</v>
      </c>
      <c r="AX138" s="474">
        <f>COUNTIF(ParticipationAvril1[[#This Row],[1]:[30]],Code16)</f>
        <v>0</v>
      </c>
      <c r="AY138" s="474">
        <f>COUNTIF(ParticipationAvril1[[#This Row],[1]:[30]],Code15)</f>
        <v>0</v>
      </c>
      <c r="AZ138" s="474">
        <f>COUNTIF(ParticipationAvril1[[#This Row],[1]:[30]],Code17)</f>
        <v>0</v>
      </c>
      <c r="BA138" s="474">
        <f>COUNTIF(ParticipationAvril1[[#This Row],[1]:[30]],Code25)</f>
        <v>0</v>
      </c>
      <c r="BB138" s="474">
        <f>COUNTIF(ParticipationAvril1[[#This Row],[1]:[30]],Code26)</f>
        <v>0</v>
      </c>
      <c r="BC138" s="474">
        <f>COUNTIF(ParticipationAvril1[[#This Row],[1]:[30]],Code27)</f>
        <v>0</v>
      </c>
      <c r="BD138" s="474">
        <f>COUNTIF(ParticipationAvril1[[#This Row],[1]:[30]],Code28)</f>
        <v>0</v>
      </c>
      <c r="BE138" s="474">
        <f>COUNTIF(ParticipationAvril1[[#This Row],[1]:[30]],code30)</f>
        <v>0</v>
      </c>
      <c r="BF138" s="474">
        <f>COUNTIF(ParticipationAvril1[[#This Row],[1]:[30]],Code31)</f>
        <v>0</v>
      </c>
      <c r="BG138" s="474">
        <f>COUNTIF(ParticipationAvril1[[#This Row],[1]:[30]],code21)</f>
        <v>0</v>
      </c>
      <c r="BH138" s="474">
        <f>COUNTIF(ParticipationAvril1[[#This Row],[1]:[30]],Code24)</f>
        <v>0</v>
      </c>
      <c r="BI138" s="474">
        <f>COUNTIF(ParticipationAvril1[[#This Row],[1]:[30]],code18)</f>
        <v>0</v>
      </c>
      <c r="BJ138" s="474">
        <f>COUNTIF(ParticipationAvril1[[#This Row],[1]:[30]],code19)</f>
        <v>0</v>
      </c>
      <c r="BK138" s="474">
        <f>COUNTIF(ParticipationAvril1[[#This Row],[1]:[30]],code20)</f>
        <v>0</v>
      </c>
      <c r="BL138" s="476">
        <f>COUNTIF(ParticipationAvril1[[#This Row],[1]:[30]],code29)</f>
        <v>0</v>
      </c>
      <c r="BM138" s="472"/>
      <c r="BN138" s="472"/>
      <c r="BO138" s="472"/>
      <c r="BP138" s="472"/>
      <c r="BQ138" s="472"/>
      <c r="BR138" s="472"/>
      <c r="BS138" s="472"/>
      <c r="BT138" s="472"/>
      <c r="BU138" s="472"/>
      <c r="BV138" s="472"/>
      <c r="BW138" s="472"/>
      <c r="BX138" s="472"/>
      <c r="BY138" s="472"/>
      <c r="BZ138" s="472"/>
      <c r="CA138" s="472"/>
      <c r="CB138" s="472"/>
      <c r="CC138" s="472"/>
      <c r="CD138" s="472"/>
      <c r="CE138" s="472"/>
      <c r="CF138" s="472"/>
      <c r="CG138" s="472"/>
      <c r="CH138" s="472"/>
      <c r="CI138" s="472"/>
      <c r="CJ138" s="472"/>
      <c r="CK138" s="472"/>
      <c r="CL138" s="472"/>
      <c r="CM138" s="472"/>
      <c r="CN138" s="472"/>
      <c r="CO138" s="472"/>
      <c r="CP138" s="472"/>
      <c r="CQ138" s="472"/>
      <c r="CR138" s="472"/>
      <c r="CS138" s="472"/>
      <c r="CT138" s="472"/>
      <c r="CU138" s="516">
        <f>SUM((AH138*1)+(AI138*1.5)+(AJ138*2)+(AK138*4)+(AP138*5)+(AQ138*6)+(AR138*7)+(AU138*2)+(AX138*3)+(AY138*4)+(AZ138*5)+(BB138*3)+(BA138*2)+(BG138*2)+(BC138*2)+(BD138*2))</f>
        <v>0</v>
      </c>
      <c r="CV138" s="555">
        <f t="shared" si="10"/>
        <v>0</v>
      </c>
      <c r="CW138" s="562">
        <f t="shared" si="11"/>
        <v>0</v>
      </c>
      <c r="CX138" s="474">
        <f t="shared" si="12"/>
        <v>0</v>
      </c>
      <c r="CY138" s="477"/>
    </row>
    <row r="139" spans="1:104" ht="15" thickTop="1" thickBot="1">
      <c r="A139" s="567" t="s">
        <v>578</v>
      </c>
      <c r="B139" s="162" t="str">
        <f>IFERROR(VLOOKUP(ParticipationAvril1[[#This Row],[Référence]],ListeÉtudiants1[],18,FALSE),"")</f>
        <v>ASSOUMANI ASMINA</v>
      </c>
      <c r="C139" s="471"/>
      <c r="D139" s="471"/>
      <c r="E139" s="471"/>
      <c r="F139" s="471"/>
      <c r="G139" s="471"/>
      <c r="H139" s="471"/>
      <c r="I139" s="471"/>
      <c r="J139" s="471"/>
      <c r="K139" s="471"/>
      <c r="L139" s="471" t="s">
        <v>108</v>
      </c>
      <c r="M139" s="471"/>
      <c r="N139" s="471"/>
      <c r="O139" s="471"/>
      <c r="P139" s="471"/>
      <c r="Q139" s="471"/>
      <c r="R139" s="471"/>
      <c r="S139" s="471"/>
      <c r="T139" s="471"/>
      <c r="U139" s="471"/>
      <c r="V139" s="471"/>
      <c r="W139" s="471"/>
      <c r="X139" s="471"/>
      <c r="Y139" s="471"/>
      <c r="Z139" s="471"/>
      <c r="AA139" s="471"/>
      <c r="AB139" s="471"/>
      <c r="AC139" s="471"/>
      <c r="AD139" s="471"/>
      <c r="AE139" s="471"/>
      <c r="AF139" s="483"/>
      <c r="AG139" s="484"/>
      <c r="AH139" s="471">
        <f>COUNTIF(ParticipationAvril1[[#This Row],[1]:[30]],Code1)</f>
        <v>0</v>
      </c>
      <c r="AI139" s="475">
        <f>COUNTIF(ParticipationAvril1[[#This Row],[1]:[30]],code22)</f>
        <v>0</v>
      </c>
      <c r="AJ139" s="471">
        <f>COUNTIF(ParticipationAvril1[[#This Row],[1]:[30]],Code2)</f>
        <v>0</v>
      </c>
      <c r="AK139" s="471">
        <f>COUNTIF(ParticipationAvril1[[#This Row],[1]:[30]],Code3)</f>
        <v>0</v>
      </c>
      <c r="AL139" s="471">
        <f>COUNTIF(ParticipationAvril1[[#This Row],[1]:[30]],Code4)</f>
        <v>0</v>
      </c>
      <c r="AM139" s="475">
        <f>COUNTIF(ParticipationAvril1[[#This Row],[1]:[30]],Code5)</f>
        <v>0</v>
      </c>
      <c r="AN139" s="475">
        <f>COUNTIF(ParticipationAvril1[[#This Row],[1]:[30]],Code23)</f>
        <v>0</v>
      </c>
      <c r="AO139" s="475">
        <f>COUNTIF(ParticipationAvril1[[#This Row],[1]:[30]],Code6)</f>
        <v>1</v>
      </c>
      <c r="AP139" s="475">
        <f>COUNTIF(ParticipationAvril1[[#This Row],[1]:[30]],Code7)</f>
        <v>0</v>
      </c>
      <c r="AQ139" s="475">
        <f>COUNTIF(ParticipationAvril1[[#This Row],[1]:[30]],Code8)</f>
        <v>0</v>
      </c>
      <c r="AR139" s="475">
        <f>COUNTIF(ParticipationAvril1[[#This Row],[1]:[30]],Code9)</f>
        <v>0</v>
      </c>
      <c r="AS139" s="475">
        <f>COUNTIF(ParticipationAvril1[[#This Row],[1]:[30]],Code10)</f>
        <v>0</v>
      </c>
      <c r="AT139" s="475">
        <f>COUNTIF(ParticipationAvril1[[#This Row],[1]:[30]],Code11)</f>
        <v>0</v>
      </c>
      <c r="AU139" s="475">
        <f>COUNTIF(ParticipationAvril1[[#This Row],[1]:[30]],Code12)</f>
        <v>0</v>
      </c>
      <c r="AV139" s="475">
        <f>COUNTIF(ParticipationAvril1[[#This Row],[1]:[30]],Code13)</f>
        <v>0</v>
      </c>
      <c r="AW139" s="475">
        <f>COUNTIF(ParticipationAvril1[[#This Row],[1]:[30]],Code14)</f>
        <v>0</v>
      </c>
      <c r="AX139" s="475">
        <f>COUNTIF(ParticipationAvril1[[#This Row],[1]:[30]],Code16)</f>
        <v>0</v>
      </c>
      <c r="AY139" s="475">
        <f>COUNTIF(ParticipationAvril1[[#This Row],[1]:[30]],Code15)</f>
        <v>0</v>
      </c>
      <c r="AZ139" s="475">
        <f>COUNTIF(ParticipationAvril1[[#This Row],[1]:[30]],Code17)</f>
        <v>0</v>
      </c>
      <c r="BA139" s="475">
        <f>COUNTIF(ParticipationAvril1[[#This Row],[1]:[30]],Code25)</f>
        <v>0</v>
      </c>
      <c r="BB139" s="475">
        <f>COUNTIF(ParticipationAvril1[[#This Row],[1]:[30]],Code26)</f>
        <v>0</v>
      </c>
      <c r="BC139" s="475">
        <f>COUNTIF(ParticipationAvril1[[#This Row],[1]:[30]],Code27)</f>
        <v>0</v>
      </c>
      <c r="BD139" s="475">
        <f>COUNTIF(ParticipationAvril1[[#This Row],[1]:[30]],Code28)</f>
        <v>0</v>
      </c>
      <c r="BE139" s="475">
        <f>COUNTIF(ParticipationAvril1[[#This Row],[1]:[30]],code30)</f>
        <v>0</v>
      </c>
      <c r="BF139" s="475">
        <f>COUNTIF(ParticipationAvril1[[#This Row],[1]:[30]],Code31)</f>
        <v>0</v>
      </c>
      <c r="BG139" s="475">
        <f>COUNTIF(ParticipationAvril1[[#This Row],[1]:[30]],code21)</f>
        <v>0</v>
      </c>
      <c r="BH139" s="475">
        <f>COUNTIF(ParticipationAvril1[[#This Row],[1]:[30]],Code24)</f>
        <v>0</v>
      </c>
      <c r="BI139" s="475">
        <f>COUNTIF(ParticipationAvril1[[#This Row],[1]:[30]],code18)</f>
        <v>0</v>
      </c>
      <c r="BJ139" s="475">
        <f>COUNTIF(ParticipationAvril1[[#This Row],[1]:[30]],code19)</f>
        <v>0</v>
      </c>
      <c r="BK139" s="475">
        <f>COUNTIF(ParticipationAvril1[[#This Row],[1]:[30]],code20)</f>
        <v>0</v>
      </c>
      <c r="BL139" s="476">
        <f>COUNTIF(ParticipationAvril1[[#This Row],[1]:[30]],code29)</f>
        <v>0</v>
      </c>
      <c r="BM139" s="472"/>
      <c r="BN139" s="472">
        <v>1</v>
      </c>
      <c r="BO139" s="472"/>
      <c r="BP139" s="472"/>
      <c r="BQ139" s="472"/>
      <c r="BR139" s="472"/>
      <c r="BS139" s="472"/>
      <c r="BT139" s="472"/>
      <c r="BU139" s="472"/>
      <c r="BV139" s="472"/>
      <c r="BW139" s="472"/>
      <c r="BX139" s="472"/>
      <c r="BY139" s="472"/>
      <c r="BZ139" s="472"/>
      <c r="CA139" s="472"/>
      <c r="CB139" s="472"/>
      <c r="CC139" s="472"/>
      <c r="CD139" s="472"/>
      <c r="CE139" s="472"/>
      <c r="CF139" s="472"/>
      <c r="CG139" s="472"/>
      <c r="CH139" s="472"/>
      <c r="CI139" s="472"/>
      <c r="CJ139" s="472"/>
      <c r="CK139" s="472"/>
      <c r="CL139" s="472"/>
      <c r="CM139" s="472"/>
      <c r="CN139" s="472"/>
      <c r="CO139" s="472"/>
      <c r="CP139" s="472"/>
      <c r="CQ139" s="472"/>
      <c r="CR139" s="472"/>
      <c r="CS139" s="473"/>
      <c r="CT139" s="473"/>
      <c r="CU139" s="561"/>
      <c r="CV139" s="485">
        <f t="shared" ref="CV139:CV155" si="13">SUM((AH139*1)+(AI139*1.5)+(AJ139*2)+(AK139*3)+(AP139*5)+(AQ139*6)+(AR139*7)+(AX139*3)+(AY139*4)+(BB139*5)+(BA139*3)+(BD139*2)+(BH139*2)+(AZ139*2)+(BG139*2)+(BE139*3))</f>
        <v>0</v>
      </c>
      <c r="CW139" s="563">
        <f t="shared" ref="CW139:CW155" si="14">SUM((AN139*1)+(AM139*2)+(AO139*3)+(AP139*4)+(AT139*5)+(AU139*6)+(AV139*7)+(AW139*7)+(AX139*4)+(AY139*3)+(BB139*2)+(BD139*4)+(BA139*1)+(BH139*2)+(AZ139*5)+(BG139*1)+(BE139*2))</f>
        <v>3</v>
      </c>
      <c r="CX139" s="475">
        <f t="shared" ref="CX139:CX155" si="15">BH139*1+BL139*3</f>
        <v>0</v>
      </c>
      <c r="CY139" s="477"/>
      <c r="CZ139" s="469"/>
    </row>
    <row r="140" spans="1:104" ht="15" thickTop="1" thickBot="1">
      <c r="A140" s="567" t="s">
        <v>579</v>
      </c>
      <c r="B140" s="162" t="str">
        <f>IFERROR(VLOOKUP(ParticipationAvril1[[#This Row],[Référence]],ListeÉtudiants1[],18,FALSE),"")</f>
        <v>ATSE KIMBERLEY</v>
      </c>
      <c r="K140" s="510" t="s">
        <v>108</v>
      </c>
      <c r="AF140" s="558"/>
      <c r="AG140" s="340"/>
      <c r="AH140" s="439">
        <f>COUNTIF(ParticipationAvril1[[#This Row],[1]:[30]],Code1)</f>
        <v>0</v>
      </c>
      <c r="AI140" s="435">
        <f>COUNTIF(ParticipationAvril1[[#This Row],[1]:[30]],code22)</f>
        <v>0</v>
      </c>
      <c r="AJ140" s="439">
        <f>COUNTIF(ParticipationAvril1[[#This Row],[1]:[30]],Code2)</f>
        <v>0</v>
      </c>
      <c r="AK140" s="439">
        <f>COUNTIF(ParticipationAvril1[[#This Row],[1]:[30]],Code3)</f>
        <v>0</v>
      </c>
      <c r="AL140" s="439">
        <f>COUNTIF(ParticipationAvril1[[#This Row],[1]:[30]],Code4)</f>
        <v>0</v>
      </c>
      <c r="AM140" s="435">
        <f>COUNTIF(ParticipationAvril1[[#This Row],[1]:[30]],Code5)</f>
        <v>0</v>
      </c>
      <c r="AN140" s="435">
        <f>COUNTIF(ParticipationAvril1[[#This Row],[1]:[30]],Code23)</f>
        <v>0</v>
      </c>
      <c r="AO140" s="435">
        <f>COUNTIF(ParticipationAvril1[[#This Row],[1]:[30]],Code6)</f>
        <v>1</v>
      </c>
      <c r="AP140" s="435">
        <f>COUNTIF(ParticipationAvril1[[#This Row],[1]:[30]],Code7)</f>
        <v>0</v>
      </c>
      <c r="AQ140" s="435">
        <f>COUNTIF(ParticipationAvril1[[#This Row],[1]:[30]],Code8)</f>
        <v>0</v>
      </c>
      <c r="AR140" s="435">
        <f>COUNTIF(ParticipationAvril1[[#This Row],[1]:[30]],Code9)</f>
        <v>0</v>
      </c>
      <c r="AS140" s="435">
        <f>COUNTIF(ParticipationAvril1[[#This Row],[1]:[30]],Code10)</f>
        <v>0</v>
      </c>
      <c r="AT140" s="435">
        <f>COUNTIF(ParticipationAvril1[[#This Row],[1]:[30]],Code11)</f>
        <v>0</v>
      </c>
      <c r="AU140" s="435">
        <f>COUNTIF(ParticipationAvril1[[#This Row],[1]:[30]],Code12)</f>
        <v>0</v>
      </c>
      <c r="AV140" s="435">
        <f>COUNTIF(ParticipationAvril1[[#This Row],[1]:[30]],Code13)</f>
        <v>0</v>
      </c>
      <c r="AW140" s="435">
        <f>COUNTIF(ParticipationAvril1[[#This Row],[1]:[30]],Code14)</f>
        <v>0</v>
      </c>
      <c r="AX140" s="435">
        <f>COUNTIF(ParticipationAvril1[[#This Row],[1]:[30]],Code16)</f>
        <v>0</v>
      </c>
      <c r="AY140" s="435">
        <f>COUNTIF(ParticipationAvril1[[#This Row],[1]:[30]],Code15)</f>
        <v>0</v>
      </c>
      <c r="AZ140" s="435">
        <f>COUNTIF(ParticipationAvril1[[#This Row],[1]:[30]],Code17)</f>
        <v>0</v>
      </c>
      <c r="BA140" s="435">
        <f>COUNTIF(ParticipationAvril1[[#This Row],[1]:[30]],Code25)</f>
        <v>0</v>
      </c>
      <c r="BB140" s="435">
        <f>COUNTIF(ParticipationAvril1[[#This Row],[1]:[30]],Code26)</f>
        <v>0</v>
      </c>
      <c r="BC140" s="435">
        <f>COUNTIF(ParticipationAvril1[[#This Row],[1]:[30]],Code27)</f>
        <v>0</v>
      </c>
      <c r="BD140" s="435">
        <f>COUNTIF(ParticipationAvril1[[#This Row],[1]:[30]],Code28)</f>
        <v>0</v>
      </c>
      <c r="BE140" s="435">
        <f>COUNTIF(ParticipationAvril1[[#This Row],[1]:[30]],code30)</f>
        <v>0</v>
      </c>
      <c r="BF140" s="435">
        <f>COUNTIF(ParticipationAvril1[[#This Row],[1]:[30]],Code31)</f>
        <v>0</v>
      </c>
      <c r="BG140" s="435">
        <f>COUNTIF(ParticipationAvril1[[#This Row],[1]:[30]],code21)</f>
        <v>0</v>
      </c>
      <c r="BH140" s="435">
        <f>COUNTIF(ParticipationAvril1[[#This Row],[1]:[30]],Code24)</f>
        <v>0</v>
      </c>
      <c r="BI140" s="435">
        <f>COUNTIF(ParticipationAvril1[[#This Row],[1]:[30]],code18)</f>
        <v>0</v>
      </c>
      <c r="BJ140" s="435">
        <f>COUNTIF(ParticipationAvril1[[#This Row],[1]:[30]],code19)</f>
        <v>0</v>
      </c>
      <c r="BK140" s="435">
        <f>COUNTIF(ParticipationAvril1[[#This Row],[1]:[30]],code20)</f>
        <v>0</v>
      </c>
      <c r="BL140" s="436">
        <f>COUNTIF(ParticipationAvril1[[#This Row],[1]:[30]],code29)</f>
        <v>0</v>
      </c>
      <c r="BM140" s="297"/>
      <c r="BN140" s="297"/>
      <c r="BO140" s="297"/>
      <c r="BP140" s="297"/>
      <c r="BQ140" s="297"/>
      <c r="BR140" s="297"/>
      <c r="BS140" s="297"/>
      <c r="BT140" s="297"/>
      <c r="BU140" s="297"/>
      <c r="BV140" s="297"/>
      <c r="BW140" s="297">
        <v>1</v>
      </c>
      <c r="BX140" s="297"/>
      <c r="BY140" s="297"/>
      <c r="BZ140" s="297"/>
      <c r="CA140" s="297"/>
      <c r="CB140" s="297"/>
      <c r="CC140" s="297"/>
      <c r="CD140" s="297"/>
      <c r="CE140" s="297"/>
      <c r="CF140" s="297"/>
      <c r="CG140" s="297"/>
      <c r="CH140" s="297"/>
      <c r="CI140" s="297"/>
      <c r="CJ140" s="297"/>
      <c r="CK140" s="297"/>
      <c r="CL140" s="297"/>
      <c r="CM140" s="297"/>
      <c r="CN140" s="297"/>
      <c r="CO140" s="297"/>
      <c r="CP140" s="297"/>
      <c r="CQ140" s="297"/>
      <c r="CR140" s="297"/>
      <c r="CS140" s="297"/>
      <c r="CT140" s="297"/>
      <c r="CU140" s="561"/>
      <c r="CV140" s="485">
        <f t="shared" si="13"/>
        <v>0</v>
      </c>
      <c r="CW140" s="563">
        <f t="shared" si="14"/>
        <v>3</v>
      </c>
      <c r="CX140" s="435">
        <f t="shared" si="15"/>
        <v>0</v>
      </c>
      <c r="CY140" s="438"/>
    </row>
    <row r="141" spans="1:104" ht="15" thickTop="1" thickBot="1">
      <c r="A141" s="567" t="s">
        <v>582</v>
      </c>
      <c r="B141" s="162" t="str">
        <f>IFERROR(VLOOKUP(ParticipationAvril1[[#This Row],[Référence]],ListeÉtudiants1[],18,FALSE),"")</f>
        <v>BOLINGO  Malise</v>
      </c>
      <c r="C141" s="202"/>
      <c r="D141" s="202"/>
      <c r="E141" s="202"/>
      <c r="F141" s="202"/>
      <c r="G141" s="202"/>
      <c r="H141" s="202"/>
      <c r="I141" s="202"/>
      <c r="J141" s="202"/>
      <c r="K141" s="202" t="s">
        <v>108</v>
      </c>
      <c r="L141" s="202"/>
      <c r="M141" s="202"/>
      <c r="N141" s="202"/>
      <c r="O141" s="202"/>
      <c r="P141" s="202"/>
      <c r="Q141" s="202"/>
      <c r="R141" s="202"/>
      <c r="S141" s="202"/>
      <c r="T141" s="202"/>
      <c r="U141" s="202"/>
      <c r="V141" s="202"/>
      <c r="W141" s="202"/>
      <c r="X141" s="202"/>
      <c r="Y141" s="202"/>
      <c r="Z141" s="202"/>
      <c r="AA141" s="202"/>
      <c r="AB141" s="202"/>
      <c r="AC141" s="202"/>
      <c r="AD141" s="202"/>
      <c r="AE141" s="202"/>
      <c r="AF141" s="558"/>
      <c r="AG141" s="340"/>
      <c r="AH141" s="202">
        <f>COUNTIF(ParticipationAvril1[[#This Row],[1]:[30]],Code1)</f>
        <v>0</v>
      </c>
      <c r="AI141" s="6">
        <f>COUNTIF(ParticipationAvril1[[#This Row],[1]:[30]],code22)</f>
        <v>0</v>
      </c>
      <c r="AJ141" s="202">
        <f>COUNTIF(ParticipationAvril1[[#This Row],[1]:[30]],Code2)</f>
        <v>0</v>
      </c>
      <c r="AK141" s="202">
        <f>COUNTIF(ParticipationAvril1[[#This Row],[1]:[30]],Code3)</f>
        <v>0</v>
      </c>
      <c r="AL141" s="202">
        <f>COUNTIF(ParticipationAvril1[[#This Row],[1]:[30]],Code4)</f>
        <v>0</v>
      </c>
      <c r="AM141" s="6">
        <f>COUNTIF(ParticipationAvril1[[#This Row],[1]:[30]],Code5)</f>
        <v>0</v>
      </c>
      <c r="AN141" s="6">
        <f>COUNTIF(ParticipationAvril1[[#This Row],[1]:[30]],Code23)</f>
        <v>0</v>
      </c>
      <c r="AO141" s="6">
        <f>COUNTIF(ParticipationAvril1[[#This Row],[1]:[30]],Code6)</f>
        <v>1</v>
      </c>
      <c r="AP141" s="6">
        <f>COUNTIF(ParticipationAvril1[[#This Row],[1]:[30]],Code7)</f>
        <v>0</v>
      </c>
      <c r="AQ141" s="6">
        <f>COUNTIF(ParticipationAvril1[[#This Row],[1]:[30]],Code8)</f>
        <v>0</v>
      </c>
      <c r="AR141" s="6">
        <f>COUNTIF(ParticipationAvril1[[#This Row],[1]:[30]],Code9)</f>
        <v>0</v>
      </c>
      <c r="AS141" s="6">
        <f>COUNTIF(ParticipationAvril1[[#This Row],[1]:[30]],Code10)</f>
        <v>0</v>
      </c>
      <c r="AT141" s="6">
        <f>COUNTIF(ParticipationAvril1[[#This Row],[1]:[30]],Code11)</f>
        <v>0</v>
      </c>
      <c r="AU141" s="6">
        <f>COUNTIF(ParticipationAvril1[[#This Row],[1]:[30]],Code12)</f>
        <v>0</v>
      </c>
      <c r="AV141" s="6">
        <f>COUNTIF(ParticipationAvril1[[#This Row],[1]:[30]],Code13)</f>
        <v>0</v>
      </c>
      <c r="AW141" s="6">
        <f>COUNTIF(ParticipationAvril1[[#This Row],[1]:[30]],Code14)</f>
        <v>0</v>
      </c>
      <c r="AX141" s="6">
        <f>COUNTIF(ParticipationAvril1[[#This Row],[1]:[30]],Code16)</f>
        <v>0</v>
      </c>
      <c r="AY141" s="6">
        <f>COUNTIF(ParticipationAvril1[[#This Row],[1]:[30]],Code15)</f>
        <v>0</v>
      </c>
      <c r="AZ141" s="6">
        <f>COUNTIF(ParticipationAvril1[[#This Row],[1]:[30]],Code17)</f>
        <v>0</v>
      </c>
      <c r="BA141" s="6">
        <f>COUNTIF(ParticipationAvril1[[#This Row],[1]:[30]],Code25)</f>
        <v>0</v>
      </c>
      <c r="BB141" s="6">
        <f>COUNTIF(ParticipationAvril1[[#This Row],[1]:[30]],Code26)</f>
        <v>0</v>
      </c>
      <c r="BC141" s="6">
        <f>COUNTIF(ParticipationAvril1[[#This Row],[1]:[30]],Code27)</f>
        <v>0</v>
      </c>
      <c r="BD141" s="6">
        <f>COUNTIF(ParticipationAvril1[[#This Row],[1]:[30]],Code28)</f>
        <v>0</v>
      </c>
      <c r="BE141" s="6">
        <f>COUNTIF(ParticipationAvril1[[#This Row],[1]:[30]],code30)</f>
        <v>0</v>
      </c>
      <c r="BF141" s="6">
        <f>COUNTIF(ParticipationAvril1[[#This Row],[1]:[30]],Code31)</f>
        <v>0</v>
      </c>
      <c r="BG141" s="6">
        <f>COUNTIF(ParticipationAvril1[[#This Row],[1]:[30]],code21)</f>
        <v>0</v>
      </c>
      <c r="BH141" s="6">
        <f>COUNTIF(ParticipationAvril1[[#This Row],[1]:[30]],Code24)</f>
        <v>0</v>
      </c>
      <c r="BI141" s="6">
        <f>COUNTIF(ParticipationAvril1[[#This Row],[1]:[30]],code18)</f>
        <v>0</v>
      </c>
      <c r="BJ141" s="6">
        <f>COUNTIF(ParticipationAvril1[[#This Row],[1]:[30]],code19)</f>
        <v>0</v>
      </c>
      <c r="BK141" s="6">
        <f>COUNTIF(ParticipationAvril1[[#This Row],[1]:[30]],code20)</f>
        <v>0</v>
      </c>
      <c r="BL141" s="182">
        <f>COUNTIF(ParticipationAvril1[[#This Row],[1]:[30]],code29)</f>
        <v>0</v>
      </c>
      <c r="BM141" s="139"/>
      <c r="BN141" s="139"/>
      <c r="BO141" s="139"/>
      <c r="BP141" s="139"/>
      <c r="BQ141" s="139"/>
      <c r="BR141" s="139"/>
      <c r="BS141" s="139"/>
      <c r="BT141" s="139"/>
      <c r="BU141" s="139"/>
      <c r="BV141" s="139"/>
      <c r="BW141" s="139">
        <v>1</v>
      </c>
      <c r="BX141" s="139"/>
      <c r="BY141" s="139"/>
      <c r="BZ141" s="139"/>
      <c r="CA141" s="139"/>
      <c r="CB141" s="139"/>
      <c r="CC141" s="139"/>
      <c r="CD141" s="139"/>
      <c r="CE141" s="139"/>
      <c r="CF141" s="139"/>
      <c r="CG141" s="139"/>
      <c r="CH141" s="139"/>
      <c r="CI141" s="139"/>
      <c r="CJ141" s="139"/>
      <c r="CK141" s="139"/>
      <c r="CL141" s="139"/>
      <c r="CM141" s="139"/>
      <c r="CN141" s="139"/>
      <c r="CO141" s="139"/>
      <c r="CP141" s="139"/>
      <c r="CQ141" s="139"/>
      <c r="CR141" s="139"/>
      <c r="CS141" s="30"/>
      <c r="CT141" s="30"/>
      <c r="CU141" s="561">
        <f>SUM((AH141*1)+(AI141*1.5)+(AJ141*2)+(AK141*4)+(AP141*5)+(AQ141*6)+(AR141*7)+(AU141*2)+(AX141*3)+(AY141*4)+(AZ141*5)+(BB141*3)+(BA141*2)+(BG141*2)+(BC141*2)+(BD141*2))</f>
        <v>0</v>
      </c>
      <c r="CV141" s="485">
        <f t="shared" si="13"/>
        <v>0</v>
      </c>
      <c r="CW141" s="563">
        <f t="shared" si="14"/>
        <v>3</v>
      </c>
      <c r="CX141" s="6">
        <f t="shared" si="15"/>
        <v>0</v>
      </c>
      <c r="CY141" s="179"/>
      <c r="CZ141" s="200"/>
    </row>
    <row r="142" spans="1:104" ht="15" thickTop="1" thickBot="1">
      <c r="A142" s="567" t="s">
        <v>584</v>
      </c>
      <c r="B142" s="162" t="str">
        <f>IFERROR(VLOOKUP(ParticipationAvril1[[#This Row],[Référence]],ListeÉtudiants1[],18,FALSE),"")</f>
        <v>CAPAROS Maia</v>
      </c>
      <c r="C142" s="19"/>
      <c r="D142" s="19"/>
      <c r="E142" s="19"/>
      <c r="F142" s="19" t="s">
        <v>108</v>
      </c>
      <c r="G142" s="19"/>
      <c r="H142" s="19" t="s">
        <v>35</v>
      </c>
      <c r="I142" s="19"/>
      <c r="J142" s="19"/>
      <c r="K142" s="19" t="s">
        <v>108</v>
      </c>
      <c r="L142" s="19" t="s">
        <v>487</v>
      </c>
      <c r="M142" s="19"/>
      <c r="N142" s="19"/>
      <c r="O142" s="19"/>
      <c r="P142" s="19"/>
      <c r="Q142" s="19"/>
      <c r="R142" s="19"/>
      <c r="S142" s="19"/>
      <c r="T142" s="19"/>
      <c r="U142" s="19"/>
      <c r="V142" s="19"/>
      <c r="W142" s="19"/>
      <c r="X142" s="19"/>
      <c r="Y142" s="19"/>
      <c r="Z142" s="19"/>
      <c r="AA142" s="19"/>
      <c r="AB142" s="19"/>
      <c r="AC142" s="19"/>
      <c r="AD142" s="19"/>
      <c r="AE142" s="19"/>
      <c r="AF142" s="558"/>
      <c r="AG142" s="340"/>
      <c r="AH142" s="6">
        <f>COUNTIF(ParticipationAvril1[[#This Row],[1]:[30]],Code1)</f>
        <v>0</v>
      </c>
      <c r="AI142" s="331">
        <f>COUNTIF(ParticipationAvril1[[#This Row],[1]:[30]],code22)</f>
        <v>0</v>
      </c>
      <c r="AJ142" s="6">
        <f>COUNTIF(ParticipationAvril1[[#This Row],[1]:[30]],Code2)</f>
        <v>0</v>
      </c>
      <c r="AK142" s="6">
        <f>COUNTIF(ParticipationAvril1[[#This Row],[1]:[30]],Code3)</f>
        <v>0</v>
      </c>
      <c r="AL142" s="6">
        <f>COUNTIF(ParticipationAvril1[[#This Row],[1]:[30]],Code4)</f>
        <v>0</v>
      </c>
      <c r="AM142" s="331">
        <f>COUNTIF(ParticipationAvril1[[#This Row],[1]:[30]],Code5)</f>
        <v>1</v>
      </c>
      <c r="AN142" s="331">
        <f>COUNTIF(ParticipationAvril1[[#This Row],[1]:[30]],Code23)</f>
        <v>0</v>
      </c>
      <c r="AO142" s="331">
        <f>COUNTIF(ParticipationAvril1[[#This Row],[1]:[30]],Code6)</f>
        <v>2</v>
      </c>
      <c r="AP142" s="331">
        <f>COUNTIF(ParticipationAvril1[[#This Row],[1]:[30]],Code7)</f>
        <v>0</v>
      </c>
      <c r="AQ142" s="331">
        <f>COUNTIF(ParticipationAvril1[[#This Row],[1]:[30]],Code8)</f>
        <v>0</v>
      </c>
      <c r="AR142" s="331">
        <f>COUNTIF(ParticipationAvril1[[#This Row],[1]:[30]],Code9)</f>
        <v>0</v>
      </c>
      <c r="AS142" s="331">
        <f>COUNTIF(ParticipationAvril1[[#This Row],[1]:[30]],Code10)</f>
        <v>0</v>
      </c>
      <c r="AT142" s="331">
        <f>COUNTIF(ParticipationAvril1[[#This Row],[1]:[30]],Code11)</f>
        <v>0</v>
      </c>
      <c r="AU142" s="331">
        <f>COUNTIF(ParticipationAvril1[[#This Row],[1]:[30]],Code12)</f>
        <v>1</v>
      </c>
      <c r="AV142" s="331">
        <f>COUNTIF(ParticipationAvril1[[#This Row],[1]:[30]],Code13)</f>
        <v>0</v>
      </c>
      <c r="AW142" s="331">
        <f>COUNTIF(ParticipationAvril1[[#This Row],[1]:[30]],Code14)</f>
        <v>0</v>
      </c>
      <c r="AX142" s="331">
        <f>COUNTIF(ParticipationAvril1[[#This Row],[1]:[30]],Code16)</f>
        <v>0</v>
      </c>
      <c r="AY142" s="331">
        <f>COUNTIF(ParticipationAvril1[[#This Row],[1]:[30]],Code15)</f>
        <v>0</v>
      </c>
      <c r="AZ142" s="331">
        <f>COUNTIF(ParticipationAvril1[[#This Row],[1]:[30]],Code17)</f>
        <v>0</v>
      </c>
      <c r="BA142" s="331">
        <f>COUNTIF(ParticipationAvril1[[#This Row],[1]:[30]],Code25)</f>
        <v>0</v>
      </c>
      <c r="BB142" s="331">
        <f>COUNTIF(ParticipationAvril1[[#This Row],[1]:[30]],Code26)</f>
        <v>0</v>
      </c>
      <c r="BC142" s="435">
        <f>COUNTIF(ParticipationAvril1[[#This Row],[1]:[30]],Code27)</f>
        <v>0</v>
      </c>
      <c r="BD142" s="331">
        <f>COUNTIF(ParticipationAvril1[[#This Row],[1]:[30]],Code28)</f>
        <v>0</v>
      </c>
      <c r="BE142" s="331">
        <f>COUNTIF(ParticipationAvril1[[#This Row],[1]:[30]],code30)</f>
        <v>0</v>
      </c>
      <c r="BF142" s="331">
        <f>COUNTIF(ParticipationAvril1[[#This Row],[1]:[30]],Code31)</f>
        <v>0</v>
      </c>
      <c r="BG142" s="331">
        <f>COUNTIF(ParticipationAvril1[[#This Row],[1]:[30]],code21)</f>
        <v>0</v>
      </c>
      <c r="BH142" s="331">
        <f>COUNTIF(ParticipationAvril1[[#This Row],[1]:[30]],Code24)</f>
        <v>0</v>
      </c>
      <c r="BI142" s="331">
        <f>COUNTIF(ParticipationAvril1[[#This Row],[1]:[30]],code18)</f>
        <v>0</v>
      </c>
      <c r="BJ142" s="331">
        <f>COUNTIF(ParticipationAvril1[[#This Row],[1]:[30]],code19)</f>
        <v>0</v>
      </c>
      <c r="BK142" s="331">
        <f>COUNTIF(ParticipationAvril1[[#This Row],[1]:[30]],code20)</f>
        <v>0</v>
      </c>
      <c r="BL142" s="436">
        <f>COUNTIF(ParticipationAvril1[[#This Row],[1]:[30]],code29)</f>
        <v>0</v>
      </c>
      <c r="BM142" s="297"/>
      <c r="BN142" s="297">
        <v>1</v>
      </c>
      <c r="BO142" s="297"/>
      <c r="BP142" s="297"/>
      <c r="BQ142" s="297"/>
      <c r="BR142" s="297"/>
      <c r="BS142" s="297"/>
      <c r="BT142" s="297">
        <v>2</v>
      </c>
      <c r="BU142" s="297"/>
      <c r="BV142" s="297"/>
      <c r="BW142" s="297">
        <v>1</v>
      </c>
      <c r="BX142" s="297"/>
      <c r="BY142" s="297"/>
      <c r="BZ142" s="297"/>
      <c r="CA142" s="297"/>
      <c r="CB142" s="297"/>
      <c r="CC142" s="297"/>
      <c r="CD142" s="297"/>
      <c r="CE142" s="297"/>
      <c r="CF142" s="297"/>
      <c r="CG142" s="297"/>
      <c r="CH142" s="297"/>
      <c r="CI142" s="297"/>
      <c r="CJ142" s="297"/>
      <c r="CK142" s="297"/>
      <c r="CL142" s="297"/>
      <c r="CM142" s="297"/>
      <c r="CN142" s="297"/>
      <c r="CO142" s="297"/>
      <c r="CP142" s="297"/>
      <c r="CQ142" s="297"/>
      <c r="CR142" s="297"/>
      <c r="CS142" s="307"/>
      <c r="CT142" s="307"/>
      <c r="CU142" s="561"/>
      <c r="CV142" s="485">
        <f t="shared" si="13"/>
        <v>0</v>
      </c>
      <c r="CW142" s="563">
        <f t="shared" si="14"/>
        <v>14</v>
      </c>
      <c r="CX142" s="331">
        <f t="shared" si="15"/>
        <v>0</v>
      </c>
      <c r="CY142" s="438"/>
    </row>
    <row r="143" spans="1:104" ht="15" thickTop="1" thickBot="1">
      <c r="A143" s="534" t="s">
        <v>585</v>
      </c>
      <c r="B143" s="162" t="str">
        <f>IFERROR(VLOOKUP(ParticipationAvril1[[#This Row],[Référence]],ListeÉtudiants1[],18,FALSE),"")</f>
        <v>COLLADO ALICIA</v>
      </c>
      <c r="H143" s="510" t="s">
        <v>35</v>
      </c>
      <c r="L143" s="510" t="s">
        <v>108</v>
      </c>
      <c r="M143" s="510" t="s">
        <v>108</v>
      </c>
      <c r="AF143" s="19"/>
      <c r="AG143" s="144"/>
      <c r="AH143" s="439">
        <f>COUNTIF(ParticipationAvril1[[#This Row],[1]:[30]],Code1)</f>
        <v>0</v>
      </c>
      <c r="AI143" s="435">
        <f>COUNTIF(ParticipationAvril1[[#This Row],[1]:[30]],code22)</f>
        <v>0</v>
      </c>
      <c r="AJ143" s="439">
        <f>COUNTIF(ParticipationAvril1[[#This Row],[1]:[30]],Code2)</f>
        <v>0</v>
      </c>
      <c r="AK143" s="439">
        <f>COUNTIF(ParticipationAvril1[[#This Row],[1]:[30]],Code3)</f>
        <v>0</v>
      </c>
      <c r="AL143" s="439">
        <f>COUNTIF(ParticipationAvril1[[#This Row],[1]:[30]],Code4)</f>
        <v>0</v>
      </c>
      <c r="AM143" s="435">
        <f>COUNTIF(ParticipationAvril1[[#This Row],[1]:[30]],Code5)</f>
        <v>1</v>
      </c>
      <c r="AN143" s="435">
        <f>COUNTIF(ParticipationAvril1[[#This Row],[1]:[30]],Code23)</f>
        <v>0</v>
      </c>
      <c r="AO143" s="435">
        <f>COUNTIF(ParticipationAvril1[[#This Row],[1]:[30]],Code6)</f>
        <v>2</v>
      </c>
      <c r="AP143" s="435">
        <f>COUNTIF(ParticipationAvril1[[#This Row],[1]:[30]],Code7)</f>
        <v>0</v>
      </c>
      <c r="AQ143" s="435">
        <f>COUNTIF(ParticipationAvril1[[#This Row],[1]:[30]],Code8)</f>
        <v>0</v>
      </c>
      <c r="AR143" s="435">
        <f>COUNTIF(ParticipationAvril1[[#This Row],[1]:[30]],Code9)</f>
        <v>0</v>
      </c>
      <c r="AS143" s="435">
        <f>COUNTIF(ParticipationAvril1[[#This Row],[1]:[30]],Code10)</f>
        <v>0</v>
      </c>
      <c r="AT143" s="435">
        <f>COUNTIF(ParticipationAvril1[[#This Row],[1]:[30]],Code11)</f>
        <v>0</v>
      </c>
      <c r="AU143" s="435">
        <f>COUNTIF(ParticipationAvril1[[#This Row],[1]:[30]],Code12)</f>
        <v>0</v>
      </c>
      <c r="AV143" s="435">
        <f>COUNTIF(ParticipationAvril1[[#This Row],[1]:[30]],Code13)</f>
        <v>0</v>
      </c>
      <c r="AW143" s="435">
        <f>COUNTIF(ParticipationAvril1[[#This Row],[1]:[30]],Code14)</f>
        <v>0</v>
      </c>
      <c r="AX143" s="435">
        <f>COUNTIF(ParticipationAvril1[[#This Row],[1]:[30]],Code16)</f>
        <v>0</v>
      </c>
      <c r="AY143" s="435">
        <f>COUNTIF(ParticipationAvril1[[#This Row],[1]:[30]],Code15)</f>
        <v>0</v>
      </c>
      <c r="AZ143" s="435">
        <f>COUNTIF(ParticipationAvril1[[#This Row],[1]:[30]],Code17)</f>
        <v>0</v>
      </c>
      <c r="BA143" s="435">
        <f>COUNTIF(ParticipationAvril1[[#This Row],[1]:[30]],Code25)</f>
        <v>0</v>
      </c>
      <c r="BB143" s="435">
        <f>COUNTIF(ParticipationAvril1[[#This Row],[1]:[30]],Code26)</f>
        <v>0</v>
      </c>
      <c r="BC143" s="435">
        <f>COUNTIF(ParticipationAvril1[[#This Row],[1]:[30]],Code27)</f>
        <v>0</v>
      </c>
      <c r="BD143" s="435">
        <f>COUNTIF(ParticipationAvril1[[#This Row],[1]:[30]],Code28)</f>
        <v>0</v>
      </c>
      <c r="BE143" s="435">
        <f>COUNTIF(ParticipationAvril1[[#This Row],[1]:[30]],code30)</f>
        <v>0</v>
      </c>
      <c r="BF143" s="435">
        <f>COUNTIF(ParticipationAvril1[[#This Row],[1]:[30]],Code31)</f>
        <v>0</v>
      </c>
      <c r="BG143" s="435">
        <f>COUNTIF(ParticipationAvril1[[#This Row],[1]:[30]],code21)</f>
        <v>0</v>
      </c>
      <c r="BH143" s="435">
        <f>COUNTIF(ParticipationAvril1[[#This Row],[1]:[30]],Code24)</f>
        <v>0</v>
      </c>
      <c r="BI143" s="435">
        <f>COUNTIF(ParticipationAvril1[[#This Row],[1]:[30]],code18)</f>
        <v>0</v>
      </c>
      <c r="BJ143" s="435">
        <f>COUNTIF(ParticipationAvril1[[#This Row],[1]:[30]],code19)</f>
        <v>0</v>
      </c>
      <c r="BK143" s="435">
        <f>COUNTIF(ParticipationAvril1[[#This Row],[1]:[30]],code20)</f>
        <v>0</v>
      </c>
      <c r="BL143" s="436">
        <f>COUNTIF(ParticipationAvril1[[#This Row],[1]:[30]],code29)</f>
        <v>0</v>
      </c>
      <c r="BM143" s="297"/>
      <c r="BN143" s="297">
        <v>1</v>
      </c>
      <c r="BO143" s="297"/>
      <c r="BP143" s="297"/>
      <c r="BQ143" s="297"/>
      <c r="BR143" s="297"/>
      <c r="BS143" s="297"/>
      <c r="BT143" s="297">
        <v>2</v>
      </c>
      <c r="BU143" s="297"/>
      <c r="BV143" s="297"/>
      <c r="BW143" s="297"/>
      <c r="BX143" s="297"/>
      <c r="BY143" s="297"/>
      <c r="BZ143" s="297"/>
      <c r="CA143" s="297"/>
      <c r="CB143" s="297"/>
      <c r="CC143" s="297"/>
      <c r="CD143" s="297"/>
      <c r="CE143" s="297"/>
      <c r="CF143" s="297"/>
      <c r="CG143" s="297"/>
      <c r="CH143" s="297"/>
      <c r="CI143" s="297"/>
      <c r="CJ143" s="297"/>
      <c r="CK143" s="297"/>
      <c r="CL143" s="297"/>
      <c r="CM143" s="297"/>
      <c r="CN143" s="297"/>
      <c r="CO143" s="297"/>
      <c r="CP143" s="297"/>
      <c r="CQ143" s="297"/>
      <c r="CR143" s="297"/>
      <c r="CS143" s="297"/>
      <c r="CT143" s="297"/>
      <c r="CU143" s="300"/>
      <c r="CV143" s="485">
        <f t="shared" si="13"/>
        <v>0</v>
      </c>
      <c r="CW143" s="499">
        <f t="shared" si="14"/>
        <v>8</v>
      </c>
      <c r="CX143" s="435">
        <f t="shared" si="15"/>
        <v>0</v>
      </c>
      <c r="CY143" s="438"/>
    </row>
    <row r="144" spans="1:104" ht="15" thickTop="1" thickBot="1">
      <c r="A144" s="567" t="s">
        <v>588</v>
      </c>
      <c r="B144" s="162" t="str">
        <f>IFERROR(VLOOKUP(ParticipationAvril1[[#This Row],[Référence]],ListeÉtudiants1[],18,FALSE),"")</f>
        <v>FERGUENE Chaineze</v>
      </c>
      <c r="C144" s="19"/>
      <c r="D144" s="19"/>
      <c r="E144" s="19"/>
      <c r="F144" s="19" t="s">
        <v>108</v>
      </c>
      <c r="G144" s="19" t="s">
        <v>634</v>
      </c>
      <c r="H144" s="19" t="s">
        <v>35</v>
      </c>
      <c r="I144" s="19"/>
      <c r="J144" s="19"/>
      <c r="K144" s="19"/>
      <c r="L144" s="19" t="s">
        <v>108</v>
      </c>
      <c r="M144" s="19"/>
      <c r="N144" s="19"/>
      <c r="O144" s="19"/>
      <c r="P144" s="19"/>
      <c r="Q144" s="19"/>
      <c r="R144" s="19"/>
      <c r="S144" s="19"/>
      <c r="T144" s="19"/>
      <c r="U144" s="19"/>
      <c r="V144" s="19"/>
      <c r="W144" s="19"/>
      <c r="X144" s="19"/>
      <c r="Y144" s="19"/>
      <c r="Z144" s="19"/>
      <c r="AA144" s="19"/>
      <c r="AB144" s="19"/>
      <c r="AC144" s="19"/>
      <c r="AD144" s="19"/>
      <c r="AE144" s="19"/>
      <c r="AF144" s="19"/>
      <c r="AG144" s="144"/>
      <c r="AH144" s="6">
        <f>COUNTIF(ParticipationAvril1[[#This Row],[1]:[30]],Code1)</f>
        <v>0</v>
      </c>
      <c r="AI144" s="6">
        <f>COUNTIF(ParticipationAvril1[[#This Row],[1]:[30]],code22)</f>
        <v>0</v>
      </c>
      <c r="AJ144" s="6">
        <f>COUNTIF(ParticipationAvril1[[#This Row],[1]:[30]],Code2)</f>
        <v>0</v>
      </c>
      <c r="AK144" s="6">
        <f>COUNTIF(ParticipationAvril1[[#This Row],[1]:[30]],Code3)</f>
        <v>0</v>
      </c>
      <c r="AL144" s="6">
        <f>COUNTIF(ParticipationAvril1[[#This Row],[1]:[30]],Code4)</f>
        <v>0</v>
      </c>
      <c r="AM144" s="6">
        <f>COUNTIF(ParticipationAvril1[[#This Row],[1]:[30]],Code5)</f>
        <v>1</v>
      </c>
      <c r="AN144" s="6">
        <f>COUNTIF(ParticipationAvril1[[#This Row],[1]:[30]],Code23)</f>
        <v>0</v>
      </c>
      <c r="AO144" s="6">
        <f>COUNTIF(ParticipationAvril1[[#This Row],[1]:[30]],Code6)</f>
        <v>2</v>
      </c>
      <c r="AP144" s="6">
        <f>COUNTIF(ParticipationAvril1[[#This Row],[1]:[30]],Code7)</f>
        <v>0</v>
      </c>
      <c r="AQ144" s="6">
        <f>COUNTIF(ParticipationAvril1[[#This Row],[1]:[30]],Code8)</f>
        <v>0</v>
      </c>
      <c r="AR144" s="6">
        <f>COUNTIF(ParticipationAvril1[[#This Row],[1]:[30]],Code9)</f>
        <v>0</v>
      </c>
      <c r="AS144" s="6">
        <f>COUNTIF(ParticipationAvril1[[#This Row],[1]:[30]],Code10)</f>
        <v>0</v>
      </c>
      <c r="AT144" s="6">
        <f>COUNTIF(ParticipationAvril1[[#This Row],[1]:[30]],Code11)</f>
        <v>0</v>
      </c>
      <c r="AU144" s="6">
        <f>COUNTIF(ParticipationAvril1[[#This Row],[1]:[30]],Code12)</f>
        <v>0</v>
      </c>
      <c r="AV144" s="6">
        <f>COUNTIF(ParticipationAvril1[[#This Row],[1]:[30]],Code13)</f>
        <v>0</v>
      </c>
      <c r="AW144" s="6">
        <f>COUNTIF(ParticipationAvril1[[#This Row],[1]:[30]],Code14)</f>
        <v>0</v>
      </c>
      <c r="AX144" s="6">
        <f>COUNTIF(ParticipationAvril1[[#This Row],[1]:[30]],Code16)</f>
        <v>0</v>
      </c>
      <c r="AY144" s="6">
        <f>COUNTIF(ParticipationAvril1[[#This Row],[1]:[30]],Code15)</f>
        <v>0</v>
      </c>
      <c r="AZ144" s="6">
        <f>COUNTIF(ParticipationAvril1[[#This Row],[1]:[30]],Code17)</f>
        <v>0</v>
      </c>
      <c r="BA144" s="6">
        <f>COUNTIF(ParticipationAvril1[[#This Row],[1]:[30]],Code25)</f>
        <v>0</v>
      </c>
      <c r="BB144" s="6">
        <f>COUNTIF(ParticipationAvril1[[#This Row],[1]:[30]],Code26)</f>
        <v>0</v>
      </c>
      <c r="BC144" s="432">
        <f>COUNTIF(ParticipationAvril1[[#This Row],[1]:[30]],Code27)</f>
        <v>0</v>
      </c>
      <c r="BD144" s="6">
        <f>COUNTIF(ParticipationAvril1[[#This Row],[1]:[30]],Code28)</f>
        <v>0</v>
      </c>
      <c r="BE144" s="6">
        <f>COUNTIF(ParticipationAvril1[[#This Row],[1]:[30]],code30)</f>
        <v>0</v>
      </c>
      <c r="BF144" s="6">
        <f>COUNTIF(ParticipationAvril1[[#This Row],[1]:[30]],Code31)</f>
        <v>0</v>
      </c>
      <c r="BG144" s="6">
        <f>COUNTIF(ParticipationAvril1[[#This Row],[1]:[30]],code21)</f>
        <v>0</v>
      </c>
      <c r="BH144" s="6">
        <f>COUNTIF(ParticipationAvril1[[#This Row],[1]:[30]],Code24)</f>
        <v>0</v>
      </c>
      <c r="BI144" s="6">
        <f>COUNTIF(ParticipationAvril1[[#This Row],[1]:[30]],code18)</f>
        <v>0</v>
      </c>
      <c r="BJ144" s="6">
        <f>COUNTIF(ParticipationAvril1[[#This Row],[1]:[30]],code19)</f>
        <v>0</v>
      </c>
      <c r="BK144" s="6">
        <f>COUNTIF(ParticipationAvril1[[#This Row],[1]:[30]],code20)</f>
        <v>0</v>
      </c>
      <c r="BL144" s="182">
        <f>COUNTIF(ParticipationAvril1[[#This Row],[1]:[30]],code29)</f>
        <v>1</v>
      </c>
      <c r="BM144" s="297"/>
      <c r="BN144" s="297">
        <v>1</v>
      </c>
      <c r="BO144" s="297"/>
      <c r="BP144" s="297"/>
      <c r="BQ144" s="297"/>
      <c r="BR144" s="297"/>
      <c r="BS144" s="297"/>
      <c r="BT144" s="297">
        <v>2</v>
      </c>
      <c r="BU144" s="297"/>
      <c r="BV144" s="297"/>
      <c r="BW144" s="297"/>
      <c r="BX144" s="297"/>
      <c r="BY144" s="297"/>
      <c r="BZ144" s="297"/>
      <c r="CA144" s="297"/>
      <c r="CB144" s="297"/>
      <c r="CC144" s="297"/>
      <c r="CD144" s="297"/>
      <c r="CE144" s="297"/>
      <c r="CF144" s="297"/>
      <c r="CG144" s="297"/>
      <c r="CH144" s="297"/>
      <c r="CI144" s="297"/>
      <c r="CJ144" s="297"/>
      <c r="CK144" s="297"/>
      <c r="CL144" s="297"/>
      <c r="CM144" s="297"/>
      <c r="CN144" s="297"/>
      <c r="CO144" s="297"/>
      <c r="CP144" s="297"/>
      <c r="CQ144" s="297"/>
      <c r="CR144" s="297"/>
      <c r="CS144" s="307"/>
      <c r="CT144" s="307"/>
      <c r="CU144" s="300"/>
      <c r="CV144" s="485">
        <f t="shared" si="13"/>
        <v>0</v>
      </c>
      <c r="CW144" s="499">
        <f t="shared" si="14"/>
        <v>8</v>
      </c>
      <c r="CX144" s="6">
        <f t="shared" si="15"/>
        <v>3</v>
      </c>
      <c r="CY144" s="179"/>
    </row>
    <row r="145" spans="1:104" ht="15" thickTop="1" thickBot="1">
      <c r="A145" s="567" t="s">
        <v>590</v>
      </c>
      <c r="B145" s="162" t="str">
        <f>IFERROR(VLOOKUP(ParticipationAvril1[[#This Row],[Référence]],ListeÉtudiants1[],18,FALSE),"")</f>
        <v>HAMEAU KEVIN</v>
      </c>
      <c r="H145" s="510" t="s">
        <v>35</v>
      </c>
      <c r="M145" s="510" t="s">
        <v>108</v>
      </c>
      <c r="AF145" s="19"/>
      <c r="AG145" s="144"/>
      <c r="AH145" s="439">
        <f>COUNTIF(ParticipationAvril1[[#This Row],[1]:[30]],Code1)</f>
        <v>0</v>
      </c>
      <c r="AI145" s="435">
        <f>COUNTIF(ParticipationAvril1[[#This Row],[1]:[30]],code22)</f>
        <v>0</v>
      </c>
      <c r="AJ145" s="439">
        <f>COUNTIF(ParticipationAvril1[[#This Row],[1]:[30]],Code2)</f>
        <v>0</v>
      </c>
      <c r="AK145" s="439">
        <f>COUNTIF(ParticipationAvril1[[#This Row],[1]:[30]],Code3)</f>
        <v>0</v>
      </c>
      <c r="AL145" s="439">
        <f>COUNTIF(ParticipationAvril1[[#This Row],[1]:[30]],Code4)</f>
        <v>0</v>
      </c>
      <c r="AM145" s="435">
        <f>COUNTIF(ParticipationAvril1[[#This Row],[1]:[30]],Code5)</f>
        <v>1</v>
      </c>
      <c r="AN145" s="435">
        <f>COUNTIF(ParticipationAvril1[[#This Row],[1]:[30]],Code23)</f>
        <v>0</v>
      </c>
      <c r="AO145" s="435">
        <f>COUNTIF(ParticipationAvril1[[#This Row],[1]:[30]],Code6)</f>
        <v>1</v>
      </c>
      <c r="AP145" s="435">
        <f>COUNTIF(ParticipationAvril1[[#This Row],[1]:[30]],Code7)</f>
        <v>0</v>
      </c>
      <c r="AQ145" s="435">
        <f>COUNTIF(ParticipationAvril1[[#This Row],[1]:[30]],Code8)</f>
        <v>0</v>
      </c>
      <c r="AR145" s="435">
        <f>COUNTIF(ParticipationAvril1[[#This Row],[1]:[30]],Code9)</f>
        <v>0</v>
      </c>
      <c r="AS145" s="435">
        <f>COUNTIF(ParticipationAvril1[[#This Row],[1]:[30]],Code10)</f>
        <v>0</v>
      </c>
      <c r="AT145" s="435">
        <f>COUNTIF(ParticipationAvril1[[#This Row],[1]:[30]],Code11)</f>
        <v>0</v>
      </c>
      <c r="AU145" s="435">
        <f>COUNTIF(ParticipationAvril1[[#This Row],[1]:[30]],Code12)</f>
        <v>0</v>
      </c>
      <c r="AV145" s="435">
        <f>COUNTIF(ParticipationAvril1[[#This Row],[1]:[30]],Code13)</f>
        <v>0</v>
      </c>
      <c r="AW145" s="435">
        <f>COUNTIF(ParticipationAvril1[[#This Row],[1]:[30]],Code14)</f>
        <v>0</v>
      </c>
      <c r="AX145" s="435">
        <f>COUNTIF(ParticipationAvril1[[#This Row],[1]:[30]],Code16)</f>
        <v>0</v>
      </c>
      <c r="AY145" s="435">
        <f>COUNTIF(ParticipationAvril1[[#This Row],[1]:[30]],Code15)</f>
        <v>0</v>
      </c>
      <c r="AZ145" s="435">
        <f>COUNTIF(ParticipationAvril1[[#This Row],[1]:[30]],Code17)</f>
        <v>0</v>
      </c>
      <c r="BA145" s="435">
        <f>COUNTIF(ParticipationAvril1[[#This Row],[1]:[30]],Code25)</f>
        <v>0</v>
      </c>
      <c r="BB145" s="435">
        <f>COUNTIF(ParticipationAvril1[[#This Row],[1]:[30]],Code26)</f>
        <v>0</v>
      </c>
      <c r="BC145" s="435">
        <f>COUNTIF(ParticipationAvril1[[#This Row],[1]:[30]],Code27)</f>
        <v>0</v>
      </c>
      <c r="BD145" s="435">
        <f>COUNTIF(ParticipationAvril1[[#This Row],[1]:[30]],Code28)</f>
        <v>0</v>
      </c>
      <c r="BE145" s="435">
        <f>COUNTIF(ParticipationAvril1[[#This Row],[1]:[30]],code30)</f>
        <v>0</v>
      </c>
      <c r="BF145" s="435">
        <f>COUNTIF(ParticipationAvril1[[#This Row],[1]:[30]],Code31)</f>
        <v>0</v>
      </c>
      <c r="BG145" s="435">
        <f>COUNTIF(ParticipationAvril1[[#This Row],[1]:[30]],code21)</f>
        <v>0</v>
      </c>
      <c r="BH145" s="435">
        <f>COUNTIF(ParticipationAvril1[[#This Row],[1]:[30]],Code24)</f>
        <v>0</v>
      </c>
      <c r="BI145" s="435">
        <f>COUNTIF(ParticipationAvril1[[#This Row],[1]:[30]],code18)</f>
        <v>0</v>
      </c>
      <c r="BJ145" s="435">
        <f>COUNTIF(ParticipationAvril1[[#This Row],[1]:[30]],code19)</f>
        <v>0</v>
      </c>
      <c r="BK145" s="435">
        <f>COUNTIF(ParticipationAvril1[[#This Row],[1]:[30]],code20)</f>
        <v>0</v>
      </c>
      <c r="BL145" s="436">
        <f>COUNTIF(ParticipationAvril1[[#This Row],[1]:[30]],code29)</f>
        <v>0</v>
      </c>
      <c r="BM145" s="297"/>
      <c r="BN145" s="297"/>
      <c r="BO145" s="297"/>
      <c r="BP145" s="297"/>
      <c r="BQ145" s="297"/>
      <c r="BR145" s="297"/>
      <c r="BS145" s="297"/>
      <c r="BT145" s="297">
        <v>2</v>
      </c>
      <c r="BU145" s="297"/>
      <c r="BV145" s="297"/>
      <c r="BW145" s="297"/>
      <c r="BX145" s="297"/>
      <c r="BY145" s="297"/>
      <c r="BZ145" s="297"/>
      <c r="CA145" s="297"/>
      <c r="CB145" s="297"/>
      <c r="CC145" s="297"/>
      <c r="CD145" s="297"/>
      <c r="CE145" s="297"/>
      <c r="CF145" s="297"/>
      <c r="CG145" s="297"/>
      <c r="CH145" s="297"/>
      <c r="CI145" s="297"/>
      <c r="CJ145" s="297"/>
      <c r="CK145" s="297"/>
      <c r="CL145" s="297"/>
      <c r="CM145" s="297"/>
      <c r="CN145" s="297"/>
      <c r="CO145" s="297"/>
      <c r="CP145" s="297"/>
      <c r="CQ145" s="297"/>
      <c r="CR145" s="297"/>
      <c r="CS145" s="297"/>
      <c r="CT145" s="297"/>
      <c r="CU145" s="300"/>
      <c r="CV145" s="485">
        <f t="shared" si="13"/>
        <v>0</v>
      </c>
      <c r="CW145" s="499">
        <f t="shared" si="14"/>
        <v>5</v>
      </c>
      <c r="CX145" s="435">
        <f t="shared" si="15"/>
        <v>0</v>
      </c>
      <c r="CY145" s="438"/>
    </row>
    <row r="146" spans="1:104" ht="15" thickTop="1" thickBot="1">
      <c r="A146" s="567" t="s">
        <v>593</v>
      </c>
      <c r="B146" s="162" t="str">
        <f>IFERROR(VLOOKUP(ParticipationAvril1[[#This Row],[Référence]],ListeÉtudiants1[],18,FALSE),"")</f>
        <v>KIOLO Carine Laure</v>
      </c>
      <c r="K146" s="510"/>
      <c r="AF146" s="19"/>
      <c r="AG146" s="478"/>
      <c r="AH146" s="439">
        <f>COUNTIF(ParticipationAvril1[[#This Row],[1]:[30]],Code1)</f>
        <v>0</v>
      </c>
      <c r="AI146" s="474">
        <f>COUNTIF(ParticipationAvril1[[#This Row],[1]:[30]],code22)</f>
        <v>0</v>
      </c>
      <c r="AJ146" s="439">
        <f>COUNTIF(ParticipationAvril1[[#This Row],[1]:[30]],Code2)</f>
        <v>0</v>
      </c>
      <c r="AK146" s="439">
        <f>COUNTIF(ParticipationAvril1[[#This Row],[1]:[30]],Code3)</f>
        <v>0</v>
      </c>
      <c r="AL146" s="439">
        <f>COUNTIF(ParticipationAvril1[[#This Row],[1]:[30]],Code4)</f>
        <v>0</v>
      </c>
      <c r="AM146" s="474">
        <f>COUNTIF(ParticipationAvril1[[#This Row],[1]:[30]],Code5)</f>
        <v>0</v>
      </c>
      <c r="AN146" s="474">
        <f>COUNTIF(ParticipationAvril1[[#This Row],[1]:[30]],Code23)</f>
        <v>0</v>
      </c>
      <c r="AO146" s="474">
        <f>COUNTIF(ParticipationAvril1[[#This Row],[1]:[30]],Code6)</f>
        <v>0</v>
      </c>
      <c r="AP146" s="474">
        <f>COUNTIF(ParticipationAvril1[[#This Row],[1]:[30]],Code7)</f>
        <v>0</v>
      </c>
      <c r="AQ146" s="474">
        <f>COUNTIF(ParticipationAvril1[[#This Row],[1]:[30]],Code8)</f>
        <v>0</v>
      </c>
      <c r="AR146" s="474">
        <f>COUNTIF(ParticipationAvril1[[#This Row],[1]:[30]],Code9)</f>
        <v>0</v>
      </c>
      <c r="AS146" s="474">
        <f>COUNTIF(ParticipationAvril1[[#This Row],[1]:[30]],Code10)</f>
        <v>0</v>
      </c>
      <c r="AT146" s="474">
        <f>COUNTIF(ParticipationAvril1[[#This Row],[1]:[30]],Code11)</f>
        <v>0</v>
      </c>
      <c r="AU146" s="474">
        <f>COUNTIF(ParticipationAvril1[[#This Row],[1]:[30]],Code12)</f>
        <v>0</v>
      </c>
      <c r="AV146" s="474">
        <f>COUNTIF(ParticipationAvril1[[#This Row],[1]:[30]],Code13)</f>
        <v>0</v>
      </c>
      <c r="AW146" s="474">
        <f>COUNTIF(ParticipationAvril1[[#This Row],[1]:[30]],Code14)</f>
        <v>0</v>
      </c>
      <c r="AX146" s="474">
        <f>COUNTIF(ParticipationAvril1[[#This Row],[1]:[30]],Code16)</f>
        <v>0</v>
      </c>
      <c r="AY146" s="474">
        <f>COUNTIF(ParticipationAvril1[[#This Row],[1]:[30]],Code15)</f>
        <v>0</v>
      </c>
      <c r="AZ146" s="474">
        <f>COUNTIF(ParticipationAvril1[[#This Row],[1]:[30]],Code17)</f>
        <v>0</v>
      </c>
      <c r="BA146" s="474">
        <f>COUNTIF(ParticipationAvril1[[#This Row],[1]:[30]],Code25)</f>
        <v>0</v>
      </c>
      <c r="BB146" s="474">
        <f>COUNTIF(ParticipationAvril1[[#This Row],[1]:[30]],Code26)</f>
        <v>0</v>
      </c>
      <c r="BC146" s="474">
        <f>COUNTIF(ParticipationAvril1[[#This Row],[1]:[30]],Code27)</f>
        <v>0</v>
      </c>
      <c r="BD146" s="474">
        <f>COUNTIF(ParticipationAvril1[[#This Row],[1]:[30]],Code28)</f>
        <v>0</v>
      </c>
      <c r="BE146" s="474">
        <f>COUNTIF(ParticipationAvril1[[#This Row],[1]:[30]],code30)</f>
        <v>0</v>
      </c>
      <c r="BF146" s="474">
        <f>COUNTIF(ParticipationAvril1[[#This Row],[1]:[30]],Code31)</f>
        <v>0</v>
      </c>
      <c r="BG146" s="474">
        <f>COUNTIF(ParticipationAvril1[[#This Row],[1]:[30]],code21)</f>
        <v>0</v>
      </c>
      <c r="BH146" s="474">
        <f>COUNTIF(ParticipationAvril1[[#This Row],[1]:[30]],Code24)</f>
        <v>0</v>
      </c>
      <c r="BI146" s="474">
        <f>COUNTIF(ParticipationAvril1[[#This Row],[1]:[30]],code18)</f>
        <v>0</v>
      </c>
      <c r="BJ146" s="474">
        <f>COUNTIF(ParticipationAvril1[[#This Row],[1]:[30]],code19)</f>
        <v>0</v>
      </c>
      <c r="BK146" s="474">
        <f>COUNTIF(ParticipationAvril1[[#This Row],[1]:[30]],code20)</f>
        <v>0</v>
      </c>
      <c r="BL146" s="476">
        <f>COUNTIF(ParticipationAvril1[[#This Row],[1]:[30]],code29)</f>
        <v>0</v>
      </c>
      <c r="BM146" s="472"/>
      <c r="BN146" s="472"/>
      <c r="BO146" s="472"/>
      <c r="BP146" s="472"/>
      <c r="BQ146" s="472"/>
      <c r="BR146" s="472"/>
      <c r="BS146" s="472"/>
      <c r="BT146" s="472"/>
      <c r="BU146" s="472"/>
      <c r="BV146" s="472"/>
      <c r="BW146" s="472"/>
      <c r="BX146" s="472"/>
      <c r="BY146" s="472"/>
      <c r="BZ146" s="472"/>
      <c r="CA146" s="472"/>
      <c r="CB146" s="472"/>
      <c r="CC146" s="472"/>
      <c r="CD146" s="472"/>
      <c r="CE146" s="472"/>
      <c r="CF146" s="472"/>
      <c r="CG146" s="472"/>
      <c r="CH146" s="472"/>
      <c r="CI146" s="472"/>
      <c r="CJ146" s="472"/>
      <c r="CK146" s="472"/>
      <c r="CL146" s="472"/>
      <c r="CM146" s="472"/>
      <c r="CN146" s="472"/>
      <c r="CO146" s="472"/>
      <c r="CP146" s="472"/>
      <c r="CQ146" s="472"/>
      <c r="CR146" s="472"/>
      <c r="CS146" s="472"/>
      <c r="CT146" s="472"/>
      <c r="CU146" s="516">
        <f>SUM((AH146*1)+(AI146*1.5)+(AJ146*2)+(AK146*4)+(AP146*5)+(AQ146*6)+(AR146*7)+(AU146*2)+(AX146*3)+(AY146*4)+(AZ146*5)+(BB146*3)+(BA146*2)+(BG146*2)+(BC146*2)+(BD146*2))</f>
        <v>0</v>
      </c>
      <c r="CV146" s="555">
        <f t="shared" si="13"/>
        <v>0</v>
      </c>
      <c r="CW146" s="562">
        <f t="shared" si="14"/>
        <v>0</v>
      </c>
      <c r="CX146" s="474">
        <f t="shared" si="15"/>
        <v>0</v>
      </c>
      <c r="CY146" s="477"/>
    </row>
    <row r="147" spans="1:104" ht="15" thickTop="1" thickBot="1">
      <c r="A147" s="567" t="s">
        <v>596</v>
      </c>
      <c r="B147" s="162" t="str">
        <f>IFERROR(VLOOKUP(ParticipationAvril1[[#This Row],[Référence]],ListeÉtudiants1[],18,FALSE),"")</f>
        <v>LESUEUR GERALDINE</v>
      </c>
      <c r="C147" s="19"/>
      <c r="D147" s="19"/>
      <c r="E147" s="19" t="s">
        <v>527</v>
      </c>
      <c r="F147" s="19" t="s">
        <v>108</v>
      </c>
      <c r="G147" s="19" t="s">
        <v>634</v>
      </c>
      <c r="H147" s="19"/>
      <c r="I147" s="19"/>
      <c r="J147" s="19"/>
      <c r="K147" s="19" t="s">
        <v>108</v>
      </c>
      <c r="L147" s="19" t="s">
        <v>108</v>
      </c>
      <c r="M147" s="19" t="s">
        <v>108</v>
      </c>
      <c r="N147" s="19" t="s">
        <v>527</v>
      </c>
      <c r="O147" s="19"/>
      <c r="P147" s="19"/>
      <c r="Q147" s="19"/>
      <c r="R147" s="19"/>
      <c r="S147" s="19"/>
      <c r="T147" s="19"/>
      <c r="U147" s="19"/>
      <c r="V147" s="19"/>
      <c r="W147" s="19"/>
      <c r="X147" s="19"/>
      <c r="Y147" s="19"/>
      <c r="Z147" s="19"/>
      <c r="AA147" s="19"/>
      <c r="AB147" s="19"/>
      <c r="AC147" s="19"/>
      <c r="AD147" s="19"/>
      <c r="AE147" s="19"/>
      <c r="AF147" s="19"/>
      <c r="AG147" s="144"/>
      <c r="AH147" s="6">
        <f>COUNTIF(ParticipationAvril1[[#This Row],[1]:[30]],Code1)</f>
        <v>0</v>
      </c>
      <c r="AI147" s="6">
        <f>COUNTIF(ParticipationAvril1[[#This Row],[1]:[30]],code22)</f>
        <v>2</v>
      </c>
      <c r="AJ147" s="6">
        <f>COUNTIF(ParticipationAvril1[[#This Row],[1]:[30]],Code2)</f>
        <v>0</v>
      </c>
      <c r="AK147" s="6">
        <f>COUNTIF(ParticipationAvril1[[#This Row],[1]:[30]],Code3)</f>
        <v>0</v>
      </c>
      <c r="AL147" s="6">
        <f>COUNTIF(ParticipationAvril1[[#This Row],[1]:[30]],Code4)</f>
        <v>0</v>
      </c>
      <c r="AM147" s="6">
        <f>COUNTIF(ParticipationAvril1[[#This Row],[1]:[30]],Code5)</f>
        <v>0</v>
      </c>
      <c r="AN147" s="6">
        <f>COUNTIF(ParticipationAvril1[[#This Row],[1]:[30]],Code23)</f>
        <v>0</v>
      </c>
      <c r="AO147" s="6">
        <f>COUNTIF(ParticipationAvril1[[#This Row],[1]:[30]],Code6)</f>
        <v>4</v>
      </c>
      <c r="AP147" s="6">
        <f>COUNTIF(ParticipationAvril1[[#This Row],[1]:[30]],Code7)</f>
        <v>0</v>
      </c>
      <c r="AQ147" s="6">
        <f>COUNTIF(ParticipationAvril1[[#This Row],[1]:[30]],Code8)</f>
        <v>0</v>
      </c>
      <c r="AR147" s="6">
        <f>COUNTIF(ParticipationAvril1[[#This Row],[1]:[30]],Code9)</f>
        <v>0</v>
      </c>
      <c r="AS147" s="6">
        <f>COUNTIF(ParticipationAvril1[[#This Row],[1]:[30]],Code10)</f>
        <v>0</v>
      </c>
      <c r="AT147" s="6">
        <f>COUNTIF(ParticipationAvril1[[#This Row],[1]:[30]],Code11)</f>
        <v>0</v>
      </c>
      <c r="AU147" s="6">
        <f>COUNTIF(ParticipationAvril1[[#This Row],[1]:[30]],Code12)</f>
        <v>0</v>
      </c>
      <c r="AV147" s="6">
        <f>COUNTIF(ParticipationAvril1[[#This Row],[1]:[30]],Code13)</f>
        <v>0</v>
      </c>
      <c r="AW147" s="6">
        <f>COUNTIF(ParticipationAvril1[[#This Row],[1]:[30]],Code14)</f>
        <v>0</v>
      </c>
      <c r="AX147" s="6">
        <f>COUNTIF(ParticipationAvril1[[#This Row],[1]:[30]],Code16)</f>
        <v>0</v>
      </c>
      <c r="AY147" s="6">
        <f>COUNTIF(ParticipationAvril1[[#This Row],[1]:[30]],Code15)</f>
        <v>0</v>
      </c>
      <c r="AZ147" s="6">
        <f>COUNTIF(ParticipationAvril1[[#This Row],[1]:[30]],Code17)</f>
        <v>0</v>
      </c>
      <c r="BA147" s="6">
        <f>COUNTIF(ParticipationAvril1[[#This Row],[1]:[30]],Code25)</f>
        <v>0</v>
      </c>
      <c r="BB147" s="6">
        <f>COUNTIF(ParticipationAvril1[[#This Row],[1]:[30]],Code26)</f>
        <v>0</v>
      </c>
      <c r="BC147" s="432">
        <f>COUNTIF(ParticipationAvril1[[#This Row],[1]:[30]],Code27)</f>
        <v>0</v>
      </c>
      <c r="BD147" s="6">
        <f>COUNTIF(ParticipationAvril1[[#This Row],[1]:[30]],Code28)</f>
        <v>0</v>
      </c>
      <c r="BE147" s="6">
        <f>COUNTIF(ParticipationAvril1[[#This Row],[1]:[30]],code30)</f>
        <v>0</v>
      </c>
      <c r="BF147" s="6">
        <f>COUNTIF(ParticipationAvril1[[#This Row],[1]:[30]],Code31)</f>
        <v>0</v>
      </c>
      <c r="BG147" s="6">
        <f>COUNTIF(ParticipationAvril1[[#This Row],[1]:[30]],code21)</f>
        <v>0</v>
      </c>
      <c r="BH147" s="6">
        <f>COUNTIF(ParticipationAvril1[[#This Row],[1]:[30]],Code24)</f>
        <v>0</v>
      </c>
      <c r="BI147" s="6">
        <f>COUNTIF(ParticipationAvril1[[#This Row],[1]:[30]],code18)</f>
        <v>0</v>
      </c>
      <c r="BJ147" s="6">
        <f>COUNTIF(ParticipationAvril1[[#This Row],[1]:[30]],code19)</f>
        <v>0</v>
      </c>
      <c r="BK147" s="6">
        <f>COUNTIF(ParticipationAvril1[[#This Row],[1]:[30]],code20)</f>
        <v>0</v>
      </c>
      <c r="BL147" s="182">
        <f>COUNTIF(ParticipationAvril1[[#This Row],[1]:[30]],code29)</f>
        <v>1</v>
      </c>
      <c r="BM147" s="297"/>
      <c r="BN147" s="297">
        <v>1</v>
      </c>
      <c r="BO147" s="297"/>
      <c r="BP147" s="297"/>
      <c r="BQ147" s="297"/>
      <c r="BR147" s="297"/>
      <c r="BS147" s="297"/>
      <c r="BT147" s="297">
        <v>2</v>
      </c>
      <c r="BU147" s="297"/>
      <c r="BV147" s="297"/>
      <c r="BW147" s="297">
        <v>1</v>
      </c>
      <c r="BX147" s="297"/>
      <c r="BY147" s="297"/>
      <c r="BZ147" s="297">
        <v>1</v>
      </c>
      <c r="CA147" s="297"/>
      <c r="CB147" s="297"/>
      <c r="CC147" s="297"/>
      <c r="CD147" s="297"/>
      <c r="CE147" s="297"/>
      <c r="CF147" s="297"/>
      <c r="CG147" s="297"/>
      <c r="CH147" s="297"/>
      <c r="CI147" s="297"/>
      <c r="CJ147" s="297"/>
      <c r="CK147" s="297">
        <v>1</v>
      </c>
      <c r="CL147" s="297"/>
      <c r="CM147" s="297"/>
      <c r="CN147" s="297"/>
      <c r="CO147" s="297"/>
      <c r="CP147" s="297"/>
      <c r="CQ147" s="297"/>
      <c r="CR147" s="297"/>
      <c r="CS147" s="307"/>
      <c r="CT147" s="307"/>
      <c r="CU147" s="300"/>
      <c r="CV147" s="485">
        <f t="shared" si="13"/>
        <v>3</v>
      </c>
      <c r="CW147" s="499">
        <f t="shared" si="14"/>
        <v>12</v>
      </c>
      <c r="CX147" s="6">
        <f t="shared" si="15"/>
        <v>3</v>
      </c>
      <c r="CY147" s="179">
        <f>SUM((BI147*7)+(BJ147*10)+(BK147*12))</f>
        <v>0</v>
      </c>
    </row>
    <row r="148" spans="1:104" ht="15" thickTop="1" thickBot="1">
      <c r="A148" s="567" t="s">
        <v>599</v>
      </c>
      <c r="B148" s="162" t="str">
        <f>IFERROR(VLOOKUP(ParticipationAvril1[[#This Row],[Référence]],ListeÉtudiants1[],18,FALSE),"")</f>
        <v>LOVE SAMUEL</v>
      </c>
      <c r="K148" s="510" t="s">
        <v>108</v>
      </c>
      <c r="AF148" s="558"/>
      <c r="AG148" s="340"/>
      <c r="AH148" s="439">
        <f>COUNTIF(ParticipationAvril1[[#This Row],[1]:[30]],Code1)</f>
        <v>0</v>
      </c>
      <c r="AI148" s="432">
        <f>COUNTIF(ParticipationAvril1[[#This Row],[1]:[30]],code22)</f>
        <v>0</v>
      </c>
      <c r="AJ148" s="439">
        <f>COUNTIF(ParticipationAvril1[[#This Row],[1]:[30]],Code2)</f>
        <v>0</v>
      </c>
      <c r="AK148" s="439">
        <f>COUNTIF(ParticipationAvril1[[#This Row],[1]:[30]],Code3)</f>
        <v>0</v>
      </c>
      <c r="AL148" s="439">
        <f>COUNTIF(ParticipationAvril1[[#This Row],[1]:[30]],Code4)</f>
        <v>0</v>
      </c>
      <c r="AM148" s="432">
        <f>COUNTIF(ParticipationAvril1[[#This Row],[1]:[30]],Code5)</f>
        <v>0</v>
      </c>
      <c r="AN148" s="432">
        <f>COUNTIF(ParticipationAvril1[[#This Row],[1]:[30]],Code23)</f>
        <v>0</v>
      </c>
      <c r="AO148" s="432">
        <f>COUNTIF(ParticipationAvril1[[#This Row],[1]:[30]],Code6)</f>
        <v>1</v>
      </c>
      <c r="AP148" s="432">
        <f>COUNTIF(ParticipationAvril1[[#This Row],[1]:[30]],Code7)</f>
        <v>0</v>
      </c>
      <c r="AQ148" s="432">
        <f>COUNTIF(ParticipationAvril1[[#This Row],[1]:[30]],Code8)</f>
        <v>0</v>
      </c>
      <c r="AR148" s="432">
        <f>COUNTIF(ParticipationAvril1[[#This Row],[1]:[30]],Code9)</f>
        <v>0</v>
      </c>
      <c r="AS148" s="432">
        <f>COUNTIF(ParticipationAvril1[[#This Row],[1]:[30]],Code10)</f>
        <v>0</v>
      </c>
      <c r="AT148" s="432">
        <f>COUNTIF(ParticipationAvril1[[#This Row],[1]:[30]],Code11)</f>
        <v>0</v>
      </c>
      <c r="AU148" s="432">
        <f>COUNTIF(ParticipationAvril1[[#This Row],[1]:[30]],Code12)</f>
        <v>0</v>
      </c>
      <c r="AV148" s="432">
        <f>COUNTIF(ParticipationAvril1[[#This Row],[1]:[30]],Code13)</f>
        <v>0</v>
      </c>
      <c r="AW148" s="432">
        <f>COUNTIF(ParticipationAvril1[[#This Row],[1]:[30]],Code14)</f>
        <v>0</v>
      </c>
      <c r="AX148" s="432">
        <f>COUNTIF(ParticipationAvril1[[#This Row],[1]:[30]],Code16)</f>
        <v>0</v>
      </c>
      <c r="AY148" s="432">
        <f>COUNTIF(ParticipationAvril1[[#This Row],[1]:[30]],Code15)</f>
        <v>0</v>
      </c>
      <c r="AZ148" s="432">
        <f>COUNTIF(ParticipationAvril1[[#This Row],[1]:[30]],Code17)</f>
        <v>0</v>
      </c>
      <c r="BA148" s="432">
        <f>COUNTIF(ParticipationAvril1[[#This Row],[1]:[30]],Code25)</f>
        <v>0</v>
      </c>
      <c r="BB148" s="432">
        <f>COUNTIF(ParticipationAvril1[[#This Row],[1]:[30]],Code26)</f>
        <v>0</v>
      </c>
      <c r="BC148" s="432">
        <f>COUNTIF(ParticipationAvril1[[#This Row],[1]:[30]],Code27)</f>
        <v>0</v>
      </c>
      <c r="BD148" s="432">
        <f>COUNTIF(ParticipationAvril1[[#This Row],[1]:[30]],Code28)</f>
        <v>0</v>
      </c>
      <c r="BE148" s="432">
        <f>COUNTIF(ParticipationAvril1[[#This Row],[1]:[30]],code30)</f>
        <v>0</v>
      </c>
      <c r="BF148" s="432">
        <f>COUNTIF(ParticipationAvril1[[#This Row],[1]:[30]],Code31)</f>
        <v>0</v>
      </c>
      <c r="BG148" s="432">
        <f>COUNTIF(ParticipationAvril1[[#This Row],[1]:[30]],code21)</f>
        <v>0</v>
      </c>
      <c r="BH148" s="432">
        <f>COUNTIF(ParticipationAvril1[[#This Row],[1]:[30]],Code24)</f>
        <v>0</v>
      </c>
      <c r="BI148" s="432">
        <f>COUNTIF(ParticipationAvril1[[#This Row],[1]:[30]],code18)</f>
        <v>0</v>
      </c>
      <c r="BJ148" s="432">
        <f>COUNTIF(ParticipationAvril1[[#This Row],[1]:[30]],code19)</f>
        <v>0</v>
      </c>
      <c r="BK148" s="432">
        <f>COUNTIF(ParticipationAvril1[[#This Row],[1]:[30]],code20)</f>
        <v>0</v>
      </c>
      <c r="BL148" s="182">
        <f>COUNTIF(ParticipationAvril1[[#This Row],[1]:[30]],code29)</f>
        <v>0</v>
      </c>
      <c r="BM148" s="139"/>
      <c r="BN148" s="139"/>
      <c r="BO148" s="139"/>
      <c r="BP148" s="139"/>
      <c r="BQ148" s="139"/>
      <c r="BR148" s="139"/>
      <c r="BS148" s="139"/>
      <c r="BT148" s="139"/>
      <c r="BU148" s="139"/>
      <c r="BV148" s="139"/>
      <c r="BW148" s="139">
        <v>1</v>
      </c>
      <c r="BX148" s="139"/>
      <c r="BY148" s="139"/>
      <c r="BZ148" s="139"/>
      <c r="CA148" s="139"/>
      <c r="CB148" s="139"/>
      <c r="CC148" s="139"/>
      <c r="CD148" s="139"/>
      <c r="CE148" s="139"/>
      <c r="CF148" s="139"/>
      <c r="CG148" s="139"/>
      <c r="CH148" s="139"/>
      <c r="CI148" s="139"/>
      <c r="CJ148" s="139"/>
      <c r="CK148" s="139"/>
      <c r="CL148" s="139"/>
      <c r="CM148" s="139"/>
      <c r="CN148" s="139"/>
      <c r="CO148" s="139"/>
      <c r="CP148" s="139"/>
      <c r="CQ148" s="139"/>
      <c r="CR148" s="139"/>
      <c r="CS148" s="139"/>
      <c r="CT148" s="139"/>
      <c r="CU148" s="561">
        <f>SUM((AH148*1)+(AI148*1.5)+(AJ148*2)+(AK148*4)+(AP148*5)+(AQ148*6)+(AR148*7)+(AU148*2)+(AX148*3)+(AY148*4)+(AZ148*5)+(BB148*3)+(BA148*2)+(BG148*2)+(BC148*2)+(BD148*2))</f>
        <v>0</v>
      </c>
      <c r="CV148" s="485">
        <f t="shared" si="13"/>
        <v>0</v>
      </c>
      <c r="CW148" s="563">
        <f t="shared" si="14"/>
        <v>3</v>
      </c>
      <c r="CX148" s="432">
        <f t="shared" si="15"/>
        <v>0</v>
      </c>
      <c r="CY148" s="179"/>
    </row>
    <row r="149" spans="1:104" ht="15" thickTop="1" thickBot="1">
      <c r="A149" s="567" t="s">
        <v>602</v>
      </c>
      <c r="B149" s="162" t="str">
        <f>IFERROR(VLOOKUP(ParticipationAvril1[[#This Row],[Référence]],ListeÉtudiants1[],18,FALSE),"")</f>
        <v>LOVELY JOSELITA</v>
      </c>
      <c r="H149" s="510" t="s">
        <v>35</v>
      </c>
      <c r="L149" s="510" t="s">
        <v>108</v>
      </c>
      <c r="M149" s="510" t="s">
        <v>108</v>
      </c>
      <c r="AF149" s="19"/>
      <c r="AG149" s="144"/>
      <c r="AH149" s="439">
        <f>COUNTIF(ParticipationAvril1[[#This Row],[1]:[30]],Code1)</f>
        <v>0</v>
      </c>
      <c r="AI149" s="435">
        <f>COUNTIF(ParticipationAvril1[[#This Row],[1]:[30]],code22)</f>
        <v>0</v>
      </c>
      <c r="AJ149" s="439">
        <f>COUNTIF(ParticipationAvril1[[#This Row],[1]:[30]],Code2)</f>
        <v>0</v>
      </c>
      <c r="AK149" s="439">
        <f>COUNTIF(ParticipationAvril1[[#This Row],[1]:[30]],Code3)</f>
        <v>0</v>
      </c>
      <c r="AL149" s="439">
        <f>COUNTIF(ParticipationAvril1[[#This Row],[1]:[30]],Code4)</f>
        <v>0</v>
      </c>
      <c r="AM149" s="435">
        <f>COUNTIF(ParticipationAvril1[[#This Row],[1]:[30]],Code5)</f>
        <v>1</v>
      </c>
      <c r="AN149" s="435">
        <f>COUNTIF(ParticipationAvril1[[#This Row],[1]:[30]],Code23)</f>
        <v>0</v>
      </c>
      <c r="AO149" s="435">
        <f>COUNTIF(ParticipationAvril1[[#This Row],[1]:[30]],Code6)</f>
        <v>2</v>
      </c>
      <c r="AP149" s="435">
        <f>COUNTIF(ParticipationAvril1[[#This Row],[1]:[30]],Code7)</f>
        <v>0</v>
      </c>
      <c r="AQ149" s="435">
        <f>COUNTIF(ParticipationAvril1[[#This Row],[1]:[30]],Code8)</f>
        <v>0</v>
      </c>
      <c r="AR149" s="435">
        <f>COUNTIF(ParticipationAvril1[[#This Row],[1]:[30]],Code9)</f>
        <v>0</v>
      </c>
      <c r="AS149" s="435">
        <f>COUNTIF(ParticipationAvril1[[#This Row],[1]:[30]],Code10)</f>
        <v>0</v>
      </c>
      <c r="AT149" s="435">
        <f>COUNTIF(ParticipationAvril1[[#This Row],[1]:[30]],Code11)</f>
        <v>0</v>
      </c>
      <c r="AU149" s="435">
        <f>COUNTIF(ParticipationAvril1[[#This Row],[1]:[30]],Code12)</f>
        <v>0</v>
      </c>
      <c r="AV149" s="435">
        <f>COUNTIF(ParticipationAvril1[[#This Row],[1]:[30]],Code13)</f>
        <v>0</v>
      </c>
      <c r="AW149" s="435">
        <f>COUNTIF(ParticipationAvril1[[#This Row],[1]:[30]],Code14)</f>
        <v>0</v>
      </c>
      <c r="AX149" s="435">
        <f>COUNTIF(ParticipationAvril1[[#This Row],[1]:[30]],Code16)</f>
        <v>0</v>
      </c>
      <c r="AY149" s="435">
        <f>COUNTIF(ParticipationAvril1[[#This Row],[1]:[30]],Code15)</f>
        <v>0</v>
      </c>
      <c r="AZ149" s="435">
        <f>COUNTIF(ParticipationAvril1[[#This Row],[1]:[30]],Code17)</f>
        <v>0</v>
      </c>
      <c r="BA149" s="435">
        <f>COUNTIF(ParticipationAvril1[[#This Row],[1]:[30]],Code25)</f>
        <v>0</v>
      </c>
      <c r="BB149" s="435">
        <f>COUNTIF(ParticipationAvril1[[#This Row],[1]:[30]],Code26)</f>
        <v>0</v>
      </c>
      <c r="BC149" s="435">
        <f>COUNTIF(ParticipationAvril1[[#This Row],[1]:[30]],Code27)</f>
        <v>0</v>
      </c>
      <c r="BD149" s="435">
        <f>COUNTIF(ParticipationAvril1[[#This Row],[1]:[30]],Code28)</f>
        <v>0</v>
      </c>
      <c r="BE149" s="435">
        <f>COUNTIF(ParticipationAvril1[[#This Row],[1]:[30]],code30)</f>
        <v>0</v>
      </c>
      <c r="BF149" s="435">
        <f>COUNTIF(ParticipationAvril1[[#This Row],[1]:[30]],Code31)</f>
        <v>0</v>
      </c>
      <c r="BG149" s="435">
        <f>COUNTIF(ParticipationAvril1[[#This Row],[1]:[30]],code21)</f>
        <v>0</v>
      </c>
      <c r="BH149" s="435">
        <f>COUNTIF(ParticipationAvril1[[#This Row],[1]:[30]],Code24)</f>
        <v>0</v>
      </c>
      <c r="BI149" s="435">
        <f>COUNTIF(ParticipationAvril1[[#This Row],[1]:[30]],code18)</f>
        <v>0</v>
      </c>
      <c r="BJ149" s="435">
        <f>COUNTIF(ParticipationAvril1[[#This Row],[1]:[30]],code19)</f>
        <v>0</v>
      </c>
      <c r="BK149" s="435">
        <f>COUNTIF(ParticipationAvril1[[#This Row],[1]:[30]],code20)</f>
        <v>0</v>
      </c>
      <c r="BL149" s="436">
        <f>COUNTIF(ParticipationAvril1[[#This Row],[1]:[30]],code29)</f>
        <v>0</v>
      </c>
      <c r="BM149" s="297"/>
      <c r="BN149" s="297"/>
      <c r="BO149" s="297"/>
      <c r="BP149" s="297"/>
      <c r="BQ149" s="297"/>
      <c r="BR149" s="297"/>
      <c r="BS149" s="297"/>
      <c r="BT149" s="297">
        <v>3</v>
      </c>
      <c r="BU149" s="297"/>
      <c r="BV149" s="297"/>
      <c r="BW149" s="297"/>
      <c r="BX149" s="297"/>
      <c r="BY149" s="297"/>
      <c r="BZ149" s="297"/>
      <c r="CA149" s="297"/>
      <c r="CB149" s="297"/>
      <c r="CC149" s="297"/>
      <c r="CD149" s="297"/>
      <c r="CE149" s="297"/>
      <c r="CF149" s="297"/>
      <c r="CG149" s="297"/>
      <c r="CH149" s="297"/>
      <c r="CI149" s="297"/>
      <c r="CJ149" s="297"/>
      <c r="CK149" s="297"/>
      <c r="CL149" s="297"/>
      <c r="CM149" s="297"/>
      <c r="CN149" s="297"/>
      <c r="CO149" s="297"/>
      <c r="CP149" s="297"/>
      <c r="CQ149" s="297"/>
      <c r="CR149" s="297"/>
      <c r="CS149" s="297"/>
      <c r="CT149" s="297"/>
      <c r="CU149" s="300"/>
      <c r="CV149" s="485">
        <f t="shared" si="13"/>
        <v>0</v>
      </c>
      <c r="CW149" s="499">
        <f t="shared" si="14"/>
        <v>8</v>
      </c>
      <c r="CX149" s="435">
        <f t="shared" si="15"/>
        <v>0</v>
      </c>
      <c r="CY149" s="438"/>
    </row>
    <row r="150" spans="1:104" ht="15" thickTop="1" thickBot="1">
      <c r="A150" s="567" t="s">
        <v>606</v>
      </c>
      <c r="B150" s="162" t="str">
        <f>IFERROR(VLOOKUP(ParticipationAvril1[[#This Row],[Référence]],ListeÉtudiants1[],18,FALSE),"")</f>
        <v>MALULU INGRID</v>
      </c>
      <c r="H150" s="510"/>
      <c r="L150" s="510"/>
      <c r="M150" s="510"/>
      <c r="AF150" s="558"/>
      <c r="AG150" s="484"/>
      <c r="AH150" s="439">
        <f>COUNTIF(ParticipationAvril1[[#This Row],[1]:[30]],Code1)</f>
        <v>0</v>
      </c>
      <c r="AI150" s="474">
        <f>COUNTIF(ParticipationAvril1[[#This Row],[1]:[30]],code22)</f>
        <v>0</v>
      </c>
      <c r="AJ150" s="439">
        <f>COUNTIF(ParticipationAvril1[[#This Row],[1]:[30]],Code2)</f>
        <v>0</v>
      </c>
      <c r="AK150" s="439">
        <f>COUNTIF(ParticipationAvril1[[#This Row],[1]:[30]],Code3)</f>
        <v>0</v>
      </c>
      <c r="AL150" s="439">
        <f>COUNTIF(ParticipationAvril1[[#This Row],[1]:[30]],Code4)</f>
        <v>0</v>
      </c>
      <c r="AM150" s="474">
        <f>COUNTIF(ParticipationAvril1[[#This Row],[1]:[30]],Code5)</f>
        <v>0</v>
      </c>
      <c r="AN150" s="474">
        <f>COUNTIF(ParticipationAvril1[[#This Row],[1]:[30]],Code23)</f>
        <v>0</v>
      </c>
      <c r="AO150" s="474">
        <f>COUNTIF(ParticipationAvril1[[#This Row],[1]:[30]],Code6)</f>
        <v>0</v>
      </c>
      <c r="AP150" s="474">
        <f>COUNTIF(ParticipationAvril1[[#This Row],[1]:[30]],Code7)</f>
        <v>0</v>
      </c>
      <c r="AQ150" s="474">
        <f>COUNTIF(ParticipationAvril1[[#This Row],[1]:[30]],Code8)</f>
        <v>0</v>
      </c>
      <c r="AR150" s="474">
        <f>COUNTIF(ParticipationAvril1[[#This Row],[1]:[30]],Code9)</f>
        <v>0</v>
      </c>
      <c r="AS150" s="474">
        <f>COUNTIF(ParticipationAvril1[[#This Row],[1]:[30]],Code10)</f>
        <v>0</v>
      </c>
      <c r="AT150" s="474">
        <f>COUNTIF(ParticipationAvril1[[#This Row],[1]:[30]],Code11)</f>
        <v>0</v>
      </c>
      <c r="AU150" s="474">
        <f>COUNTIF(ParticipationAvril1[[#This Row],[1]:[30]],Code12)</f>
        <v>0</v>
      </c>
      <c r="AV150" s="474">
        <f>COUNTIF(ParticipationAvril1[[#This Row],[1]:[30]],Code13)</f>
        <v>0</v>
      </c>
      <c r="AW150" s="474">
        <f>COUNTIF(ParticipationAvril1[[#This Row],[1]:[30]],Code14)</f>
        <v>0</v>
      </c>
      <c r="AX150" s="474">
        <f>COUNTIF(ParticipationAvril1[[#This Row],[1]:[30]],Code16)</f>
        <v>0</v>
      </c>
      <c r="AY150" s="474">
        <f>COUNTIF(ParticipationAvril1[[#This Row],[1]:[30]],Code15)</f>
        <v>0</v>
      </c>
      <c r="AZ150" s="474">
        <f>COUNTIF(ParticipationAvril1[[#This Row],[1]:[30]],Code17)</f>
        <v>0</v>
      </c>
      <c r="BA150" s="474">
        <f>COUNTIF(ParticipationAvril1[[#This Row],[1]:[30]],Code25)</f>
        <v>0</v>
      </c>
      <c r="BB150" s="474">
        <f>COUNTIF(ParticipationAvril1[[#This Row],[1]:[30]],Code26)</f>
        <v>0</v>
      </c>
      <c r="BC150" s="474">
        <f>COUNTIF(ParticipationAvril1[[#This Row],[1]:[30]],Code27)</f>
        <v>0</v>
      </c>
      <c r="BD150" s="474">
        <f>COUNTIF(ParticipationAvril1[[#This Row],[1]:[30]],Code28)</f>
        <v>0</v>
      </c>
      <c r="BE150" s="474">
        <f>COUNTIF(ParticipationAvril1[[#This Row],[1]:[30]],code30)</f>
        <v>0</v>
      </c>
      <c r="BF150" s="474">
        <f>COUNTIF(ParticipationAvril1[[#This Row],[1]:[30]],Code31)</f>
        <v>0</v>
      </c>
      <c r="BG150" s="474">
        <f>COUNTIF(ParticipationAvril1[[#This Row],[1]:[30]],code21)</f>
        <v>0</v>
      </c>
      <c r="BH150" s="474">
        <f>COUNTIF(ParticipationAvril1[[#This Row],[1]:[30]],Code24)</f>
        <v>0</v>
      </c>
      <c r="BI150" s="474">
        <f>COUNTIF(ParticipationAvril1[[#This Row],[1]:[30]],code18)</f>
        <v>0</v>
      </c>
      <c r="BJ150" s="474">
        <f>COUNTIF(ParticipationAvril1[[#This Row],[1]:[30]],code19)</f>
        <v>0</v>
      </c>
      <c r="BK150" s="474">
        <f>COUNTIF(ParticipationAvril1[[#This Row],[1]:[30]],code20)</f>
        <v>0</v>
      </c>
      <c r="BL150" s="476">
        <f>COUNTIF(ParticipationAvril1[[#This Row],[1]:[30]],code29)</f>
        <v>0</v>
      </c>
      <c r="BM150" s="472"/>
      <c r="BN150" s="472"/>
      <c r="BO150" s="472"/>
      <c r="BP150" s="472"/>
      <c r="BQ150" s="472"/>
      <c r="BR150" s="472"/>
      <c r="BS150" s="472"/>
      <c r="BT150" s="472"/>
      <c r="BU150" s="472"/>
      <c r="BV150" s="472"/>
      <c r="BW150" s="472"/>
      <c r="BX150" s="472"/>
      <c r="BY150" s="472"/>
      <c r="BZ150" s="472"/>
      <c r="CA150" s="472"/>
      <c r="CB150" s="472"/>
      <c r="CC150" s="472"/>
      <c r="CD150" s="472"/>
      <c r="CE150" s="472"/>
      <c r="CF150" s="472"/>
      <c r="CG150" s="472"/>
      <c r="CH150" s="472"/>
      <c r="CI150" s="472"/>
      <c r="CJ150" s="472"/>
      <c r="CK150" s="472"/>
      <c r="CL150" s="472"/>
      <c r="CM150" s="472"/>
      <c r="CN150" s="472"/>
      <c r="CO150" s="472"/>
      <c r="CP150" s="472"/>
      <c r="CQ150" s="472"/>
      <c r="CR150" s="472"/>
      <c r="CS150" s="472"/>
      <c r="CT150" s="472"/>
      <c r="CU150" s="554">
        <f>SUM((AH150*1)+(AI150*1.5)+(AJ150*2)+(AK150*4)+(AP150*5)+(AQ150*6)+(AR150*7)+(AU150*2)+(AX150*3)+(AY150*4)+(AZ150*5)+(BB150*3)+(BA150*2)+(BG150*2)+(BC150*2)+(BD150*2))</f>
        <v>0</v>
      </c>
      <c r="CV150" s="555">
        <f t="shared" si="13"/>
        <v>0</v>
      </c>
      <c r="CW150" s="556">
        <f t="shared" si="14"/>
        <v>0</v>
      </c>
      <c r="CX150" s="474">
        <f t="shared" si="15"/>
        <v>0</v>
      </c>
      <c r="CY150" s="477"/>
    </row>
    <row r="151" spans="1:104" ht="15" thickTop="1" thickBot="1">
      <c r="A151" s="567" t="s">
        <v>608</v>
      </c>
      <c r="B151" s="162" t="str">
        <f>IFERROR(VLOOKUP(ParticipationAvril1[[#This Row],[Référence]],ListeÉtudiants1[],18,FALSE),"")</f>
        <v>NGOME BEKOMBO CASIMIR</v>
      </c>
      <c r="F151" s="510" t="s">
        <v>108</v>
      </c>
      <c r="AF151" s="19"/>
      <c r="AG151" s="144"/>
      <c r="AH151" s="439">
        <f>COUNTIF(ParticipationAvril1[[#This Row],[1]:[30]],Code1)</f>
        <v>0</v>
      </c>
      <c r="AI151" s="435">
        <f>COUNTIF(ParticipationAvril1[[#This Row],[1]:[30]],code22)</f>
        <v>0</v>
      </c>
      <c r="AJ151" s="439">
        <f>COUNTIF(ParticipationAvril1[[#This Row],[1]:[30]],Code2)</f>
        <v>0</v>
      </c>
      <c r="AK151" s="439">
        <f>COUNTIF(ParticipationAvril1[[#This Row],[1]:[30]],Code3)</f>
        <v>0</v>
      </c>
      <c r="AL151" s="439">
        <f>COUNTIF(ParticipationAvril1[[#This Row],[1]:[30]],Code4)</f>
        <v>0</v>
      </c>
      <c r="AM151" s="435">
        <f>COUNTIF(ParticipationAvril1[[#This Row],[1]:[30]],Code5)</f>
        <v>0</v>
      </c>
      <c r="AN151" s="435">
        <f>COUNTIF(ParticipationAvril1[[#This Row],[1]:[30]],Code23)</f>
        <v>0</v>
      </c>
      <c r="AO151" s="435">
        <f>COUNTIF(ParticipationAvril1[[#This Row],[1]:[30]],Code6)</f>
        <v>1</v>
      </c>
      <c r="AP151" s="435">
        <f>COUNTIF(ParticipationAvril1[[#This Row],[1]:[30]],Code7)</f>
        <v>0</v>
      </c>
      <c r="AQ151" s="435">
        <f>COUNTIF(ParticipationAvril1[[#This Row],[1]:[30]],Code8)</f>
        <v>0</v>
      </c>
      <c r="AR151" s="435">
        <f>COUNTIF(ParticipationAvril1[[#This Row],[1]:[30]],Code9)</f>
        <v>0</v>
      </c>
      <c r="AS151" s="435">
        <f>COUNTIF(ParticipationAvril1[[#This Row],[1]:[30]],Code10)</f>
        <v>0</v>
      </c>
      <c r="AT151" s="435">
        <f>COUNTIF(ParticipationAvril1[[#This Row],[1]:[30]],Code11)</f>
        <v>0</v>
      </c>
      <c r="AU151" s="435">
        <f>COUNTIF(ParticipationAvril1[[#This Row],[1]:[30]],Code12)</f>
        <v>0</v>
      </c>
      <c r="AV151" s="435">
        <f>COUNTIF(ParticipationAvril1[[#This Row],[1]:[30]],Code13)</f>
        <v>0</v>
      </c>
      <c r="AW151" s="435">
        <f>COUNTIF(ParticipationAvril1[[#This Row],[1]:[30]],Code14)</f>
        <v>0</v>
      </c>
      <c r="AX151" s="435">
        <f>COUNTIF(ParticipationAvril1[[#This Row],[1]:[30]],Code16)</f>
        <v>0</v>
      </c>
      <c r="AY151" s="435">
        <f>COUNTIF(ParticipationAvril1[[#This Row],[1]:[30]],Code15)</f>
        <v>0</v>
      </c>
      <c r="AZ151" s="435">
        <f>COUNTIF(ParticipationAvril1[[#This Row],[1]:[30]],Code17)</f>
        <v>0</v>
      </c>
      <c r="BA151" s="435">
        <f>COUNTIF(ParticipationAvril1[[#This Row],[1]:[30]],Code25)</f>
        <v>0</v>
      </c>
      <c r="BB151" s="435">
        <f>COUNTIF(ParticipationAvril1[[#This Row],[1]:[30]],Code26)</f>
        <v>0</v>
      </c>
      <c r="BC151" s="435">
        <f>COUNTIF(ParticipationAvril1[[#This Row],[1]:[30]],Code27)</f>
        <v>0</v>
      </c>
      <c r="BD151" s="435">
        <f>COUNTIF(ParticipationAvril1[[#This Row],[1]:[30]],Code28)</f>
        <v>0</v>
      </c>
      <c r="BE151" s="435">
        <f>COUNTIF(ParticipationAvril1[[#This Row],[1]:[30]],code30)</f>
        <v>0</v>
      </c>
      <c r="BF151" s="435">
        <f>COUNTIF(ParticipationAvril1[[#This Row],[1]:[30]],Code31)</f>
        <v>0</v>
      </c>
      <c r="BG151" s="435">
        <f>COUNTIF(ParticipationAvril1[[#This Row],[1]:[30]],code21)</f>
        <v>0</v>
      </c>
      <c r="BH151" s="435">
        <f>COUNTIF(ParticipationAvril1[[#This Row],[1]:[30]],Code24)</f>
        <v>0</v>
      </c>
      <c r="BI151" s="435">
        <f>COUNTIF(ParticipationAvril1[[#This Row],[1]:[30]],code18)</f>
        <v>0</v>
      </c>
      <c r="BJ151" s="435">
        <f>COUNTIF(ParticipationAvril1[[#This Row],[1]:[30]],code19)</f>
        <v>0</v>
      </c>
      <c r="BK151" s="435">
        <f>COUNTIF(ParticipationAvril1[[#This Row],[1]:[30]],code20)</f>
        <v>0</v>
      </c>
      <c r="BL151" s="436">
        <f>COUNTIF(ParticipationAvril1[[#This Row],[1]:[30]],code29)</f>
        <v>0</v>
      </c>
      <c r="BM151" s="297"/>
      <c r="BN151" s="297"/>
      <c r="BO151" s="297"/>
      <c r="BP151" s="297"/>
      <c r="BQ151" s="297"/>
      <c r="BR151" s="297"/>
      <c r="BS151" s="297"/>
      <c r="BT151" s="297">
        <v>1</v>
      </c>
      <c r="BU151" s="297"/>
      <c r="BV151" s="297"/>
      <c r="BW151" s="297"/>
      <c r="BX151" s="297"/>
      <c r="BY151" s="297"/>
      <c r="BZ151" s="297"/>
      <c r="CA151" s="297"/>
      <c r="CB151" s="297"/>
      <c r="CC151" s="297"/>
      <c r="CD151" s="297"/>
      <c r="CE151" s="297"/>
      <c r="CF151" s="297"/>
      <c r="CG151" s="297"/>
      <c r="CH151" s="297"/>
      <c r="CI151" s="297"/>
      <c r="CJ151" s="297"/>
      <c r="CK151" s="297"/>
      <c r="CL151" s="297"/>
      <c r="CM151" s="297"/>
      <c r="CN151" s="297"/>
      <c r="CO151" s="297"/>
      <c r="CP151" s="297"/>
      <c r="CQ151" s="297"/>
      <c r="CR151" s="297"/>
      <c r="CS151" s="297"/>
      <c r="CT151" s="297"/>
      <c r="CU151" s="300"/>
      <c r="CV151" s="485">
        <f t="shared" si="13"/>
        <v>0</v>
      </c>
      <c r="CW151" s="499">
        <f t="shared" si="14"/>
        <v>3</v>
      </c>
      <c r="CX151" s="331">
        <f t="shared" si="15"/>
        <v>0</v>
      </c>
      <c r="CY151" s="438"/>
    </row>
    <row r="152" spans="1:104" ht="15" thickTop="1" thickBot="1">
      <c r="A152" s="567" t="s">
        <v>609</v>
      </c>
      <c r="B152" s="162" t="str">
        <f>IFERROR(VLOOKUP(ParticipationAvril1[[#This Row],[Référence]],ListeÉtudiants1[],18,FALSE),"")</f>
        <v>SAINTRAY  Dorian</v>
      </c>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478"/>
      <c r="AH152" s="6">
        <f>COUNTIF(ParticipationAvril1[[#This Row],[1]:[30]],Code1)</f>
        <v>0</v>
      </c>
      <c r="AI152" s="475">
        <f>COUNTIF(ParticipationAvril1[[#This Row],[1]:[30]],code22)</f>
        <v>0</v>
      </c>
      <c r="AJ152" s="6">
        <f>COUNTIF(ParticipationAvril1[[#This Row],[1]:[30]],Code2)</f>
        <v>0</v>
      </c>
      <c r="AK152" s="6">
        <f>COUNTIF(ParticipationAvril1[[#This Row],[1]:[30]],Code3)</f>
        <v>0</v>
      </c>
      <c r="AL152" s="6">
        <f>COUNTIF(ParticipationAvril1[[#This Row],[1]:[30]],Code4)</f>
        <v>0</v>
      </c>
      <c r="AM152" s="475">
        <f>COUNTIF(ParticipationAvril1[[#This Row],[1]:[30]],Code5)</f>
        <v>0</v>
      </c>
      <c r="AN152" s="475">
        <f>COUNTIF(ParticipationAvril1[[#This Row],[1]:[30]],Code23)</f>
        <v>0</v>
      </c>
      <c r="AO152" s="475">
        <f>COUNTIF(ParticipationAvril1[[#This Row],[1]:[30]],Code6)</f>
        <v>0</v>
      </c>
      <c r="AP152" s="475">
        <f>COUNTIF(ParticipationAvril1[[#This Row],[1]:[30]],Code7)</f>
        <v>0</v>
      </c>
      <c r="AQ152" s="475">
        <f>COUNTIF(ParticipationAvril1[[#This Row],[1]:[30]],Code8)</f>
        <v>0</v>
      </c>
      <c r="AR152" s="475">
        <f>COUNTIF(ParticipationAvril1[[#This Row],[1]:[30]],Code9)</f>
        <v>0</v>
      </c>
      <c r="AS152" s="475">
        <f>COUNTIF(ParticipationAvril1[[#This Row],[1]:[30]],Code10)</f>
        <v>0</v>
      </c>
      <c r="AT152" s="475">
        <f>COUNTIF(ParticipationAvril1[[#This Row],[1]:[30]],Code11)</f>
        <v>0</v>
      </c>
      <c r="AU152" s="475">
        <f>COUNTIF(ParticipationAvril1[[#This Row],[1]:[30]],Code12)</f>
        <v>0</v>
      </c>
      <c r="AV152" s="475">
        <f>COUNTIF(ParticipationAvril1[[#This Row],[1]:[30]],Code13)</f>
        <v>0</v>
      </c>
      <c r="AW152" s="475">
        <f>COUNTIF(ParticipationAvril1[[#This Row],[1]:[30]],Code14)</f>
        <v>0</v>
      </c>
      <c r="AX152" s="475">
        <f>COUNTIF(ParticipationAvril1[[#This Row],[1]:[30]],Code16)</f>
        <v>0</v>
      </c>
      <c r="AY152" s="475">
        <f>COUNTIF(ParticipationAvril1[[#This Row],[1]:[30]],Code15)</f>
        <v>0</v>
      </c>
      <c r="AZ152" s="475">
        <f>COUNTIF(ParticipationAvril1[[#This Row],[1]:[30]],Code17)</f>
        <v>0</v>
      </c>
      <c r="BA152" s="475">
        <f>COUNTIF(ParticipationAvril1[[#This Row],[1]:[30]],Code25)</f>
        <v>0</v>
      </c>
      <c r="BB152" s="475">
        <f>COUNTIF(ParticipationAvril1[[#This Row],[1]:[30]],Code26)</f>
        <v>0</v>
      </c>
      <c r="BC152" s="474">
        <f>COUNTIF(ParticipationAvril1[[#This Row],[1]:[30]],Code27)</f>
        <v>0</v>
      </c>
      <c r="BD152" s="475">
        <f>COUNTIF(ParticipationAvril1[[#This Row],[1]:[30]],Code28)</f>
        <v>0</v>
      </c>
      <c r="BE152" s="475">
        <f>COUNTIF(ParticipationAvril1[[#This Row],[1]:[30]],code30)</f>
        <v>0</v>
      </c>
      <c r="BF152" s="475">
        <f>COUNTIF(ParticipationAvril1[[#This Row],[1]:[30]],Code31)</f>
        <v>0</v>
      </c>
      <c r="BG152" s="475">
        <f>COUNTIF(ParticipationAvril1[[#This Row],[1]:[30]],code21)</f>
        <v>0</v>
      </c>
      <c r="BH152" s="475">
        <f>COUNTIF(ParticipationAvril1[[#This Row],[1]:[30]],Code24)</f>
        <v>0</v>
      </c>
      <c r="BI152" s="475">
        <f>COUNTIF(ParticipationAvril1[[#This Row],[1]:[30]],code18)</f>
        <v>0</v>
      </c>
      <c r="BJ152" s="475">
        <f>COUNTIF(ParticipationAvril1[[#This Row],[1]:[30]],code19)</f>
        <v>0</v>
      </c>
      <c r="BK152" s="475">
        <f>COUNTIF(ParticipationAvril1[[#This Row],[1]:[30]],code20)</f>
        <v>0</v>
      </c>
      <c r="BL152" s="476">
        <f>COUNTIF(ParticipationAvril1[[#This Row],[1]:[30]],code29)</f>
        <v>0</v>
      </c>
      <c r="BM152" s="472"/>
      <c r="BN152" s="472"/>
      <c r="BO152" s="472"/>
      <c r="BP152" s="472"/>
      <c r="BQ152" s="472"/>
      <c r="BR152" s="472"/>
      <c r="BS152" s="472"/>
      <c r="BT152" s="472"/>
      <c r="BU152" s="472"/>
      <c r="BV152" s="472"/>
      <c r="BW152" s="472"/>
      <c r="BX152" s="472"/>
      <c r="BY152" s="472"/>
      <c r="BZ152" s="472"/>
      <c r="CA152" s="472"/>
      <c r="CB152" s="472"/>
      <c r="CC152" s="472"/>
      <c r="CD152" s="472"/>
      <c r="CE152" s="472"/>
      <c r="CF152" s="472"/>
      <c r="CG152" s="472"/>
      <c r="CH152" s="472"/>
      <c r="CI152" s="472"/>
      <c r="CJ152" s="472"/>
      <c r="CK152" s="472"/>
      <c r="CL152" s="472"/>
      <c r="CM152" s="472"/>
      <c r="CN152" s="472"/>
      <c r="CO152" s="472"/>
      <c r="CP152" s="472"/>
      <c r="CQ152" s="472"/>
      <c r="CR152" s="472"/>
      <c r="CS152" s="473"/>
      <c r="CT152" s="473"/>
      <c r="CU152" s="516">
        <f>SUM((AH152*1)+(AI152*1.5)+(AJ152*2)+(AK152*4)+(AP152*5)+(AQ152*6)+(AR152*7)+(AU152*2)+(AX152*3)+(AY152*4)+(AZ152*5)+(BB152*3)+(BA152*2)+(BG152*2)+(BC152*2)+(BD152*2))</f>
        <v>0</v>
      </c>
      <c r="CV152" s="555">
        <f t="shared" si="13"/>
        <v>0</v>
      </c>
      <c r="CW152" s="562">
        <f t="shared" si="14"/>
        <v>0</v>
      </c>
      <c r="CX152" s="475">
        <f t="shared" si="15"/>
        <v>0</v>
      </c>
      <c r="CY152" s="477"/>
    </row>
    <row r="153" spans="1:104" ht="15" thickTop="1" thickBot="1">
      <c r="A153" s="567" t="s">
        <v>613</v>
      </c>
      <c r="B153" s="162" t="str">
        <f>IFERROR(VLOOKUP(ParticipationAvril1[[#This Row],[Référence]],ListeÉtudiants1[],18,FALSE),"")</f>
        <v xml:space="preserve">SISSOKO </v>
      </c>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558"/>
      <c r="AG153" s="484"/>
      <c r="AH153" s="6">
        <f>COUNTIF(ParticipationAvril1[[#This Row],[1]:[30]],Code1)</f>
        <v>0</v>
      </c>
      <c r="AI153" s="475">
        <f>COUNTIF(ParticipationAvril1[[#This Row],[1]:[30]],code22)</f>
        <v>0</v>
      </c>
      <c r="AJ153" s="6">
        <f>COUNTIF(ParticipationAvril1[[#This Row],[1]:[30]],Code2)</f>
        <v>0</v>
      </c>
      <c r="AK153" s="6">
        <f>COUNTIF(ParticipationAvril1[[#This Row],[1]:[30]],Code3)</f>
        <v>0</v>
      </c>
      <c r="AL153" s="6">
        <f>COUNTIF(ParticipationAvril1[[#This Row],[1]:[30]],Code4)</f>
        <v>0</v>
      </c>
      <c r="AM153" s="475">
        <f>COUNTIF(ParticipationAvril1[[#This Row],[1]:[30]],Code5)</f>
        <v>0</v>
      </c>
      <c r="AN153" s="475">
        <f>COUNTIF(ParticipationAvril1[[#This Row],[1]:[30]],Code23)</f>
        <v>0</v>
      </c>
      <c r="AO153" s="475">
        <f>COUNTIF(ParticipationAvril1[[#This Row],[1]:[30]],Code6)</f>
        <v>0</v>
      </c>
      <c r="AP153" s="475">
        <f>COUNTIF(ParticipationAvril1[[#This Row],[1]:[30]],Code7)</f>
        <v>0</v>
      </c>
      <c r="AQ153" s="475">
        <f>COUNTIF(ParticipationAvril1[[#This Row],[1]:[30]],Code8)</f>
        <v>0</v>
      </c>
      <c r="AR153" s="475">
        <f>COUNTIF(ParticipationAvril1[[#This Row],[1]:[30]],Code9)</f>
        <v>0</v>
      </c>
      <c r="AS153" s="475">
        <f>COUNTIF(ParticipationAvril1[[#This Row],[1]:[30]],Code10)</f>
        <v>0</v>
      </c>
      <c r="AT153" s="475">
        <f>COUNTIF(ParticipationAvril1[[#This Row],[1]:[30]],Code11)</f>
        <v>0</v>
      </c>
      <c r="AU153" s="475">
        <f>COUNTIF(ParticipationAvril1[[#This Row],[1]:[30]],Code12)</f>
        <v>0</v>
      </c>
      <c r="AV153" s="475">
        <f>COUNTIF(ParticipationAvril1[[#This Row],[1]:[30]],Code13)</f>
        <v>0</v>
      </c>
      <c r="AW153" s="475">
        <f>COUNTIF(ParticipationAvril1[[#This Row],[1]:[30]],Code14)</f>
        <v>0</v>
      </c>
      <c r="AX153" s="475">
        <f>COUNTIF(ParticipationAvril1[[#This Row],[1]:[30]],Code16)</f>
        <v>0</v>
      </c>
      <c r="AY153" s="475">
        <f>COUNTIF(ParticipationAvril1[[#This Row],[1]:[30]],Code15)</f>
        <v>0</v>
      </c>
      <c r="AZ153" s="475">
        <f>COUNTIF(ParticipationAvril1[[#This Row],[1]:[30]],Code17)</f>
        <v>0</v>
      </c>
      <c r="BA153" s="475">
        <f>COUNTIF(ParticipationAvril1[[#This Row],[1]:[30]],Code25)</f>
        <v>0</v>
      </c>
      <c r="BB153" s="475">
        <f>COUNTIF(ParticipationAvril1[[#This Row],[1]:[30]],Code26)</f>
        <v>0</v>
      </c>
      <c r="BC153" s="474">
        <f>COUNTIF(ParticipationAvril1[[#This Row],[1]:[30]],Code27)</f>
        <v>0</v>
      </c>
      <c r="BD153" s="475">
        <f>COUNTIF(ParticipationAvril1[[#This Row],[1]:[30]],Code28)</f>
        <v>0</v>
      </c>
      <c r="BE153" s="475">
        <f>COUNTIF(ParticipationAvril1[[#This Row],[1]:[30]],code30)</f>
        <v>0</v>
      </c>
      <c r="BF153" s="475">
        <f>COUNTIF(ParticipationAvril1[[#This Row],[1]:[30]],Code31)</f>
        <v>0</v>
      </c>
      <c r="BG153" s="475">
        <f>COUNTIF(ParticipationAvril1[[#This Row],[1]:[30]],code21)</f>
        <v>0</v>
      </c>
      <c r="BH153" s="475">
        <f>COUNTIF(ParticipationAvril1[[#This Row],[1]:[30]],Code24)</f>
        <v>0</v>
      </c>
      <c r="BI153" s="475">
        <f>COUNTIF(ParticipationAvril1[[#This Row],[1]:[30]],code18)</f>
        <v>0</v>
      </c>
      <c r="BJ153" s="475">
        <f>COUNTIF(ParticipationAvril1[[#This Row],[1]:[30]],code19)</f>
        <v>0</v>
      </c>
      <c r="BK153" s="475">
        <f>COUNTIF(ParticipationAvril1[[#This Row],[1]:[30]],code20)</f>
        <v>0</v>
      </c>
      <c r="BL153" s="476">
        <f>COUNTIF(ParticipationAvril1[[#This Row],[1]:[30]],code29)</f>
        <v>0</v>
      </c>
      <c r="BM153" s="472"/>
      <c r="BN153" s="472"/>
      <c r="BO153" s="472"/>
      <c r="BP153" s="472"/>
      <c r="BQ153" s="472"/>
      <c r="BR153" s="472"/>
      <c r="BS153" s="472"/>
      <c r="BT153" s="472"/>
      <c r="BU153" s="472"/>
      <c r="BV153" s="472"/>
      <c r="BW153" s="472"/>
      <c r="BX153" s="472"/>
      <c r="BY153" s="472"/>
      <c r="BZ153" s="472"/>
      <c r="CA153" s="472"/>
      <c r="CB153" s="472"/>
      <c r="CC153" s="472"/>
      <c r="CD153" s="472"/>
      <c r="CE153" s="472"/>
      <c r="CF153" s="472"/>
      <c r="CG153" s="472"/>
      <c r="CH153" s="472"/>
      <c r="CI153" s="472"/>
      <c r="CJ153" s="472"/>
      <c r="CK153" s="472"/>
      <c r="CL153" s="472"/>
      <c r="CM153" s="472"/>
      <c r="CN153" s="472"/>
      <c r="CO153" s="472"/>
      <c r="CP153" s="472"/>
      <c r="CQ153" s="472"/>
      <c r="CR153" s="472"/>
      <c r="CS153" s="473"/>
      <c r="CT153" s="473"/>
      <c r="CU153" s="554">
        <f>SUM((AH153*1)+(AI153*1.5)+(AJ153*2)+(AK153*4)+(AP153*5)+(AQ153*6)+(AR153*7)+(AU153*2)+(AX153*3)+(AY153*4)+(AZ153*5)+(BB153*3)+(BA153*2)+(BG153*2)+(BC153*2)+(BD153*2))</f>
        <v>0</v>
      </c>
      <c r="CV153" s="555">
        <f t="shared" si="13"/>
        <v>0</v>
      </c>
      <c r="CW153" s="556">
        <f t="shared" si="14"/>
        <v>0</v>
      </c>
      <c r="CX153" s="475">
        <f t="shared" si="15"/>
        <v>0</v>
      </c>
      <c r="CY153" s="477"/>
    </row>
    <row r="154" spans="1:104" ht="15" thickTop="1" thickBot="1">
      <c r="A154" s="567" t="s">
        <v>614</v>
      </c>
      <c r="B154" s="162" t="str">
        <f>IFERROR(VLOOKUP(ParticipationAvril1[[#This Row],[Référence]],ListeÉtudiants1[],18,FALSE),"")</f>
        <v>ZAKHOUR Samantha</v>
      </c>
      <c r="H154" s="479"/>
      <c r="M154" s="480"/>
      <c r="AF154" s="19"/>
      <c r="AG154" s="478"/>
      <c r="AH154" s="439">
        <f>COUNTIF(ParticipationAvril1[[#This Row],[1]:[30]],Code1)</f>
        <v>0</v>
      </c>
      <c r="AI154" s="474">
        <f>COUNTIF(ParticipationAvril1[[#This Row],[1]:[30]],code22)</f>
        <v>0</v>
      </c>
      <c r="AJ154" s="439">
        <f>COUNTIF(ParticipationAvril1[[#This Row],[1]:[30]],Code2)</f>
        <v>0</v>
      </c>
      <c r="AK154" s="439">
        <f>COUNTIF(ParticipationAvril1[[#This Row],[1]:[30]],Code3)</f>
        <v>0</v>
      </c>
      <c r="AL154" s="439">
        <f>COUNTIF(ParticipationAvril1[[#This Row],[1]:[30]],Code4)</f>
        <v>0</v>
      </c>
      <c r="AM154" s="474">
        <f>COUNTIF(ParticipationAvril1[[#This Row],[1]:[30]],Code5)</f>
        <v>0</v>
      </c>
      <c r="AN154" s="474">
        <f>COUNTIF(ParticipationAvril1[[#This Row],[1]:[30]],Code23)</f>
        <v>0</v>
      </c>
      <c r="AO154" s="474">
        <f>COUNTIF(ParticipationAvril1[[#This Row],[1]:[30]],Code6)</f>
        <v>0</v>
      </c>
      <c r="AP154" s="474">
        <f>COUNTIF(ParticipationAvril1[[#This Row],[1]:[30]],Code7)</f>
        <v>0</v>
      </c>
      <c r="AQ154" s="474">
        <f>COUNTIF(ParticipationAvril1[[#This Row],[1]:[30]],Code8)</f>
        <v>0</v>
      </c>
      <c r="AR154" s="474">
        <f>COUNTIF(ParticipationAvril1[[#This Row],[1]:[30]],Code9)</f>
        <v>0</v>
      </c>
      <c r="AS154" s="474">
        <f>COUNTIF(ParticipationAvril1[[#This Row],[1]:[30]],Code10)</f>
        <v>0</v>
      </c>
      <c r="AT154" s="474">
        <f>COUNTIF(ParticipationAvril1[[#This Row],[1]:[30]],Code11)</f>
        <v>0</v>
      </c>
      <c r="AU154" s="474">
        <f>COUNTIF(ParticipationAvril1[[#This Row],[1]:[30]],Code12)</f>
        <v>0</v>
      </c>
      <c r="AV154" s="474">
        <f>COUNTIF(ParticipationAvril1[[#This Row],[1]:[30]],Code13)</f>
        <v>0</v>
      </c>
      <c r="AW154" s="474">
        <f>COUNTIF(ParticipationAvril1[[#This Row],[1]:[30]],Code14)</f>
        <v>0</v>
      </c>
      <c r="AX154" s="474">
        <f>COUNTIF(ParticipationAvril1[[#This Row],[1]:[30]],Code16)</f>
        <v>0</v>
      </c>
      <c r="AY154" s="474">
        <f>COUNTIF(ParticipationAvril1[[#This Row],[1]:[30]],Code15)</f>
        <v>0</v>
      </c>
      <c r="AZ154" s="474">
        <f>COUNTIF(ParticipationAvril1[[#This Row],[1]:[30]],Code17)</f>
        <v>0</v>
      </c>
      <c r="BA154" s="474">
        <f>COUNTIF(ParticipationAvril1[[#This Row],[1]:[30]],Code25)</f>
        <v>0</v>
      </c>
      <c r="BB154" s="474">
        <f>COUNTIF(ParticipationAvril1[[#This Row],[1]:[30]],Code26)</f>
        <v>0</v>
      </c>
      <c r="BC154" s="474">
        <f>COUNTIF(ParticipationAvril1[[#This Row],[1]:[30]],Code27)</f>
        <v>0</v>
      </c>
      <c r="BD154" s="474">
        <f>COUNTIF(ParticipationAvril1[[#This Row],[1]:[30]],Code28)</f>
        <v>0</v>
      </c>
      <c r="BE154" s="474">
        <f>COUNTIF(ParticipationAvril1[[#This Row],[1]:[30]],code30)</f>
        <v>0</v>
      </c>
      <c r="BF154" s="474">
        <f>COUNTIF(ParticipationAvril1[[#This Row],[1]:[30]],Code31)</f>
        <v>0</v>
      </c>
      <c r="BG154" s="474">
        <f>COUNTIF(ParticipationAvril1[[#This Row],[1]:[30]],code21)</f>
        <v>0</v>
      </c>
      <c r="BH154" s="474">
        <f>COUNTIF(ParticipationAvril1[[#This Row],[1]:[30]],Code24)</f>
        <v>0</v>
      </c>
      <c r="BI154" s="474">
        <f>COUNTIF(ParticipationAvril1[[#This Row],[1]:[30]],code18)</f>
        <v>0</v>
      </c>
      <c r="BJ154" s="474">
        <f>COUNTIF(ParticipationAvril1[[#This Row],[1]:[30]],code19)</f>
        <v>0</v>
      </c>
      <c r="BK154" s="474">
        <f>COUNTIF(ParticipationAvril1[[#This Row],[1]:[30]],code20)</f>
        <v>0</v>
      </c>
      <c r="BL154" s="476">
        <f>COUNTIF(ParticipationAvril1[[#This Row],[1]:[30]],code29)</f>
        <v>0</v>
      </c>
      <c r="BM154" s="472"/>
      <c r="BN154" s="472"/>
      <c r="BO154" s="472"/>
      <c r="BP154" s="472"/>
      <c r="BQ154" s="472"/>
      <c r="BR154" s="472"/>
      <c r="BS154" s="472"/>
      <c r="BT154" s="472"/>
      <c r="BU154" s="472"/>
      <c r="BV154" s="472"/>
      <c r="BW154" s="472"/>
      <c r="BX154" s="472"/>
      <c r="BY154" s="472"/>
      <c r="BZ154" s="472"/>
      <c r="CA154" s="472"/>
      <c r="CB154" s="472"/>
      <c r="CC154" s="472"/>
      <c r="CD154" s="472"/>
      <c r="CE154" s="472"/>
      <c r="CF154" s="472"/>
      <c r="CG154" s="472"/>
      <c r="CH154" s="472"/>
      <c r="CI154" s="472"/>
      <c r="CJ154" s="472"/>
      <c r="CK154" s="472"/>
      <c r="CL154" s="472"/>
      <c r="CM154" s="472"/>
      <c r="CN154" s="472"/>
      <c r="CO154" s="472"/>
      <c r="CP154" s="472"/>
      <c r="CQ154" s="472"/>
      <c r="CR154" s="472"/>
      <c r="CS154" s="472"/>
      <c r="CT154" s="472"/>
      <c r="CU154" s="516">
        <f>SUM((AH154*1)+(AI154*1.5)+(AJ154*2)+(AK154*4)+(AP154*5)+(AQ154*6)+(AR154*7)+(AU154*2)+(AX154*3)+(AY154*4)+(AZ154*5)+(BB154*3)+(BA154*2)+(BG154*2)+(BC154*2)+(BD154*2))</f>
        <v>0</v>
      </c>
      <c r="CV154" s="555">
        <f t="shared" si="13"/>
        <v>0</v>
      </c>
      <c r="CW154" s="562">
        <f t="shared" si="14"/>
        <v>0</v>
      </c>
      <c r="CX154" s="474">
        <f t="shared" si="15"/>
        <v>0</v>
      </c>
      <c r="CY154" s="477"/>
    </row>
    <row r="155" spans="1:104" ht="15" thickTop="1" thickBot="1">
      <c r="B155" s="162" t="str">
        <f>IFERROR(VLOOKUP(ParticipationAvril1[[#This Row],[Référence]],ListeÉtudiants1[],18,FALSE),"")</f>
        <v/>
      </c>
      <c r="F155" s="510"/>
      <c r="AF155" s="558"/>
      <c r="AG155" s="484"/>
      <c r="AH155" s="439">
        <f>COUNTIF(ParticipationAvril1[[#This Row],[1]:[30]],Code1)</f>
        <v>0</v>
      </c>
      <c r="AI155" s="474">
        <f>COUNTIF(ParticipationAvril1[[#This Row],[1]:[30]],code22)</f>
        <v>0</v>
      </c>
      <c r="AJ155" s="439">
        <f>COUNTIF(ParticipationAvril1[[#This Row],[1]:[30]],Code2)</f>
        <v>0</v>
      </c>
      <c r="AK155" s="439">
        <f>COUNTIF(ParticipationAvril1[[#This Row],[1]:[30]],Code3)</f>
        <v>0</v>
      </c>
      <c r="AL155" s="439">
        <f>COUNTIF(ParticipationAvril1[[#This Row],[1]:[30]],Code4)</f>
        <v>0</v>
      </c>
      <c r="AM155" s="474">
        <f>COUNTIF(ParticipationAvril1[[#This Row],[1]:[30]],Code5)</f>
        <v>0</v>
      </c>
      <c r="AN155" s="474">
        <f>COUNTIF(ParticipationAvril1[[#This Row],[1]:[30]],Code23)</f>
        <v>0</v>
      </c>
      <c r="AO155" s="474">
        <f>COUNTIF(ParticipationAvril1[[#This Row],[1]:[30]],Code6)</f>
        <v>0</v>
      </c>
      <c r="AP155" s="474">
        <f>COUNTIF(ParticipationAvril1[[#This Row],[1]:[30]],Code7)</f>
        <v>0</v>
      </c>
      <c r="AQ155" s="474">
        <f>COUNTIF(ParticipationAvril1[[#This Row],[1]:[30]],Code8)</f>
        <v>0</v>
      </c>
      <c r="AR155" s="474">
        <f>COUNTIF(ParticipationAvril1[[#This Row],[1]:[30]],Code9)</f>
        <v>0</v>
      </c>
      <c r="AS155" s="474">
        <f>COUNTIF(ParticipationAvril1[[#This Row],[1]:[30]],Code10)</f>
        <v>0</v>
      </c>
      <c r="AT155" s="474">
        <f>COUNTIF(ParticipationAvril1[[#This Row],[1]:[30]],Code11)</f>
        <v>0</v>
      </c>
      <c r="AU155" s="474">
        <f>COUNTIF(ParticipationAvril1[[#This Row],[1]:[30]],Code12)</f>
        <v>0</v>
      </c>
      <c r="AV155" s="474">
        <f>COUNTIF(ParticipationAvril1[[#This Row],[1]:[30]],Code13)</f>
        <v>0</v>
      </c>
      <c r="AW155" s="474">
        <f>COUNTIF(ParticipationAvril1[[#This Row],[1]:[30]],Code14)</f>
        <v>0</v>
      </c>
      <c r="AX155" s="474">
        <f>COUNTIF(ParticipationAvril1[[#This Row],[1]:[30]],Code16)</f>
        <v>0</v>
      </c>
      <c r="AY155" s="474">
        <f>COUNTIF(ParticipationAvril1[[#This Row],[1]:[30]],Code15)</f>
        <v>0</v>
      </c>
      <c r="AZ155" s="474">
        <f>COUNTIF(ParticipationAvril1[[#This Row],[1]:[30]],Code17)</f>
        <v>0</v>
      </c>
      <c r="BA155" s="474">
        <f>COUNTIF(ParticipationAvril1[[#This Row],[1]:[30]],Code25)</f>
        <v>0</v>
      </c>
      <c r="BB155" s="474">
        <f>COUNTIF(ParticipationAvril1[[#This Row],[1]:[30]],Code26)</f>
        <v>0</v>
      </c>
      <c r="BC155" s="474">
        <f>COUNTIF(ParticipationAvril1[[#This Row],[1]:[30]],Code27)</f>
        <v>0</v>
      </c>
      <c r="BD155" s="474">
        <f>COUNTIF(ParticipationAvril1[[#This Row],[1]:[30]],Code28)</f>
        <v>0</v>
      </c>
      <c r="BE155" s="474">
        <f>COUNTIF(ParticipationAvril1[[#This Row],[1]:[30]],code30)</f>
        <v>0</v>
      </c>
      <c r="BF155" s="474">
        <f>COUNTIF(ParticipationAvril1[[#This Row],[1]:[30]],Code31)</f>
        <v>0</v>
      </c>
      <c r="BG155" s="474">
        <f>COUNTIF(ParticipationAvril1[[#This Row],[1]:[30]],code21)</f>
        <v>0</v>
      </c>
      <c r="BH155" s="474">
        <f>COUNTIF(ParticipationAvril1[[#This Row],[1]:[30]],Code24)</f>
        <v>0</v>
      </c>
      <c r="BI155" s="474">
        <f>COUNTIF(ParticipationAvril1[[#This Row],[1]:[30]],code18)</f>
        <v>0</v>
      </c>
      <c r="BJ155" s="474">
        <f>COUNTIF(ParticipationAvril1[[#This Row],[1]:[30]],code19)</f>
        <v>0</v>
      </c>
      <c r="BK155" s="474">
        <f>COUNTIF(ParticipationAvril1[[#This Row],[1]:[30]],code20)</f>
        <v>0</v>
      </c>
      <c r="BL155" s="476">
        <f>COUNTIF(ParticipationAvril1[[#This Row],[1]:[30]],code29)</f>
        <v>0</v>
      </c>
      <c r="BM155" s="472"/>
      <c r="BN155" s="472"/>
      <c r="BO155" s="472"/>
      <c r="BP155" s="472"/>
      <c r="BQ155" s="472"/>
      <c r="BR155" s="472"/>
      <c r="BS155" s="472"/>
      <c r="BT155" s="472"/>
      <c r="BU155" s="472"/>
      <c r="BV155" s="472"/>
      <c r="BW155" s="472"/>
      <c r="BX155" s="472"/>
      <c r="BY155" s="472"/>
      <c r="BZ155" s="472"/>
      <c r="CA155" s="472"/>
      <c r="CB155" s="472"/>
      <c r="CC155" s="472"/>
      <c r="CD155" s="472"/>
      <c r="CE155" s="472"/>
      <c r="CF155" s="472"/>
      <c r="CG155" s="472"/>
      <c r="CH155" s="472"/>
      <c r="CI155" s="472"/>
      <c r="CJ155" s="472"/>
      <c r="CK155" s="472"/>
      <c r="CL155" s="472"/>
      <c r="CM155" s="472"/>
      <c r="CN155" s="472"/>
      <c r="CO155" s="472"/>
      <c r="CP155" s="472"/>
      <c r="CQ155" s="472"/>
      <c r="CR155" s="472"/>
      <c r="CS155" s="472"/>
      <c r="CT155" s="472"/>
      <c r="CU155" s="554">
        <f>SUM((AH155*1)+(AI155*1.5)+(AJ155*2)+(AK155*4)+(AP155*5)+(AQ155*6)+(AR155*7)+(AU155*2)+(AX155*3)+(AY155*4)+(AZ155*5)+(BB155*3)+(BA155*2)+(BG155*2)+(BC155*2)+(BD155*2))</f>
        <v>0</v>
      </c>
      <c r="CV155" s="555">
        <f t="shared" si="13"/>
        <v>0</v>
      </c>
      <c r="CW155" s="556">
        <f t="shared" si="14"/>
        <v>0</v>
      </c>
      <c r="CX155" s="475">
        <f t="shared" si="15"/>
        <v>0</v>
      </c>
      <c r="CY155" s="477"/>
    </row>
    <row r="156" spans="1:104" ht="14.25" thickTop="1">
      <c r="A156" s="469"/>
      <c r="B156" s="470"/>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1"/>
      <c r="AJ156" s="471"/>
      <c r="AK156" s="471"/>
      <c r="AL156" s="471"/>
      <c r="AM156" s="471"/>
      <c r="AN156" s="471"/>
      <c r="AO156" s="471"/>
      <c r="AP156" s="471"/>
      <c r="AQ156" s="471"/>
      <c r="AR156" s="471"/>
      <c r="AS156" s="471"/>
      <c r="AT156" s="471"/>
      <c r="AU156" s="471"/>
      <c r="AV156" s="471"/>
      <c r="AW156" s="471"/>
      <c r="AX156" s="471"/>
      <c r="AY156" s="471"/>
      <c r="AZ156" s="471"/>
      <c r="BA156" s="471"/>
      <c r="BB156" s="471"/>
      <c r="BC156" s="471"/>
      <c r="BD156" s="471"/>
      <c r="BE156" s="471"/>
      <c r="BF156" s="471"/>
      <c r="BG156" s="471"/>
      <c r="BH156" s="471"/>
      <c r="BI156" s="469"/>
      <c r="BJ156" s="469"/>
      <c r="BK156" s="469"/>
      <c r="BL156" s="469"/>
      <c r="BM156" s="472"/>
      <c r="BN156" s="472"/>
      <c r="BO156" s="472"/>
      <c r="BP156" s="472"/>
      <c r="BQ156" s="472"/>
      <c r="BR156" s="472"/>
      <c r="BS156" s="472"/>
      <c r="BT156" s="472"/>
      <c r="BU156" s="472"/>
      <c r="BV156" s="472"/>
      <c r="BW156" s="472"/>
      <c r="BX156" s="472"/>
      <c r="BY156" s="472"/>
      <c r="BZ156" s="472"/>
      <c r="CA156" s="472"/>
      <c r="CB156" s="472"/>
      <c r="CC156" s="472"/>
      <c r="CD156" s="472"/>
      <c r="CE156" s="472"/>
      <c r="CF156" s="472"/>
      <c r="CG156" s="472"/>
      <c r="CH156" s="472"/>
      <c r="CI156" s="472"/>
      <c r="CJ156" s="472"/>
      <c r="CK156" s="472"/>
      <c r="CL156" s="472"/>
      <c r="CM156" s="472"/>
      <c r="CN156" s="472"/>
      <c r="CO156" s="472"/>
      <c r="CP156" s="472"/>
      <c r="CQ156" s="472"/>
      <c r="CR156" s="472"/>
      <c r="CS156" s="473"/>
      <c r="CT156" s="473"/>
      <c r="CU156" s="473"/>
      <c r="CV156" s="529"/>
      <c r="CW156" s="529"/>
      <c r="CX156" s="529"/>
      <c r="CY156" s="469"/>
      <c r="CZ156" s="529"/>
    </row>
    <row r="157" spans="1:104">
      <c r="BN157" s="30"/>
      <c r="BO157" s="30"/>
      <c r="BP157" s="30"/>
      <c r="BQ157" s="139"/>
      <c r="BR157" s="139"/>
      <c r="BS157" s="139"/>
      <c r="BT157" s="139"/>
      <c r="BU157" s="139"/>
      <c r="BV157" s="139"/>
      <c r="BW157" s="139"/>
      <c r="BX157" s="139"/>
      <c r="BY157" s="139"/>
      <c r="BZ157" s="139"/>
      <c r="CA157" s="139"/>
      <c r="CB157" s="139"/>
      <c r="CC157" s="139"/>
      <c r="CD157" s="139"/>
      <c r="CE157" s="139"/>
      <c r="CF157" s="139"/>
      <c r="CG157" s="139"/>
      <c r="CH157" s="139"/>
      <c r="CI157" s="139"/>
      <c r="CJ157" s="139"/>
      <c r="CK157" s="139"/>
      <c r="CL157" s="139"/>
      <c r="CM157" s="139"/>
      <c r="CN157" s="139"/>
      <c r="CO157" s="139"/>
      <c r="CP157" s="139"/>
      <c r="CQ157" s="139"/>
      <c r="CR157" s="139"/>
      <c r="CS157" s="139"/>
      <c r="CT157" s="139"/>
      <c r="CU157" s="139"/>
      <c r="CV157" s="139"/>
    </row>
    <row r="158" spans="1:104">
      <c r="BN158" s="293"/>
      <c r="BO158" s="293"/>
      <c r="BP158" s="293"/>
      <c r="BQ158" s="292"/>
      <c r="BR158" s="292"/>
      <c r="BS158" s="292"/>
      <c r="BT158" s="292"/>
      <c r="BU158" s="292"/>
      <c r="BV158" s="292"/>
      <c r="BW158" s="292"/>
      <c r="BX158" s="292"/>
      <c r="BY158" s="292"/>
      <c r="BZ158" s="292"/>
      <c r="CA158" s="292"/>
      <c r="CB158" s="292"/>
      <c r="CC158" s="292"/>
      <c r="CD158" s="292"/>
      <c r="CE158" s="292"/>
      <c r="CF158" s="292"/>
      <c r="CG158" s="292"/>
      <c r="CH158" s="292"/>
      <c r="CI158" s="292"/>
      <c r="CJ158" s="292"/>
      <c r="CK158" s="292"/>
      <c r="CL158" s="292"/>
      <c r="CM158" s="292"/>
      <c r="CN158" s="292"/>
      <c r="CO158" s="292"/>
      <c r="CP158" s="292"/>
      <c r="CQ158" s="292"/>
      <c r="CR158" s="292"/>
      <c r="CS158" s="292"/>
      <c r="CT158" s="292"/>
      <c r="CU158" s="292"/>
      <c r="CV158" s="292"/>
    </row>
    <row r="159" spans="1:104">
      <c r="BU159" s="88"/>
      <c r="BV159" s="88"/>
      <c r="BW159" s="88"/>
      <c r="BX159" s="88"/>
      <c r="BY159" s="88"/>
      <c r="BZ159" s="88"/>
      <c r="CA159" s="88"/>
      <c r="CB159" s="88"/>
      <c r="CC159" s="88"/>
      <c r="CD159" s="88"/>
      <c r="CE159" s="88"/>
      <c r="CF159" s="88"/>
      <c r="CG159" s="88"/>
      <c r="CH159" s="88"/>
      <c r="CI159" s="88"/>
      <c r="CJ159" s="88"/>
      <c r="CK159" s="88"/>
      <c r="CL159" s="88"/>
      <c r="CM159" s="88"/>
      <c r="CN159" s="88"/>
      <c r="CO159" s="88"/>
      <c r="CP159" s="88"/>
      <c r="CQ159" s="88"/>
      <c r="CR159" s="88"/>
      <c r="CS159" s="88"/>
      <c r="CT159" s="88"/>
      <c r="CU159" s="88"/>
      <c r="CV159" s="88"/>
    </row>
    <row r="163" spans="66:66">
      <c r="BN163" s="88"/>
    </row>
  </sheetData>
  <mergeCells count="6">
    <mergeCell ref="P7:Q7"/>
    <mergeCell ref="A1:E1"/>
    <mergeCell ref="F1:J1"/>
    <mergeCell ref="K1:O1"/>
    <mergeCell ref="I7:J7"/>
    <mergeCell ref="M7:N7"/>
  </mergeCells>
  <conditionalFormatting sqref="C11:AG155">
    <cfRule type="expression" dxfId="279" priority="1">
      <formula>C11=Code31</formula>
    </cfRule>
    <cfRule type="expression" dxfId="278" priority="2">
      <formula>C11=code30</formula>
    </cfRule>
    <cfRule type="expression" dxfId="277" priority="3">
      <formula>C11=code29</formula>
    </cfRule>
    <cfRule type="expression" dxfId="276" priority="4">
      <formula>C11=Code28</formula>
    </cfRule>
    <cfRule type="expression" dxfId="275" priority="5">
      <formula>C11=Code27</formula>
    </cfRule>
    <cfRule type="expression" dxfId="274" priority="6">
      <formula>C11=Code4</formula>
    </cfRule>
    <cfRule type="expression" dxfId="273" priority="7">
      <formula>C11=Code26</formula>
    </cfRule>
    <cfRule type="expression" dxfId="272" priority="8">
      <formula>C11=Code25</formula>
    </cfRule>
    <cfRule type="expression" dxfId="271" priority="9">
      <formula>C11=Code24</formula>
    </cfRule>
    <cfRule type="expression" dxfId="270" priority="10">
      <formula>C11=Code23</formula>
    </cfRule>
    <cfRule type="expression" dxfId="269" priority="11">
      <formula>C11=code22</formula>
    </cfRule>
    <cfRule type="expression" dxfId="268" priority="12">
      <formula>C11=code21</formula>
    </cfRule>
    <cfRule type="expression" dxfId="267" priority="17" stopIfTrue="1">
      <formula>"C11=Code20"</formula>
    </cfRule>
    <cfRule type="expression" dxfId="266" priority="18" stopIfTrue="1">
      <formula>C11=code19</formula>
    </cfRule>
    <cfRule type="expression" dxfId="265" priority="19" stopIfTrue="1">
      <formula>C11=code18</formula>
    </cfRule>
    <cfRule type="expression" dxfId="264" priority="31" stopIfTrue="1">
      <formula>C11=Code17</formula>
    </cfRule>
    <cfRule type="expression" dxfId="263" priority="32" stopIfTrue="1">
      <formula>C11=Code16</formula>
    </cfRule>
    <cfRule type="expression" dxfId="262" priority="33" stopIfTrue="1">
      <formula>C11=Code15</formula>
    </cfRule>
    <cfRule type="expression" dxfId="261" priority="34" stopIfTrue="1">
      <formula>C11=Code13</formula>
    </cfRule>
    <cfRule type="expression" dxfId="260" priority="35" stopIfTrue="1">
      <formula>C11=Code14</formula>
    </cfRule>
    <cfRule type="expression" dxfId="259" priority="36" stopIfTrue="1">
      <formula>C11=Code12</formula>
    </cfRule>
    <cfRule type="expression" dxfId="258" priority="37" stopIfTrue="1">
      <formula>C11=Code11</formula>
    </cfRule>
    <cfRule type="expression" dxfId="257" priority="38" stopIfTrue="1">
      <formula>C11=Code9</formula>
    </cfRule>
    <cfRule type="expression" dxfId="256" priority="39" stopIfTrue="1">
      <formula>C11=Code10</formula>
    </cfRule>
    <cfRule type="expression" dxfId="255" priority="44" stopIfTrue="1">
      <formula>C11=Code8</formula>
    </cfRule>
    <cfRule type="expression" dxfId="254" priority="48" stopIfTrue="1">
      <formula>C11=Code2</formula>
    </cfRule>
  </conditionalFormatting>
  <conditionalFormatting sqref="C11:AG155">
    <cfRule type="expression" dxfId="253" priority="46" stopIfTrue="1">
      <formula>C11=Code7</formula>
    </cfRule>
    <cfRule type="expression" dxfId="252" priority="50" stopIfTrue="1">
      <formula>C11=Code6</formula>
    </cfRule>
    <cfRule type="expression" dxfId="251" priority="52" stopIfTrue="1">
      <formula>C11=Code5</formula>
    </cfRule>
    <cfRule type="expression" dxfId="250" priority="54" stopIfTrue="1">
      <formula>C11=Code3</formula>
    </cfRule>
    <cfRule type="expression" dxfId="249" priority="55" stopIfTrue="1">
      <formula>C11=Code1</formula>
    </cfRule>
  </conditionalFormatting>
  <conditionalFormatting sqref="CY72:CY73">
    <cfRule type="dataBar" priority="25">
      <dataBar>
        <cfvo type="min"/>
        <cfvo type="num" val="31"/>
        <color theme="4"/>
      </dataBar>
      <extLst>
        <ext xmlns:x14="http://schemas.microsoft.com/office/spreadsheetml/2009/9/main" uri="{B025F937-C7B1-47D3-B67F-A62EFF666E3E}">
          <x14:id>{F9E1FA87-D834-4C52-85FA-56A851D27D6A}</x14:id>
        </ext>
      </extLst>
    </cfRule>
  </conditionalFormatting>
  <conditionalFormatting sqref="CY74">
    <cfRule type="dataBar" priority="24">
      <dataBar>
        <cfvo type="min"/>
        <cfvo type="num" val="31"/>
        <color theme="4"/>
      </dataBar>
      <extLst>
        <ext xmlns:x14="http://schemas.microsoft.com/office/spreadsheetml/2009/9/main" uri="{B025F937-C7B1-47D3-B67F-A62EFF666E3E}">
          <x14:id>{28F20FAB-EADE-4457-85D0-8998DED113FF}</x14:id>
        </ext>
      </extLst>
    </cfRule>
  </conditionalFormatting>
  <conditionalFormatting sqref="Z3">
    <cfRule type="cellIs" priority="16" operator="equal">
      <formula>"V"</formula>
    </cfRule>
  </conditionalFormatting>
  <conditionalFormatting sqref="T5:T6">
    <cfRule type="cellIs" dxfId="248" priority="15" operator="equal">
      <formula>"St1"</formula>
    </cfRule>
  </conditionalFormatting>
  <conditionalFormatting sqref="V5:V7">
    <cfRule type="cellIs" dxfId="247" priority="14" operator="equal">
      <formula>"St2"</formula>
    </cfRule>
  </conditionalFormatting>
  <conditionalFormatting sqref="X5:X7">
    <cfRule type="cellIs" dxfId="246" priority="13" operator="equal">
      <formula>"St3"</formula>
    </cfRule>
  </conditionalFormatting>
  <conditionalFormatting sqref="CY11:CY39">
    <cfRule type="dataBar" priority="2803">
      <dataBar>
        <cfvo type="min"/>
        <cfvo type="num" val="31"/>
        <color theme="4"/>
      </dataBar>
      <extLst>
        <ext xmlns:x14="http://schemas.microsoft.com/office/spreadsheetml/2009/9/main" uri="{B025F937-C7B1-47D3-B67F-A62EFF666E3E}">
          <x14:id>{18129F96-CC3E-4ADA-BC34-49AC6635F006}</x14:id>
        </ext>
      </extLst>
    </cfRule>
  </conditionalFormatting>
  <conditionalFormatting sqref="CY40:CY71">
    <cfRule type="dataBar" priority="2870">
      <dataBar>
        <cfvo type="min"/>
        <cfvo type="num" val="31"/>
        <color theme="4"/>
      </dataBar>
      <extLst>
        <ext xmlns:x14="http://schemas.microsoft.com/office/spreadsheetml/2009/9/main" uri="{B025F937-C7B1-47D3-B67F-A62EFF666E3E}">
          <x14:id>{4975A48F-A029-4AB5-99C4-C0E7AAF54A75}</x14:id>
        </ext>
      </extLst>
    </cfRule>
  </conditionalFormatting>
  <conditionalFormatting sqref="CV112:CV136 CV138:CV156">
    <cfRule type="dataBar" priority="3608">
      <dataBar>
        <cfvo type="min"/>
        <cfvo type="num" val="31"/>
        <color theme="4"/>
      </dataBar>
      <extLst>
        <ext xmlns:x14="http://schemas.microsoft.com/office/spreadsheetml/2009/9/main" uri="{B025F937-C7B1-47D3-B67F-A62EFF666E3E}">
          <x14:id>{BBE067E4-F7F4-4A0F-8809-9F50D6EF8043}</x14:id>
        </ext>
      </extLst>
    </cfRule>
  </conditionalFormatting>
  <conditionalFormatting sqref="CW112:CX136 CW138:CX156">
    <cfRule type="dataBar" priority="3611">
      <dataBar>
        <cfvo type="min"/>
        <cfvo type="num" val="31"/>
        <color theme="4"/>
      </dataBar>
      <extLst>
        <ext xmlns:x14="http://schemas.microsoft.com/office/spreadsheetml/2009/9/main" uri="{B025F937-C7B1-47D3-B67F-A62EFF666E3E}">
          <x14:id>{8047E216-B548-4652-B06E-C4A46584766D}</x14:id>
        </ext>
      </extLst>
    </cfRule>
  </conditionalFormatting>
  <conditionalFormatting sqref="CY112:CY136 CY138:CY156">
    <cfRule type="dataBar" priority="3614">
      <dataBar>
        <cfvo type="min"/>
        <cfvo type="num" val="31"/>
        <color theme="4"/>
      </dataBar>
      <extLst>
        <ext xmlns:x14="http://schemas.microsoft.com/office/spreadsheetml/2009/9/main" uri="{B025F937-C7B1-47D3-B67F-A62EFF666E3E}">
          <x14:id>{8A1657D8-6A28-4FE0-8652-46013006FD4C}</x14:id>
        </ext>
      </extLst>
    </cfRule>
  </conditionalFormatting>
  <conditionalFormatting sqref="CV11:CV155">
    <cfRule type="dataBar" priority="3617">
      <dataBar>
        <cfvo type="min"/>
        <cfvo type="num" val="31"/>
        <color theme="4"/>
      </dataBar>
      <extLst>
        <ext xmlns:x14="http://schemas.microsoft.com/office/spreadsheetml/2009/9/main" uri="{B025F937-C7B1-47D3-B67F-A62EFF666E3E}">
          <x14:id>{71D58FEC-CF3A-4EC9-A2CD-A00EC4ED6009}</x14:id>
        </ext>
      </extLst>
    </cfRule>
  </conditionalFormatting>
  <conditionalFormatting sqref="CW11:CX155">
    <cfRule type="dataBar" priority="3618">
      <dataBar>
        <cfvo type="min"/>
        <cfvo type="num" val="31"/>
        <color theme="4"/>
      </dataBar>
      <extLst>
        <ext xmlns:x14="http://schemas.microsoft.com/office/spreadsheetml/2009/9/main" uri="{B025F937-C7B1-47D3-B67F-A62EFF666E3E}">
          <x14:id>{4C6C3554-FD71-4B2E-8981-5C2C290DB454}</x14:id>
        </ext>
      </extLst>
    </cfRule>
  </conditionalFormatting>
  <dataValidations count="1">
    <dataValidation type="list" errorStyle="warning" allowBlank="1" showInputMessage="1" showErrorMessage="1" errorTitle="Whoops!" error="The Student ID you entered isn't on the Student List sheet. You can click Yes to use what you entered but that Student ID won't be available on the Student Attendance Report sheet." sqref="A11:A155">
      <formula1>IDÉtudiant1</formula1>
    </dataValidation>
  </dataValidations>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9E1FA87-D834-4C52-85FA-56A851D27D6A}">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CY72:CY73</xm:sqref>
        </x14:conditionalFormatting>
        <x14:conditionalFormatting xmlns:xm="http://schemas.microsoft.com/office/excel/2006/main">
          <x14:cfRule type="dataBar" id="{28F20FAB-EADE-4457-85D0-8998DED113FF}">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CY74</xm:sqref>
        </x14:conditionalFormatting>
        <x14:conditionalFormatting xmlns:xm="http://schemas.microsoft.com/office/excel/2006/main">
          <x14:cfRule type="dataBar" id="{18129F96-CC3E-4ADA-BC34-49AC6635F006}">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CY11:CY39</xm:sqref>
        </x14:conditionalFormatting>
        <x14:conditionalFormatting xmlns:xm="http://schemas.microsoft.com/office/excel/2006/main">
          <x14:cfRule type="dataBar" id="{4975A48F-A029-4AB5-99C4-C0E7AAF54A75}">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CY40:CY71</xm:sqref>
        </x14:conditionalFormatting>
        <x14:conditionalFormatting xmlns:xm="http://schemas.microsoft.com/office/excel/2006/main">
          <x14:cfRule type="dataBar" id="{BBE067E4-F7F4-4A0F-8809-9F50D6EF8043}">
            <x14:dataBar minLength="0" maxLength="100" border="1" negativeBarBorderColorSameAsPositive="0">
              <x14:cfvo type="autoMin"/>
              <x14:cfvo type="num">
                <xm:f>31</xm:f>
              </x14:cfvo>
              <x14:borderColor theme="4"/>
              <x14:negativeFillColor rgb="FFFF0000"/>
              <x14:negativeBorderColor rgb="FFFF0000"/>
              <x14:axisColor rgb="FF000000"/>
            </x14:dataBar>
          </x14:cfRule>
          <xm:sqref>CV112:CV136 CV138:CV156</xm:sqref>
        </x14:conditionalFormatting>
        <x14:conditionalFormatting xmlns:xm="http://schemas.microsoft.com/office/excel/2006/main">
          <x14:cfRule type="dataBar" id="{8047E216-B548-4652-B06E-C4A46584766D}">
            <x14:dataBar minLength="0" maxLength="100" border="1" negativeBarBorderColorSameAsPositive="0">
              <x14:cfvo type="autoMin"/>
              <x14:cfvo type="num">
                <xm:f>31</xm:f>
              </x14:cfvo>
              <x14:borderColor theme="4"/>
              <x14:negativeFillColor rgb="FFFF0000"/>
              <x14:negativeBorderColor rgb="FFFF0000"/>
              <x14:axisColor rgb="FF000000"/>
            </x14:dataBar>
          </x14:cfRule>
          <xm:sqref>CW112:CX136 CW138:CX156</xm:sqref>
        </x14:conditionalFormatting>
        <x14:conditionalFormatting xmlns:xm="http://schemas.microsoft.com/office/excel/2006/main">
          <x14:cfRule type="dataBar" id="{8A1657D8-6A28-4FE0-8652-46013006FD4C}">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CY112:CY136 CY138:CY156</xm:sqref>
        </x14:conditionalFormatting>
        <x14:conditionalFormatting xmlns:xm="http://schemas.microsoft.com/office/excel/2006/main">
          <x14:cfRule type="dataBar" id="{71D58FEC-CF3A-4EC9-A2CD-A00EC4ED6009}">
            <x14:dataBar minLength="0" maxLength="100" border="1" negativeBarBorderColorSameAsPositive="0">
              <x14:cfvo type="autoMin"/>
              <x14:cfvo type="num">
                <xm:f>31</xm:f>
              </x14:cfvo>
              <x14:borderColor theme="4"/>
              <x14:negativeFillColor rgb="FFFF0000"/>
              <x14:negativeBorderColor rgb="FFFF0000"/>
              <x14:axisColor rgb="FF000000"/>
            </x14:dataBar>
          </x14:cfRule>
          <xm:sqref>CV11:CV155</xm:sqref>
        </x14:conditionalFormatting>
        <x14:conditionalFormatting xmlns:xm="http://schemas.microsoft.com/office/excel/2006/main">
          <x14:cfRule type="dataBar" id="{4C6C3554-FD71-4B2E-8981-5C2C290DB454}">
            <x14:dataBar minLength="0" maxLength="100" border="1" negativeBarBorderColorSameAsPositive="0">
              <x14:cfvo type="autoMin"/>
              <x14:cfvo type="num">
                <xm:f>31</xm:f>
              </x14:cfvo>
              <x14:borderColor theme="4"/>
              <x14:negativeFillColor rgb="FFFF0000"/>
              <x14:negativeBorderColor rgb="FFFF0000"/>
              <x14:axisColor rgb="FF000000"/>
            </x14:dataBar>
          </x14:cfRule>
          <xm:sqref>CW11:CX155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Y159"/>
  <sheetViews>
    <sheetView topLeftCell="AB1" workbookViewId="0">
      <selection activeCell="BJ11" sqref="BJ11"/>
    </sheetView>
  </sheetViews>
  <sheetFormatPr baseColWidth="10" defaultRowHeight="13.5"/>
  <cols>
    <col min="2" max="2" width="31.7109375" customWidth="1"/>
    <col min="3" max="3" width="3.5703125" customWidth="1"/>
    <col min="4" max="4" width="6.5703125" customWidth="1"/>
    <col min="5" max="5" width="4.140625" customWidth="1"/>
    <col min="6" max="6" width="7.140625" customWidth="1"/>
    <col min="7" max="7" width="4" customWidth="1"/>
    <col min="8" max="8" width="6.42578125" customWidth="1"/>
    <col min="9" max="9" width="3.5703125" customWidth="1"/>
    <col min="10" max="10" width="6" customWidth="1"/>
    <col min="11" max="11" width="3.42578125" customWidth="1"/>
    <col min="12" max="12" width="6.5703125" customWidth="1"/>
    <col min="13" max="13" width="4.140625" customWidth="1"/>
    <col min="14" max="14" width="6.28515625" customWidth="1"/>
    <col min="15" max="15" width="3.85546875" customWidth="1"/>
    <col min="16" max="16" width="6.28515625" customWidth="1"/>
    <col min="17" max="17" width="4.5703125" customWidth="1"/>
    <col min="18" max="18" width="10.5703125" customWidth="1"/>
    <col min="19" max="19" width="4.42578125" customWidth="1"/>
    <col min="20" max="20" width="9.85546875" customWidth="1"/>
    <col min="21" max="21" width="4.140625" customWidth="1"/>
    <col min="22" max="22" width="10" customWidth="1"/>
    <col min="23" max="23" width="4.85546875" customWidth="1"/>
    <col min="24" max="24" width="9.85546875" customWidth="1"/>
    <col min="25" max="25" width="4.42578125" customWidth="1"/>
    <col min="26" max="26" width="9.85546875" customWidth="1"/>
    <col min="27" max="27" width="5.42578125" customWidth="1"/>
    <col min="28" max="28" width="5.85546875" customWidth="1"/>
    <col min="29" max="29" width="4.7109375" customWidth="1"/>
    <col min="30" max="30" width="5.140625" customWidth="1"/>
    <col min="31" max="31" width="4.85546875" customWidth="1"/>
    <col min="32" max="32" width="5.140625" customWidth="1"/>
    <col min="33" max="33" width="4.7109375" customWidth="1"/>
    <col min="34" max="34" width="3.140625" customWidth="1"/>
    <col min="35" max="36" width="3.42578125" customWidth="1"/>
    <col min="37" max="37" width="3.28515625" customWidth="1"/>
    <col min="38" max="38" width="3.140625" customWidth="1"/>
    <col min="39" max="39" width="3.28515625" customWidth="1"/>
    <col min="40" max="40" width="3.42578125" customWidth="1"/>
    <col min="41" max="41" width="3.28515625" customWidth="1"/>
    <col min="42" max="42" width="3.140625" customWidth="1"/>
    <col min="43" max="43" width="2.7109375" customWidth="1"/>
    <col min="44" max="44" width="2.85546875" customWidth="1"/>
    <col min="45" max="45" width="3" customWidth="1"/>
    <col min="46" max="46" width="2.140625" customWidth="1"/>
    <col min="47" max="47" width="2.5703125" customWidth="1"/>
    <col min="48" max="48" width="2.42578125" customWidth="1"/>
    <col min="49" max="49" width="3.28515625" customWidth="1"/>
    <col min="50" max="54" width="2.7109375" customWidth="1"/>
    <col min="55" max="58" width="2.85546875" customWidth="1"/>
    <col min="59" max="59" width="3.5703125" customWidth="1"/>
    <col min="60" max="60" width="3" customWidth="1"/>
    <col min="61" max="61" width="4.140625" customWidth="1"/>
    <col min="62" max="62" width="4.5703125" customWidth="1"/>
    <col min="63" max="64" width="3.5703125" customWidth="1"/>
    <col min="65" max="65" width="3.28515625" customWidth="1"/>
    <col min="66" max="66" width="3.5703125" customWidth="1"/>
    <col min="67" max="68" width="3" customWidth="1"/>
    <col min="69" max="69" width="3.140625" customWidth="1"/>
    <col min="70" max="70" width="3.28515625" customWidth="1"/>
    <col min="71" max="72" width="3.140625" customWidth="1"/>
    <col min="73" max="74" width="3.28515625" customWidth="1"/>
    <col min="75" max="75" width="3.42578125" customWidth="1"/>
    <col min="76" max="76" width="3.28515625" customWidth="1"/>
    <col min="77" max="77" width="4.28515625" customWidth="1"/>
    <col min="78" max="78" width="4" customWidth="1"/>
    <col min="79" max="79" width="3.42578125" customWidth="1"/>
    <col min="80" max="80" width="3.28515625" customWidth="1"/>
    <col min="81" max="81" width="3.140625" customWidth="1"/>
    <col min="82" max="82" width="3.28515625" customWidth="1"/>
    <col min="83" max="83" width="3.42578125" customWidth="1"/>
    <col min="84" max="84" width="3.140625" customWidth="1"/>
    <col min="85" max="85" width="3.5703125" customWidth="1"/>
    <col min="86" max="86" width="3.42578125" customWidth="1"/>
    <col min="87" max="88" width="3.7109375" customWidth="1"/>
    <col min="89" max="89" width="3.5703125" customWidth="1"/>
    <col min="90" max="90" width="3" customWidth="1"/>
    <col min="91" max="94" width="3.140625" customWidth="1"/>
    <col min="95" max="95" width="3.5703125" customWidth="1"/>
    <col min="96" max="96" width="3.140625" customWidth="1"/>
    <col min="97" max="98" width="3.7109375" customWidth="1"/>
    <col min="99" max="99" width="6" customWidth="1"/>
    <col min="100" max="100" width="17.140625" customWidth="1"/>
    <col min="101" max="101" width="20" customWidth="1"/>
    <col min="102" max="102" width="11.42578125" customWidth="1"/>
    <col min="103" max="103" width="21.42578125" customWidth="1"/>
  </cols>
  <sheetData>
    <row r="1" spans="1:103" ht="28.5">
      <c r="A1" s="654" t="s">
        <v>505</v>
      </c>
      <c r="B1" s="655"/>
      <c r="C1" s="655"/>
      <c r="D1" s="655"/>
      <c r="E1" s="22"/>
      <c r="F1" s="22"/>
      <c r="G1" s="22"/>
      <c r="H1" s="22"/>
      <c r="I1" s="22"/>
      <c r="J1" s="22"/>
      <c r="K1" s="22"/>
      <c r="L1" s="22"/>
      <c r="M1" s="22"/>
      <c r="N1" s="22"/>
      <c r="O1" s="22"/>
      <c r="P1" s="22"/>
      <c r="Q1" s="22"/>
      <c r="R1" s="22"/>
      <c r="S1" s="22"/>
      <c r="T1" s="22"/>
      <c r="U1" s="22"/>
      <c r="V1" s="22"/>
      <c r="W1" s="22"/>
      <c r="X1" s="22"/>
      <c r="Y1" s="22"/>
      <c r="Z1" s="22"/>
      <c r="AA1" s="22"/>
      <c r="AB1" s="21"/>
      <c r="AC1" s="21"/>
      <c r="AD1" s="21"/>
      <c r="AE1" s="21"/>
      <c r="AF1" s="23"/>
      <c r="AG1" s="21"/>
      <c r="AH1" s="21"/>
      <c r="AI1" s="24"/>
      <c r="AJ1" s="21"/>
      <c r="AK1" s="32"/>
      <c r="AL1" s="32"/>
      <c r="AM1" s="32"/>
      <c r="AN1" s="32"/>
      <c r="AO1" s="32"/>
      <c r="AP1" s="32"/>
      <c r="AQ1" s="32"/>
      <c r="AR1" s="32"/>
      <c r="AS1" s="32"/>
      <c r="AT1" s="32"/>
      <c r="AU1" s="32"/>
      <c r="AV1" s="32"/>
      <c r="AW1" s="32"/>
      <c r="AX1" s="32"/>
      <c r="AY1" s="32"/>
      <c r="AZ1" s="32"/>
      <c r="BA1" s="32"/>
      <c r="BB1" s="32"/>
      <c r="BC1" s="32"/>
      <c r="BD1" s="32"/>
      <c r="BE1" s="32"/>
      <c r="BF1" s="32"/>
      <c r="BG1" s="32"/>
      <c r="BH1" s="32"/>
      <c r="BI1" s="33"/>
      <c r="BJ1" s="33"/>
      <c r="BK1" s="33"/>
      <c r="BL1" s="33"/>
      <c r="BM1" s="32"/>
      <c r="BN1" s="32"/>
      <c r="BO1" s="32"/>
      <c r="BP1" s="32"/>
      <c r="BQ1" s="32"/>
      <c r="BR1" s="32"/>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2"/>
      <c r="CW1" s="32"/>
      <c r="CX1" s="32"/>
      <c r="CY1" s="32"/>
    </row>
    <row r="2" spans="1:103">
      <c r="BJ2" s="88"/>
      <c r="BK2" s="88"/>
      <c r="BL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row>
    <row r="3" spans="1:103" ht="14.25">
      <c r="C3" s="31" t="s">
        <v>104</v>
      </c>
      <c r="D3" s="208" t="s">
        <v>514</v>
      </c>
      <c r="E3" s="236" t="s">
        <v>527</v>
      </c>
      <c r="F3" s="207" t="s">
        <v>528</v>
      </c>
      <c r="G3" s="209" t="s">
        <v>105</v>
      </c>
      <c r="H3" s="210" t="s">
        <v>515</v>
      </c>
      <c r="I3" s="211" t="s">
        <v>106</v>
      </c>
      <c r="J3" s="210" t="s">
        <v>516</v>
      </c>
      <c r="K3" s="212" t="s">
        <v>107</v>
      </c>
      <c r="L3" s="210" t="s">
        <v>517</v>
      </c>
      <c r="M3" s="213" t="s">
        <v>483</v>
      </c>
      <c r="N3" s="210" t="s">
        <v>518</v>
      </c>
      <c r="O3" s="214" t="s">
        <v>484</v>
      </c>
      <c r="P3" s="207" t="s">
        <v>526</v>
      </c>
      <c r="Q3" s="216" t="s">
        <v>485</v>
      </c>
      <c r="R3" s="207" t="s">
        <v>525</v>
      </c>
      <c r="S3" s="217" t="s">
        <v>489</v>
      </c>
      <c r="T3" s="207" t="s">
        <v>510</v>
      </c>
      <c r="U3" s="218" t="s">
        <v>490</v>
      </c>
      <c r="V3" s="207" t="s">
        <v>511</v>
      </c>
      <c r="W3" s="219" t="s">
        <v>491</v>
      </c>
      <c r="X3" s="207" t="s">
        <v>512</v>
      </c>
      <c r="Y3" s="220" t="s">
        <v>492</v>
      </c>
      <c r="Z3" s="207" t="s">
        <v>513</v>
      </c>
      <c r="AA3" s="207"/>
      <c r="AF3" s="207"/>
      <c r="BJ3" s="88"/>
      <c r="BK3" s="88"/>
      <c r="BL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row>
    <row r="4" spans="1:103" ht="15" thickBot="1">
      <c r="B4" t="s">
        <v>535</v>
      </c>
      <c r="D4" s="43"/>
      <c r="E4" s="43"/>
      <c r="F4" s="43"/>
      <c r="G4" s="43"/>
      <c r="H4" s="43"/>
      <c r="I4" s="43"/>
      <c r="J4" s="43"/>
      <c r="K4" s="43"/>
      <c r="L4" s="43"/>
      <c r="M4" s="43"/>
      <c r="N4" s="43"/>
      <c r="O4" s="43"/>
      <c r="P4" s="43"/>
      <c r="Q4" s="43"/>
      <c r="R4" s="43"/>
      <c r="S4" s="43"/>
      <c r="T4" s="43"/>
      <c r="U4" s="43"/>
      <c r="V4" s="43"/>
      <c r="W4" s="43"/>
      <c r="X4" s="43"/>
      <c r="Y4" s="43"/>
      <c r="Z4" s="43"/>
      <c r="AA4" s="43"/>
      <c r="AF4" s="43"/>
      <c r="BJ4" s="88"/>
      <c r="BK4" s="88"/>
      <c r="BL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row>
    <row r="5" spans="1:103" ht="14.25">
      <c r="C5" s="234" t="s">
        <v>529</v>
      </c>
      <c r="D5" s="266" t="s">
        <v>530</v>
      </c>
      <c r="E5" s="222" t="s">
        <v>35</v>
      </c>
      <c r="F5" s="210" t="s">
        <v>519</v>
      </c>
      <c r="G5" s="223" t="s">
        <v>108</v>
      </c>
      <c r="H5" s="43" t="s">
        <v>520</v>
      </c>
      <c r="I5" s="224" t="s">
        <v>109</v>
      </c>
      <c r="J5" s="207" t="s">
        <v>521</v>
      </c>
      <c r="K5" s="225" t="s">
        <v>486</v>
      </c>
      <c r="L5" s="207" t="s">
        <v>522</v>
      </c>
      <c r="M5" s="226" t="s">
        <v>487</v>
      </c>
      <c r="N5" s="207" t="s">
        <v>523</v>
      </c>
      <c r="O5" s="227" t="s">
        <v>488</v>
      </c>
      <c r="P5" s="228" t="s">
        <v>524</v>
      </c>
      <c r="Q5" s="233" t="s">
        <v>507</v>
      </c>
      <c r="R5" s="207" t="s">
        <v>508</v>
      </c>
      <c r="S5" s="229" t="s">
        <v>496</v>
      </c>
      <c r="T5" s="207" t="s">
        <v>499</v>
      </c>
      <c r="U5" s="230" t="s">
        <v>497</v>
      </c>
      <c r="V5" s="207" t="s">
        <v>500</v>
      </c>
      <c r="W5" s="231" t="s">
        <v>498</v>
      </c>
      <c r="X5" s="207" t="s">
        <v>501</v>
      </c>
      <c r="Y5" s="235" t="s">
        <v>531</v>
      </c>
      <c r="Z5" s="43" t="s">
        <v>630</v>
      </c>
      <c r="AA5" s="9"/>
      <c r="AF5" s="43"/>
      <c r="BJ5" s="88"/>
      <c r="BK5" s="88"/>
      <c r="BL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row>
    <row r="6" spans="1:103" ht="14.25">
      <c r="C6" s="349"/>
      <c r="D6" s="350"/>
      <c r="E6" s="351"/>
      <c r="F6" s="352"/>
      <c r="G6" s="353"/>
      <c r="H6" s="354"/>
      <c r="I6" s="355"/>
      <c r="J6" s="207"/>
      <c r="K6" s="355"/>
      <c r="L6" s="207"/>
      <c r="M6" s="355"/>
      <c r="N6" s="207"/>
      <c r="O6" s="355"/>
      <c r="P6" s="228"/>
      <c r="Q6" s="356"/>
      <c r="R6" s="207"/>
      <c r="S6" s="357"/>
      <c r="T6" s="207"/>
      <c r="U6" s="357"/>
      <c r="V6" s="207"/>
      <c r="W6" s="357"/>
      <c r="X6" s="207"/>
      <c r="Y6" s="358"/>
      <c r="Z6" s="43"/>
      <c r="AA6" s="374"/>
      <c r="AF6" s="43"/>
      <c r="BJ6" s="88"/>
      <c r="BK6" s="88"/>
      <c r="BL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row>
    <row r="7" spans="1:103" ht="14.25">
      <c r="C7" s="334" t="s">
        <v>604</v>
      </c>
      <c r="D7" s="335" t="s">
        <v>610</v>
      </c>
      <c r="E7" s="375"/>
      <c r="F7" s="375"/>
      <c r="G7" s="344" t="s">
        <v>620</v>
      </c>
      <c r="H7" s="656" t="s">
        <v>621</v>
      </c>
      <c r="I7" s="658"/>
      <c r="J7" s="374"/>
      <c r="K7" s="394" t="s">
        <v>627</v>
      </c>
      <c r="L7" s="656" t="s">
        <v>628</v>
      </c>
      <c r="M7" s="658"/>
      <c r="N7" s="207"/>
      <c r="O7" s="418" t="s">
        <v>631</v>
      </c>
      <c r="P7" s="656" t="s">
        <v>632</v>
      </c>
      <c r="Q7" s="658"/>
      <c r="R7" s="207"/>
      <c r="S7" s="445" t="s">
        <v>634</v>
      </c>
      <c r="T7" s="43" t="s">
        <v>633</v>
      </c>
      <c r="U7" s="458" t="s">
        <v>637</v>
      </c>
      <c r="V7" s="357" t="s">
        <v>638</v>
      </c>
      <c r="W7" s="465" t="s">
        <v>639</v>
      </c>
      <c r="X7" s="357" t="s">
        <v>640</v>
      </c>
      <c r="Y7" s="358"/>
      <c r="Z7" s="43"/>
      <c r="AA7" s="374"/>
      <c r="AF7" s="43"/>
      <c r="BJ7" s="88"/>
      <c r="BK7" s="88"/>
      <c r="BL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row>
    <row r="8" spans="1:103">
      <c r="C8" s="9"/>
      <c r="D8" s="9"/>
      <c r="E8" s="20"/>
      <c r="F8" s="9"/>
      <c r="G8" s="9"/>
      <c r="H8" s="9"/>
      <c r="I8" s="9"/>
      <c r="J8" s="9"/>
      <c r="K8" s="9"/>
      <c r="L8" s="9"/>
      <c r="M8" s="9"/>
      <c r="N8" s="9"/>
      <c r="O8" s="9"/>
      <c r="P8" s="9"/>
      <c r="Q8" s="9"/>
      <c r="R8" s="9"/>
      <c r="T8" s="9"/>
      <c r="U8" s="9"/>
      <c r="V8" s="9"/>
      <c r="W8" s="9"/>
      <c r="X8" s="9"/>
      <c r="Y8" s="9"/>
      <c r="AA8" s="9"/>
      <c r="AB8" s="9"/>
      <c r="AC8" s="9"/>
      <c r="AD8" s="9"/>
      <c r="AE8" s="9"/>
      <c r="AF8" s="9"/>
      <c r="BJ8" s="88"/>
      <c r="BK8" s="88"/>
      <c r="BL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row>
    <row r="9" spans="1:103" ht="15" thickBot="1">
      <c r="A9" s="72">
        <f>DATE(2018,5,1)</f>
        <v>43221</v>
      </c>
      <c r="B9" s="153"/>
      <c r="C9" s="151" t="str">
        <f>TEXT(WEEKDAY(DATE(2018,5,1),1),"[$-40c]aaa")</f>
        <v>1900</v>
      </c>
      <c r="D9" s="25" t="str">
        <f>TEXT(WEEKDAY(DATE(2018,5,2),1),"[$-40c]aaa")</f>
        <v>1900</v>
      </c>
      <c r="E9" s="25" t="str">
        <f>TEXT(WEEKDAY(DATE(2018,5,3),1),"[$-40c]aaa")</f>
        <v>1900</v>
      </c>
      <c r="F9" s="25" t="str">
        <f>TEXT(WEEKDAY(DATE(2018,5,4),1),"[$-40c]aaa")</f>
        <v>1900</v>
      </c>
      <c r="G9" s="25" t="str">
        <f>TEXT(WEEKDAY(DATE(2018,5,5),1),"[$-40c]aaa")</f>
        <v>1900</v>
      </c>
      <c r="H9" s="25" t="str">
        <f>TEXT(WEEKDAY(DATE(2018,5,6),1),"[$-40c]aaa")</f>
        <v>1900</v>
      </c>
      <c r="I9" s="25" t="str">
        <f>TEXT(WEEKDAY(DATE(2018,5,7),1),"[$-40c]aaa")</f>
        <v>1900</v>
      </c>
      <c r="J9" s="25" t="str">
        <f>TEXT(WEEKDAY(DATE(2018,5,8),1),"[$-40c]aaa")</f>
        <v>1900</v>
      </c>
      <c r="K9" s="25" t="str">
        <f>TEXT(WEEKDAY(DATE(2018,5,9),1),"[$-40c]aaa")</f>
        <v>1900</v>
      </c>
      <c r="L9" s="25" t="str">
        <f>TEXT(WEEKDAY(DATE(2018,5,10),1),"[$-40c]aaa")</f>
        <v>1900</v>
      </c>
      <c r="M9" s="25" t="str">
        <f>TEXT(WEEKDAY(DATE(2018,5,11),1),"[$-40c]aaa")</f>
        <v>1900</v>
      </c>
      <c r="N9" s="25" t="str">
        <f>TEXT(WEEKDAY(DATE(2018,5,12),1),"[$-40c]aaa")</f>
        <v>1900</v>
      </c>
      <c r="O9" s="25" t="str">
        <f>TEXT(WEEKDAY(DATE(2018,5,13),1),"[$-40c]aaa")</f>
        <v>1900</v>
      </c>
      <c r="P9" s="25" t="str">
        <f>TEXT(WEEKDAY(DATE(2018,5,14),1),"[$-40c]aaa")</f>
        <v>1900</v>
      </c>
      <c r="Q9" s="25" t="str">
        <f>TEXT(WEEKDAY(DATE(2018,5,15),1),"[$-40c]aaa")</f>
        <v>1900</v>
      </c>
      <c r="R9" s="25" t="str">
        <f>TEXT(WEEKDAY(DATE(2018,5,16),1),"[$-40c]aaa")</f>
        <v>1900</v>
      </c>
      <c r="S9" s="25" t="str">
        <f>TEXT(WEEKDAY(DATE(2018,5,17),1),"[$-40c]aaa")</f>
        <v>1900</v>
      </c>
      <c r="T9" s="25" t="str">
        <f>TEXT(WEEKDAY(DATE(2018,5,18),1),"[$-40c]aaa")</f>
        <v>1900</v>
      </c>
      <c r="U9" s="25" t="str">
        <f>TEXT(WEEKDAY(DATE(2018,5,19),1),"[$-40c]aaa")</f>
        <v>1900</v>
      </c>
      <c r="V9" s="25" t="str">
        <f>TEXT(WEEKDAY(DATE(2018,5,20),1),"[$-40c]aaa")</f>
        <v>1900</v>
      </c>
      <c r="W9" s="25" t="str">
        <f>TEXT(WEEKDAY(DATE(2018,5,21),1),"[$-40c]aaa")</f>
        <v>1900</v>
      </c>
      <c r="X9" s="25" t="str">
        <f>TEXT(WEEKDAY(DATE(2018,5,22),1),"[$-40c]aaa")</f>
        <v>1900</v>
      </c>
      <c r="Y9" s="25" t="str">
        <f>TEXT(WEEKDAY(DATE(2018,5,23),1),"[$-40c]aaa")</f>
        <v>1900</v>
      </c>
      <c r="Z9" s="25" t="str">
        <f>TEXT(WEEKDAY(DATE(2018,5,24),1),"[$-40c]aaa")</f>
        <v>1900</v>
      </c>
      <c r="AA9" s="25" t="str">
        <f>TEXT(WEEKDAY(DATE(2018,5,25),1),"[$-40c]aaa")</f>
        <v>1900</v>
      </c>
      <c r="AB9" s="25" t="str">
        <f>TEXT(WEEKDAY(DATE(2018,5,26),1),"[$-40c]aaa")</f>
        <v>1900</v>
      </c>
      <c r="AC9" s="25" t="str">
        <f>TEXT(WEEKDAY(DATE(2018,5,27),1),"[$-40c]aaa")</f>
        <v>1900</v>
      </c>
      <c r="AD9" s="25" t="str">
        <f>TEXT(WEEKDAY(DATE(2018,5,28),1),"[$-40c]aaa")</f>
        <v>1900</v>
      </c>
      <c r="AE9" s="25" t="str">
        <f>TEXT(WEEKDAY(DATE(2018,5,29),1),"[$-40c]aaa")</f>
        <v>1900</v>
      </c>
      <c r="AF9" s="25" t="str">
        <f>TEXT(WEEKDAY(DATE(2018,5,30),1),"[$-40c]aaa")</f>
        <v>1900</v>
      </c>
      <c r="AG9" s="142" t="str">
        <f>TEXT(WEEKDAY(DATE(2018,5,31),1),"[$-40c]aaa")</f>
        <v>1900</v>
      </c>
      <c r="AH9" s="652" t="s">
        <v>36</v>
      </c>
      <c r="AI9" s="652"/>
      <c r="AJ9" s="652"/>
      <c r="AK9" s="652"/>
      <c r="AL9" s="652"/>
      <c r="AM9" s="652"/>
      <c r="AN9" s="652"/>
      <c r="AO9" s="652"/>
      <c r="AP9" s="652"/>
      <c r="AQ9" s="652"/>
      <c r="AR9" s="652"/>
      <c r="AS9" s="652"/>
      <c r="AT9" s="652"/>
      <c r="AU9" s="652"/>
      <c r="AV9" s="652"/>
      <c r="AW9" s="652"/>
      <c r="AX9" s="652"/>
      <c r="AY9" s="140"/>
      <c r="AZ9" s="140"/>
      <c r="BA9" s="140"/>
      <c r="BB9" s="140"/>
      <c r="BC9" s="140"/>
      <c r="BD9" s="140"/>
      <c r="BE9" s="140"/>
      <c r="BF9" s="140"/>
      <c r="BG9" s="140"/>
      <c r="BH9" s="140"/>
      <c r="BI9" s="85"/>
      <c r="BJ9" s="247"/>
      <c r="BK9" s="247"/>
      <c r="BL9" s="247"/>
      <c r="BM9" s="299"/>
      <c r="BN9" s="251"/>
      <c r="BO9" s="251"/>
      <c r="BP9" s="312"/>
      <c r="BQ9" s="251"/>
      <c r="BR9" s="251"/>
      <c r="BS9" s="251"/>
      <c r="BT9" s="251"/>
      <c r="BU9" s="251"/>
      <c r="BV9" s="251"/>
      <c r="BW9" s="251"/>
      <c r="BX9" s="251"/>
      <c r="BY9" s="251"/>
      <c r="BZ9" s="251"/>
      <c r="CA9" s="251" t="s">
        <v>575</v>
      </c>
      <c r="CB9" s="251"/>
      <c r="CC9" s="251"/>
      <c r="CD9" s="251"/>
      <c r="CE9" s="251"/>
      <c r="CF9" s="251"/>
      <c r="CG9" s="251"/>
      <c r="CH9" s="251"/>
      <c r="CI9" s="251"/>
      <c r="CJ9" s="251"/>
      <c r="CK9" s="251"/>
      <c r="CL9" s="251"/>
      <c r="CM9" s="251"/>
      <c r="CN9" s="251"/>
      <c r="CO9" s="251"/>
      <c r="CP9" s="251"/>
      <c r="CQ9" s="251"/>
      <c r="CR9" s="251"/>
      <c r="CS9" s="251"/>
      <c r="CT9" s="247"/>
      <c r="CU9" s="247"/>
      <c r="CV9" s="247"/>
      <c r="CW9" s="251"/>
      <c r="CX9" s="247"/>
      <c r="CY9" s="248"/>
    </row>
    <row r="10" spans="1:103" ht="15.75" thickTop="1" thickBot="1">
      <c r="A10" s="28" t="s">
        <v>33</v>
      </c>
      <c r="B10" s="154" t="s">
        <v>32</v>
      </c>
      <c r="C10" s="3" t="s">
        <v>0</v>
      </c>
      <c r="D10" s="3" t="s">
        <v>1</v>
      </c>
      <c r="E10" s="3" t="s">
        <v>2</v>
      </c>
      <c r="F10" s="3" t="s">
        <v>3</v>
      </c>
      <c r="G10" s="399" t="s">
        <v>4</v>
      </c>
      <c r="H10" s="399" t="s">
        <v>5</v>
      </c>
      <c r="I10" s="3" t="s">
        <v>6</v>
      </c>
      <c r="J10" s="3" t="s">
        <v>7</v>
      </c>
      <c r="K10" s="3" t="s">
        <v>8</v>
      </c>
      <c r="L10" s="3" t="s">
        <v>9</v>
      </c>
      <c r="M10" s="3" t="s">
        <v>10</v>
      </c>
      <c r="N10" s="399" t="s">
        <v>11</v>
      </c>
      <c r="O10" s="399" t="s">
        <v>12</v>
      </c>
      <c r="P10" s="3" t="s">
        <v>13</v>
      </c>
      <c r="Q10" s="3" t="s">
        <v>14</v>
      </c>
      <c r="R10" s="3" t="s">
        <v>15</v>
      </c>
      <c r="S10" s="3" t="s">
        <v>16</v>
      </c>
      <c r="T10" s="3" t="s">
        <v>17</v>
      </c>
      <c r="U10" s="399" t="s">
        <v>18</v>
      </c>
      <c r="V10" s="399" t="s">
        <v>19</v>
      </c>
      <c r="W10" s="3" t="s">
        <v>20</v>
      </c>
      <c r="X10" s="3" t="s">
        <v>21</v>
      </c>
      <c r="Y10" s="3" t="s">
        <v>22</v>
      </c>
      <c r="Z10" s="3" t="s">
        <v>23</v>
      </c>
      <c r="AA10" s="3" t="s">
        <v>24</v>
      </c>
      <c r="AB10" s="399" t="s">
        <v>25</v>
      </c>
      <c r="AC10" s="399" t="s">
        <v>26</v>
      </c>
      <c r="AD10" s="3" t="s">
        <v>27</v>
      </c>
      <c r="AE10" s="3" t="s">
        <v>28</v>
      </c>
      <c r="AF10" s="3" t="s">
        <v>29</v>
      </c>
      <c r="AG10" s="143" t="s">
        <v>30</v>
      </c>
      <c r="AH10" s="55" t="s">
        <v>104</v>
      </c>
      <c r="AI10" s="236" t="s">
        <v>527</v>
      </c>
      <c r="AJ10" s="40" t="s">
        <v>105</v>
      </c>
      <c r="AK10" s="41" t="s">
        <v>106</v>
      </c>
      <c r="AL10" s="42" t="s">
        <v>107</v>
      </c>
      <c r="AM10" s="75" t="s">
        <v>35</v>
      </c>
      <c r="AN10" s="234" t="s">
        <v>529</v>
      </c>
      <c r="AO10" s="76" t="s">
        <v>108</v>
      </c>
      <c r="AP10" s="77" t="s">
        <v>109</v>
      </c>
      <c r="AQ10" s="97" t="s">
        <v>483</v>
      </c>
      <c r="AR10" s="90" t="s">
        <v>484</v>
      </c>
      <c r="AS10" s="95" t="s">
        <v>485</v>
      </c>
      <c r="AT10" s="96" t="s">
        <v>486</v>
      </c>
      <c r="AU10" s="91" t="s">
        <v>487</v>
      </c>
      <c r="AV10" s="129" t="s">
        <v>489</v>
      </c>
      <c r="AW10" s="92" t="s">
        <v>488</v>
      </c>
      <c r="AX10" s="94" t="s">
        <v>490</v>
      </c>
      <c r="AY10" s="91" t="s">
        <v>491</v>
      </c>
      <c r="AZ10" s="111" t="s">
        <v>492</v>
      </c>
      <c r="BA10" s="359" t="s">
        <v>604</v>
      </c>
      <c r="BB10" s="346" t="s">
        <v>620</v>
      </c>
      <c r="BC10" s="544" t="s">
        <v>627</v>
      </c>
      <c r="BD10" s="420" t="s">
        <v>631</v>
      </c>
      <c r="BE10" s="459" t="s">
        <v>637</v>
      </c>
      <c r="BF10" s="105" t="s">
        <v>639</v>
      </c>
      <c r="BG10" s="198" t="s">
        <v>507</v>
      </c>
      <c r="BH10" s="235" t="s">
        <v>531</v>
      </c>
      <c r="BI10" s="133" t="s">
        <v>496</v>
      </c>
      <c r="BJ10" s="135" t="s">
        <v>497</v>
      </c>
      <c r="BK10" s="137" t="s">
        <v>498</v>
      </c>
      <c r="BL10" s="448" t="s">
        <v>634</v>
      </c>
      <c r="BM10" s="313" t="s">
        <v>544</v>
      </c>
      <c r="BN10" s="146" t="s">
        <v>545</v>
      </c>
      <c r="BO10" s="146" t="s">
        <v>546</v>
      </c>
      <c r="BP10" s="146" t="s">
        <v>542</v>
      </c>
      <c r="BQ10" s="146" t="s">
        <v>543</v>
      </c>
      <c r="BR10" s="146" t="s">
        <v>547</v>
      </c>
      <c r="BS10" s="146" t="s">
        <v>548</v>
      </c>
      <c r="BT10" s="146" t="s">
        <v>549</v>
      </c>
      <c r="BU10" s="146" t="s">
        <v>550</v>
      </c>
      <c r="BV10" s="146" t="s">
        <v>551</v>
      </c>
      <c r="BW10" s="146" t="s">
        <v>552</v>
      </c>
      <c r="BX10" s="146" t="s">
        <v>553</v>
      </c>
      <c r="BY10" s="146" t="s">
        <v>574</v>
      </c>
      <c r="BZ10" s="146" t="s">
        <v>554</v>
      </c>
      <c r="CA10" s="146" t="s">
        <v>555</v>
      </c>
      <c r="CB10" s="146" t="s">
        <v>556</v>
      </c>
      <c r="CC10" s="146" t="s">
        <v>558</v>
      </c>
      <c r="CD10" s="146" t="s">
        <v>557</v>
      </c>
      <c r="CE10" s="146" t="s">
        <v>559</v>
      </c>
      <c r="CF10" s="146" t="s">
        <v>560</v>
      </c>
      <c r="CG10" s="146" t="s">
        <v>561</v>
      </c>
      <c r="CH10" s="146" t="s">
        <v>562</v>
      </c>
      <c r="CI10" s="146" t="s">
        <v>563</v>
      </c>
      <c r="CJ10" s="146" t="s">
        <v>564</v>
      </c>
      <c r="CK10" s="146" t="s">
        <v>565</v>
      </c>
      <c r="CL10" s="146" t="s">
        <v>566</v>
      </c>
      <c r="CM10" s="146" t="s">
        <v>567</v>
      </c>
      <c r="CN10" s="146" t="s">
        <v>568</v>
      </c>
      <c r="CO10" s="146" t="s">
        <v>569</v>
      </c>
      <c r="CP10" s="146" t="s">
        <v>570</v>
      </c>
      <c r="CQ10" s="146" t="s">
        <v>571</v>
      </c>
      <c r="CR10" s="146" t="s">
        <v>572</v>
      </c>
      <c r="CS10" s="309" t="s">
        <v>573</v>
      </c>
      <c r="CT10" s="309" t="s">
        <v>642</v>
      </c>
      <c r="CU10" s="309" t="s">
        <v>611</v>
      </c>
      <c r="CV10" s="160" t="s">
        <v>494</v>
      </c>
      <c r="CW10" s="166" t="s">
        <v>495</v>
      </c>
      <c r="CX10" s="269" t="s">
        <v>540</v>
      </c>
      <c r="CY10" s="167" t="s">
        <v>502</v>
      </c>
    </row>
    <row r="11" spans="1:103" ht="14.25" thickTop="1">
      <c r="A11" s="29" t="s">
        <v>71</v>
      </c>
      <c r="B11" s="162" t="str">
        <f>IFERROR(VLOOKUP(ParicipationMai1[[#This Row],[Référence]],ListeÉtudiants1[],18,FALSE),"")</f>
        <v>ABDESSEMED MOUNIA</v>
      </c>
      <c r="C11" s="19"/>
      <c r="D11" s="19"/>
      <c r="E11" s="19"/>
      <c r="F11" s="19"/>
      <c r="G11" s="19"/>
      <c r="H11" s="19"/>
      <c r="I11" s="19"/>
      <c r="J11" s="19"/>
      <c r="K11" s="19"/>
      <c r="L11" s="19"/>
      <c r="M11" s="19"/>
      <c r="N11" s="19"/>
      <c r="O11" s="19"/>
      <c r="P11" s="19"/>
      <c r="Q11" s="19"/>
      <c r="R11" s="19"/>
      <c r="S11" s="19"/>
      <c r="T11" s="19"/>
      <c r="U11" s="19"/>
      <c r="V11" s="19"/>
      <c r="W11" s="19"/>
      <c r="X11" s="19"/>
      <c r="Y11" s="19"/>
      <c r="Z11" s="81"/>
      <c r="AA11" s="19"/>
      <c r="AB11" s="19"/>
      <c r="AC11" s="19"/>
      <c r="AD11" s="19"/>
      <c r="AE11" s="19"/>
      <c r="AF11" s="19"/>
      <c r="AG11" s="144"/>
      <c r="AH11" s="439">
        <f>COUNTIF(ParicipationMai1[[1]:[31]],Code1)</f>
        <v>0</v>
      </c>
      <c r="AI11" s="435">
        <f>COUNTIF(ParicipationMai1[[1]:[31]],code22)</f>
        <v>0</v>
      </c>
      <c r="AJ11" s="439">
        <f>COUNTIF(ParicipationMai1[[#This Row],[1]:[31]],Code2)</f>
        <v>0</v>
      </c>
      <c r="AK11" s="439">
        <f>COUNTIF(ParicipationMai1[[#This Row],[1]:[31]],Code3)</f>
        <v>0</v>
      </c>
      <c r="AL11" s="439">
        <f>COUNTIF(ParicipationMai1[[#This Row],[1]:[31]],Code4)</f>
        <v>0</v>
      </c>
      <c r="AM11" s="435">
        <f>COUNTIF(ParicipationMai1[[#This Row],[1]:[31]],Code5)</f>
        <v>0</v>
      </c>
      <c r="AN11" s="435">
        <f>COUNTIF(ParicipationMai1[[#This Row],[1]:[31]],Code23)</f>
        <v>0</v>
      </c>
      <c r="AO11" s="435">
        <f>COUNTIF(ParicipationMai1[[#This Row],[1]:[31]],Code6)</f>
        <v>0</v>
      </c>
      <c r="AP11" s="435">
        <f>COUNTIF(ParicipationMai1[[#This Row],[1]:[31]],Code7)</f>
        <v>0</v>
      </c>
      <c r="AQ11" s="435">
        <f>COUNTIF(ParicipationMai1[[#This Row],[1]:[31]],Code8)</f>
        <v>0</v>
      </c>
      <c r="AR11" s="435">
        <f>COUNTIF(ParicipationMai1[[#This Row],[1]:[31]],Code9)</f>
        <v>0</v>
      </c>
      <c r="AS11" s="435">
        <f>COUNTIF(ParicipationMai1[[#This Row],[1]:[31]],Code10)</f>
        <v>0</v>
      </c>
      <c r="AT11" s="435">
        <f>COUNTIF(ParicipationMai1[[#This Row],[1]:[31]],Code11)</f>
        <v>0</v>
      </c>
      <c r="AU11" s="435">
        <f>COUNTIF(ParicipationMai1[[#This Row],[1]:[31]],Code12)</f>
        <v>0</v>
      </c>
      <c r="AV11" s="435">
        <f>COUNTIF(ParicipationMai1[[#This Row],[1]:[31]],Code13)</f>
        <v>0</v>
      </c>
      <c r="AW11" s="435">
        <f>COUNTIF(ParicipationMai1[[#This Row],[1]:[31]],Code14)</f>
        <v>0</v>
      </c>
      <c r="AX11" s="435">
        <f>COUNTIF(ParicipationMai1[[#This Row],[1]:[31]],Code15)</f>
        <v>0</v>
      </c>
      <c r="AY11" s="435">
        <f>COUNTIF(ParicipationMai1[[#This Row],[1]:[31]],Code16)</f>
        <v>0</v>
      </c>
      <c r="AZ11" s="435">
        <f>COUNTIF(ParicipationMai1[[#This Row],[1]:[31]],Code17)</f>
        <v>0</v>
      </c>
      <c r="BA11" s="435">
        <f>COUNTIF(ParicipationMai1[[#This Row],[1]:[31]],Code25)</f>
        <v>0</v>
      </c>
      <c r="BB11" s="435">
        <f>COUNTIF(ParicipationMai1[[#This Row],[1]:[31]],Code26)</f>
        <v>0</v>
      </c>
      <c r="BC11" s="435">
        <f>COUNTIF(ParicipationMai1[[#This Row],[1]:[31]],Code27)</f>
        <v>0</v>
      </c>
      <c r="BD11" s="435">
        <f>COUNTIF(ParicipationMai1[[#This Row],[1]:[31]],Code28)</f>
        <v>0</v>
      </c>
      <c r="BE11" s="435">
        <f>COUNTIF(ParicipationMai1[[#This Row],[1]:[31]],code30)</f>
        <v>0</v>
      </c>
      <c r="BF11" s="435">
        <f>COUNTIF(ParicipationMai1[[#This Row],[1]:[31]],Code31)</f>
        <v>0</v>
      </c>
      <c r="BG11" s="435">
        <f>COUNTIF(ParicipationMai1[[#This Row],[1]:[31]],code21)</f>
        <v>0</v>
      </c>
      <c r="BH11" s="435">
        <f>COUNTIF(ParicipationMai1[[#This Row],[1]:[31]],Code24)</f>
        <v>0</v>
      </c>
      <c r="BI11" s="435">
        <f>COUNTIF(ParicipationMai1[[#This Row],[1]:[31]],code18)</f>
        <v>0</v>
      </c>
      <c r="BJ11" s="435">
        <f>COUNTIF(ParicipationMai1[[#This Row],[1]:[31]],code19)</f>
        <v>0</v>
      </c>
      <c r="BK11" s="462">
        <f>COUNTIF(ParicipationMai1[[#This Row],[1]:[31]],code20)</f>
        <v>0</v>
      </c>
      <c r="BL11" s="462">
        <f>COUNTIF(ParicipationMai1[[#This Row],[1]:[31]],code29)</f>
        <v>0</v>
      </c>
      <c r="BM11" s="450"/>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316"/>
      <c r="CT11" s="316"/>
      <c r="CU11" s="317"/>
      <c r="CV11" s="501">
        <f t="shared" ref="CV11:CV74" si="0">SUM((AH11*1)+(AI11*1.5)+(AJ11*2)+(AK11*3)+(AP11*5)+(AQ11*6)+(AR11*7)+(AU11*2)+(AX11*3)+(AY11*4)+(AZ11*5)+(BB11*3)+(BA11*2)+(BG11*2)+(BC11*2)+(BD11*2))</f>
        <v>0</v>
      </c>
      <c r="CW11" s="501">
        <f t="shared" ref="CW11:CW74" si="1">SUM((AN11*1)+(AM11*2)+(AO11*3)+(AP11*4)+(AT11*5)+(AU11*7)+(AV11*7)+(AW11*7)+(AX11*4)+(AY11*3)+(BB11*2)+(BC11*4)+(AZ11*1)+(BG11*2)+(BA11*5)+(BD11*1))</f>
        <v>0</v>
      </c>
      <c r="CX11" s="250">
        <f t="shared" ref="CX11:CX74" si="2">BH11*1+BL11*3</f>
        <v>0</v>
      </c>
      <c r="CY11" s="177">
        <f>SUM((BI11*7),(BJ11*10),(BK11*12))</f>
        <v>0</v>
      </c>
    </row>
    <row r="12" spans="1:103">
      <c r="A12" s="29" t="s">
        <v>72</v>
      </c>
      <c r="B12" s="162" t="str">
        <f>IFERROR(VLOOKUP(ParicipationMai1[[#This Row],[Référence]],ListeÉtudiants1[],18,FALSE),"")</f>
        <v>ABOSI MAIWENN</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44"/>
      <c r="AH12" s="6">
        <f>COUNTIF(ParicipationMai1[[1]:[31]],Code1)</f>
        <v>0</v>
      </c>
      <c r="AI12" s="6">
        <f>COUNTIF(ParicipationMai1[[1]:[31]],code22)</f>
        <v>0</v>
      </c>
      <c r="AJ12" s="30">
        <f>COUNTIF(ParicipationMai1[[#This Row],[1]:[31]],Code2)</f>
        <v>0</v>
      </c>
      <c r="AK12" s="30">
        <f>COUNTIF(ParicipationMai1[[#This Row],[1]:[31]],Code3)</f>
        <v>0</v>
      </c>
      <c r="AL12" s="30">
        <f>COUNTIF(ParicipationMai1[[#This Row],[1]:[31]],Code4)</f>
        <v>0</v>
      </c>
      <c r="AM12" s="30">
        <f>COUNTIF(ParicipationMai1[[#This Row],[1]:[31]],Code5)</f>
        <v>0</v>
      </c>
      <c r="AN12" s="30">
        <f>COUNTIF(ParicipationMai1[[#This Row],[1]:[31]],Code23)</f>
        <v>0</v>
      </c>
      <c r="AO12" s="30">
        <f>COUNTIF(ParicipationMai1[[#This Row],[1]:[31]],Code6)</f>
        <v>0</v>
      </c>
      <c r="AP12" s="30">
        <f>COUNTIF(ParicipationMai1[[#This Row],[1]:[31]],Code7)</f>
        <v>0</v>
      </c>
      <c r="AQ12" s="30">
        <f>COUNTIF(ParicipationMai1[[#This Row],[1]:[31]],Code8)</f>
        <v>0</v>
      </c>
      <c r="AR12" s="30">
        <f>COUNTIF(ParicipationMai1[[#This Row],[1]:[31]],Code9)</f>
        <v>0</v>
      </c>
      <c r="AS12" s="30">
        <f>COUNTIF(ParicipationMai1[[#This Row],[1]:[31]],Code10)</f>
        <v>0</v>
      </c>
      <c r="AT12" s="30">
        <f>COUNTIF(ParicipationMai1[[#This Row],[1]:[31]],Code11)</f>
        <v>0</v>
      </c>
      <c r="AU12" s="30">
        <f>COUNTIF(ParicipationMai1[[#This Row],[1]:[31]],Code12)</f>
        <v>0</v>
      </c>
      <c r="AV12" s="30">
        <f>COUNTIF(ParicipationMai1[[#This Row],[1]:[31]],Code13)</f>
        <v>0</v>
      </c>
      <c r="AW12" s="30">
        <f>COUNTIF(ParicipationMai1[[#This Row],[1]:[31]],Code14)</f>
        <v>0</v>
      </c>
      <c r="AX12" s="30">
        <f>COUNTIF(ParicipationMai1[[#This Row],[1]:[31]],Code15)</f>
        <v>0</v>
      </c>
      <c r="AY12" s="30">
        <f>COUNTIF(ParicipationMai1[[#This Row],[1]:[31]],Code16)</f>
        <v>0</v>
      </c>
      <c r="AZ12" s="30">
        <f>COUNTIF(ParicipationMai1[[#This Row],[1]:[31]],Code17)</f>
        <v>0</v>
      </c>
      <c r="BA12" s="30">
        <f>COUNTIF(ParicipationMai1[[#This Row],[1]:[31]],Code25)</f>
        <v>0</v>
      </c>
      <c r="BB12" s="30">
        <f>COUNTIF(ParicipationMai1[[#This Row],[1]:[31]],Code26)</f>
        <v>0</v>
      </c>
      <c r="BC12" s="30">
        <f>COUNTIF(ParicipationMai1[[#This Row],[1]:[31]],Code27)</f>
        <v>0</v>
      </c>
      <c r="BD12" s="30">
        <f>COUNTIF(ParicipationMai1[[#This Row],[1]:[31]],Code28)</f>
        <v>0</v>
      </c>
      <c r="BE12" s="30">
        <f>COUNTIF(ParicipationMai1[[#This Row],[1]:[31]],code30)</f>
        <v>0</v>
      </c>
      <c r="BF12" s="30">
        <f>COUNTIF(ParicipationMai1[[#This Row],[1]:[31]],Code31)</f>
        <v>0</v>
      </c>
      <c r="BG12" s="30">
        <f>COUNTIF(ParicipationMai1[[#This Row],[1]:[31]],code21)</f>
        <v>0</v>
      </c>
      <c r="BH12" s="30">
        <f>COUNTIF(ParicipationMai1[[#This Row],[1]:[31]],Code24)</f>
        <v>0</v>
      </c>
      <c r="BI12" s="30">
        <f>COUNTIF(ParicipationMai1[[#This Row],[1]:[31]],code18)</f>
        <v>0</v>
      </c>
      <c r="BJ12" s="30">
        <f>COUNTIF(ParicipationMai1[[#This Row],[1]:[31]],code19)</f>
        <v>0</v>
      </c>
      <c r="BK12" s="30">
        <f>COUNTIF(ParicipationMai1[[#This Row],[1]:[31]],code20)</f>
        <v>0</v>
      </c>
      <c r="BL12" s="164">
        <f>COUNTIF(ParicipationMai1[[#This Row],[1]:[31]],code29)</f>
        <v>0</v>
      </c>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307"/>
      <c r="CT12" s="307"/>
      <c r="CU12" s="300"/>
      <c r="CV12" s="501">
        <f t="shared" si="0"/>
        <v>0</v>
      </c>
      <c r="CW12" s="501">
        <f t="shared" si="1"/>
        <v>0</v>
      </c>
      <c r="CX12" s="249">
        <f t="shared" si="2"/>
        <v>0</v>
      </c>
      <c r="CY12" s="170">
        <f t="shared" ref="CY12:CY75" si="3">SUM((BI12*7),(BJ12*10),(BK12*12))</f>
        <v>0</v>
      </c>
    </row>
    <row r="13" spans="1:103">
      <c r="A13" s="29" t="s">
        <v>73</v>
      </c>
      <c r="B13" s="162" t="str">
        <f>IFERROR(VLOOKUP(ParicipationMai1[[#This Row],[Référence]],ListeÉtudiants1[],18,FALSE),"")</f>
        <v>AFKIR SOUMIA</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44"/>
      <c r="AH13" s="6">
        <f>COUNTIF(ParicipationMai1[[1]:[31]],Code1)</f>
        <v>0</v>
      </c>
      <c r="AI13" s="6">
        <f>COUNTIF(ParicipationMai1[[1]:[31]],code22)</f>
        <v>0</v>
      </c>
      <c r="AJ13" s="30">
        <f>COUNTIF(ParicipationMai1[[#This Row],[1]:[31]],Code2)</f>
        <v>0</v>
      </c>
      <c r="AK13" s="30">
        <f>COUNTIF(ParicipationMai1[[#This Row],[1]:[31]],Code3)</f>
        <v>0</v>
      </c>
      <c r="AL13" s="30">
        <f>COUNTIF(ParicipationMai1[[#This Row],[1]:[31]],Code4)</f>
        <v>0</v>
      </c>
      <c r="AM13" s="30">
        <f>COUNTIF(ParicipationMai1[[#This Row],[1]:[31]],Code5)</f>
        <v>0</v>
      </c>
      <c r="AN13" s="30">
        <f>COUNTIF(ParicipationMai1[[#This Row],[1]:[31]],Code23)</f>
        <v>0</v>
      </c>
      <c r="AO13" s="30">
        <f>COUNTIF(ParicipationMai1[[#This Row],[1]:[31]],Code6)</f>
        <v>0</v>
      </c>
      <c r="AP13" s="30">
        <f>COUNTIF(ParicipationMai1[[#This Row],[1]:[31]],Code7)</f>
        <v>0</v>
      </c>
      <c r="AQ13" s="30">
        <f>COUNTIF(ParicipationMai1[[#This Row],[1]:[31]],Code8)</f>
        <v>0</v>
      </c>
      <c r="AR13" s="30">
        <f>COUNTIF(ParicipationMai1[[#This Row],[1]:[31]],Code9)</f>
        <v>0</v>
      </c>
      <c r="AS13" s="30">
        <f>COUNTIF(ParicipationMai1[[#This Row],[1]:[31]],Code10)</f>
        <v>0</v>
      </c>
      <c r="AT13" s="30">
        <f>COUNTIF(ParicipationMai1[[#This Row],[1]:[31]],Code11)</f>
        <v>0</v>
      </c>
      <c r="AU13" s="30">
        <f>COUNTIF(ParicipationMai1[[#This Row],[1]:[31]],Code12)</f>
        <v>0</v>
      </c>
      <c r="AV13" s="30">
        <f>COUNTIF(ParicipationMai1[[#This Row],[1]:[31]],Code13)</f>
        <v>0</v>
      </c>
      <c r="AW13" s="30">
        <f>COUNTIF(ParicipationMai1[[#This Row],[1]:[31]],Code14)</f>
        <v>0</v>
      </c>
      <c r="AX13" s="30">
        <f>COUNTIF(ParicipationMai1[[#This Row],[1]:[31]],Code15)</f>
        <v>0</v>
      </c>
      <c r="AY13" s="30">
        <f>COUNTIF(ParicipationMai1[[#This Row],[1]:[31]],Code16)</f>
        <v>0</v>
      </c>
      <c r="AZ13" s="30">
        <f>COUNTIF(ParicipationMai1[[#This Row],[1]:[31]],Code17)</f>
        <v>0</v>
      </c>
      <c r="BA13" s="30">
        <f>COUNTIF(ParicipationMai1[[#This Row],[1]:[31]],Code25)</f>
        <v>0</v>
      </c>
      <c r="BB13" s="30">
        <f>COUNTIF(ParicipationMai1[[#This Row],[1]:[31]],Code26)</f>
        <v>0</v>
      </c>
      <c r="BC13" s="30">
        <f>COUNTIF(ParicipationMai1[[#This Row],[1]:[31]],Code27)</f>
        <v>0</v>
      </c>
      <c r="BD13" s="30">
        <f>COUNTIF(ParicipationMai1[[#This Row],[1]:[31]],Code28)</f>
        <v>0</v>
      </c>
      <c r="BE13" s="30">
        <f>COUNTIF(ParicipationMai1[[#This Row],[1]:[31]],code30)</f>
        <v>0</v>
      </c>
      <c r="BF13" s="30">
        <f>COUNTIF(ParicipationMai1[[#This Row],[1]:[31]],Code31)</f>
        <v>0</v>
      </c>
      <c r="BG13" s="30">
        <f>COUNTIF(ParicipationMai1[[#This Row],[1]:[31]],code21)</f>
        <v>0</v>
      </c>
      <c r="BH13" s="30">
        <f>COUNTIF(ParicipationMai1[[#This Row],[1]:[31]],Code24)</f>
        <v>0</v>
      </c>
      <c r="BI13" s="30">
        <f>COUNTIF(ParicipationMai1[[#This Row],[1]:[31]],code18)</f>
        <v>0</v>
      </c>
      <c r="BJ13" s="30">
        <f>COUNTIF(ParicipationMai1[[#This Row],[1]:[31]],code19)</f>
        <v>0</v>
      </c>
      <c r="BK13" s="30">
        <f>COUNTIF(ParicipationMai1[[#This Row],[1]:[31]],code20)</f>
        <v>0</v>
      </c>
      <c r="BL13" s="164">
        <f>COUNTIF(ParicipationMai1[[#This Row],[1]:[31]],code29)</f>
        <v>0</v>
      </c>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307"/>
      <c r="CT13" s="307"/>
      <c r="CU13" s="300"/>
      <c r="CV13" s="501">
        <f t="shared" si="0"/>
        <v>0</v>
      </c>
      <c r="CW13" s="501">
        <f t="shared" si="1"/>
        <v>0</v>
      </c>
      <c r="CX13" s="249">
        <f t="shared" si="2"/>
        <v>0</v>
      </c>
      <c r="CY13" s="170">
        <f t="shared" si="3"/>
        <v>0</v>
      </c>
    </row>
    <row r="14" spans="1:103">
      <c r="A14" s="29" t="s">
        <v>74</v>
      </c>
      <c r="B14" s="162" t="str">
        <f>IFERROR(VLOOKUP(ParicipationMai1[[#This Row],[Référence]],ListeÉtudiants1[],18,FALSE),"")</f>
        <v>AFRICA NADINE</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44"/>
      <c r="AH14" s="6">
        <f>COUNTIF(ParicipationMai1[[1]:[31]],Code1)</f>
        <v>0</v>
      </c>
      <c r="AI14" s="6">
        <f>COUNTIF(ParicipationMai1[[1]:[31]],code22)</f>
        <v>0</v>
      </c>
      <c r="AJ14" s="30">
        <f>COUNTIF(ParicipationMai1[[#This Row],[1]:[31]],Code2)</f>
        <v>0</v>
      </c>
      <c r="AK14" s="30">
        <f>COUNTIF(ParicipationMai1[[#This Row],[1]:[31]],Code3)</f>
        <v>0</v>
      </c>
      <c r="AL14" s="30">
        <f>COUNTIF(ParicipationMai1[[#This Row],[1]:[31]],Code4)</f>
        <v>0</v>
      </c>
      <c r="AM14" s="30">
        <f>COUNTIF(ParicipationMai1[[#This Row],[1]:[31]],Code5)</f>
        <v>0</v>
      </c>
      <c r="AN14" s="30">
        <f>COUNTIF(ParicipationMai1[[#This Row],[1]:[31]],Code23)</f>
        <v>0</v>
      </c>
      <c r="AO14" s="30">
        <f>COUNTIF(ParicipationMai1[[#This Row],[1]:[31]],Code6)</f>
        <v>0</v>
      </c>
      <c r="AP14" s="30">
        <f>COUNTIF(ParicipationMai1[[#This Row],[1]:[31]],Code7)</f>
        <v>0</v>
      </c>
      <c r="AQ14" s="30">
        <f>COUNTIF(ParicipationMai1[[#This Row],[1]:[31]],Code8)</f>
        <v>0</v>
      </c>
      <c r="AR14" s="30">
        <f>COUNTIF(ParicipationMai1[[#This Row],[1]:[31]],Code9)</f>
        <v>0</v>
      </c>
      <c r="AS14" s="30">
        <f>COUNTIF(ParicipationMai1[[#This Row],[1]:[31]],Code10)</f>
        <v>0</v>
      </c>
      <c r="AT14" s="30">
        <f>COUNTIF(ParicipationMai1[[#This Row],[1]:[31]],Code11)</f>
        <v>0</v>
      </c>
      <c r="AU14" s="30">
        <f>COUNTIF(ParicipationMai1[[#This Row],[1]:[31]],Code12)</f>
        <v>0</v>
      </c>
      <c r="AV14" s="30">
        <f>COUNTIF(ParicipationMai1[[#This Row],[1]:[31]],Code13)</f>
        <v>0</v>
      </c>
      <c r="AW14" s="30">
        <f>COUNTIF(ParicipationMai1[[#This Row],[1]:[31]],Code14)</f>
        <v>0</v>
      </c>
      <c r="AX14" s="30">
        <f>COUNTIF(ParicipationMai1[[#This Row],[1]:[31]],Code15)</f>
        <v>0</v>
      </c>
      <c r="AY14" s="30">
        <f>COUNTIF(ParicipationMai1[[#This Row],[1]:[31]],Code16)</f>
        <v>0</v>
      </c>
      <c r="AZ14" s="30">
        <f>COUNTIF(ParicipationMai1[[#This Row],[1]:[31]],Code17)</f>
        <v>0</v>
      </c>
      <c r="BA14" s="30">
        <f>COUNTIF(ParicipationMai1[[#This Row],[1]:[31]],Code25)</f>
        <v>0</v>
      </c>
      <c r="BB14" s="30">
        <f>COUNTIF(ParicipationMai1[[#This Row],[1]:[31]],Code26)</f>
        <v>0</v>
      </c>
      <c r="BC14" s="30">
        <f>COUNTIF(ParicipationMai1[[#This Row],[1]:[31]],Code27)</f>
        <v>0</v>
      </c>
      <c r="BD14" s="30">
        <f>COUNTIF(ParicipationMai1[[#This Row],[1]:[31]],Code28)</f>
        <v>0</v>
      </c>
      <c r="BE14" s="30">
        <f>COUNTIF(ParicipationMai1[[#This Row],[1]:[31]],code30)</f>
        <v>0</v>
      </c>
      <c r="BF14" s="30">
        <f>COUNTIF(ParicipationMai1[[#This Row],[1]:[31]],Code31)</f>
        <v>0</v>
      </c>
      <c r="BG14" s="30">
        <f>COUNTIF(ParicipationMai1[[#This Row],[1]:[31]],code21)</f>
        <v>0</v>
      </c>
      <c r="BH14" s="30">
        <f>COUNTIF(ParicipationMai1[[#This Row],[1]:[31]],Code24)</f>
        <v>0</v>
      </c>
      <c r="BI14" s="30">
        <f>COUNTIF(ParicipationMai1[[#This Row],[1]:[31]],code18)</f>
        <v>0</v>
      </c>
      <c r="BJ14" s="30">
        <f>COUNTIF(ParicipationMai1[[#This Row],[1]:[31]],code19)</f>
        <v>0</v>
      </c>
      <c r="BK14" s="30">
        <f>COUNTIF(ParicipationMai1[[#This Row],[1]:[31]],code20)</f>
        <v>0</v>
      </c>
      <c r="BL14" s="164">
        <f>COUNTIF(ParicipationMai1[[#This Row],[1]:[31]],code29)</f>
        <v>0</v>
      </c>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307"/>
      <c r="CT14" s="307"/>
      <c r="CU14" s="300"/>
      <c r="CV14" s="501">
        <f t="shared" si="0"/>
        <v>0</v>
      </c>
      <c r="CW14" s="501">
        <f t="shared" si="1"/>
        <v>0</v>
      </c>
      <c r="CX14" s="249">
        <f t="shared" si="2"/>
        <v>0</v>
      </c>
      <c r="CY14" s="170">
        <f t="shared" si="3"/>
        <v>0</v>
      </c>
    </row>
    <row r="15" spans="1:103">
      <c r="A15" s="29" t="s">
        <v>75</v>
      </c>
      <c r="B15" s="162" t="str">
        <f>IFERROR(VLOOKUP(ParicipationMai1[[#This Row],[Référence]],ListeÉtudiants1[],18,FALSE),"")</f>
        <v>AINAUD  MATHILDE</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44"/>
      <c r="AH15" s="6">
        <f>COUNTIF(ParicipationMai1[[1]:[31]],Code1)</f>
        <v>0</v>
      </c>
      <c r="AI15" s="6">
        <f>COUNTIF(ParicipationMai1[[1]:[31]],code22)</f>
        <v>0</v>
      </c>
      <c r="AJ15" s="30">
        <f>COUNTIF(ParicipationMai1[[#This Row],[1]:[31]],Code2)</f>
        <v>0</v>
      </c>
      <c r="AK15" s="30">
        <f>COUNTIF(ParicipationMai1[[#This Row],[1]:[31]],Code3)</f>
        <v>0</v>
      </c>
      <c r="AL15" s="30">
        <f>COUNTIF(ParicipationMai1[[#This Row],[1]:[31]],Code4)</f>
        <v>0</v>
      </c>
      <c r="AM15" s="30">
        <f>COUNTIF(ParicipationMai1[[#This Row],[1]:[31]],Code5)</f>
        <v>0</v>
      </c>
      <c r="AN15" s="30">
        <f>COUNTIF(ParicipationMai1[[#This Row],[1]:[31]],Code23)</f>
        <v>0</v>
      </c>
      <c r="AO15" s="30">
        <f>COUNTIF(ParicipationMai1[[#This Row],[1]:[31]],Code6)</f>
        <v>0</v>
      </c>
      <c r="AP15" s="30">
        <f>COUNTIF(ParicipationMai1[[#This Row],[1]:[31]],Code7)</f>
        <v>0</v>
      </c>
      <c r="AQ15" s="30">
        <f>COUNTIF(ParicipationMai1[[#This Row],[1]:[31]],Code8)</f>
        <v>0</v>
      </c>
      <c r="AR15" s="30">
        <f>COUNTIF(ParicipationMai1[[#This Row],[1]:[31]],Code9)</f>
        <v>0</v>
      </c>
      <c r="AS15" s="30">
        <f>COUNTIF(ParicipationMai1[[#This Row],[1]:[31]],Code10)</f>
        <v>0</v>
      </c>
      <c r="AT15" s="30">
        <f>COUNTIF(ParicipationMai1[[#This Row],[1]:[31]],Code11)</f>
        <v>0</v>
      </c>
      <c r="AU15" s="30">
        <f>COUNTIF(ParicipationMai1[[#This Row],[1]:[31]],Code12)</f>
        <v>0</v>
      </c>
      <c r="AV15" s="30">
        <f>COUNTIF(ParicipationMai1[[#This Row],[1]:[31]],Code13)</f>
        <v>0</v>
      </c>
      <c r="AW15" s="30">
        <f>COUNTIF(ParicipationMai1[[#This Row],[1]:[31]],Code14)</f>
        <v>0</v>
      </c>
      <c r="AX15" s="30">
        <f>COUNTIF(ParicipationMai1[[#This Row],[1]:[31]],Code15)</f>
        <v>0</v>
      </c>
      <c r="AY15" s="30">
        <f>COUNTIF(ParicipationMai1[[#This Row],[1]:[31]],Code16)</f>
        <v>0</v>
      </c>
      <c r="AZ15" s="30">
        <f>COUNTIF(ParicipationMai1[[#This Row],[1]:[31]],Code17)</f>
        <v>0</v>
      </c>
      <c r="BA15" s="30">
        <f>COUNTIF(ParicipationMai1[[#This Row],[1]:[31]],Code25)</f>
        <v>0</v>
      </c>
      <c r="BB15" s="30">
        <f>COUNTIF(ParicipationMai1[[#This Row],[1]:[31]],Code26)</f>
        <v>0</v>
      </c>
      <c r="BC15" s="30">
        <f>COUNTIF(ParicipationMai1[[#This Row],[1]:[31]],Code27)</f>
        <v>0</v>
      </c>
      <c r="BD15" s="30">
        <f>COUNTIF(ParicipationMai1[[#This Row],[1]:[31]],Code28)</f>
        <v>0</v>
      </c>
      <c r="BE15" s="30">
        <f>COUNTIF(ParicipationMai1[[#This Row],[1]:[31]],code30)</f>
        <v>0</v>
      </c>
      <c r="BF15" s="30">
        <f>COUNTIF(ParicipationMai1[[#This Row],[1]:[31]],Code31)</f>
        <v>0</v>
      </c>
      <c r="BG15" s="30">
        <f>COUNTIF(ParicipationMai1[[#This Row],[1]:[31]],code21)</f>
        <v>0</v>
      </c>
      <c r="BH15" s="30">
        <f>COUNTIF(ParicipationMai1[[#This Row],[1]:[31]],Code24)</f>
        <v>0</v>
      </c>
      <c r="BI15" s="30">
        <f>COUNTIF(ParicipationMai1[[#This Row],[1]:[31]],code18)</f>
        <v>0</v>
      </c>
      <c r="BJ15" s="30">
        <f>COUNTIF(ParicipationMai1[[#This Row],[1]:[31]],code19)</f>
        <v>0</v>
      </c>
      <c r="BK15" s="30">
        <f>COUNTIF(ParicipationMai1[[#This Row],[1]:[31]],code20)</f>
        <v>0</v>
      </c>
      <c r="BL15" s="164">
        <f>COUNTIF(ParicipationMai1[[#This Row],[1]:[31]],code29)</f>
        <v>0</v>
      </c>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307"/>
      <c r="CT15" s="307"/>
      <c r="CU15" s="300"/>
      <c r="CV15" s="501">
        <f t="shared" si="0"/>
        <v>0</v>
      </c>
      <c r="CW15" s="501">
        <f t="shared" si="1"/>
        <v>0</v>
      </c>
      <c r="CX15" s="249">
        <f t="shared" si="2"/>
        <v>0</v>
      </c>
      <c r="CY15" s="170">
        <f t="shared" si="3"/>
        <v>0</v>
      </c>
    </row>
    <row r="16" spans="1:103">
      <c r="A16" s="29" t="s">
        <v>357</v>
      </c>
      <c r="B16" s="162" t="str">
        <f>IFERROR(VLOOKUP(ParicipationMai1[[#This Row],[Référence]],ListeÉtudiants1[],18,FALSE),"")</f>
        <v>AIT CHALALET SELENA</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44"/>
      <c r="AH16" s="6">
        <f>COUNTIF(ParicipationMai1[[1]:[31]],Code1)</f>
        <v>0</v>
      </c>
      <c r="AI16" s="6">
        <f>COUNTIF(ParicipationMai1[[1]:[31]],code22)</f>
        <v>0</v>
      </c>
      <c r="AJ16" s="30">
        <f>COUNTIF(ParicipationMai1[[#This Row],[1]:[31]],Code2)</f>
        <v>0</v>
      </c>
      <c r="AK16" s="30">
        <f>COUNTIF(ParicipationMai1[[#This Row],[1]:[31]],Code3)</f>
        <v>0</v>
      </c>
      <c r="AL16" s="30">
        <f>COUNTIF(ParicipationMai1[[#This Row],[1]:[31]],Code4)</f>
        <v>0</v>
      </c>
      <c r="AM16" s="30">
        <f>COUNTIF(ParicipationMai1[[#This Row],[1]:[31]],Code5)</f>
        <v>0</v>
      </c>
      <c r="AN16" s="30">
        <f>COUNTIF(ParicipationMai1[[#This Row],[1]:[31]],Code23)</f>
        <v>0</v>
      </c>
      <c r="AO16" s="30">
        <f>COUNTIF(ParicipationMai1[[#This Row],[1]:[31]],Code6)</f>
        <v>0</v>
      </c>
      <c r="AP16" s="30">
        <f>COUNTIF(ParicipationMai1[[#This Row],[1]:[31]],Code7)</f>
        <v>0</v>
      </c>
      <c r="AQ16" s="30">
        <f>COUNTIF(ParicipationMai1[[#This Row],[1]:[31]],Code8)</f>
        <v>0</v>
      </c>
      <c r="AR16" s="30">
        <f>COUNTIF(ParicipationMai1[[#This Row],[1]:[31]],Code9)</f>
        <v>0</v>
      </c>
      <c r="AS16" s="30">
        <f>COUNTIF(ParicipationMai1[[#This Row],[1]:[31]],Code10)</f>
        <v>0</v>
      </c>
      <c r="AT16" s="30">
        <f>COUNTIF(ParicipationMai1[[#This Row],[1]:[31]],Code11)</f>
        <v>0</v>
      </c>
      <c r="AU16" s="30">
        <f>COUNTIF(ParicipationMai1[[#This Row],[1]:[31]],Code12)</f>
        <v>0</v>
      </c>
      <c r="AV16" s="30">
        <f>COUNTIF(ParicipationMai1[[#This Row],[1]:[31]],Code13)</f>
        <v>0</v>
      </c>
      <c r="AW16" s="30">
        <f>COUNTIF(ParicipationMai1[[#This Row],[1]:[31]],Code14)</f>
        <v>0</v>
      </c>
      <c r="AX16" s="30">
        <f>COUNTIF(ParicipationMai1[[#This Row],[1]:[31]],Code15)</f>
        <v>0</v>
      </c>
      <c r="AY16" s="30">
        <f>COUNTIF(ParicipationMai1[[#This Row],[1]:[31]],Code16)</f>
        <v>0</v>
      </c>
      <c r="AZ16" s="30">
        <f>COUNTIF(ParicipationMai1[[#This Row],[1]:[31]],Code17)</f>
        <v>0</v>
      </c>
      <c r="BA16" s="30">
        <f>COUNTIF(ParicipationMai1[[#This Row],[1]:[31]],Code25)</f>
        <v>0</v>
      </c>
      <c r="BB16" s="30">
        <f>COUNTIF(ParicipationMai1[[#This Row],[1]:[31]],Code26)</f>
        <v>0</v>
      </c>
      <c r="BC16" s="30">
        <f>COUNTIF(ParicipationMai1[[#This Row],[1]:[31]],Code27)</f>
        <v>0</v>
      </c>
      <c r="BD16" s="30">
        <f>COUNTIF(ParicipationMai1[[#This Row],[1]:[31]],Code28)</f>
        <v>0</v>
      </c>
      <c r="BE16" s="30">
        <f>COUNTIF(ParicipationMai1[[#This Row],[1]:[31]],code30)</f>
        <v>0</v>
      </c>
      <c r="BF16" s="30">
        <f>COUNTIF(ParicipationMai1[[#This Row],[1]:[31]],Code31)</f>
        <v>0</v>
      </c>
      <c r="BG16" s="30">
        <f>COUNTIF(ParicipationMai1[[#This Row],[1]:[31]],code21)</f>
        <v>0</v>
      </c>
      <c r="BH16" s="30">
        <f>COUNTIF(ParicipationMai1[[#This Row],[1]:[31]],Code24)</f>
        <v>0</v>
      </c>
      <c r="BI16" s="30">
        <f>COUNTIF(ParicipationMai1[[#This Row],[1]:[31]],code18)</f>
        <v>0</v>
      </c>
      <c r="BJ16" s="30">
        <f>COUNTIF(ParicipationMai1[[#This Row],[1]:[31]],code19)</f>
        <v>0</v>
      </c>
      <c r="BK16" s="30">
        <f>COUNTIF(ParicipationMai1[[#This Row],[1]:[31]],code20)</f>
        <v>0</v>
      </c>
      <c r="BL16" s="164">
        <f>COUNTIF(ParicipationMai1[[#This Row],[1]:[31]],code29)</f>
        <v>0</v>
      </c>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307"/>
      <c r="CT16" s="307"/>
      <c r="CU16" s="300"/>
      <c r="CV16" s="501">
        <f t="shared" si="0"/>
        <v>0</v>
      </c>
      <c r="CW16" s="501">
        <f t="shared" si="1"/>
        <v>0</v>
      </c>
      <c r="CX16" s="249">
        <f t="shared" si="2"/>
        <v>0</v>
      </c>
      <c r="CY16" s="170">
        <f t="shared" si="3"/>
        <v>0</v>
      </c>
    </row>
    <row r="17" spans="1:103">
      <c r="A17" s="29" t="s">
        <v>358</v>
      </c>
      <c r="B17" s="162" t="str">
        <f>IFERROR(VLOOKUP(ParicipationMai1[[#This Row],[Référence]],ListeÉtudiants1[],18,FALSE),"")</f>
        <v>AJINCA NATHAN</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44"/>
      <c r="AH17" s="6">
        <f>COUNTIF(ParicipationMai1[[1]:[31]],Code1)</f>
        <v>0</v>
      </c>
      <c r="AI17" s="6">
        <f>COUNTIF(ParicipationMai1[[1]:[31]],code22)</f>
        <v>0</v>
      </c>
      <c r="AJ17" s="30">
        <f>COUNTIF(ParicipationMai1[[#This Row],[1]:[31]],Code2)</f>
        <v>0</v>
      </c>
      <c r="AK17" s="30">
        <f>COUNTIF(ParicipationMai1[[#This Row],[1]:[31]],Code3)</f>
        <v>0</v>
      </c>
      <c r="AL17" s="30">
        <f>COUNTIF(ParicipationMai1[[#This Row],[1]:[31]],Code4)</f>
        <v>0</v>
      </c>
      <c r="AM17" s="30">
        <f>COUNTIF(ParicipationMai1[[#This Row],[1]:[31]],Code5)</f>
        <v>0</v>
      </c>
      <c r="AN17" s="30">
        <f>COUNTIF(ParicipationMai1[[#This Row],[1]:[31]],Code23)</f>
        <v>0</v>
      </c>
      <c r="AO17" s="30">
        <f>COUNTIF(ParicipationMai1[[#This Row],[1]:[31]],Code6)</f>
        <v>0</v>
      </c>
      <c r="AP17" s="30">
        <f>COUNTIF(ParicipationMai1[[#This Row],[1]:[31]],Code7)</f>
        <v>0</v>
      </c>
      <c r="AQ17" s="30">
        <f>COUNTIF(ParicipationMai1[[#This Row],[1]:[31]],Code8)</f>
        <v>0</v>
      </c>
      <c r="AR17" s="30">
        <f>COUNTIF(ParicipationMai1[[#This Row],[1]:[31]],Code9)</f>
        <v>0</v>
      </c>
      <c r="AS17" s="30">
        <f>COUNTIF(ParicipationMai1[[#This Row],[1]:[31]],Code10)</f>
        <v>0</v>
      </c>
      <c r="AT17" s="30">
        <f>COUNTIF(ParicipationMai1[[#This Row],[1]:[31]],Code11)</f>
        <v>0</v>
      </c>
      <c r="AU17" s="30">
        <f>COUNTIF(ParicipationMai1[[#This Row],[1]:[31]],Code12)</f>
        <v>0</v>
      </c>
      <c r="AV17" s="30">
        <f>COUNTIF(ParicipationMai1[[#This Row],[1]:[31]],Code13)</f>
        <v>0</v>
      </c>
      <c r="AW17" s="30">
        <f>COUNTIF(ParicipationMai1[[#This Row],[1]:[31]],Code14)</f>
        <v>0</v>
      </c>
      <c r="AX17" s="30">
        <f>COUNTIF(ParicipationMai1[[#This Row],[1]:[31]],Code15)</f>
        <v>0</v>
      </c>
      <c r="AY17" s="30">
        <f>COUNTIF(ParicipationMai1[[#This Row],[1]:[31]],Code16)</f>
        <v>0</v>
      </c>
      <c r="AZ17" s="30">
        <f>COUNTIF(ParicipationMai1[[#This Row],[1]:[31]],Code17)</f>
        <v>0</v>
      </c>
      <c r="BA17" s="30">
        <f>COUNTIF(ParicipationMai1[[#This Row],[1]:[31]],Code25)</f>
        <v>0</v>
      </c>
      <c r="BB17" s="30">
        <f>COUNTIF(ParicipationMai1[[#This Row],[1]:[31]],Code26)</f>
        <v>0</v>
      </c>
      <c r="BC17" s="30">
        <f>COUNTIF(ParicipationMai1[[#This Row],[1]:[31]],Code27)</f>
        <v>0</v>
      </c>
      <c r="BD17" s="30">
        <f>COUNTIF(ParicipationMai1[[#This Row],[1]:[31]],Code28)</f>
        <v>0</v>
      </c>
      <c r="BE17" s="30">
        <f>COUNTIF(ParicipationMai1[[#This Row],[1]:[31]],code30)</f>
        <v>0</v>
      </c>
      <c r="BF17" s="30">
        <f>COUNTIF(ParicipationMai1[[#This Row],[1]:[31]],Code31)</f>
        <v>0</v>
      </c>
      <c r="BG17" s="30">
        <f>COUNTIF(ParicipationMai1[[#This Row],[1]:[31]],code21)</f>
        <v>0</v>
      </c>
      <c r="BH17" s="30">
        <f>COUNTIF(ParicipationMai1[[#This Row],[1]:[31]],Code24)</f>
        <v>0</v>
      </c>
      <c r="BI17" s="30">
        <f>COUNTIF(ParicipationMai1[[#This Row],[1]:[31]],code18)</f>
        <v>0</v>
      </c>
      <c r="BJ17" s="30">
        <f>COUNTIF(ParicipationMai1[[#This Row],[1]:[31]],code19)</f>
        <v>0</v>
      </c>
      <c r="BK17" s="30">
        <f>COUNTIF(ParicipationMai1[[#This Row],[1]:[31]],code20)</f>
        <v>0</v>
      </c>
      <c r="BL17" s="164">
        <f>COUNTIF(ParicipationMai1[[#This Row],[1]:[31]],code29)</f>
        <v>0</v>
      </c>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307"/>
      <c r="CT17" s="307"/>
      <c r="CU17" s="300"/>
      <c r="CV17" s="501">
        <f t="shared" si="0"/>
        <v>0</v>
      </c>
      <c r="CW17" s="501">
        <f t="shared" si="1"/>
        <v>0</v>
      </c>
      <c r="CX17" s="249">
        <f t="shared" si="2"/>
        <v>0</v>
      </c>
      <c r="CY17" s="170">
        <f t="shared" si="3"/>
        <v>0</v>
      </c>
    </row>
    <row r="18" spans="1:103">
      <c r="A18" s="29" t="s">
        <v>359</v>
      </c>
      <c r="B18" s="162" t="str">
        <f>IFERROR(VLOOKUP(ParicipationMai1[[#This Row],[Référence]],ListeÉtudiants1[],18,FALSE),"")</f>
        <v>ALBINA IONA</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44"/>
      <c r="AH18" s="6">
        <f>COUNTIF(ParicipationMai1[[1]:[31]],Code1)</f>
        <v>0</v>
      </c>
      <c r="AI18" s="6">
        <f>COUNTIF(ParicipationMai1[[1]:[31]],code22)</f>
        <v>0</v>
      </c>
      <c r="AJ18" s="30">
        <f>COUNTIF(ParicipationMai1[[#This Row],[1]:[31]],Code2)</f>
        <v>0</v>
      </c>
      <c r="AK18" s="30">
        <f>COUNTIF(ParicipationMai1[[#This Row],[1]:[31]],Code3)</f>
        <v>0</v>
      </c>
      <c r="AL18" s="30">
        <f>COUNTIF(ParicipationMai1[[#This Row],[1]:[31]],Code4)</f>
        <v>0</v>
      </c>
      <c r="AM18" s="30">
        <f>COUNTIF(ParicipationMai1[[#This Row],[1]:[31]],Code5)</f>
        <v>0</v>
      </c>
      <c r="AN18" s="30">
        <f>COUNTIF(ParicipationMai1[[#This Row],[1]:[31]],Code23)</f>
        <v>0</v>
      </c>
      <c r="AO18" s="30">
        <f>COUNTIF(ParicipationMai1[[#This Row],[1]:[31]],Code6)</f>
        <v>0</v>
      </c>
      <c r="AP18" s="30">
        <f>COUNTIF(ParicipationMai1[[#This Row],[1]:[31]],Code7)</f>
        <v>0</v>
      </c>
      <c r="AQ18" s="30">
        <f>COUNTIF(ParicipationMai1[[#This Row],[1]:[31]],Code8)</f>
        <v>0</v>
      </c>
      <c r="AR18" s="30">
        <f>COUNTIF(ParicipationMai1[[#This Row],[1]:[31]],Code9)</f>
        <v>0</v>
      </c>
      <c r="AS18" s="30">
        <f>COUNTIF(ParicipationMai1[[#This Row],[1]:[31]],Code10)</f>
        <v>0</v>
      </c>
      <c r="AT18" s="30">
        <f>COUNTIF(ParicipationMai1[[#This Row],[1]:[31]],Code11)</f>
        <v>0</v>
      </c>
      <c r="AU18" s="30">
        <f>COUNTIF(ParicipationMai1[[#This Row],[1]:[31]],Code12)</f>
        <v>0</v>
      </c>
      <c r="AV18" s="30">
        <f>COUNTIF(ParicipationMai1[[#This Row],[1]:[31]],Code13)</f>
        <v>0</v>
      </c>
      <c r="AW18" s="30">
        <f>COUNTIF(ParicipationMai1[[#This Row],[1]:[31]],Code14)</f>
        <v>0</v>
      </c>
      <c r="AX18" s="30">
        <f>COUNTIF(ParicipationMai1[[#This Row],[1]:[31]],Code15)</f>
        <v>0</v>
      </c>
      <c r="AY18" s="30">
        <f>COUNTIF(ParicipationMai1[[#This Row],[1]:[31]],Code16)</f>
        <v>0</v>
      </c>
      <c r="AZ18" s="30">
        <f>COUNTIF(ParicipationMai1[[#This Row],[1]:[31]],Code17)</f>
        <v>0</v>
      </c>
      <c r="BA18" s="30">
        <f>COUNTIF(ParicipationMai1[[#This Row],[1]:[31]],Code25)</f>
        <v>0</v>
      </c>
      <c r="BB18" s="30">
        <f>COUNTIF(ParicipationMai1[[#This Row],[1]:[31]],Code26)</f>
        <v>0</v>
      </c>
      <c r="BC18" s="30">
        <f>COUNTIF(ParicipationMai1[[#This Row],[1]:[31]],Code27)</f>
        <v>0</v>
      </c>
      <c r="BD18" s="30">
        <f>COUNTIF(ParicipationMai1[[#This Row],[1]:[31]],Code28)</f>
        <v>0</v>
      </c>
      <c r="BE18" s="30">
        <f>COUNTIF(ParicipationMai1[[#This Row],[1]:[31]],code30)</f>
        <v>0</v>
      </c>
      <c r="BF18" s="30">
        <f>COUNTIF(ParicipationMai1[[#This Row],[1]:[31]],Code31)</f>
        <v>0</v>
      </c>
      <c r="BG18" s="30">
        <f>COUNTIF(ParicipationMai1[[#This Row],[1]:[31]],code21)</f>
        <v>0</v>
      </c>
      <c r="BH18" s="30">
        <f>COUNTIF(ParicipationMai1[[#This Row],[1]:[31]],Code24)</f>
        <v>0</v>
      </c>
      <c r="BI18" s="30">
        <f>COUNTIF(ParicipationMai1[[#This Row],[1]:[31]],code18)</f>
        <v>0</v>
      </c>
      <c r="BJ18" s="30">
        <f>COUNTIF(ParicipationMai1[[#This Row],[1]:[31]],code19)</f>
        <v>0</v>
      </c>
      <c r="BK18" s="30">
        <f>COUNTIF(ParicipationMai1[[#This Row],[1]:[31]],code20)</f>
        <v>0</v>
      </c>
      <c r="BL18" s="164">
        <f>COUNTIF(ParicipationMai1[[#This Row],[1]:[31]],code29)</f>
        <v>0</v>
      </c>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307"/>
      <c r="CT18" s="307"/>
      <c r="CU18" s="300"/>
      <c r="CV18" s="501">
        <f t="shared" si="0"/>
        <v>0</v>
      </c>
      <c r="CW18" s="501">
        <f t="shared" si="1"/>
        <v>0</v>
      </c>
      <c r="CX18" s="249">
        <f t="shared" si="2"/>
        <v>0</v>
      </c>
      <c r="CY18" s="170">
        <f t="shared" si="3"/>
        <v>0</v>
      </c>
    </row>
    <row r="19" spans="1:103">
      <c r="A19" s="29" t="s">
        <v>360</v>
      </c>
      <c r="B19" s="162" t="str">
        <f>IFERROR(VLOOKUP(ParicipationMai1[[#This Row],[Référence]],ListeÉtudiants1[],18,FALSE),"")</f>
        <v>ALCHEK MONA</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44"/>
      <c r="AH19" s="6">
        <f>COUNTIF(ParicipationMai1[[1]:[31]],Code1)</f>
        <v>0</v>
      </c>
      <c r="AI19" s="6">
        <f>COUNTIF(ParicipationMai1[[1]:[31]],code22)</f>
        <v>0</v>
      </c>
      <c r="AJ19" s="30">
        <f>COUNTIF(ParicipationMai1[[#This Row],[1]:[31]],Code2)</f>
        <v>0</v>
      </c>
      <c r="AK19" s="30">
        <f>COUNTIF(ParicipationMai1[[#This Row],[1]:[31]],Code3)</f>
        <v>0</v>
      </c>
      <c r="AL19" s="30">
        <f>COUNTIF(ParicipationMai1[[#This Row],[1]:[31]],Code4)</f>
        <v>0</v>
      </c>
      <c r="AM19" s="30">
        <f>COUNTIF(ParicipationMai1[[#This Row],[1]:[31]],Code5)</f>
        <v>0</v>
      </c>
      <c r="AN19" s="30">
        <f>COUNTIF(ParicipationMai1[[#This Row],[1]:[31]],Code23)</f>
        <v>0</v>
      </c>
      <c r="AO19" s="30">
        <f>COUNTIF(ParicipationMai1[[#This Row],[1]:[31]],Code6)</f>
        <v>0</v>
      </c>
      <c r="AP19" s="30">
        <f>COUNTIF(ParicipationMai1[[#This Row],[1]:[31]],Code7)</f>
        <v>0</v>
      </c>
      <c r="AQ19" s="30">
        <f>COUNTIF(ParicipationMai1[[#This Row],[1]:[31]],Code8)</f>
        <v>0</v>
      </c>
      <c r="AR19" s="30">
        <f>COUNTIF(ParicipationMai1[[#This Row],[1]:[31]],Code9)</f>
        <v>0</v>
      </c>
      <c r="AS19" s="30">
        <f>COUNTIF(ParicipationMai1[[#This Row],[1]:[31]],Code10)</f>
        <v>0</v>
      </c>
      <c r="AT19" s="30">
        <f>COUNTIF(ParicipationMai1[[#This Row],[1]:[31]],Code11)</f>
        <v>0</v>
      </c>
      <c r="AU19" s="30">
        <f>COUNTIF(ParicipationMai1[[#This Row],[1]:[31]],Code12)</f>
        <v>0</v>
      </c>
      <c r="AV19" s="30">
        <f>COUNTIF(ParicipationMai1[[#This Row],[1]:[31]],Code13)</f>
        <v>0</v>
      </c>
      <c r="AW19" s="30">
        <f>COUNTIF(ParicipationMai1[[#This Row],[1]:[31]],Code14)</f>
        <v>0</v>
      </c>
      <c r="AX19" s="30">
        <f>COUNTIF(ParicipationMai1[[#This Row],[1]:[31]],Code15)</f>
        <v>0</v>
      </c>
      <c r="AY19" s="30">
        <f>COUNTIF(ParicipationMai1[[#This Row],[1]:[31]],Code16)</f>
        <v>0</v>
      </c>
      <c r="AZ19" s="30">
        <f>COUNTIF(ParicipationMai1[[#This Row],[1]:[31]],Code17)</f>
        <v>0</v>
      </c>
      <c r="BA19" s="30">
        <f>COUNTIF(ParicipationMai1[[#This Row],[1]:[31]],Code25)</f>
        <v>0</v>
      </c>
      <c r="BB19" s="30">
        <f>COUNTIF(ParicipationMai1[[#This Row],[1]:[31]],Code26)</f>
        <v>0</v>
      </c>
      <c r="BC19" s="30">
        <f>COUNTIF(ParicipationMai1[[#This Row],[1]:[31]],Code27)</f>
        <v>0</v>
      </c>
      <c r="BD19" s="30">
        <f>COUNTIF(ParicipationMai1[[#This Row],[1]:[31]],Code28)</f>
        <v>0</v>
      </c>
      <c r="BE19" s="30">
        <f>COUNTIF(ParicipationMai1[[#This Row],[1]:[31]],code30)</f>
        <v>0</v>
      </c>
      <c r="BF19" s="30">
        <f>COUNTIF(ParicipationMai1[[#This Row],[1]:[31]],Code31)</f>
        <v>0</v>
      </c>
      <c r="BG19" s="30">
        <f>COUNTIF(ParicipationMai1[[#This Row],[1]:[31]],code21)</f>
        <v>0</v>
      </c>
      <c r="BH19" s="30">
        <f>COUNTIF(ParicipationMai1[[#This Row],[1]:[31]],Code24)</f>
        <v>0</v>
      </c>
      <c r="BI19" s="30">
        <f>COUNTIF(ParicipationMai1[[#This Row],[1]:[31]],code18)</f>
        <v>0</v>
      </c>
      <c r="BJ19" s="30">
        <f>COUNTIF(ParicipationMai1[[#This Row],[1]:[31]],code19)</f>
        <v>0</v>
      </c>
      <c r="BK19" s="30">
        <f>COUNTIF(ParicipationMai1[[#This Row],[1]:[31]],code20)</f>
        <v>0</v>
      </c>
      <c r="BL19" s="164">
        <f>COUNTIF(ParicipationMai1[[#This Row],[1]:[31]],code29)</f>
        <v>0</v>
      </c>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307"/>
      <c r="CT19" s="307"/>
      <c r="CU19" s="300"/>
      <c r="CV19" s="501">
        <f t="shared" si="0"/>
        <v>0</v>
      </c>
      <c r="CW19" s="501">
        <f t="shared" si="1"/>
        <v>0</v>
      </c>
      <c r="CX19" s="249">
        <f t="shared" si="2"/>
        <v>0</v>
      </c>
      <c r="CY19" s="170">
        <f t="shared" si="3"/>
        <v>0</v>
      </c>
    </row>
    <row r="20" spans="1:103">
      <c r="A20" s="29" t="s">
        <v>361</v>
      </c>
      <c r="B20" s="162" t="str">
        <f>IFERROR(VLOOKUP(ParicipationMai1[[#This Row],[Référence]],ListeÉtudiants1[],18,FALSE),"")</f>
        <v>ALLOUCH EINAT</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44"/>
      <c r="AH20" s="6">
        <f>COUNTIF(ParicipationMai1[[1]:[31]],Code1)</f>
        <v>0</v>
      </c>
      <c r="AI20" s="6">
        <f>COUNTIF(ParicipationMai1[[1]:[31]],code22)</f>
        <v>0</v>
      </c>
      <c r="AJ20" s="30">
        <f>COUNTIF(ParicipationMai1[[#This Row],[1]:[31]],Code2)</f>
        <v>0</v>
      </c>
      <c r="AK20" s="30">
        <f>COUNTIF(ParicipationMai1[[#This Row],[1]:[31]],Code3)</f>
        <v>0</v>
      </c>
      <c r="AL20" s="30">
        <f>COUNTIF(ParicipationMai1[[#This Row],[1]:[31]],Code4)</f>
        <v>0</v>
      </c>
      <c r="AM20" s="30">
        <f>COUNTIF(ParicipationMai1[[#This Row],[1]:[31]],Code5)</f>
        <v>0</v>
      </c>
      <c r="AN20" s="30">
        <f>COUNTIF(ParicipationMai1[[#This Row],[1]:[31]],Code23)</f>
        <v>0</v>
      </c>
      <c r="AO20" s="30">
        <f>COUNTIF(ParicipationMai1[[#This Row],[1]:[31]],Code6)</f>
        <v>0</v>
      </c>
      <c r="AP20" s="30">
        <f>COUNTIF(ParicipationMai1[[#This Row],[1]:[31]],Code7)</f>
        <v>0</v>
      </c>
      <c r="AQ20" s="30">
        <f>COUNTIF(ParicipationMai1[[#This Row],[1]:[31]],Code8)</f>
        <v>0</v>
      </c>
      <c r="AR20" s="30">
        <f>COUNTIF(ParicipationMai1[[#This Row],[1]:[31]],Code9)</f>
        <v>0</v>
      </c>
      <c r="AS20" s="30">
        <f>COUNTIF(ParicipationMai1[[#This Row],[1]:[31]],Code10)</f>
        <v>0</v>
      </c>
      <c r="AT20" s="30">
        <f>COUNTIF(ParicipationMai1[[#This Row],[1]:[31]],Code11)</f>
        <v>0</v>
      </c>
      <c r="AU20" s="30">
        <f>COUNTIF(ParicipationMai1[[#This Row],[1]:[31]],Code12)</f>
        <v>0</v>
      </c>
      <c r="AV20" s="30">
        <f>COUNTIF(ParicipationMai1[[#This Row],[1]:[31]],Code13)</f>
        <v>0</v>
      </c>
      <c r="AW20" s="30">
        <f>COUNTIF(ParicipationMai1[[#This Row],[1]:[31]],Code14)</f>
        <v>0</v>
      </c>
      <c r="AX20" s="30">
        <f>COUNTIF(ParicipationMai1[[#This Row],[1]:[31]],Code15)</f>
        <v>0</v>
      </c>
      <c r="AY20" s="30">
        <f>COUNTIF(ParicipationMai1[[#This Row],[1]:[31]],Code16)</f>
        <v>0</v>
      </c>
      <c r="AZ20" s="30">
        <f>COUNTIF(ParicipationMai1[[#This Row],[1]:[31]],Code17)</f>
        <v>0</v>
      </c>
      <c r="BA20" s="30">
        <f>COUNTIF(ParicipationMai1[[#This Row],[1]:[31]],Code25)</f>
        <v>0</v>
      </c>
      <c r="BB20" s="30">
        <f>COUNTIF(ParicipationMai1[[#This Row],[1]:[31]],Code26)</f>
        <v>0</v>
      </c>
      <c r="BC20" s="30">
        <f>COUNTIF(ParicipationMai1[[#This Row],[1]:[31]],Code27)</f>
        <v>0</v>
      </c>
      <c r="BD20" s="30">
        <f>COUNTIF(ParicipationMai1[[#This Row],[1]:[31]],Code28)</f>
        <v>0</v>
      </c>
      <c r="BE20" s="30">
        <f>COUNTIF(ParicipationMai1[[#This Row],[1]:[31]],code30)</f>
        <v>0</v>
      </c>
      <c r="BF20" s="30">
        <f>COUNTIF(ParicipationMai1[[#This Row],[1]:[31]],Code31)</f>
        <v>0</v>
      </c>
      <c r="BG20" s="30">
        <f>COUNTIF(ParicipationMai1[[#This Row],[1]:[31]],code21)</f>
        <v>0</v>
      </c>
      <c r="BH20" s="30">
        <f>COUNTIF(ParicipationMai1[[#This Row],[1]:[31]],Code24)</f>
        <v>0</v>
      </c>
      <c r="BI20" s="30">
        <f>COUNTIF(ParicipationMai1[[#This Row],[1]:[31]],code18)</f>
        <v>0</v>
      </c>
      <c r="BJ20" s="30">
        <f>COUNTIF(ParicipationMai1[[#This Row],[1]:[31]],code19)</f>
        <v>0</v>
      </c>
      <c r="BK20" s="30">
        <f>COUNTIF(ParicipationMai1[[#This Row],[1]:[31]],code20)</f>
        <v>0</v>
      </c>
      <c r="BL20" s="164">
        <f>COUNTIF(ParicipationMai1[[#This Row],[1]:[31]],code29)</f>
        <v>0</v>
      </c>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307"/>
      <c r="CT20" s="307"/>
      <c r="CU20" s="300"/>
      <c r="CV20" s="501">
        <f t="shared" si="0"/>
        <v>0</v>
      </c>
      <c r="CW20" s="501">
        <f t="shared" si="1"/>
        <v>0</v>
      </c>
      <c r="CX20" s="249">
        <f t="shared" si="2"/>
        <v>0</v>
      </c>
      <c r="CY20" s="170">
        <f t="shared" si="3"/>
        <v>0</v>
      </c>
    </row>
    <row r="21" spans="1:103">
      <c r="A21" s="29" t="s">
        <v>362</v>
      </c>
      <c r="B21" s="162" t="str">
        <f>IFERROR(VLOOKUP(ParicipationMai1[[#This Row],[Référence]],ListeÉtudiants1[],18,FALSE),"")</f>
        <v>ANCELE-VALCIN KATIANA</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44"/>
      <c r="AH21" s="6">
        <f>COUNTIF(ParicipationMai1[[1]:[31]],Code1)</f>
        <v>0</v>
      </c>
      <c r="AI21" s="6">
        <f>COUNTIF(ParicipationMai1[[1]:[31]],code22)</f>
        <v>0</v>
      </c>
      <c r="AJ21" s="30">
        <f>COUNTIF(ParicipationMai1[[#This Row],[1]:[31]],Code2)</f>
        <v>0</v>
      </c>
      <c r="AK21" s="30">
        <f>COUNTIF(ParicipationMai1[[#This Row],[1]:[31]],Code3)</f>
        <v>0</v>
      </c>
      <c r="AL21" s="30">
        <f>COUNTIF(ParicipationMai1[[#This Row],[1]:[31]],Code4)</f>
        <v>0</v>
      </c>
      <c r="AM21" s="30">
        <f>COUNTIF(ParicipationMai1[[#This Row],[1]:[31]],Code5)</f>
        <v>0</v>
      </c>
      <c r="AN21" s="30">
        <f>COUNTIF(ParicipationMai1[[#This Row],[1]:[31]],Code23)</f>
        <v>0</v>
      </c>
      <c r="AO21" s="30">
        <f>COUNTIF(ParicipationMai1[[#This Row],[1]:[31]],Code6)</f>
        <v>0</v>
      </c>
      <c r="AP21" s="30">
        <f>COUNTIF(ParicipationMai1[[#This Row],[1]:[31]],Code7)</f>
        <v>0</v>
      </c>
      <c r="AQ21" s="30">
        <f>COUNTIF(ParicipationMai1[[#This Row],[1]:[31]],Code8)</f>
        <v>0</v>
      </c>
      <c r="AR21" s="30">
        <f>COUNTIF(ParicipationMai1[[#This Row],[1]:[31]],Code9)</f>
        <v>0</v>
      </c>
      <c r="AS21" s="30">
        <f>COUNTIF(ParicipationMai1[[#This Row],[1]:[31]],Code10)</f>
        <v>0</v>
      </c>
      <c r="AT21" s="30">
        <f>COUNTIF(ParicipationMai1[[#This Row],[1]:[31]],Code11)</f>
        <v>0</v>
      </c>
      <c r="AU21" s="30">
        <f>COUNTIF(ParicipationMai1[[#This Row],[1]:[31]],Code12)</f>
        <v>0</v>
      </c>
      <c r="AV21" s="30">
        <f>COUNTIF(ParicipationMai1[[#This Row],[1]:[31]],Code13)</f>
        <v>0</v>
      </c>
      <c r="AW21" s="30">
        <f>COUNTIF(ParicipationMai1[[#This Row],[1]:[31]],Code14)</f>
        <v>0</v>
      </c>
      <c r="AX21" s="30">
        <f>COUNTIF(ParicipationMai1[[#This Row],[1]:[31]],Code15)</f>
        <v>0</v>
      </c>
      <c r="AY21" s="30">
        <f>COUNTIF(ParicipationMai1[[#This Row],[1]:[31]],Code16)</f>
        <v>0</v>
      </c>
      <c r="AZ21" s="30">
        <f>COUNTIF(ParicipationMai1[[#This Row],[1]:[31]],Code17)</f>
        <v>0</v>
      </c>
      <c r="BA21" s="30">
        <f>COUNTIF(ParicipationMai1[[#This Row],[1]:[31]],Code25)</f>
        <v>0</v>
      </c>
      <c r="BB21" s="30">
        <f>COUNTIF(ParicipationMai1[[#This Row],[1]:[31]],Code26)</f>
        <v>0</v>
      </c>
      <c r="BC21" s="30">
        <f>COUNTIF(ParicipationMai1[[#This Row],[1]:[31]],Code27)</f>
        <v>0</v>
      </c>
      <c r="BD21" s="30">
        <f>COUNTIF(ParicipationMai1[[#This Row],[1]:[31]],Code28)</f>
        <v>0</v>
      </c>
      <c r="BE21" s="30">
        <f>COUNTIF(ParicipationMai1[[#This Row],[1]:[31]],code30)</f>
        <v>0</v>
      </c>
      <c r="BF21" s="30">
        <f>COUNTIF(ParicipationMai1[[#This Row],[1]:[31]],Code31)</f>
        <v>0</v>
      </c>
      <c r="BG21" s="30">
        <f>COUNTIF(ParicipationMai1[[#This Row],[1]:[31]],code21)</f>
        <v>0</v>
      </c>
      <c r="BH21" s="30">
        <f>COUNTIF(ParicipationMai1[[#This Row],[1]:[31]],Code24)</f>
        <v>0</v>
      </c>
      <c r="BI21" s="30">
        <f>COUNTIF(ParicipationMai1[[#This Row],[1]:[31]],code18)</f>
        <v>0</v>
      </c>
      <c r="BJ21" s="30">
        <f>COUNTIF(ParicipationMai1[[#This Row],[1]:[31]],code19)</f>
        <v>0</v>
      </c>
      <c r="BK21" s="30">
        <f>COUNTIF(ParicipationMai1[[#This Row],[1]:[31]],code20)</f>
        <v>0</v>
      </c>
      <c r="BL21" s="164">
        <f>COUNTIF(ParicipationMai1[[#This Row],[1]:[31]],code29)</f>
        <v>0</v>
      </c>
      <c r="BM21" s="297"/>
      <c r="BN21" s="297"/>
      <c r="BO21" s="297"/>
      <c r="BP21" s="297"/>
      <c r="BQ21" s="297"/>
      <c r="BR21" s="297"/>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297"/>
      <c r="CO21" s="297"/>
      <c r="CP21" s="297"/>
      <c r="CQ21" s="297"/>
      <c r="CR21" s="297"/>
      <c r="CS21" s="307"/>
      <c r="CT21" s="307"/>
      <c r="CU21" s="300"/>
      <c r="CV21" s="501">
        <f t="shared" si="0"/>
        <v>0</v>
      </c>
      <c r="CW21" s="501">
        <f t="shared" si="1"/>
        <v>0</v>
      </c>
      <c r="CX21" s="249">
        <f t="shared" si="2"/>
        <v>0</v>
      </c>
      <c r="CY21" s="170">
        <f t="shared" si="3"/>
        <v>0</v>
      </c>
    </row>
    <row r="22" spans="1:103">
      <c r="A22" s="29" t="s">
        <v>363</v>
      </c>
      <c r="B22" s="162" t="str">
        <f>IFERROR(VLOOKUP(ParicipationMai1[[#This Row],[Référence]],ListeÉtudiants1[],18,FALSE),"")</f>
        <v>ANDRE ORNELLA</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44"/>
      <c r="AH22" s="6">
        <f>COUNTIF(ParicipationMai1[[1]:[31]],Code1)</f>
        <v>0</v>
      </c>
      <c r="AI22" s="6">
        <f>COUNTIF(ParicipationMai1[[1]:[31]],code22)</f>
        <v>0</v>
      </c>
      <c r="AJ22" s="30">
        <f>COUNTIF(ParicipationMai1[[#This Row],[1]:[31]],Code2)</f>
        <v>0</v>
      </c>
      <c r="AK22" s="30">
        <f>COUNTIF(ParicipationMai1[[#This Row],[1]:[31]],Code3)</f>
        <v>0</v>
      </c>
      <c r="AL22" s="30">
        <f>COUNTIF(ParicipationMai1[[#This Row],[1]:[31]],Code4)</f>
        <v>0</v>
      </c>
      <c r="AM22" s="30">
        <f>COUNTIF(ParicipationMai1[[#This Row],[1]:[31]],Code5)</f>
        <v>0</v>
      </c>
      <c r="AN22" s="30">
        <f>COUNTIF(ParicipationMai1[[#This Row],[1]:[31]],Code23)</f>
        <v>0</v>
      </c>
      <c r="AO22" s="30">
        <f>COUNTIF(ParicipationMai1[[#This Row],[1]:[31]],Code6)</f>
        <v>0</v>
      </c>
      <c r="AP22" s="30">
        <f>COUNTIF(ParicipationMai1[[#This Row],[1]:[31]],Code7)</f>
        <v>0</v>
      </c>
      <c r="AQ22" s="30">
        <f>COUNTIF(ParicipationMai1[[#This Row],[1]:[31]],Code8)</f>
        <v>0</v>
      </c>
      <c r="AR22" s="30">
        <f>COUNTIF(ParicipationMai1[[#This Row],[1]:[31]],Code9)</f>
        <v>0</v>
      </c>
      <c r="AS22" s="30">
        <f>COUNTIF(ParicipationMai1[[#This Row],[1]:[31]],Code10)</f>
        <v>0</v>
      </c>
      <c r="AT22" s="30">
        <f>COUNTIF(ParicipationMai1[[#This Row],[1]:[31]],Code11)</f>
        <v>0</v>
      </c>
      <c r="AU22" s="30">
        <f>COUNTIF(ParicipationMai1[[#This Row],[1]:[31]],Code12)</f>
        <v>0</v>
      </c>
      <c r="AV22" s="30">
        <f>COUNTIF(ParicipationMai1[[#This Row],[1]:[31]],Code13)</f>
        <v>0</v>
      </c>
      <c r="AW22" s="30">
        <f>COUNTIF(ParicipationMai1[[#This Row],[1]:[31]],Code14)</f>
        <v>0</v>
      </c>
      <c r="AX22" s="30">
        <f>COUNTIF(ParicipationMai1[[#This Row],[1]:[31]],Code15)</f>
        <v>0</v>
      </c>
      <c r="AY22" s="30">
        <f>COUNTIF(ParicipationMai1[[#This Row],[1]:[31]],Code16)</f>
        <v>0</v>
      </c>
      <c r="AZ22" s="30">
        <f>COUNTIF(ParicipationMai1[[#This Row],[1]:[31]],Code17)</f>
        <v>0</v>
      </c>
      <c r="BA22" s="30">
        <f>COUNTIF(ParicipationMai1[[#This Row],[1]:[31]],Code25)</f>
        <v>0</v>
      </c>
      <c r="BB22" s="30">
        <f>COUNTIF(ParicipationMai1[[#This Row],[1]:[31]],Code26)</f>
        <v>0</v>
      </c>
      <c r="BC22" s="30">
        <f>COUNTIF(ParicipationMai1[[#This Row],[1]:[31]],Code27)</f>
        <v>0</v>
      </c>
      <c r="BD22" s="30">
        <f>COUNTIF(ParicipationMai1[[#This Row],[1]:[31]],Code28)</f>
        <v>0</v>
      </c>
      <c r="BE22" s="30">
        <f>COUNTIF(ParicipationMai1[[#This Row],[1]:[31]],code30)</f>
        <v>0</v>
      </c>
      <c r="BF22" s="30">
        <f>COUNTIF(ParicipationMai1[[#This Row],[1]:[31]],Code31)</f>
        <v>0</v>
      </c>
      <c r="BG22" s="30">
        <f>COUNTIF(ParicipationMai1[[#This Row],[1]:[31]],code21)</f>
        <v>0</v>
      </c>
      <c r="BH22" s="30">
        <f>COUNTIF(ParicipationMai1[[#This Row],[1]:[31]],Code24)</f>
        <v>0</v>
      </c>
      <c r="BI22" s="30">
        <f>COUNTIF(ParicipationMai1[[#This Row],[1]:[31]],code18)</f>
        <v>0</v>
      </c>
      <c r="BJ22" s="30">
        <f>COUNTIF(ParicipationMai1[[#This Row],[1]:[31]],code19)</f>
        <v>0</v>
      </c>
      <c r="BK22" s="30">
        <f>COUNTIF(ParicipationMai1[[#This Row],[1]:[31]],code20)</f>
        <v>0</v>
      </c>
      <c r="BL22" s="164">
        <f>COUNTIF(ParicipationMai1[[#This Row],[1]:[31]],code29)</f>
        <v>0</v>
      </c>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97"/>
      <c r="CP22" s="297"/>
      <c r="CQ22" s="297"/>
      <c r="CR22" s="297"/>
      <c r="CS22" s="307"/>
      <c r="CT22" s="307"/>
      <c r="CU22" s="300"/>
      <c r="CV22" s="501">
        <f t="shared" si="0"/>
        <v>0</v>
      </c>
      <c r="CW22" s="501">
        <f t="shared" si="1"/>
        <v>0</v>
      </c>
      <c r="CX22" s="249">
        <f t="shared" si="2"/>
        <v>0</v>
      </c>
      <c r="CY22" s="170">
        <f t="shared" si="3"/>
        <v>0</v>
      </c>
    </row>
    <row r="23" spans="1:103">
      <c r="A23" s="29" t="s">
        <v>364</v>
      </c>
      <c r="B23" s="162" t="str">
        <f>IFERROR(VLOOKUP(ParicipationMai1[[#This Row],[Référence]],ListeÉtudiants1[],18,FALSE),"")</f>
        <v>ANGRE GRACE</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44"/>
      <c r="AH23" s="6">
        <f>COUNTIF(ParicipationMai1[[1]:[31]],Code1)</f>
        <v>0</v>
      </c>
      <c r="AI23" s="6">
        <f>COUNTIF(ParicipationMai1[[1]:[31]],code22)</f>
        <v>0</v>
      </c>
      <c r="AJ23" s="30">
        <f>COUNTIF(ParicipationMai1[[#This Row],[1]:[31]],Code2)</f>
        <v>0</v>
      </c>
      <c r="AK23" s="30">
        <f>COUNTIF(ParicipationMai1[[#This Row],[1]:[31]],Code3)</f>
        <v>0</v>
      </c>
      <c r="AL23" s="30">
        <f>COUNTIF(ParicipationMai1[[#This Row],[1]:[31]],Code4)</f>
        <v>0</v>
      </c>
      <c r="AM23" s="30">
        <f>COUNTIF(ParicipationMai1[[#This Row],[1]:[31]],Code5)</f>
        <v>0</v>
      </c>
      <c r="AN23" s="30">
        <f>COUNTIF(ParicipationMai1[[#This Row],[1]:[31]],Code23)</f>
        <v>0</v>
      </c>
      <c r="AO23" s="30">
        <f>COUNTIF(ParicipationMai1[[#This Row],[1]:[31]],Code6)</f>
        <v>0</v>
      </c>
      <c r="AP23" s="30">
        <f>COUNTIF(ParicipationMai1[[#This Row],[1]:[31]],Code7)</f>
        <v>0</v>
      </c>
      <c r="AQ23" s="30">
        <f>COUNTIF(ParicipationMai1[[#This Row],[1]:[31]],Code8)</f>
        <v>0</v>
      </c>
      <c r="AR23" s="30">
        <f>COUNTIF(ParicipationMai1[[#This Row],[1]:[31]],Code9)</f>
        <v>0</v>
      </c>
      <c r="AS23" s="30">
        <f>COUNTIF(ParicipationMai1[[#This Row],[1]:[31]],Code10)</f>
        <v>0</v>
      </c>
      <c r="AT23" s="30">
        <f>COUNTIF(ParicipationMai1[[#This Row],[1]:[31]],Code11)</f>
        <v>0</v>
      </c>
      <c r="AU23" s="30">
        <f>COUNTIF(ParicipationMai1[[#This Row],[1]:[31]],Code12)</f>
        <v>0</v>
      </c>
      <c r="AV23" s="30">
        <f>COUNTIF(ParicipationMai1[[#This Row],[1]:[31]],Code13)</f>
        <v>0</v>
      </c>
      <c r="AW23" s="30">
        <f>COUNTIF(ParicipationMai1[[#This Row],[1]:[31]],Code14)</f>
        <v>0</v>
      </c>
      <c r="AX23" s="30">
        <f>COUNTIF(ParicipationMai1[[#This Row],[1]:[31]],Code15)</f>
        <v>0</v>
      </c>
      <c r="AY23" s="30">
        <f>COUNTIF(ParicipationMai1[[#This Row],[1]:[31]],Code16)</f>
        <v>0</v>
      </c>
      <c r="AZ23" s="30">
        <f>COUNTIF(ParicipationMai1[[#This Row],[1]:[31]],Code17)</f>
        <v>0</v>
      </c>
      <c r="BA23" s="30">
        <f>COUNTIF(ParicipationMai1[[#This Row],[1]:[31]],Code25)</f>
        <v>0</v>
      </c>
      <c r="BB23" s="30">
        <f>COUNTIF(ParicipationMai1[[#This Row],[1]:[31]],Code26)</f>
        <v>0</v>
      </c>
      <c r="BC23" s="30">
        <f>COUNTIF(ParicipationMai1[[#This Row],[1]:[31]],Code27)</f>
        <v>0</v>
      </c>
      <c r="BD23" s="30">
        <f>COUNTIF(ParicipationMai1[[#This Row],[1]:[31]],Code28)</f>
        <v>0</v>
      </c>
      <c r="BE23" s="30">
        <f>COUNTIF(ParicipationMai1[[#This Row],[1]:[31]],code30)</f>
        <v>0</v>
      </c>
      <c r="BF23" s="30">
        <f>COUNTIF(ParicipationMai1[[#This Row],[1]:[31]],Code31)</f>
        <v>0</v>
      </c>
      <c r="BG23" s="30">
        <f>COUNTIF(ParicipationMai1[[#This Row],[1]:[31]],code21)</f>
        <v>0</v>
      </c>
      <c r="BH23" s="30">
        <f>COUNTIF(ParicipationMai1[[#This Row],[1]:[31]],Code24)</f>
        <v>0</v>
      </c>
      <c r="BI23" s="30">
        <f>COUNTIF(ParicipationMai1[[#This Row],[1]:[31]],code18)</f>
        <v>0</v>
      </c>
      <c r="BJ23" s="30">
        <f>COUNTIF(ParicipationMai1[[#This Row],[1]:[31]],code19)</f>
        <v>0</v>
      </c>
      <c r="BK23" s="30">
        <f>COUNTIF(ParicipationMai1[[#This Row],[1]:[31]],code20)</f>
        <v>0</v>
      </c>
      <c r="BL23" s="164">
        <f>COUNTIF(ParicipationMai1[[#This Row],[1]:[31]],code29)</f>
        <v>0</v>
      </c>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307"/>
      <c r="CT23" s="307"/>
      <c r="CU23" s="300"/>
      <c r="CV23" s="501">
        <f t="shared" si="0"/>
        <v>0</v>
      </c>
      <c r="CW23" s="501">
        <f t="shared" si="1"/>
        <v>0</v>
      </c>
      <c r="CX23" s="249">
        <f t="shared" si="2"/>
        <v>0</v>
      </c>
      <c r="CY23" s="170">
        <f t="shared" si="3"/>
        <v>0</v>
      </c>
    </row>
    <row r="24" spans="1:103">
      <c r="A24" s="29" t="s">
        <v>365</v>
      </c>
      <c r="B24" s="162" t="str">
        <f>IFERROR(VLOOKUP(ParicipationMai1[[#This Row],[Référence]],ListeÉtudiants1[],18,FALSE),"")</f>
        <v>BAESSA ELISA</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44"/>
      <c r="AH24" s="6">
        <f>COUNTIF(ParicipationMai1[[1]:[31]],Code1)</f>
        <v>0</v>
      </c>
      <c r="AI24" s="6">
        <f>COUNTIF(ParicipationMai1[[1]:[31]],code22)</f>
        <v>0</v>
      </c>
      <c r="AJ24" s="30">
        <f>COUNTIF(ParicipationMai1[[#This Row],[1]:[31]],Code2)</f>
        <v>0</v>
      </c>
      <c r="AK24" s="30">
        <f>COUNTIF(ParicipationMai1[[#This Row],[1]:[31]],Code3)</f>
        <v>0</v>
      </c>
      <c r="AL24" s="30">
        <f>COUNTIF(ParicipationMai1[[#This Row],[1]:[31]],Code4)</f>
        <v>0</v>
      </c>
      <c r="AM24" s="30">
        <f>COUNTIF(ParicipationMai1[[#This Row],[1]:[31]],Code5)</f>
        <v>0</v>
      </c>
      <c r="AN24" s="30">
        <f>COUNTIF(ParicipationMai1[[#This Row],[1]:[31]],Code23)</f>
        <v>0</v>
      </c>
      <c r="AO24" s="30">
        <f>COUNTIF(ParicipationMai1[[#This Row],[1]:[31]],Code6)</f>
        <v>0</v>
      </c>
      <c r="AP24" s="30">
        <f>COUNTIF(ParicipationMai1[[#This Row],[1]:[31]],Code7)</f>
        <v>0</v>
      </c>
      <c r="AQ24" s="30">
        <f>COUNTIF(ParicipationMai1[[#This Row],[1]:[31]],Code8)</f>
        <v>0</v>
      </c>
      <c r="AR24" s="30">
        <f>COUNTIF(ParicipationMai1[[#This Row],[1]:[31]],Code9)</f>
        <v>0</v>
      </c>
      <c r="AS24" s="30">
        <f>COUNTIF(ParicipationMai1[[#This Row],[1]:[31]],Code10)</f>
        <v>0</v>
      </c>
      <c r="AT24" s="30">
        <f>COUNTIF(ParicipationMai1[[#This Row],[1]:[31]],Code11)</f>
        <v>0</v>
      </c>
      <c r="AU24" s="30">
        <f>COUNTIF(ParicipationMai1[[#This Row],[1]:[31]],Code12)</f>
        <v>0</v>
      </c>
      <c r="AV24" s="30">
        <f>COUNTIF(ParicipationMai1[[#This Row],[1]:[31]],Code13)</f>
        <v>0</v>
      </c>
      <c r="AW24" s="30">
        <f>COUNTIF(ParicipationMai1[[#This Row],[1]:[31]],Code14)</f>
        <v>0</v>
      </c>
      <c r="AX24" s="30">
        <f>COUNTIF(ParicipationMai1[[#This Row],[1]:[31]],Code15)</f>
        <v>0</v>
      </c>
      <c r="AY24" s="30">
        <f>COUNTIF(ParicipationMai1[[#This Row],[1]:[31]],Code16)</f>
        <v>0</v>
      </c>
      <c r="AZ24" s="30">
        <f>COUNTIF(ParicipationMai1[[#This Row],[1]:[31]],Code17)</f>
        <v>0</v>
      </c>
      <c r="BA24" s="30">
        <f>COUNTIF(ParicipationMai1[[#This Row],[1]:[31]],Code25)</f>
        <v>0</v>
      </c>
      <c r="BB24" s="30">
        <f>COUNTIF(ParicipationMai1[[#This Row],[1]:[31]],Code26)</f>
        <v>0</v>
      </c>
      <c r="BC24" s="30">
        <f>COUNTIF(ParicipationMai1[[#This Row],[1]:[31]],Code27)</f>
        <v>0</v>
      </c>
      <c r="BD24" s="30">
        <f>COUNTIF(ParicipationMai1[[#This Row],[1]:[31]],Code28)</f>
        <v>0</v>
      </c>
      <c r="BE24" s="30">
        <f>COUNTIF(ParicipationMai1[[#This Row],[1]:[31]],code30)</f>
        <v>0</v>
      </c>
      <c r="BF24" s="30">
        <f>COUNTIF(ParicipationMai1[[#This Row],[1]:[31]],Code31)</f>
        <v>0</v>
      </c>
      <c r="BG24" s="30">
        <f>COUNTIF(ParicipationMai1[[#This Row],[1]:[31]],code21)</f>
        <v>0</v>
      </c>
      <c r="BH24" s="30">
        <f>COUNTIF(ParicipationMai1[[#This Row],[1]:[31]],Code24)</f>
        <v>0</v>
      </c>
      <c r="BI24" s="30">
        <f>COUNTIF(ParicipationMai1[[#This Row],[1]:[31]],code18)</f>
        <v>0</v>
      </c>
      <c r="BJ24" s="30">
        <f>COUNTIF(ParicipationMai1[[#This Row],[1]:[31]],code19)</f>
        <v>0</v>
      </c>
      <c r="BK24" s="30">
        <f>COUNTIF(ParicipationMai1[[#This Row],[1]:[31]],code20)</f>
        <v>0</v>
      </c>
      <c r="BL24" s="164">
        <f>COUNTIF(ParicipationMai1[[#This Row],[1]:[31]],code29)</f>
        <v>0</v>
      </c>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307"/>
      <c r="CT24" s="307"/>
      <c r="CU24" s="300"/>
      <c r="CV24" s="501">
        <f t="shared" si="0"/>
        <v>0</v>
      </c>
      <c r="CW24" s="501">
        <f t="shared" si="1"/>
        <v>0</v>
      </c>
      <c r="CX24" s="249">
        <f t="shared" si="2"/>
        <v>0</v>
      </c>
      <c r="CY24" s="170">
        <f t="shared" si="3"/>
        <v>0</v>
      </c>
    </row>
    <row r="25" spans="1:103">
      <c r="A25" s="29" t="s">
        <v>366</v>
      </c>
      <c r="B25" s="162" t="str">
        <f>IFERROR(VLOOKUP(ParicipationMai1[[#This Row],[Référence]],ListeÉtudiants1[],18,FALSE),"")</f>
        <v>BARREIROS  KATIE</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44"/>
      <c r="AH25" s="6">
        <f>COUNTIF(ParicipationMai1[[1]:[31]],Code1)</f>
        <v>0</v>
      </c>
      <c r="AI25" s="6">
        <f>COUNTIF(ParicipationMai1[[1]:[31]],code22)</f>
        <v>0</v>
      </c>
      <c r="AJ25" s="30">
        <f>COUNTIF(ParicipationMai1[[#This Row],[1]:[31]],Code2)</f>
        <v>0</v>
      </c>
      <c r="AK25" s="30">
        <f>COUNTIF(ParicipationMai1[[#This Row],[1]:[31]],Code3)</f>
        <v>0</v>
      </c>
      <c r="AL25" s="30">
        <f>COUNTIF(ParicipationMai1[[#This Row],[1]:[31]],Code4)</f>
        <v>0</v>
      </c>
      <c r="AM25" s="30">
        <f>COUNTIF(ParicipationMai1[[#This Row],[1]:[31]],Code5)</f>
        <v>0</v>
      </c>
      <c r="AN25" s="30">
        <f>COUNTIF(ParicipationMai1[[#This Row],[1]:[31]],Code23)</f>
        <v>0</v>
      </c>
      <c r="AO25" s="30">
        <f>COUNTIF(ParicipationMai1[[#This Row],[1]:[31]],Code6)</f>
        <v>0</v>
      </c>
      <c r="AP25" s="30">
        <f>COUNTIF(ParicipationMai1[[#This Row],[1]:[31]],Code7)</f>
        <v>0</v>
      </c>
      <c r="AQ25" s="30">
        <f>COUNTIF(ParicipationMai1[[#This Row],[1]:[31]],Code8)</f>
        <v>0</v>
      </c>
      <c r="AR25" s="30">
        <f>COUNTIF(ParicipationMai1[[#This Row],[1]:[31]],Code9)</f>
        <v>0</v>
      </c>
      <c r="AS25" s="30">
        <f>COUNTIF(ParicipationMai1[[#This Row],[1]:[31]],Code10)</f>
        <v>0</v>
      </c>
      <c r="AT25" s="30">
        <f>COUNTIF(ParicipationMai1[[#This Row],[1]:[31]],Code11)</f>
        <v>0</v>
      </c>
      <c r="AU25" s="30">
        <f>COUNTIF(ParicipationMai1[[#This Row],[1]:[31]],Code12)</f>
        <v>0</v>
      </c>
      <c r="AV25" s="30">
        <f>COUNTIF(ParicipationMai1[[#This Row],[1]:[31]],Code13)</f>
        <v>0</v>
      </c>
      <c r="AW25" s="30">
        <f>COUNTIF(ParicipationMai1[[#This Row],[1]:[31]],Code14)</f>
        <v>0</v>
      </c>
      <c r="AX25" s="30">
        <f>COUNTIF(ParicipationMai1[[#This Row],[1]:[31]],Code15)</f>
        <v>0</v>
      </c>
      <c r="AY25" s="30">
        <f>COUNTIF(ParicipationMai1[[#This Row],[1]:[31]],Code16)</f>
        <v>0</v>
      </c>
      <c r="AZ25" s="30">
        <f>COUNTIF(ParicipationMai1[[#This Row],[1]:[31]],Code17)</f>
        <v>0</v>
      </c>
      <c r="BA25" s="30">
        <f>COUNTIF(ParicipationMai1[[#This Row],[1]:[31]],Code25)</f>
        <v>0</v>
      </c>
      <c r="BB25" s="30">
        <f>COUNTIF(ParicipationMai1[[#This Row],[1]:[31]],Code26)</f>
        <v>0</v>
      </c>
      <c r="BC25" s="30">
        <f>COUNTIF(ParicipationMai1[[#This Row],[1]:[31]],Code27)</f>
        <v>0</v>
      </c>
      <c r="BD25" s="30">
        <f>COUNTIF(ParicipationMai1[[#This Row],[1]:[31]],Code28)</f>
        <v>0</v>
      </c>
      <c r="BE25" s="30">
        <f>COUNTIF(ParicipationMai1[[#This Row],[1]:[31]],code30)</f>
        <v>0</v>
      </c>
      <c r="BF25" s="30">
        <f>COUNTIF(ParicipationMai1[[#This Row],[1]:[31]],Code31)</f>
        <v>0</v>
      </c>
      <c r="BG25" s="30">
        <f>COUNTIF(ParicipationMai1[[#This Row],[1]:[31]],code21)</f>
        <v>0</v>
      </c>
      <c r="BH25" s="30">
        <f>COUNTIF(ParicipationMai1[[#This Row],[1]:[31]],Code24)</f>
        <v>0</v>
      </c>
      <c r="BI25" s="30">
        <f>COUNTIF(ParicipationMai1[[#This Row],[1]:[31]],code18)</f>
        <v>0</v>
      </c>
      <c r="BJ25" s="30">
        <f>COUNTIF(ParicipationMai1[[#This Row],[1]:[31]],code19)</f>
        <v>0</v>
      </c>
      <c r="BK25" s="30">
        <f>COUNTIF(ParicipationMai1[[#This Row],[1]:[31]],code20)</f>
        <v>0</v>
      </c>
      <c r="BL25" s="164">
        <f>COUNTIF(ParicipationMai1[[#This Row],[1]:[31]],code29)</f>
        <v>0</v>
      </c>
      <c r="BM25" s="297"/>
      <c r="BN25" s="297"/>
      <c r="BO25" s="297"/>
      <c r="BP25" s="297"/>
      <c r="BQ25" s="297"/>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97"/>
      <c r="CN25" s="297"/>
      <c r="CO25" s="297"/>
      <c r="CP25" s="297"/>
      <c r="CQ25" s="297"/>
      <c r="CR25" s="297"/>
      <c r="CS25" s="307"/>
      <c r="CT25" s="307"/>
      <c r="CU25" s="300"/>
      <c r="CV25" s="501">
        <f t="shared" si="0"/>
        <v>0</v>
      </c>
      <c r="CW25" s="501">
        <f t="shared" si="1"/>
        <v>0</v>
      </c>
      <c r="CX25" s="249">
        <f t="shared" si="2"/>
        <v>0</v>
      </c>
      <c r="CY25" s="170">
        <f t="shared" si="3"/>
        <v>0</v>
      </c>
    </row>
    <row r="26" spans="1:103">
      <c r="A26" s="29" t="s">
        <v>367</v>
      </c>
      <c r="B26" s="162" t="str">
        <f>IFERROR(VLOOKUP(ParicipationMai1[[#This Row],[Référence]],ListeÉtudiants1[],18,FALSE),"")</f>
        <v>BASTARDIE JULIEN</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44"/>
      <c r="AH26" s="6">
        <f>COUNTIF(ParicipationMai1[[1]:[31]],Code1)</f>
        <v>0</v>
      </c>
      <c r="AI26" s="6">
        <f>COUNTIF(ParicipationMai1[[1]:[31]],code22)</f>
        <v>0</v>
      </c>
      <c r="AJ26" s="30">
        <f>COUNTIF(ParicipationMai1[[#This Row],[1]:[31]],Code2)</f>
        <v>0</v>
      </c>
      <c r="AK26" s="30">
        <f>COUNTIF(ParicipationMai1[[#This Row],[1]:[31]],Code3)</f>
        <v>0</v>
      </c>
      <c r="AL26" s="30">
        <f>COUNTIF(ParicipationMai1[[#This Row],[1]:[31]],Code4)</f>
        <v>0</v>
      </c>
      <c r="AM26" s="30">
        <f>COUNTIF(ParicipationMai1[[#This Row],[1]:[31]],Code5)</f>
        <v>0</v>
      </c>
      <c r="AN26" s="30">
        <f>COUNTIF(ParicipationMai1[[#This Row],[1]:[31]],Code23)</f>
        <v>0</v>
      </c>
      <c r="AO26" s="30">
        <f>COUNTIF(ParicipationMai1[[#This Row],[1]:[31]],Code6)</f>
        <v>0</v>
      </c>
      <c r="AP26" s="30">
        <f>COUNTIF(ParicipationMai1[[#This Row],[1]:[31]],Code7)</f>
        <v>0</v>
      </c>
      <c r="AQ26" s="30">
        <f>COUNTIF(ParicipationMai1[[#This Row],[1]:[31]],Code8)</f>
        <v>0</v>
      </c>
      <c r="AR26" s="30">
        <f>COUNTIF(ParicipationMai1[[#This Row],[1]:[31]],Code9)</f>
        <v>0</v>
      </c>
      <c r="AS26" s="30">
        <f>COUNTIF(ParicipationMai1[[#This Row],[1]:[31]],Code10)</f>
        <v>0</v>
      </c>
      <c r="AT26" s="30">
        <f>COUNTIF(ParicipationMai1[[#This Row],[1]:[31]],Code11)</f>
        <v>0</v>
      </c>
      <c r="AU26" s="30">
        <f>COUNTIF(ParicipationMai1[[#This Row],[1]:[31]],Code12)</f>
        <v>0</v>
      </c>
      <c r="AV26" s="30">
        <f>COUNTIF(ParicipationMai1[[#This Row],[1]:[31]],Code13)</f>
        <v>0</v>
      </c>
      <c r="AW26" s="30">
        <f>COUNTIF(ParicipationMai1[[#This Row],[1]:[31]],Code14)</f>
        <v>0</v>
      </c>
      <c r="AX26" s="30">
        <f>COUNTIF(ParicipationMai1[[#This Row],[1]:[31]],Code15)</f>
        <v>0</v>
      </c>
      <c r="AY26" s="30">
        <f>COUNTIF(ParicipationMai1[[#This Row],[1]:[31]],Code16)</f>
        <v>0</v>
      </c>
      <c r="AZ26" s="30">
        <f>COUNTIF(ParicipationMai1[[#This Row],[1]:[31]],Code17)</f>
        <v>0</v>
      </c>
      <c r="BA26" s="30">
        <f>COUNTIF(ParicipationMai1[[#This Row],[1]:[31]],Code25)</f>
        <v>0</v>
      </c>
      <c r="BB26" s="30">
        <f>COUNTIF(ParicipationMai1[[#This Row],[1]:[31]],Code26)</f>
        <v>0</v>
      </c>
      <c r="BC26" s="30">
        <f>COUNTIF(ParicipationMai1[[#This Row],[1]:[31]],Code27)</f>
        <v>0</v>
      </c>
      <c r="BD26" s="30">
        <f>COUNTIF(ParicipationMai1[[#This Row],[1]:[31]],Code28)</f>
        <v>0</v>
      </c>
      <c r="BE26" s="30">
        <f>COUNTIF(ParicipationMai1[[#This Row],[1]:[31]],code30)</f>
        <v>0</v>
      </c>
      <c r="BF26" s="30">
        <f>COUNTIF(ParicipationMai1[[#This Row],[1]:[31]],Code31)</f>
        <v>0</v>
      </c>
      <c r="BG26" s="30">
        <f>COUNTIF(ParicipationMai1[[#This Row],[1]:[31]],code21)</f>
        <v>0</v>
      </c>
      <c r="BH26" s="30">
        <f>COUNTIF(ParicipationMai1[[#This Row],[1]:[31]],Code24)</f>
        <v>0</v>
      </c>
      <c r="BI26" s="30">
        <f>COUNTIF(ParicipationMai1[[#This Row],[1]:[31]],code18)</f>
        <v>0</v>
      </c>
      <c r="BJ26" s="30">
        <f>COUNTIF(ParicipationMai1[[#This Row],[1]:[31]],code19)</f>
        <v>0</v>
      </c>
      <c r="BK26" s="30">
        <f>COUNTIF(ParicipationMai1[[#This Row],[1]:[31]],code20)</f>
        <v>0</v>
      </c>
      <c r="BL26" s="164">
        <f>COUNTIF(ParicipationMai1[[#This Row],[1]:[31]],code29)</f>
        <v>0</v>
      </c>
      <c r="BM26" s="297"/>
      <c r="BN26" s="297"/>
      <c r="BO26" s="297"/>
      <c r="BP26" s="297"/>
      <c r="BQ26" s="297"/>
      <c r="BR26" s="297"/>
      <c r="BS26" s="297"/>
      <c r="BT26" s="297"/>
      <c r="BU26" s="297"/>
      <c r="BV26" s="297"/>
      <c r="BW26" s="297"/>
      <c r="BX26" s="297"/>
      <c r="BY26" s="297"/>
      <c r="BZ26" s="297"/>
      <c r="CA26" s="297"/>
      <c r="CB26" s="297"/>
      <c r="CC26" s="297"/>
      <c r="CD26" s="297"/>
      <c r="CE26" s="297"/>
      <c r="CF26" s="297"/>
      <c r="CG26" s="297"/>
      <c r="CH26" s="297"/>
      <c r="CI26" s="297"/>
      <c r="CJ26" s="297"/>
      <c r="CK26" s="297"/>
      <c r="CL26" s="297"/>
      <c r="CM26" s="297"/>
      <c r="CN26" s="297"/>
      <c r="CO26" s="297"/>
      <c r="CP26" s="297"/>
      <c r="CQ26" s="297"/>
      <c r="CR26" s="297"/>
      <c r="CS26" s="307"/>
      <c r="CT26" s="307"/>
      <c r="CU26" s="300"/>
      <c r="CV26" s="501">
        <f t="shared" si="0"/>
        <v>0</v>
      </c>
      <c r="CW26" s="501">
        <f t="shared" si="1"/>
        <v>0</v>
      </c>
      <c r="CX26" s="249">
        <f t="shared" si="2"/>
        <v>0</v>
      </c>
      <c r="CY26" s="170">
        <f t="shared" si="3"/>
        <v>0</v>
      </c>
    </row>
    <row r="27" spans="1:103">
      <c r="A27" s="29" t="s">
        <v>368</v>
      </c>
      <c r="B27" s="162" t="str">
        <f>IFERROR(VLOOKUP(ParicipationMai1[[#This Row],[Référence]],ListeÉtudiants1[],18,FALSE),"")</f>
        <v>BAUDET M0RGANE</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44"/>
      <c r="AH27" s="6">
        <f>COUNTIF(ParicipationMai1[[1]:[31]],Code1)</f>
        <v>0</v>
      </c>
      <c r="AI27" s="6">
        <f>COUNTIF(ParicipationMai1[[1]:[31]],code22)</f>
        <v>0</v>
      </c>
      <c r="AJ27" s="30">
        <f>COUNTIF(ParicipationMai1[[#This Row],[1]:[31]],Code2)</f>
        <v>0</v>
      </c>
      <c r="AK27" s="30">
        <f>COUNTIF(ParicipationMai1[[#This Row],[1]:[31]],Code3)</f>
        <v>0</v>
      </c>
      <c r="AL27" s="30">
        <f>COUNTIF(ParicipationMai1[[#This Row],[1]:[31]],Code4)</f>
        <v>0</v>
      </c>
      <c r="AM27" s="30">
        <f>COUNTIF(ParicipationMai1[[#This Row],[1]:[31]],Code5)</f>
        <v>0</v>
      </c>
      <c r="AN27" s="30">
        <f>COUNTIF(ParicipationMai1[[#This Row],[1]:[31]],Code23)</f>
        <v>0</v>
      </c>
      <c r="AO27" s="30">
        <f>COUNTIF(ParicipationMai1[[#This Row],[1]:[31]],Code6)</f>
        <v>0</v>
      </c>
      <c r="AP27" s="30">
        <f>COUNTIF(ParicipationMai1[[#This Row],[1]:[31]],Code7)</f>
        <v>0</v>
      </c>
      <c r="AQ27" s="30">
        <f>COUNTIF(ParicipationMai1[[#This Row],[1]:[31]],Code8)</f>
        <v>0</v>
      </c>
      <c r="AR27" s="30">
        <f>COUNTIF(ParicipationMai1[[#This Row],[1]:[31]],Code9)</f>
        <v>0</v>
      </c>
      <c r="AS27" s="30">
        <f>COUNTIF(ParicipationMai1[[#This Row],[1]:[31]],Code10)</f>
        <v>0</v>
      </c>
      <c r="AT27" s="30">
        <f>COUNTIF(ParicipationMai1[[#This Row],[1]:[31]],Code11)</f>
        <v>0</v>
      </c>
      <c r="AU27" s="30">
        <f>COUNTIF(ParicipationMai1[[#This Row],[1]:[31]],Code12)</f>
        <v>0</v>
      </c>
      <c r="AV27" s="30">
        <f>COUNTIF(ParicipationMai1[[#This Row],[1]:[31]],Code13)</f>
        <v>0</v>
      </c>
      <c r="AW27" s="30">
        <f>COUNTIF(ParicipationMai1[[#This Row],[1]:[31]],Code14)</f>
        <v>0</v>
      </c>
      <c r="AX27" s="30">
        <f>COUNTIF(ParicipationMai1[[#This Row],[1]:[31]],Code15)</f>
        <v>0</v>
      </c>
      <c r="AY27" s="30">
        <f>COUNTIF(ParicipationMai1[[#This Row],[1]:[31]],Code16)</f>
        <v>0</v>
      </c>
      <c r="AZ27" s="30">
        <f>COUNTIF(ParicipationMai1[[#This Row],[1]:[31]],Code17)</f>
        <v>0</v>
      </c>
      <c r="BA27" s="30">
        <f>COUNTIF(ParicipationMai1[[#This Row],[1]:[31]],Code25)</f>
        <v>0</v>
      </c>
      <c r="BB27" s="30">
        <f>COUNTIF(ParicipationMai1[[#This Row],[1]:[31]],Code26)</f>
        <v>0</v>
      </c>
      <c r="BC27" s="30">
        <f>COUNTIF(ParicipationMai1[[#This Row],[1]:[31]],Code27)</f>
        <v>0</v>
      </c>
      <c r="BD27" s="30">
        <f>COUNTIF(ParicipationMai1[[#This Row],[1]:[31]],Code28)</f>
        <v>0</v>
      </c>
      <c r="BE27" s="30">
        <f>COUNTIF(ParicipationMai1[[#This Row],[1]:[31]],code30)</f>
        <v>0</v>
      </c>
      <c r="BF27" s="30">
        <f>COUNTIF(ParicipationMai1[[#This Row],[1]:[31]],Code31)</f>
        <v>0</v>
      </c>
      <c r="BG27" s="30">
        <f>COUNTIF(ParicipationMai1[[#This Row],[1]:[31]],code21)</f>
        <v>0</v>
      </c>
      <c r="BH27" s="30">
        <f>COUNTIF(ParicipationMai1[[#This Row],[1]:[31]],Code24)</f>
        <v>0</v>
      </c>
      <c r="BI27" s="30">
        <f>COUNTIF(ParicipationMai1[[#This Row],[1]:[31]],code18)</f>
        <v>0</v>
      </c>
      <c r="BJ27" s="30">
        <f>COUNTIF(ParicipationMai1[[#This Row],[1]:[31]],code19)</f>
        <v>0</v>
      </c>
      <c r="BK27" s="30">
        <f>COUNTIF(ParicipationMai1[[#This Row],[1]:[31]],code20)</f>
        <v>0</v>
      </c>
      <c r="BL27" s="164">
        <f>COUNTIF(ParicipationMai1[[#This Row],[1]:[31]],code29)</f>
        <v>0</v>
      </c>
      <c r="BM27" s="297"/>
      <c r="BN27" s="297"/>
      <c r="BO27" s="297"/>
      <c r="BP27" s="297"/>
      <c r="BQ27" s="297"/>
      <c r="BR27" s="297"/>
      <c r="BS27" s="297"/>
      <c r="BT27" s="297"/>
      <c r="BU27" s="297"/>
      <c r="BV27" s="297"/>
      <c r="BW27" s="297"/>
      <c r="BX27" s="297"/>
      <c r="BY27" s="297"/>
      <c r="BZ27" s="297"/>
      <c r="CA27" s="297"/>
      <c r="CB27" s="297"/>
      <c r="CC27" s="297"/>
      <c r="CD27" s="297"/>
      <c r="CE27" s="297"/>
      <c r="CF27" s="297"/>
      <c r="CG27" s="297"/>
      <c r="CH27" s="297"/>
      <c r="CI27" s="297"/>
      <c r="CJ27" s="297"/>
      <c r="CK27" s="297"/>
      <c r="CL27" s="297"/>
      <c r="CM27" s="297"/>
      <c r="CN27" s="297"/>
      <c r="CO27" s="297"/>
      <c r="CP27" s="297"/>
      <c r="CQ27" s="297"/>
      <c r="CR27" s="297"/>
      <c r="CS27" s="307"/>
      <c r="CT27" s="307"/>
      <c r="CU27" s="300"/>
      <c r="CV27" s="501">
        <f t="shared" si="0"/>
        <v>0</v>
      </c>
      <c r="CW27" s="501">
        <f t="shared" si="1"/>
        <v>0</v>
      </c>
      <c r="CX27" s="249">
        <f t="shared" si="2"/>
        <v>0</v>
      </c>
      <c r="CY27" s="170">
        <f t="shared" si="3"/>
        <v>0</v>
      </c>
    </row>
    <row r="28" spans="1:103">
      <c r="A28" s="29" t="s">
        <v>369</v>
      </c>
      <c r="B28" s="162" t="str">
        <f>IFERROR(VLOOKUP(ParicipationMai1[[#This Row],[Référence]],ListeÉtudiants1[],18,FALSE),"")</f>
        <v>BENOIST SANDY</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44"/>
      <c r="AH28" s="6">
        <f>COUNTIF(ParicipationMai1[[1]:[31]],Code1)</f>
        <v>0</v>
      </c>
      <c r="AI28" s="6">
        <f>COUNTIF(ParicipationMai1[[1]:[31]],code22)</f>
        <v>0</v>
      </c>
      <c r="AJ28" s="30">
        <f>COUNTIF(ParicipationMai1[[#This Row],[1]:[31]],Code2)</f>
        <v>0</v>
      </c>
      <c r="AK28" s="30">
        <f>COUNTIF(ParicipationMai1[[#This Row],[1]:[31]],Code3)</f>
        <v>0</v>
      </c>
      <c r="AL28" s="30">
        <f>COUNTIF(ParicipationMai1[[#This Row],[1]:[31]],Code4)</f>
        <v>0</v>
      </c>
      <c r="AM28" s="30">
        <f>COUNTIF(ParicipationMai1[[#This Row],[1]:[31]],Code5)</f>
        <v>0</v>
      </c>
      <c r="AN28" s="30">
        <f>COUNTIF(ParicipationMai1[[#This Row],[1]:[31]],Code23)</f>
        <v>0</v>
      </c>
      <c r="AO28" s="30">
        <f>COUNTIF(ParicipationMai1[[#This Row],[1]:[31]],Code6)</f>
        <v>0</v>
      </c>
      <c r="AP28" s="30">
        <f>COUNTIF(ParicipationMai1[[#This Row],[1]:[31]],Code7)</f>
        <v>0</v>
      </c>
      <c r="AQ28" s="30">
        <f>COUNTIF(ParicipationMai1[[#This Row],[1]:[31]],Code8)</f>
        <v>0</v>
      </c>
      <c r="AR28" s="30">
        <f>COUNTIF(ParicipationMai1[[#This Row],[1]:[31]],Code9)</f>
        <v>0</v>
      </c>
      <c r="AS28" s="30">
        <f>COUNTIF(ParicipationMai1[[#This Row],[1]:[31]],Code10)</f>
        <v>0</v>
      </c>
      <c r="AT28" s="30">
        <f>COUNTIF(ParicipationMai1[[#This Row],[1]:[31]],Code11)</f>
        <v>0</v>
      </c>
      <c r="AU28" s="30">
        <f>COUNTIF(ParicipationMai1[[#This Row],[1]:[31]],Code12)</f>
        <v>0</v>
      </c>
      <c r="AV28" s="30">
        <f>COUNTIF(ParicipationMai1[[#This Row],[1]:[31]],Code13)</f>
        <v>0</v>
      </c>
      <c r="AW28" s="30">
        <f>COUNTIF(ParicipationMai1[[#This Row],[1]:[31]],Code14)</f>
        <v>0</v>
      </c>
      <c r="AX28" s="30">
        <f>COUNTIF(ParicipationMai1[[#This Row],[1]:[31]],Code15)</f>
        <v>0</v>
      </c>
      <c r="AY28" s="30">
        <f>COUNTIF(ParicipationMai1[[#This Row],[1]:[31]],Code16)</f>
        <v>0</v>
      </c>
      <c r="AZ28" s="30">
        <f>COUNTIF(ParicipationMai1[[#This Row],[1]:[31]],Code17)</f>
        <v>0</v>
      </c>
      <c r="BA28" s="30">
        <f>COUNTIF(ParicipationMai1[[#This Row],[1]:[31]],Code25)</f>
        <v>0</v>
      </c>
      <c r="BB28" s="30">
        <f>COUNTIF(ParicipationMai1[[#This Row],[1]:[31]],Code26)</f>
        <v>0</v>
      </c>
      <c r="BC28" s="30">
        <f>COUNTIF(ParicipationMai1[[#This Row],[1]:[31]],Code27)</f>
        <v>0</v>
      </c>
      <c r="BD28" s="30">
        <f>COUNTIF(ParicipationMai1[[#This Row],[1]:[31]],Code28)</f>
        <v>0</v>
      </c>
      <c r="BE28" s="30">
        <f>COUNTIF(ParicipationMai1[[#This Row],[1]:[31]],code30)</f>
        <v>0</v>
      </c>
      <c r="BF28" s="30">
        <f>COUNTIF(ParicipationMai1[[#This Row],[1]:[31]],Code31)</f>
        <v>0</v>
      </c>
      <c r="BG28" s="30">
        <f>COUNTIF(ParicipationMai1[[#This Row],[1]:[31]],code21)</f>
        <v>0</v>
      </c>
      <c r="BH28" s="30">
        <f>COUNTIF(ParicipationMai1[[#This Row],[1]:[31]],Code24)</f>
        <v>0</v>
      </c>
      <c r="BI28" s="30">
        <f>COUNTIF(ParicipationMai1[[#This Row],[1]:[31]],code18)</f>
        <v>0</v>
      </c>
      <c r="BJ28" s="30">
        <f>COUNTIF(ParicipationMai1[[#This Row],[1]:[31]],code19)</f>
        <v>0</v>
      </c>
      <c r="BK28" s="30">
        <f>COUNTIF(ParicipationMai1[[#This Row],[1]:[31]],code20)</f>
        <v>0</v>
      </c>
      <c r="BL28" s="164">
        <f>COUNTIF(ParicipationMai1[[#This Row],[1]:[31]],code29)</f>
        <v>0</v>
      </c>
      <c r="BM28" s="297"/>
      <c r="BN28" s="297"/>
      <c r="BO28" s="297"/>
      <c r="BP28" s="297"/>
      <c r="BQ28" s="297"/>
      <c r="BR28" s="297"/>
      <c r="BS28" s="297"/>
      <c r="BT28" s="297"/>
      <c r="BU28" s="297"/>
      <c r="BV28" s="297"/>
      <c r="BW28" s="297"/>
      <c r="BX28" s="297"/>
      <c r="BY28" s="297"/>
      <c r="BZ28" s="297"/>
      <c r="CA28" s="297"/>
      <c r="CB28" s="297"/>
      <c r="CC28" s="297"/>
      <c r="CD28" s="297"/>
      <c r="CE28" s="297"/>
      <c r="CF28" s="297"/>
      <c r="CG28" s="297"/>
      <c r="CH28" s="297"/>
      <c r="CI28" s="297"/>
      <c r="CJ28" s="297"/>
      <c r="CK28" s="297"/>
      <c r="CL28" s="297"/>
      <c r="CM28" s="297"/>
      <c r="CN28" s="297"/>
      <c r="CO28" s="297"/>
      <c r="CP28" s="297"/>
      <c r="CQ28" s="297"/>
      <c r="CR28" s="297"/>
      <c r="CS28" s="307"/>
      <c r="CT28" s="307"/>
      <c r="CU28" s="300"/>
      <c r="CV28" s="501">
        <f t="shared" si="0"/>
        <v>0</v>
      </c>
      <c r="CW28" s="501">
        <f t="shared" si="1"/>
        <v>0</v>
      </c>
      <c r="CX28" s="249">
        <f t="shared" si="2"/>
        <v>0</v>
      </c>
      <c r="CY28" s="170">
        <f t="shared" si="3"/>
        <v>0</v>
      </c>
    </row>
    <row r="29" spans="1:103">
      <c r="A29" s="29" t="s">
        <v>370</v>
      </c>
      <c r="B29" s="162" t="str">
        <f>IFERROR(VLOOKUP(ParicipationMai1[[#This Row],[Référence]],ListeÉtudiants1[],18,FALSE),"")</f>
        <v>BENOUARETH NAWEL</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44"/>
      <c r="AH29" s="6">
        <f>COUNTIF(ParicipationMai1[[1]:[31]],Code1)</f>
        <v>0</v>
      </c>
      <c r="AI29" s="6">
        <f>COUNTIF(ParicipationMai1[[1]:[31]],code22)</f>
        <v>0</v>
      </c>
      <c r="AJ29" s="30">
        <f>COUNTIF(ParicipationMai1[[#This Row],[1]:[31]],Code2)</f>
        <v>0</v>
      </c>
      <c r="AK29" s="30">
        <f>COUNTIF(ParicipationMai1[[#This Row],[1]:[31]],Code3)</f>
        <v>0</v>
      </c>
      <c r="AL29" s="30">
        <f>COUNTIF(ParicipationMai1[[#This Row],[1]:[31]],Code4)</f>
        <v>0</v>
      </c>
      <c r="AM29" s="30">
        <f>COUNTIF(ParicipationMai1[[#This Row],[1]:[31]],Code5)</f>
        <v>0</v>
      </c>
      <c r="AN29" s="30">
        <f>COUNTIF(ParicipationMai1[[#This Row],[1]:[31]],Code23)</f>
        <v>0</v>
      </c>
      <c r="AO29" s="30">
        <f>COUNTIF(ParicipationMai1[[#This Row],[1]:[31]],Code6)</f>
        <v>0</v>
      </c>
      <c r="AP29" s="30">
        <f>COUNTIF(ParicipationMai1[[#This Row],[1]:[31]],Code7)</f>
        <v>0</v>
      </c>
      <c r="AQ29" s="30">
        <f>COUNTIF(ParicipationMai1[[#This Row],[1]:[31]],Code8)</f>
        <v>0</v>
      </c>
      <c r="AR29" s="30">
        <f>COUNTIF(ParicipationMai1[[#This Row],[1]:[31]],Code9)</f>
        <v>0</v>
      </c>
      <c r="AS29" s="30">
        <f>COUNTIF(ParicipationMai1[[#This Row],[1]:[31]],Code10)</f>
        <v>0</v>
      </c>
      <c r="AT29" s="30">
        <f>COUNTIF(ParicipationMai1[[#This Row],[1]:[31]],Code11)</f>
        <v>0</v>
      </c>
      <c r="AU29" s="30">
        <f>COUNTIF(ParicipationMai1[[#This Row],[1]:[31]],Code12)</f>
        <v>0</v>
      </c>
      <c r="AV29" s="30">
        <f>COUNTIF(ParicipationMai1[[#This Row],[1]:[31]],Code13)</f>
        <v>0</v>
      </c>
      <c r="AW29" s="30">
        <f>COUNTIF(ParicipationMai1[[#This Row],[1]:[31]],Code14)</f>
        <v>0</v>
      </c>
      <c r="AX29" s="30">
        <f>COUNTIF(ParicipationMai1[[#This Row],[1]:[31]],Code15)</f>
        <v>0</v>
      </c>
      <c r="AY29" s="30">
        <f>COUNTIF(ParicipationMai1[[#This Row],[1]:[31]],Code16)</f>
        <v>0</v>
      </c>
      <c r="AZ29" s="30">
        <f>COUNTIF(ParicipationMai1[[#This Row],[1]:[31]],Code17)</f>
        <v>0</v>
      </c>
      <c r="BA29" s="30">
        <f>COUNTIF(ParicipationMai1[[#This Row],[1]:[31]],Code25)</f>
        <v>0</v>
      </c>
      <c r="BB29" s="30">
        <f>COUNTIF(ParicipationMai1[[#This Row],[1]:[31]],Code26)</f>
        <v>0</v>
      </c>
      <c r="BC29" s="30">
        <f>COUNTIF(ParicipationMai1[[#This Row],[1]:[31]],Code27)</f>
        <v>0</v>
      </c>
      <c r="BD29" s="30">
        <f>COUNTIF(ParicipationMai1[[#This Row],[1]:[31]],Code28)</f>
        <v>0</v>
      </c>
      <c r="BE29" s="30">
        <f>COUNTIF(ParicipationMai1[[#This Row],[1]:[31]],code30)</f>
        <v>0</v>
      </c>
      <c r="BF29" s="30">
        <f>COUNTIF(ParicipationMai1[[#This Row],[1]:[31]],Code31)</f>
        <v>0</v>
      </c>
      <c r="BG29" s="30">
        <f>COUNTIF(ParicipationMai1[[#This Row],[1]:[31]],code21)</f>
        <v>0</v>
      </c>
      <c r="BH29" s="30">
        <f>COUNTIF(ParicipationMai1[[#This Row],[1]:[31]],Code24)</f>
        <v>0</v>
      </c>
      <c r="BI29" s="30">
        <f>COUNTIF(ParicipationMai1[[#This Row],[1]:[31]],code18)</f>
        <v>0</v>
      </c>
      <c r="BJ29" s="30">
        <f>COUNTIF(ParicipationMai1[[#This Row],[1]:[31]],code19)</f>
        <v>0</v>
      </c>
      <c r="BK29" s="30">
        <f>COUNTIF(ParicipationMai1[[#This Row],[1]:[31]],code20)</f>
        <v>0</v>
      </c>
      <c r="BL29" s="164">
        <f>COUNTIF(ParicipationMai1[[#This Row],[1]:[31]],code29)</f>
        <v>0</v>
      </c>
      <c r="BM29" s="297"/>
      <c r="BN29" s="297"/>
      <c r="BO29" s="297"/>
      <c r="BP29" s="297"/>
      <c r="BQ29" s="297"/>
      <c r="BR29" s="297"/>
      <c r="BS29" s="297"/>
      <c r="BT29" s="297"/>
      <c r="BU29" s="297"/>
      <c r="BV29" s="297"/>
      <c r="BW29" s="297"/>
      <c r="BX29" s="297"/>
      <c r="BY29" s="297"/>
      <c r="BZ29" s="297"/>
      <c r="CA29" s="297"/>
      <c r="CB29" s="297"/>
      <c r="CC29" s="297"/>
      <c r="CD29" s="297"/>
      <c r="CE29" s="297"/>
      <c r="CF29" s="297"/>
      <c r="CG29" s="297"/>
      <c r="CH29" s="297"/>
      <c r="CI29" s="297"/>
      <c r="CJ29" s="297"/>
      <c r="CK29" s="297"/>
      <c r="CL29" s="297"/>
      <c r="CM29" s="297"/>
      <c r="CN29" s="297"/>
      <c r="CO29" s="297"/>
      <c r="CP29" s="297"/>
      <c r="CQ29" s="297"/>
      <c r="CR29" s="297"/>
      <c r="CS29" s="307"/>
      <c r="CT29" s="307"/>
      <c r="CU29" s="300"/>
      <c r="CV29" s="501">
        <f t="shared" si="0"/>
        <v>0</v>
      </c>
      <c r="CW29" s="501">
        <f t="shared" si="1"/>
        <v>0</v>
      </c>
      <c r="CX29" s="249">
        <f t="shared" si="2"/>
        <v>0</v>
      </c>
      <c r="CY29" s="170">
        <f t="shared" si="3"/>
        <v>0</v>
      </c>
    </row>
    <row r="30" spans="1:103">
      <c r="A30" s="29" t="s">
        <v>371</v>
      </c>
      <c r="B30" s="162" t="str">
        <f>IFERROR(VLOOKUP(ParicipationMai1[[#This Row],[Référence]],ListeÉtudiants1[],18,FALSE),"")</f>
        <v>BERNARD LUDOVIC</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44"/>
      <c r="AH30" s="6">
        <f>COUNTIF(ParicipationMai1[[1]:[31]],Code1)</f>
        <v>0</v>
      </c>
      <c r="AI30" s="6">
        <f>COUNTIF(ParicipationMai1[[1]:[31]],code22)</f>
        <v>0</v>
      </c>
      <c r="AJ30" s="30">
        <f>COUNTIF(ParicipationMai1[[#This Row],[1]:[31]],Code2)</f>
        <v>0</v>
      </c>
      <c r="AK30" s="30">
        <f>COUNTIF(ParicipationMai1[[#This Row],[1]:[31]],Code3)</f>
        <v>0</v>
      </c>
      <c r="AL30" s="30">
        <f>COUNTIF(ParicipationMai1[[#This Row],[1]:[31]],Code4)</f>
        <v>0</v>
      </c>
      <c r="AM30" s="30">
        <f>COUNTIF(ParicipationMai1[[#This Row],[1]:[31]],Code5)</f>
        <v>0</v>
      </c>
      <c r="AN30" s="30">
        <f>COUNTIF(ParicipationMai1[[#This Row],[1]:[31]],Code23)</f>
        <v>0</v>
      </c>
      <c r="AO30" s="30">
        <f>COUNTIF(ParicipationMai1[[#This Row],[1]:[31]],Code6)</f>
        <v>0</v>
      </c>
      <c r="AP30" s="30">
        <f>COUNTIF(ParicipationMai1[[#This Row],[1]:[31]],Code7)</f>
        <v>0</v>
      </c>
      <c r="AQ30" s="30">
        <f>COUNTIF(ParicipationMai1[[#This Row],[1]:[31]],Code8)</f>
        <v>0</v>
      </c>
      <c r="AR30" s="30">
        <f>COUNTIF(ParicipationMai1[[#This Row],[1]:[31]],Code9)</f>
        <v>0</v>
      </c>
      <c r="AS30" s="30">
        <f>COUNTIF(ParicipationMai1[[#This Row],[1]:[31]],Code10)</f>
        <v>0</v>
      </c>
      <c r="AT30" s="30">
        <f>COUNTIF(ParicipationMai1[[#This Row],[1]:[31]],Code11)</f>
        <v>0</v>
      </c>
      <c r="AU30" s="30">
        <f>COUNTIF(ParicipationMai1[[#This Row],[1]:[31]],Code12)</f>
        <v>0</v>
      </c>
      <c r="AV30" s="30">
        <f>COUNTIF(ParicipationMai1[[#This Row],[1]:[31]],Code13)</f>
        <v>0</v>
      </c>
      <c r="AW30" s="30">
        <f>COUNTIF(ParicipationMai1[[#This Row],[1]:[31]],Code14)</f>
        <v>0</v>
      </c>
      <c r="AX30" s="30">
        <f>COUNTIF(ParicipationMai1[[#This Row],[1]:[31]],Code15)</f>
        <v>0</v>
      </c>
      <c r="AY30" s="30">
        <f>COUNTIF(ParicipationMai1[[#This Row],[1]:[31]],Code16)</f>
        <v>0</v>
      </c>
      <c r="AZ30" s="30">
        <f>COUNTIF(ParicipationMai1[[#This Row],[1]:[31]],Code17)</f>
        <v>0</v>
      </c>
      <c r="BA30" s="30">
        <f>COUNTIF(ParicipationMai1[[#This Row],[1]:[31]],Code25)</f>
        <v>0</v>
      </c>
      <c r="BB30" s="30">
        <f>COUNTIF(ParicipationMai1[[#This Row],[1]:[31]],Code26)</f>
        <v>0</v>
      </c>
      <c r="BC30" s="30">
        <f>COUNTIF(ParicipationMai1[[#This Row],[1]:[31]],Code27)</f>
        <v>0</v>
      </c>
      <c r="BD30" s="30">
        <f>COUNTIF(ParicipationMai1[[#This Row],[1]:[31]],Code28)</f>
        <v>0</v>
      </c>
      <c r="BE30" s="30">
        <f>COUNTIF(ParicipationMai1[[#This Row],[1]:[31]],code30)</f>
        <v>0</v>
      </c>
      <c r="BF30" s="30">
        <f>COUNTIF(ParicipationMai1[[#This Row],[1]:[31]],Code31)</f>
        <v>0</v>
      </c>
      <c r="BG30" s="30">
        <f>COUNTIF(ParicipationMai1[[#This Row],[1]:[31]],code21)</f>
        <v>0</v>
      </c>
      <c r="BH30" s="30">
        <f>COUNTIF(ParicipationMai1[[#This Row],[1]:[31]],Code24)</f>
        <v>0</v>
      </c>
      <c r="BI30" s="30">
        <f>COUNTIF(ParicipationMai1[[#This Row],[1]:[31]],code18)</f>
        <v>0</v>
      </c>
      <c r="BJ30" s="30">
        <f>COUNTIF(ParicipationMai1[[#This Row],[1]:[31]],code19)</f>
        <v>0</v>
      </c>
      <c r="BK30" s="30">
        <f>COUNTIF(ParicipationMai1[[#This Row],[1]:[31]],code20)</f>
        <v>0</v>
      </c>
      <c r="BL30" s="164">
        <f>COUNTIF(ParicipationMai1[[#This Row],[1]:[31]],code29)</f>
        <v>0</v>
      </c>
      <c r="BM30" s="297"/>
      <c r="BN30" s="297"/>
      <c r="BO30" s="297"/>
      <c r="BP30" s="297"/>
      <c r="BQ30" s="297"/>
      <c r="BR30" s="297"/>
      <c r="BS30" s="297"/>
      <c r="BT30" s="297"/>
      <c r="BU30" s="297"/>
      <c r="BV30" s="297"/>
      <c r="BW30" s="297"/>
      <c r="BX30" s="297"/>
      <c r="BY30" s="297"/>
      <c r="BZ30" s="297"/>
      <c r="CA30" s="297"/>
      <c r="CB30" s="297"/>
      <c r="CC30" s="297"/>
      <c r="CD30" s="297"/>
      <c r="CE30" s="297"/>
      <c r="CF30" s="297"/>
      <c r="CG30" s="297"/>
      <c r="CH30" s="297"/>
      <c r="CI30" s="297"/>
      <c r="CJ30" s="297"/>
      <c r="CK30" s="297"/>
      <c r="CL30" s="297"/>
      <c r="CM30" s="297"/>
      <c r="CN30" s="297"/>
      <c r="CO30" s="297"/>
      <c r="CP30" s="297"/>
      <c r="CQ30" s="297"/>
      <c r="CR30" s="297"/>
      <c r="CS30" s="307"/>
      <c r="CT30" s="307"/>
      <c r="CU30" s="300"/>
      <c r="CV30" s="501">
        <f t="shared" si="0"/>
        <v>0</v>
      </c>
      <c r="CW30" s="501">
        <f t="shared" si="1"/>
        <v>0</v>
      </c>
      <c r="CX30" s="249">
        <f t="shared" si="2"/>
        <v>0</v>
      </c>
      <c r="CY30" s="170">
        <f t="shared" si="3"/>
        <v>0</v>
      </c>
    </row>
    <row r="31" spans="1:103">
      <c r="A31" s="29" t="s">
        <v>372</v>
      </c>
      <c r="B31" s="162" t="str">
        <f>IFERROR(VLOOKUP(ParicipationMai1[[#This Row],[Référence]],ListeÉtudiants1[],18,FALSE),"")</f>
        <v>BESTEL AGATHE</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44"/>
      <c r="AH31" s="6">
        <f>COUNTIF(ParicipationMai1[[1]:[31]],Code1)</f>
        <v>0</v>
      </c>
      <c r="AI31" s="6">
        <f>COUNTIF(ParicipationMai1[[1]:[31]],code22)</f>
        <v>0</v>
      </c>
      <c r="AJ31" s="30">
        <f>COUNTIF(ParicipationMai1[[#This Row],[1]:[31]],Code2)</f>
        <v>0</v>
      </c>
      <c r="AK31" s="30">
        <f>COUNTIF(ParicipationMai1[[#This Row],[1]:[31]],Code3)</f>
        <v>0</v>
      </c>
      <c r="AL31" s="30">
        <f>COUNTIF(ParicipationMai1[[#This Row],[1]:[31]],Code4)</f>
        <v>0</v>
      </c>
      <c r="AM31" s="30">
        <f>COUNTIF(ParicipationMai1[[#This Row],[1]:[31]],Code5)</f>
        <v>0</v>
      </c>
      <c r="AN31" s="30">
        <f>COUNTIF(ParicipationMai1[[#This Row],[1]:[31]],Code23)</f>
        <v>0</v>
      </c>
      <c r="AO31" s="30">
        <f>COUNTIF(ParicipationMai1[[#This Row],[1]:[31]],Code6)</f>
        <v>0</v>
      </c>
      <c r="AP31" s="30">
        <f>COUNTIF(ParicipationMai1[[#This Row],[1]:[31]],Code7)</f>
        <v>0</v>
      </c>
      <c r="AQ31" s="30">
        <f>COUNTIF(ParicipationMai1[[#This Row],[1]:[31]],Code8)</f>
        <v>0</v>
      </c>
      <c r="AR31" s="30">
        <f>COUNTIF(ParicipationMai1[[#This Row],[1]:[31]],Code9)</f>
        <v>0</v>
      </c>
      <c r="AS31" s="30">
        <f>COUNTIF(ParicipationMai1[[#This Row],[1]:[31]],Code10)</f>
        <v>0</v>
      </c>
      <c r="AT31" s="30">
        <f>COUNTIF(ParicipationMai1[[#This Row],[1]:[31]],Code11)</f>
        <v>0</v>
      </c>
      <c r="AU31" s="30">
        <f>COUNTIF(ParicipationMai1[[#This Row],[1]:[31]],Code12)</f>
        <v>0</v>
      </c>
      <c r="AV31" s="30">
        <f>COUNTIF(ParicipationMai1[[#This Row],[1]:[31]],Code13)</f>
        <v>0</v>
      </c>
      <c r="AW31" s="30">
        <f>COUNTIF(ParicipationMai1[[#This Row],[1]:[31]],Code14)</f>
        <v>0</v>
      </c>
      <c r="AX31" s="30">
        <f>COUNTIF(ParicipationMai1[[#This Row],[1]:[31]],Code15)</f>
        <v>0</v>
      </c>
      <c r="AY31" s="30">
        <f>COUNTIF(ParicipationMai1[[#This Row],[1]:[31]],Code16)</f>
        <v>0</v>
      </c>
      <c r="AZ31" s="30">
        <f>COUNTIF(ParicipationMai1[[#This Row],[1]:[31]],Code17)</f>
        <v>0</v>
      </c>
      <c r="BA31" s="30">
        <f>COUNTIF(ParicipationMai1[[#This Row],[1]:[31]],Code25)</f>
        <v>0</v>
      </c>
      <c r="BB31" s="30">
        <f>COUNTIF(ParicipationMai1[[#This Row],[1]:[31]],Code26)</f>
        <v>0</v>
      </c>
      <c r="BC31" s="30">
        <f>COUNTIF(ParicipationMai1[[#This Row],[1]:[31]],Code27)</f>
        <v>0</v>
      </c>
      <c r="BD31" s="30">
        <f>COUNTIF(ParicipationMai1[[#This Row],[1]:[31]],Code28)</f>
        <v>0</v>
      </c>
      <c r="BE31" s="30">
        <f>COUNTIF(ParicipationMai1[[#This Row],[1]:[31]],code30)</f>
        <v>0</v>
      </c>
      <c r="BF31" s="30">
        <f>COUNTIF(ParicipationMai1[[#This Row],[1]:[31]],Code31)</f>
        <v>0</v>
      </c>
      <c r="BG31" s="30">
        <f>COUNTIF(ParicipationMai1[[#This Row],[1]:[31]],code21)</f>
        <v>0</v>
      </c>
      <c r="BH31" s="30">
        <f>COUNTIF(ParicipationMai1[[#This Row],[1]:[31]],Code24)</f>
        <v>0</v>
      </c>
      <c r="BI31" s="30">
        <f>COUNTIF(ParicipationMai1[[#This Row],[1]:[31]],code18)</f>
        <v>0</v>
      </c>
      <c r="BJ31" s="30">
        <f>COUNTIF(ParicipationMai1[[#This Row],[1]:[31]],code19)</f>
        <v>0</v>
      </c>
      <c r="BK31" s="30">
        <f>COUNTIF(ParicipationMai1[[#This Row],[1]:[31]],code20)</f>
        <v>0</v>
      </c>
      <c r="BL31" s="164">
        <f>COUNTIF(ParicipationMai1[[#This Row],[1]:[31]],code29)</f>
        <v>0</v>
      </c>
      <c r="BM31" s="297"/>
      <c r="BN31" s="297"/>
      <c r="BO31" s="297"/>
      <c r="BP31" s="297"/>
      <c r="BQ31" s="297"/>
      <c r="BR31" s="297"/>
      <c r="BS31" s="297"/>
      <c r="BT31" s="297"/>
      <c r="BU31" s="297"/>
      <c r="BV31" s="297"/>
      <c r="BW31" s="297"/>
      <c r="BX31" s="297"/>
      <c r="BY31" s="297"/>
      <c r="BZ31" s="297"/>
      <c r="CA31" s="297"/>
      <c r="CB31" s="297"/>
      <c r="CC31" s="297"/>
      <c r="CD31" s="297"/>
      <c r="CE31" s="297"/>
      <c r="CF31" s="297"/>
      <c r="CG31" s="297"/>
      <c r="CH31" s="297"/>
      <c r="CI31" s="297"/>
      <c r="CJ31" s="297"/>
      <c r="CK31" s="297"/>
      <c r="CL31" s="297"/>
      <c r="CM31" s="297"/>
      <c r="CN31" s="297"/>
      <c r="CO31" s="297"/>
      <c r="CP31" s="297"/>
      <c r="CQ31" s="297"/>
      <c r="CR31" s="297"/>
      <c r="CS31" s="307"/>
      <c r="CT31" s="307"/>
      <c r="CU31" s="300"/>
      <c r="CV31" s="501">
        <f t="shared" si="0"/>
        <v>0</v>
      </c>
      <c r="CW31" s="501">
        <f t="shared" si="1"/>
        <v>0</v>
      </c>
      <c r="CX31" s="249">
        <f t="shared" si="2"/>
        <v>0</v>
      </c>
      <c r="CY31" s="170">
        <f t="shared" si="3"/>
        <v>0</v>
      </c>
    </row>
    <row r="32" spans="1:103">
      <c r="A32" s="29" t="s">
        <v>373</v>
      </c>
      <c r="B32" s="162" t="str">
        <f>IFERROR(VLOOKUP(ParicipationMai1[[#This Row],[Référence]],ListeÉtudiants1[],18,FALSE),"")</f>
        <v>BLOT  WENDY</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44"/>
      <c r="AH32" s="6">
        <f>COUNTIF(ParicipationMai1[[1]:[31]],Code1)</f>
        <v>0</v>
      </c>
      <c r="AI32" s="6">
        <f>COUNTIF(ParicipationMai1[[1]:[31]],code22)</f>
        <v>0</v>
      </c>
      <c r="AJ32" s="30">
        <f>COUNTIF(ParicipationMai1[[#This Row],[1]:[31]],Code2)</f>
        <v>0</v>
      </c>
      <c r="AK32" s="30">
        <f>COUNTIF(ParicipationMai1[[#This Row],[1]:[31]],Code3)</f>
        <v>0</v>
      </c>
      <c r="AL32" s="30">
        <f>COUNTIF(ParicipationMai1[[#This Row],[1]:[31]],Code4)</f>
        <v>0</v>
      </c>
      <c r="AM32" s="30">
        <f>COUNTIF(ParicipationMai1[[#This Row],[1]:[31]],Code5)</f>
        <v>0</v>
      </c>
      <c r="AN32" s="30">
        <f>COUNTIF(ParicipationMai1[[#This Row],[1]:[31]],Code23)</f>
        <v>0</v>
      </c>
      <c r="AO32" s="30">
        <f>COUNTIF(ParicipationMai1[[#This Row],[1]:[31]],Code6)</f>
        <v>0</v>
      </c>
      <c r="AP32" s="30">
        <f>COUNTIF(ParicipationMai1[[#This Row],[1]:[31]],Code7)</f>
        <v>0</v>
      </c>
      <c r="AQ32" s="30">
        <f>COUNTIF(ParicipationMai1[[#This Row],[1]:[31]],Code8)</f>
        <v>0</v>
      </c>
      <c r="AR32" s="30">
        <f>COUNTIF(ParicipationMai1[[#This Row],[1]:[31]],Code9)</f>
        <v>0</v>
      </c>
      <c r="AS32" s="30">
        <f>COUNTIF(ParicipationMai1[[#This Row],[1]:[31]],Code10)</f>
        <v>0</v>
      </c>
      <c r="AT32" s="30">
        <f>COUNTIF(ParicipationMai1[[#This Row],[1]:[31]],Code11)</f>
        <v>0</v>
      </c>
      <c r="AU32" s="30">
        <f>COUNTIF(ParicipationMai1[[#This Row],[1]:[31]],Code12)</f>
        <v>0</v>
      </c>
      <c r="AV32" s="30">
        <f>COUNTIF(ParicipationMai1[[#This Row],[1]:[31]],Code13)</f>
        <v>0</v>
      </c>
      <c r="AW32" s="30">
        <f>COUNTIF(ParicipationMai1[[#This Row],[1]:[31]],Code14)</f>
        <v>0</v>
      </c>
      <c r="AX32" s="30">
        <f>COUNTIF(ParicipationMai1[[#This Row],[1]:[31]],Code15)</f>
        <v>0</v>
      </c>
      <c r="AY32" s="30">
        <f>COUNTIF(ParicipationMai1[[#This Row],[1]:[31]],Code16)</f>
        <v>0</v>
      </c>
      <c r="AZ32" s="30">
        <f>COUNTIF(ParicipationMai1[[#This Row],[1]:[31]],Code17)</f>
        <v>0</v>
      </c>
      <c r="BA32" s="30">
        <f>COUNTIF(ParicipationMai1[[#This Row],[1]:[31]],Code25)</f>
        <v>0</v>
      </c>
      <c r="BB32" s="30">
        <f>COUNTIF(ParicipationMai1[[#This Row],[1]:[31]],Code26)</f>
        <v>0</v>
      </c>
      <c r="BC32" s="30">
        <f>COUNTIF(ParicipationMai1[[#This Row],[1]:[31]],Code27)</f>
        <v>0</v>
      </c>
      <c r="BD32" s="30">
        <f>COUNTIF(ParicipationMai1[[#This Row],[1]:[31]],Code28)</f>
        <v>0</v>
      </c>
      <c r="BE32" s="30">
        <f>COUNTIF(ParicipationMai1[[#This Row],[1]:[31]],code30)</f>
        <v>0</v>
      </c>
      <c r="BF32" s="30">
        <f>COUNTIF(ParicipationMai1[[#This Row],[1]:[31]],Code31)</f>
        <v>0</v>
      </c>
      <c r="BG32" s="30">
        <f>COUNTIF(ParicipationMai1[[#This Row],[1]:[31]],code21)</f>
        <v>0</v>
      </c>
      <c r="BH32" s="30">
        <f>COUNTIF(ParicipationMai1[[#This Row],[1]:[31]],Code24)</f>
        <v>0</v>
      </c>
      <c r="BI32" s="30">
        <f>COUNTIF(ParicipationMai1[[#This Row],[1]:[31]],code18)</f>
        <v>0</v>
      </c>
      <c r="BJ32" s="30">
        <f>COUNTIF(ParicipationMai1[[#This Row],[1]:[31]],code19)</f>
        <v>0</v>
      </c>
      <c r="BK32" s="30">
        <f>COUNTIF(ParicipationMai1[[#This Row],[1]:[31]],code20)</f>
        <v>0</v>
      </c>
      <c r="BL32" s="164">
        <f>COUNTIF(ParicipationMai1[[#This Row],[1]:[31]],code29)</f>
        <v>0</v>
      </c>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97"/>
      <c r="CO32" s="297"/>
      <c r="CP32" s="297"/>
      <c r="CQ32" s="297"/>
      <c r="CR32" s="297"/>
      <c r="CS32" s="307"/>
      <c r="CT32" s="307"/>
      <c r="CU32" s="300"/>
      <c r="CV32" s="501">
        <f t="shared" si="0"/>
        <v>0</v>
      </c>
      <c r="CW32" s="501">
        <f t="shared" si="1"/>
        <v>0</v>
      </c>
      <c r="CX32" s="249">
        <f t="shared" si="2"/>
        <v>0</v>
      </c>
      <c r="CY32" s="171">
        <f t="shared" si="3"/>
        <v>0</v>
      </c>
    </row>
    <row r="33" spans="1:103">
      <c r="A33" s="29" t="s">
        <v>374</v>
      </c>
      <c r="B33" s="162" t="str">
        <f>IFERROR(VLOOKUP(ParicipationMai1[[#This Row],[Référence]],ListeÉtudiants1[],18,FALSE),"")</f>
        <v>BOISSELET CHRISTELLE</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44"/>
      <c r="AH33" s="6">
        <f>COUNTIF(ParicipationMai1[[1]:[31]],Code1)</f>
        <v>0</v>
      </c>
      <c r="AI33" s="6">
        <f>COUNTIF(ParicipationMai1[[1]:[31]],code22)</f>
        <v>0</v>
      </c>
      <c r="AJ33" s="30">
        <f>COUNTIF(ParicipationMai1[[#This Row],[1]:[31]],Code2)</f>
        <v>0</v>
      </c>
      <c r="AK33" s="30">
        <f>COUNTIF(ParicipationMai1[[#This Row],[1]:[31]],Code3)</f>
        <v>0</v>
      </c>
      <c r="AL33" s="30">
        <f>COUNTIF(ParicipationMai1[[#This Row],[1]:[31]],Code4)</f>
        <v>0</v>
      </c>
      <c r="AM33" s="30">
        <f>COUNTIF(ParicipationMai1[[#This Row],[1]:[31]],Code5)</f>
        <v>0</v>
      </c>
      <c r="AN33" s="30">
        <f>COUNTIF(ParicipationMai1[[#This Row],[1]:[31]],Code23)</f>
        <v>0</v>
      </c>
      <c r="AO33" s="30">
        <f>COUNTIF(ParicipationMai1[[#This Row],[1]:[31]],Code6)</f>
        <v>0</v>
      </c>
      <c r="AP33" s="30">
        <f>COUNTIF(ParicipationMai1[[#This Row],[1]:[31]],Code7)</f>
        <v>0</v>
      </c>
      <c r="AQ33" s="30">
        <f>COUNTIF(ParicipationMai1[[#This Row],[1]:[31]],Code8)</f>
        <v>0</v>
      </c>
      <c r="AR33" s="30">
        <f>COUNTIF(ParicipationMai1[[#This Row],[1]:[31]],Code9)</f>
        <v>0</v>
      </c>
      <c r="AS33" s="30">
        <f>COUNTIF(ParicipationMai1[[#This Row],[1]:[31]],Code10)</f>
        <v>0</v>
      </c>
      <c r="AT33" s="30">
        <f>COUNTIF(ParicipationMai1[[#This Row],[1]:[31]],Code11)</f>
        <v>0</v>
      </c>
      <c r="AU33" s="30">
        <f>COUNTIF(ParicipationMai1[[#This Row],[1]:[31]],Code12)</f>
        <v>0</v>
      </c>
      <c r="AV33" s="30">
        <f>COUNTIF(ParicipationMai1[[#This Row],[1]:[31]],Code13)</f>
        <v>0</v>
      </c>
      <c r="AW33" s="30">
        <f>COUNTIF(ParicipationMai1[[#This Row],[1]:[31]],Code14)</f>
        <v>0</v>
      </c>
      <c r="AX33" s="30">
        <f>COUNTIF(ParicipationMai1[[#This Row],[1]:[31]],Code15)</f>
        <v>0</v>
      </c>
      <c r="AY33" s="30">
        <f>COUNTIF(ParicipationMai1[[#This Row],[1]:[31]],Code16)</f>
        <v>0</v>
      </c>
      <c r="AZ33" s="30">
        <f>COUNTIF(ParicipationMai1[[#This Row],[1]:[31]],Code17)</f>
        <v>0</v>
      </c>
      <c r="BA33" s="30">
        <f>COUNTIF(ParicipationMai1[[#This Row],[1]:[31]],Code25)</f>
        <v>0</v>
      </c>
      <c r="BB33" s="30">
        <f>COUNTIF(ParicipationMai1[[#This Row],[1]:[31]],Code26)</f>
        <v>0</v>
      </c>
      <c r="BC33" s="30">
        <f>COUNTIF(ParicipationMai1[[#This Row],[1]:[31]],Code27)</f>
        <v>0</v>
      </c>
      <c r="BD33" s="30">
        <f>COUNTIF(ParicipationMai1[[#This Row],[1]:[31]],Code28)</f>
        <v>0</v>
      </c>
      <c r="BE33" s="30">
        <f>COUNTIF(ParicipationMai1[[#This Row],[1]:[31]],code30)</f>
        <v>0</v>
      </c>
      <c r="BF33" s="30">
        <f>COUNTIF(ParicipationMai1[[#This Row],[1]:[31]],Code31)</f>
        <v>0</v>
      </c>
      <c r="BG33" s="30">
        <f>COUNTIF(ParicipationMai1[[#This Row],[1]:[31]],code21)</f>
        <v>0</v>
      </c>
      <c r="BH33" s="30">
        <f>COUNTIF(ParicipationMai1[[#This Row],[1]:[31]],Code24)</f>
        <v>0</v>
      </c>
      <c r="BI33" s="30">
        <f>COUNTIF(ParicipationMai1[[#This Row],[1]:[31]],code18)</f>
        <v>0</v>
      </c>
      <c r="BJ33" s="30">
        <f>COUNTIF(ParicipationMai1[[#This Row],[1]:[31]],code19)</f>
        <v>0</v>
      </c>
      <c r="BK33" s="30">
        <f>COUNTIF(ParicipationMai1[[#This Row],[1]:[31]],code20)</f>
        <v>0</v>
      </c>
      <c r="BL33" s="164">
        <f>COUNTIF(ParicipationMai1[[#This Row],[1]:[31]],code29)</f>
        <v>0</v>
      </c>
      <c r="BM33" s="297"/>
      <c r="BN33" s="297"/>
      <c r="BO33" s="297"/>
      <c r="BP33" s="297"/>
      <c r="BQ33" s="297"/>
      <c r="BR33" s="297"/>
      <c r="BS33" s="297"/>
      <c r="BT33" s="297"/>
      <c r="BU33" s="297"/>
      <c r="BV33" s="297"/>
      <c r="BW33" s="297"/>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307"/>
      <c r="CT33" s="307"/>
      <c r="CU33" s="300"/>
      <c r="CV33" s="587">
        <f t="shared" si="0"/>
        <v>0</v>
      </c>
      <c r="CW33" s="501">
        <f t="shared" si="1"/>
        <v>0</v>
      </c>
      <c r="CX33" s="30">
        <f t="shared" si="2"/>
        <v>0</v>
      </c>
      <c r="CY33" s="171">
        <f t="shared" si="3"/>
        <v>0</v>
      </c>
    </row>
    <row r="34" spans="1:103">
      <c r="A34" s="29" t="s">
        <v>375</v>
      </c>
      <c r="B34" s="162" t="str">
        <f>IFERROR(VLOOKUP(ParicipationMai1[[#This Row],[Référence]],ListeÉtudiants1[],18,FALSE),"")</f>
        <v>BOUCAUD  CHRISTINE</v>
      </c>
      <c r="AG34" s="286"/>
      <c r="AH34" s="138">
        <f>COUNTIF(ParicipationMai1[[1]:[31]],Code1)</f>
        <v>0</v>
      </c>
      <c r="AI34" s="474">
        <f>COUNTIF(ParicipationMai1[[1]:[31]],code22)</f>
        <v>0</v>
      </c>
      <c r="AJ34" s="138">
        <f>COUNTIF(ParicipationMai1[[#This Row],[1]:[31]],Code2)</f>
        <v>0</v>
      </c>
      <c r="AK34" s="138">
        <f>COUNTIF(ParicipationMai1[[#This Row],[1]:[31]],Code3)</f>
        <v>0</v>
      </c>
      <c r="AL34" s="138">
        <f>COUNTIF(ParicipationMai1[[#This Row],[1]:[31]],Code4)</f>
        <v>0</v>
      </c>
      <c r="AM34" s="472">
        <f>COUNTIF(ParicipationMai1[[#This Row],[1]:[31]],Code5)</f>
        <v>0</v>
      </c>
      <c r="AN34" s="472">
        <f>COUNTIF(ParicipationMai1[[#This Row],[1]:[31]],Code23)</f>
        <v>0</v>
      </c>
      <c r="AO34" s="472">
        <f>COUNTIF(ParicipationMai1[[#This Row],[1]:[31]],Code6)</f>
        <v>0</v>
      </c>
      <c r="AP34" s="472">
        <f>COUNTIF(ParicipationMai1[[#This Row],[1]:[31]],Code7)</f>
        <v>0</v>
      </c>
      <c r="AQ34" s="472">
        <f>COUNTIF(ParicipationMai1[[#This Row],[1]:[31]],Code8)</f>
        <v>0</v>
      </c>
      <c r="AR34" s="472">
        <f>COUNTIF(ParicipationMai1[[#This Row],[1]:[31]],Code9)</f>
        <v>0</v>
      </c>
      <c r="AS34" s="472">
        <f>COUNTIF(ParicipationMai1[[#This Row],[1]:[31]],Code10)</f>
        <v>0</v>
      </c>
      <c r="AT34" s="472">
        <f>COUNTIF(ParicipationMai1[[#This Row],[1]:[31]],Code11)</f>
        <v>0</v>
      </c>
      <c r="AU34" s="472">
        <f>COUNTIF(ParicipationMai1[[#This Row],[1]:[31]],Code12)</f>
        <v>0</v>
      </c>
      <c r="AV34" s="472">
        <f>COUNTIF(ParicipationMai1[[#This Row],[1]:[31]],Code13)</f>
        <v>0</v>
      </c>
      <c r="AW34" s="472">
        <f>COUNTIF(ParicipationMai1[[#This Row],[1]:[31]],Code14)</f>
        <v>0</v>
      </c>
      <c r="AX34" s="472">
        <f>COUNTIF(ParicipationMai1[[#This Row],[1]:[31]],Code15)</f>
        <v>0</v>
      </c>
      <c r="AY34" s="472">
        <f>COUNTIF(ParicipationMai1[[#This Row],[1]:[31]],Code16)</f>
        <v>0</v>
      </c>
      <c r="AZ34" s="472">
        <f>COUNTIF(ParicipationMai1[[#This Row],[1]:[31]],Code17)</f>
        <v>0</v>
      </c>
      <c r="BA34" s="472">
        <f>COUNTIF(ParicipationMai1[[#This Row],[1]:[31]],Code25)</f>
        <v>0</v>
      </c>
      <c r="BB34" s="472">
        <f>COUNTIF(ParicipationMai1[[#This Row],[1]:[31]],Code26)</f>
        <v>0</v>
      </c>
      <c r="BC34" s="472">
        <f>COUNTIF(ParicipationMai1[[#This Row],[1]:[31]],Code27)</f>
        <v>0</v>
      </c>
      <c r="BD34" s="472">
        <f>COUNTIF(ParicipationMai1[[#This Row],[1]:[31]],Code28)</f>
        <v>0</v>
      </c>
      <c r="BE34" s="472">
        <f>COUNTIF(ParicipationMai1[[#This Row],[1]:[31]],code30)</f>
        <v>0</v>
      </c>
      <c r="BF34" s="472">
        <f>COUNTIF(ParicipationMai1[[#This Row],[1]:[31]],Code31)</f>
        <v>0</v>
      </c>
      <c r="BG34" s="472">
        <f>COUNTIF(ParicipationMai1[[#This Row],[1]:[31]],code21)</f>
        <v>0</v>
      </c>
      <c r="BH34" s="472">
        <f>COUNTIF(ParicipationMai1[[#This Row],[1]:[31]],Code24)</f>
        <v>0</v>
      </c>
      <c r="BI34" s="370">
        <f>COUNTIF(ParicipationMai1[[#This Row],[1]:[31]],code18)</f>
        <v>0</v>
      </c>
      <c r="BJ34" s="370">
        <f>COUNTIF(ParicipationMai1[[#This Row],[1]:[31]],code19)</f>
        <v>0</v>
      </c>
      <c r="BK34" s="370">
        <f>COUNTIF(ParicipationMai1[[#This Row],[1]:[31]],code20)</f>
        <v>0</v>
      </c>
      <c r="BL34" s="516">
        <f>COUNTIF(ParicipationMai1[[#This Row],[1]:[31]],code29)</f>
        <v>0</v>
      </c>
      <c r="CT34" s="472"/>
      <c r="CU34" s="152"/>
      <c r="CV34" s="589">
        <f t="shared" si="0"/>
        <v>0</v>
      </c>
      <c r="CW34" s="501">
        <f t="shared" si="1"/>
        <v>0</v>
      </c>
      <c r="CX34" s="472">
        <f t="shared" si="2"/>
        <v>0</v>
      </c>
      <c r="CY34" s="584">
        <f t="shared" si="3"/>
        <v>0</v>
      </c>
    </row>
    <row r="35" spans="1:103">
      <c r="A35" s="29" t="s">
        <v>376</v>
      </c>
      <c r="B35" s="162" t="str">
        <f>IFERROR(VLOOKUP(ParicipationMai1[[#This Row],[Référence]],ListeÉtudiants1[],18,FALSE),"")</f>
        <v>BOUKHARAZ MARINA</v>
      </c>
      <c r="AG35" s="286"/>
      <c r="AH35" s="138">
        <f>COUNTIF(ParicipationMai1[[1]:[31]],Code1)</f>
        <v>0</v>
      </c>
      <c r="AI35" s="474">
        <f>COUNTIF(ParicipationMai1[[1]:[31]],code22)</f>
        <v>0</v>
      </c>
      <c r="AJ35" s="138">
        <f>COUNTIF(ParicipationMai1[[#This Row],[1]:[31]],Code2)</f>
        <v>0</v>
      </c>
      <c r="AK35" s="138">
        <f>COUNTIF(ParicipationMai1[[#This Row],[1]:[31]],Code3)</f>
        <v>0</v>
      </c>
      <c r="AL35" s="138">
        <f>COUNTIF(ParicipationMai1[[#This Row],[1]:[31]],Code4)</f>
        <v>0</v>
      </c>
      <c r="AM35" s="472">
        <f>COUNTIF(ParicipationMai1[[#This Row],[1]:[31]],Code5)</f>
        <v>0</v>
      </c>
      <c r="AN35" s="472">
        <f>COUNTIF(ParicipationMai1[[#This Row],[1]:[31]],Code23)</f>
        <v>0</v>
      </c>
      <c r="AO35" s="472">
        <f>COUNTIF(ParicipationMai1[[#This Row],[1]:[31]],Code6)</f>
        <v>0</v>
      </c>
      <c r="AP35" s="472">
        <f>COUNTIF(ParicipationMai1[[#This Row],[1]:[31]],Code7)</f>
        <v>0</v>
      </c>
      <c r="AQ35" s="472">
        <f>COUNTIF(ParicipationMai1[[#This Row],[1]:[31]],Code8)</f>
        <v>0</v>
      </c>
      <c r="AR35" s="472">
        <f>COUNTIF(ParicipationMai1[[#This Row],[1]:[31]],Code9)</f>
        <v>0</v>
      </c>
      <c r="AS35" s="472">
        <f>COUNTIF(ParicipationMai1[[#This Row],[1]:[31]],Code10)</f>
        <v>0</v>
      </c>
      <c r="AT35" s="472">
        <f>COUNTIF(ParicipationMai1[[#This Row],[1]:[31]],Code11)</f>
        <v>0</v>
      </c>
      <c r="AU35" s="472">
        <f>COUNTIF(ParicipationMai1[[#This Row],[1]:[31]],Code12)</f>
        <v>0</v>
      </c>
      <c r="AV35" s="472">
        <f>COUNTIF(ParicipationMai1[[#This Row],[1]:[31]],Code13)</f>
        <v>0</v>
      </c>
      <c r="AW35" s="472">
        <f>COUNTIF(ParicipationMai1[[#This Row],[1]:[31]],Code14)</f>
        <v>0</v>
      </c>
      <c r="AX35" s="472">
        <f>COUNTIF(ParicipationMai1[[#This Row],[1]:[31]],Code15)</f>
        <v>0</v>
      </c>
      <c r="AY35" s="472">
        <f>COUNTIF(ParicipationMai1[[#This Row],[1]:[31]],Code16)</f>
        <v>0</v>
      </c>
      <c r="AZ35" s="472">
        <f>COUNTIF(ParicipationMai1[[#This Row],[1]:[31]],Code17)</f>
        <v>0</v>
      </c>
      <c r="BA35" s="472">
        <f>COUNTIF(ParicipationMai1[[#This Row],[1]:[31]],Code25)</f>
        <v>0</v>
      </c>
      <c r="BB35" s="472">
        <f>COUNTIF(ParicipationMai1[[#This Row],[1]:[31]],Code26)</f>
        <v>0</v>
      </c>
      <c r="BC35" s="472">
        <f>COUNTIF(ParicipationMai1[[#This Row],[1]:[31]],Code27)</f>
        <v>0</v>
      </c>
      <c r="BD35" s="472">
        <f>COUNTIF(ParicipationMai1[[#This Row],[1]:[31]],Code28)</f>
        <v>0</v>
      </c>
      <c r="BE35" s="472">
        <f>COUNTIF(ParicipationMai1[[#This Row],[1]:[31]],code30)</f>
        <v>0</v>
      </c>
      <c r="BF35" s="472">
        <f>COUNTIF(ParicipationMai1[[#This Row],[1]:[31]],Code31)</f>
        <v>0</v>
      </c>
      <c r="BG35" s="472">
        <f>COUNTIF(ParicipationMai1[[#This Row],[1]:[31]],code21)</f>
        <v>0</v>
      </c>
      <c r="BH35" s="472">
        <f>COUNTIF(ParicipationMai1[[#This Row],[1]:[31]],Code24)</f>
        <v>0</v>
      </c>
      <c r="BI35" s="86">
        <f>COUNTIF(ParicipationMai1[[#This Row],[1]:[31]],code18)</f>
        <v>0</v>
      </c>
      <c r="BJ35" s="86">
        <f>COUNTIF(ParicipationMai1[[#This Row],[1]:[31]],code19)</f>
        <v>0</v>
      </c>
      <c r="BK35" s="86">
        <f>COUNTIF(ParicipationMai1[[#This Row],[1]:[31]],code20)</f>
        <v>0</v>
      </c>
      <c r="BL35" s="516">
        <f>COUNTIF(ParicipationMai1[[#This Row],[1]:[31]],code29)</f>
        <v>0</v>
      </c>
      <c r="BM35" s="297"/>
      <c r="BN35" s="297"/>
      <c r="BO35" s="297"/>
      <c r="BP35" s="297"/>
      <c r="BQ35" s="297"/>
      <c r="BR35" s="297"/>
      <c r="BS35" s="297"/>
      <c r="BT35" s="297"/>
      <c r="BU35" s="297"/>
      <c r="BV35" s="297"/>
      <c r="BW35" s="297"/>
      <c r="BX35" s="297"/>
      <c r="BY35" s="297"/>
      <c r="BZ35" s="297"/>
      <c r="CA35" s="297"/>
      <c r="CB35" s="297"/>
      <c r="CC35" s="297"/>
      <c r="CD35" s="297"/>
      <c r="CE35" s="297"/>
      <c r="CF35" s="297"/>
      <c r="CG35" s="297"/>
      <c r="CH35" s="297"/>
      <c r="CI35" s="297"/>
      <c r="CJ35" s="297"/>
      <c r="CK35" s="297"/>
      <c r="CL35" s="297"/>
      <c r="CM35" s="297"/>
      <c r="CN35" s="297"/>
      <c r="CO35" s="297"/>
      <c r="CP35" s="297"/>
      <c r="CQ35" s="297"/>
      <c r="CR35" s="297"/>
      <c r="CS35" s="307"/>
      <c r="CT35" s="473"/>
      <c r="CU35" s="300"/>
      <c r="CV35" s="589">
        <f t="shared" si="0"/>
        <v>0</v>
      </c>
      <c r="CW35" s="501">
        <f t="shared" si="1"/>
        <v>0</v>
      </c>
      <c r="CX35" s="472">
        <f t="shared" si="2"/>
        <v>0</v>
      </c>
      <c r="CY35" s="512">
        <f t="shared" si="3"/>
        <v>0</v>
      </c>
    </row>
    <row r="36" spans="1:103">
      <c r="A36" s="29" t="s">
        <v>377</v>
      </c>
      <c r="B36" s="162" t="str">
        <f>IFERROR(VLOOKUP(ParicipationMai1[[#This Row],[Référence]],ListeÉtudiants1[],18,FALSE),"")</f>
        <v>BOUTILLIER LAETITIA</v>
      </c>
      <c r="AG36" s="286"/>
      <c r="AH36" s="138">
        <f>COUNTIF(ParicipationMai1[[1]:[31]],Code1)</f>
        <v>0</v>
      </c>
      <c r="AI36" s="474">
        <f>COUNTIF(ParicipationMai1[[1]:[31]],code22)</f>
        <v>0</v>
      </c>
      <c r="AJ36" s="138">
        <f>COUNTIF(ParicipationMai1[[#This Row],[1]:[31]],Code2)</f>
        <v>0</v>
      </c>
      <c r="AK36" s="138">
        <f>COUNTIF(ParicipationMai1[[#This Row],[1]:[31]],Code3)</f>
        <v>0</v>
      </c>
      <c r="AL36" s="138">
        <f>COUNTIF(ParicipationMai1[[#This Row],[1]:[31]],Code4)</f>
        <v>0</v>
      </c>
      <c r="AM36" s="472">
        <f>COUNTIF(ParicipationMai1[[#This Row],[1]:[31]],Code5)</f>
        <v>0</v>
      </c>
      <c r="AN36" s="472">
        <f>COUNTIF(ParicipationMai1[[#This Row],[1]:[31]],Code23)</f>
        <v>0</v>
      </c>
      <c r="AO36" s="472">
        <f>COUNTIF(ParicipationMai1[[#This Row],[1]:[31]],Code6)</f>
        <v>0</v>
      </c>
      <c r="AP36" s="472">
        <f>COUNTIF(ParicipationMai1[[#This Row],[1]:[31]],Code7)</f>
        <v>0</v>
      </c>
      <c r="AQ36" s="472">
        <f>COUNTIF(ParicipationMai1[[#This Row],[1]:[31]],Code8)</f>
        <v>0</v>
      </c>
      <c r="AR36" s="472">
        <f>COUNTIF(ParicipationMai1[[#This Row],[1]:[31]],Code9)</f>
        <v>0</v>
      </c>
      <c r="AS36" s="472">
        <f>COUNTIF(ParicipationMai1[[#This Row],[1]:[31]],Code10)</f>
        <v>0</v>
      </c>
      <c r="AT36" s="472">
        <f>COUNTIF(ParicipationMai1[[#This Row],[1]:[31]],Code11)</f>
        <v>0</v>
      </c>
      <c r="AU36" s="472">
        <f>COUNTIF(ParicipationMai1[[#This Row],[1]:[31]],Code12)</f>
        <v>0</v>
      </c>
      <c r="AV36" s="472">
        <f>COUNTIF(ParicipationMai1[[#This Row],[1]:[31]],Code13)</f>
        <v>0</v>
      </c>
      <c r="AW36" s="472">
        <f>COUNTIF(ParicipationMai1[[#This Row],[1]:[31]],Code14)</f>
        <v>0</v>
      </c>
      <c r="AX36" s="472">
        <f>COUNTIF(ParicipationMai1[[#This Row],[1]:[31]],Code15)</f>
        <v>0</v>
      </c>
      <c r="AY36" s="472">
        <f>COUNTIF(ParicipationMai1[[#This Row],[1]:[31]],Code16)</f>
        <v>0</v>
      </c>
      <c r="AZ36" s="472">
        <f>COUNTIF(ParicipationMai1[[#This Row],[1]:[31]],Code17)</f>
        <v>0</v>
      </c>
      <c r="BA36" s="472">
        <f>COUNTIF(ParicipationMai1[[#This Row],[1]:[31]],Code25)</f>
        <v>0</v>
      </c>
      <c r="BB36" s="472">
        <f>COUNTIF(ParicipationMai1[[#This Row],[1]:[31]],Code26)</f>
        <v>0</v>
      </c>
      <c r="BC36" s="472">
        <f>COUNTIF(ParicipationMai1[[#This Row],[1]:[31]],Code27)</f>
        <v>0</v>
      </c>
      <c r="BD36" s="472">
        <f>COUNTIF(ParicipationMai1[[#This Row],[1]:[31]],Code28)</f>
        <v>0</v>
      </c>
      <c r="BE36" s="472">
        <f>COUNTIF(ParicipationMai1[[#This Row],[1]:[31]],code30)</f>
        <v>0</v>
      </c>
      <c r="BF36" s="472">
        <f>COUNTIF(ParicipationMai1[[#This Row],[1]:[31]],Code31)</f>
        <v>0</v>
      </c>
      <c r="BG36" s="472">
        <f>COUNTIF(ParicipationMai1[[#This Row],[1]:[31]],code21)</f>
        <v>0</v>
      </c>
      <c r="BH36" s="472">
        <f>COUNTIF(ParicipationMai1[[#This Row],[1]:[31]],Code24)</f>
        <v>0</v>
      </c>
      <c r="BI36" s="370">
        <f>COUNTIF(ParicipationMai1[[#This Row],[1]:[31]],code18)</f>
        <v>0</v>
      </c>
      <c r="BJ36" s="370">
        <f>COUNTIF(ParicipationMai1[[#This Row],[1]:[31]],code19)</f>
        <v>0</v>
      </c>
      <c r="BK36" s="370">
        <f>COUNTIF(ParicipationMai1[[#This Row],[1]:[31]],code20)</f>
        <v>0</v>
      </c>
      <c r="BL36" s="516">
        <f>COUNTIF(ParicipationMai1[[#This Row],[1]:[31]],code29)</f>
        <v>0</v>
      </c>
      <c r="BM36" s="297"/>
      <c r="BN36" s="297"/>
      <c r="BO36" s="297"/>
      <c r="BP36" s="297"/>
      <c r="BQ36" s="297"/>
      <c r="BR36" s="297"/>
      <c r="BS36" s="297"/>
      <c r="BT36" s="297"/>
      <c r="BU36" s="297"/>
      <c r="BV36" s="297"/>
      <c r="BW36" s="297"/>
      <c r="BX36" s="297"/>
      <c r="BY36" s="297"/>
      <c r="BZ36" s="297"/>
      <c r="CA36" s="297"/>
      <c r="CB36" s="297"/>
      <c r="CC36" s="297"/>
      <c r="CD36" s="297"/>
      <c r="CE36" s="297"/>
      <c r="CF36" s="297"/>
      <c r="CG36" s="297"/>
      <c r="CH36" s="297"/>
      <c r="CI36" s="297"/>
      <c r="CJ36" s="297"/>
      <c r="CK36" s="297"/>
      <c r="CL36" s="297"/>
      <c r="CM36" s="297"/>
      <c r="CN36" s="297"/>
      <c r="CO36" s="297"/>
      <c r="CP36" s="297"/>
      <c r="CQ36" s="297"/>
      <c r="CR36" s="297"/>
      <c r="CS36" s="297"/>
      <c r="CT36" s="472"/>
      <c r="CU36" s="300"/>
      <c r="CV36" s="589">
        <f t="shared" si="0"/>
        <v>0</v>
      </c>
      <c r="CW36" s="501">
        <f t="shared" si="1"/>
        <v>0</v>
      </c>
      <c r="CX36" s="472">
        <f t="shared" si="2"/>
        <v>0</v>
      </c>
      <c r="CY36" s="512">
        <f t="shared" si="3"/>
        <v>0</v>
      </c>
    </row>
    <row r="37" spans="1:103">
      <c r="A37" s="29" t="s">
        <v>378</v>
      </c>
      <c r="B37" s="162" t="str">
        <f>IFERROR(VLOOKUP(ParicipationMai1[[#This Row],[Référence]],ListeÉtudiants1[],18,FALSE),"")</f>
        <v>BRIAND OCEANE</v>
      </c>
      <c r="AG37" s="286"/>
      <c r="AH37" s="138">
        <f>COUNTIF(ParicipationMai1[[1]:[31]],Code1)</f>
        <v>0</v>
      </c>
      <c r="AI37" s="474">
        <f>COUNTIF(ParicipationMai1[[1]:[31]],code22)</f>
        <v>0</v>
      </c>
      <c r="AJ37" s="138">
        <f>COUNTIF(ParicipationMai1[[#This Row],[1]:[31]],Code2)</f>
        <v>0</v>
      </c>
      <c r="AK37" s="138">
        <f>COUNTIF(ParicipationMai1[[#This Row],[1]:[31]],Code3)</f>
        <v>0</v>
      </c>
      <c r="AL37" s="138">
        <f>COUNTIF(ParicipationMai1[[#This Row],[1]:[31]],Code4)</f>
        <v>0</v>
      </c>
      <c r="AM37" s="472">
        <f>COUNTIF(ParicipationMai1[[#This Row],[1]:[31]],Code5)</f>
        <v>0</v>
      </c>
      <c r="AN37" s="472">
        <f>COUNTIF(ParicipationMai1[[#This Row],[1]:[31]],Code23)</f>
        <v>0</v>
      </c>
      <c r="AO37" s="472">
        <f>COUNTIF(ParicipationMai1[[#This Row],[1]:[31]],Code6)</f>
        <v>0</v>
      </c>
      <c r="AP37" s="472">
        <f>COUNTIF(ParicipationMai1[[#This Row],[1]:[31]],Code7)</f>
        <v>0</v>
      </c>
      <c r="AQ37" s="472">
        <f>COUNTIF(ParicipationMai1[[#This Row],[1]:[31]],Code8)</f>
        <v>0</v>
      </c>
      <c r="AR37" s="472">
        <f>COUNTIF(ParicipationMai1[[#This Row],[1]:[31]],Code9)</f>
        <v>0</v>
      </c>
      <c r="AS37" s="472">
        <f>COUNTIF(ParicipationMai1[[#This Row],[1]:[31]],Code10)</f>
        <v>0</v>
      </c>
      <c r="AT37" s="472">
        <f>COUNTIF(ParicipationMai1[[#This Row],[1]:[31]],Code11)</f>
        <v>0</v>
      </c>
      <c r="AU37" s="472">
        <f>COUNTIF(ParicipationMai1[[#This Row],[1]:[31]],Code12)</f>
        <v>0</v>
      </c>
      <c r="AV37" s="472">
        <f>COUNTIF(ParicipationMai1[[#This Row],[1]:[31]],Code13)</f>
        <v>0</v>
      </c>
      <c r="AW37" s="472">
        <f>COUNTIF(ParicipationMai1[[#This Row],[1]:[31]],Code14)</f>
        <v>0</v>
      </c>
      <c r="AX37" s="472">
        <f>COUNTIF(ParicipationMai1[[#This Row],[1]:[31]],Code15)</f>
        <v>0</v>
      </c>
      <c r="AY37" s="472">
        <f>COUNTIF(ParicipationMai1[[#This Row],[1]:[31]],Code16)</f>
        <v>0</v>
      </c>
      <c r="AZ37" s="472">
        <f>COUNTIF(ParicipationMai1[[#This Row],[1]:[31]],Code17)</f>
        <v>0</v>
      </c>
      <c r="BA37" s="472">
        <f>COUNTIF(ParicipationMai1[[#This Row],[1]:[31]],Code25)</f>
        <v>0</v>
      </c>
      <c r="BB37" s="472">
        <f>COUNTIF(ParicipationMai1[[#This Row],[1]:[31]],Code26)</f>
        <v>0</v>
      </c>
      <c r="BC37" s="472">
        <f>COUNTIF(ParicipationMai1[[#This Row],[1]:[31]],Code27)</f>
        <v>0</v>
      </c>
      <c r="BD37" s="472">
        <f>COUNTIF(ParicipationMai1[[#This Row],[1]:[31]],Code28)</f>
        <v>0</v>
      </c>
      <c r="BE37" s="472">
        <f>COUNTIF(ParicipationMai1[[#This Row],[1]:[31]],code30)</f>
        <v>0</v>
      </c>
      <c r="BF37" s="472">
        <f>COUNTIF(ParicipationMai1[[#This Row],[1]:[31]],Code31)</f>
        <v>0</v>
      </c>
      <c r="BG37" s="472">
        <f>COUNTIF(ParicipationMai1[[#This Row],[1]:[31]],code21)</f>
        <v>0</v>
      </c>
      <c r="BH37" s="472">
        <f>COUNTIF(ParicipationMai1[[#This Row],[1]:[31]],Code24)</f>
        <v>0</v>
      </c>
      <c r="BI37" s="370">
        <f>COUNTIF(ParicipationMai1[[#This Row],[1]:[31]],code18)</f>
        <v>0</v>
      </c>
      <c r="BJ37" s="370">
        <f>COUNTIF(ParicipationMai1[[#This Row],[1]:[31]],code19)</f>
        <v>0</v>
      </c>
      <c r="BK37" s="370">
        <f>COUNTIF(ParicipationMai1[[#This Row],[1]:[31]],code20)</f>
        <v>0</v>
      </c>
      <c r="BL37" s="516">
        <f>COUNTIF(ParicipationMai1[[#This Row],[1]:[31]],code29)</f>
        <v>0</v>
      </c>
      <c r="BM37" s="297"/>
      <c r="BN37" s="297"/>
      <c r="BO37" s="297"/>
      <c r="BP37" s="297"/>
      <c r="BQ37" s="297"/>
      <c r="BR37" s="297"/>
      <c r="BS37" s="297"/>
      <c r="BT37" s="297"/>
      <c r="BU37" s="297"/>
      <c r="BV37" s="297"/>
      <c r="BW37" s="297"/>
      <c r="BX37" s="297"/>
      <c r="BY37" s="297"/>
      <c r="BZ37" s="297"/>
      <c r="CA37" s="297"/>
      <c r="CB37" s="297"/>
      <c r="CC37" s="297"/>
      <c r="CD37" s="297"/>
      <c r="CE37" s="297"/>
      <c r="CF37" s="297"/>
      <c r="CG37" s="297"/>
      <c r="CH37" s="297"/>
      <c r="CI37" s="297"/>
      <c r="CJ37" s="297"/>
      <c r="CK37" s="297"/>
      <c r="CL37" s="297"/>
      <c r="CM37" s="297"/>
      <c r="CN37" s="297"/>
      <c r="CO37" s="297"/>
      <c r="CP37" s="297"/>
      <c r="CQ37" s="297"/>
      <c r="CR37" s="297"/>
      <c r="CS37" s="297"/>
      <c r="CT37" s="472"/>
      <c r="CU37" s="300"/>
      <c r="CV37" s="589">
        <f t="shared" si="0"/>
        <v>0</v>
      </c>
      <c r="CW37" s="501">
        <f t="shared" si="1"/>
        <v>0</v>
      </c>
      <c r="CX37" s="472">
        <f t="shared" si="2"/>
        <v>0</v>
      </c>
      <c r="CY37" s="512">
        <f t="shared" si="3"/>
        <v>0</v>
      </c>
    </row>
    <row r="38" spans="1:103">
      <c r="A38" s="29" t="s">
        <v>379</v>
      </c>
      <c r="B38" s="162" t="str">
        <f>IFERROR(VLOOKUP(ParicipationMai1[[#This Row],[Référence]],ListeÉtudiants1[],18,FALSE),"")</f>
        <v>BRITES TRACA ELODIE</v>
      </c>
      <c r="AG38" s="286"/>
      <c r="AH38" s="138">
        <f>COUNTIF(ParicipationMai1[[1]:[31]],Code1)</f>
        <v>0</v>
      </c>
      <c r="AI38" s="474">
        <f>COUNTIF(ParicipationMai1[[1]:[31]],code22)</f>
        <v>0</v>
      </c>
      <c r="AJ38" s="138">
        <f>COUNTIF(ParicipationMai1[[#This Row],[1]:[31]],Code2)</f>
        <v>0</v>
      </c>
      <c r="AK38" s="138">
        <f>COUNTIF(ParicipationMai1[[#This Row],[1]:[31]],Code3)</f>
        <v>0</v>
      </c>
      <c r="AL38" s="138">
        <f>COUNTIF(ParicipationMai1[[#This Row],[1]:[31]],Code4)</f>
        <v>0</v>
      </c>
      <c r="AM38" s="472">
        <f>COUNTIF(ParicipationMai1[[#This Row],[1]:[31]],Code5)</f>
        <v>0</v>
      </c>
      <c r="AN38" s="472">
        <f>COUNTIF(ParicipationMai1[[#This Row],[1]:[31]],Code23)</f>
        <v>0</v>
      </c>
      <c r="AO38" s="472">
        <f>COUNTIF(ParicipationMai1[[#This Row],[1]:[31]],Code6)</f>
        <v>0</v>
      </c>
      <c r="AP38" s="472">
        <f>COUNTIF(ParicipationMai1[[#This Row],[1]:[31]],Code7)</f>
        <v>0</v>
      </c>
      <c r="AQ38" s="472">
        <f>COUNTIF(ParicipationMai1[[#This Row],[1]:[31]],Code8)</f>
        <v>0</v>
      </c>
      <c r="AR38" s="472">
        <f>COUNTIF(ParicipationMai1[[#This Row],[1]:[31]],Code9)</f>
        <v>0</v>
      </c>
      <c r="AS38" s="472">
        <f>COUNTIF(ParicipationMai1[[#This Row],[1]:[31]],Code10)</f>
        <v>0</v>
      </c>
      <c r="AT38" s="472">
        <f>COUNTIF(ParicipationMai1[[#This Row],[1]:[31]],Code11)</f>
        <v>0</v>
      </c>
      <c r="AU38" s="472">
        <f>COUNTIF(ParicipationMai1[[#This Row],[1]:[31]],Code12)</f>
        <v>0</v>
      </c>
      <c r="AV38" s="472">
        <f>COUNTIF(ParicipationMai1[[#This Row],[1]:[31]],Code13)</f>
        <v>0</v>
      </c>
      <c r="AW38" s="472">
        <f>COUNTIF(ParicipationMai1[[#This Row],[1]:[31]],Code14)</f>
        <v>0</v>
      </c>
      <c r="AX38" s="472">
        <f>COUNTIF(ParicipationMai1[[#This Row],[1]:[31]],Code15)</f>
        <v>0</v>
      </c>
      <c r="AY38" s="472">
        <f>COUNTIF(ParicipationMai1[[#This Row],[1]:[31]],Code16)</f>
        <v>0</v>
      </c>
      <c r="AZ38" s="472">
        <f>COUNTIF(ParicipationMai1[[#This Row],[1]:[31]],Code17)</f>
        <v>0</v>
      </c>
      <c r="BA38" s="472">
        <f>COUNTIF(ParicipationMai1[[#This Row],[1]:[31]],Code25)</f>
        <v>0</v>
      </c>
      <c r="BB38" s="472">
        <f>COUNTIF(ParicipationMai1[[#This Row],[1]:[31]],Code26)</f>
        <v>0</v>
      </c>
      <c r="BC38" s="472">
        <f>COUNTIF(ParicipationMai1[[#This Row],[1]:[31]],Code27)</f>
        <v>0</v>
      </c>
      <c r="BD38" s="472">
        <f>COUNTIF(ParicipationMai1[[#This Row],[1]:[31]],Code28)</f>
        <v>0</v>
      </c>
      <c r="BE38" s="472">
        <f>COUNTIF(ParicipationMai1[[#This Row],[1]:[31]],code30)</f>
        <v>0</v>
      </c>
      <c r="BF38" s="472">
        <f>COUNTIF(ParicipationMai1[[#This Row],[1]:[31]],Code31)</f>
        <v>0</v>
      </c>
      <c r="BG38" s="472">
        <f>COUNTIF(ParicipationMai1[[#This Row],[1]:[31]],code21)</f>
        <v>0</v>
      </c>
      <c r="BH38" s="472">
        <f>COUNTIF(ParicipationMai1[[#This Row],[1]:[31]],Code24)</f>
        <v>0</v>
      </c>
      <c r="BI38" s="370">
        <f>COUNTIF(ParicipationMai1[[#This Row],[1]:[31]],code18)</f>
        <v>0</v>
      </c>
      <c r="BJ38" s="370">
        <f>COUNTIF(ParicipationMai1[[#This Row],[1]:[31]],code19)</f>
        <v>0</v>
      </c>
      <c r="BK38" s="370">
        <f>COUNTIF(ParicipationMai1[[#This Row],[1]:[31]],code20)</f>
        <v>0</v>
      </c>
      <c r="BL38" s="516">
        <f>COUNTIF(ParicipationMai1[[#This Row],[1]:[31]],code29)</f>
        <v>0</v>
      </c>
      <c r="BM38" s="297"/>
      <c r="BN38" s="297"/>
      <c r="BO38" s="297"/>
      <c r="BP38" s="297"/>
      <c r="BQ38" s="297"/>
      <c r="BR38" s="297"/>
      <c r="BS38" s="297"/>
      <c r="BT38" s="297"/>
      <c r="BU38" s="297"/>
      <c r="BV38" s="297"/>
      <c r="BW38" s="297"/>
      <c r="BX38" s="297"/>
      <c r="BY38" s="297"/>
      <c r="BZ38" s="297"/>
      <c r="CA38" s="297"/>
      <c r="CB38" s="297"/>
      <c r="CC38" s="297"/>
      <c r="CD38" s="297"/>
      <c r="CE38" s="297"/>
      <c r="CF38" s="297"/>
      <c r="CG38" s="297"/>
      <c r="CH38" s="297"/>
      <c r="CI38" s="297"/>
      <c r="CJ38" s="297"/>
      <c r="CK38" s="297"/>
      <c r="CL38" s="297"/>
      <c r="CM38" s="297"/>
      <c r="CN38" s="297"/>
      <c r="CO38" s="297"/>
      <c r="CP38" s="297"/>
      <c r="CQ38" s="297"/>
      <c r="CR38" s="297"/>
      <c r="CS38" s="297"/>
      <c r="CT38" s="472"/>
      <c r="CU38" s="300"/>
      <c r="CV38" s="589">
        <f t="shared" si="0"/>
        <v>0</v>
      </c>
      <c r="CW38" s="501">
        <f t="shared" si="1"/>
        <v>0</v>
      </c>
      <c r="CX38" s="472">
        <f t="shared" si="2"/>
        <v>0</v>
      </c>
      <c r="CY38" s="512">
        <f t="shared" si="3"/>
        <v>0</v>
      </c>
    </row>
    <row r="39" spans="1:103">
      <c r="A39" s="29" t="s">
        <v>380</v>
      </c>
      <c r="B39" s="162" t="str">
        <f>IFERROR(VLOOKUP(ParicipationMai1[[#This Row],[Référence]],ListeÉtudiants1[],18,FALSE),"")</f>
        <v>BRONZE  MARINE</v>
      </c>
      <c r="AG39" s="286"/>
      <c r="AH39" s="138">
        <f>COUNTIF(ParicipationMai1[[1]:[31]],Code1)</f>
        <v>0</v>
      </c>
      <c r="AI39" s="474">
        <f>COUNTIF(ParicipationMai1[[1]:[31]],code22)</f>
        <v>0</v>
      </c>
      <c r="AJ39" s="138">
        <f>COUNTIF(ParicipationMai1[[#This Row],[1]:[31]],Code2)</f>
        <v>0</v>
      </c>
      <c r="AK39" s="138">
        <f>COUNTIF(ParicipationMai1[[#This Row],[1]:[31]],Code3)</f>
        <v>0</v>
      </c>
      <c r="AL39" s="138">
        <f>COUNTIF(ParicipationMai1[[#This Row],[1]:[31]],Code4)</f>
        <v>0</v>
      </c>
      <c r="AM39" s="472">
        <f>COUNTIF(ParicipationMai1[[#This Row],[1]:[31]],Code5)</f>
        <v>0</v>
      </c>
      <c r="AN39" s="472">
        <f>COUNTIF(ParicipationMai1[[#This Row],[1]:[31]],Code23)</f>
        <v>0</v>
      </c>
      <c r="AO39" s="472">
        <f>COUNTIF(ParicipationMai1[[#This Row],[1]:[31]],Code6)</f>
        <v>0</v>
      </c>
      <c r="AP39" s="472">
        <f>COUNTIF(ParicipationMai1[[#This Row],[1]:[31]],Code7)</f>
        <v>0</v>
      </c>
      <c r="AQ39" s="472">
        <f>COUNTIF(ParicipationMai1[[#This Row],[1]:[31]],Code8)</f>
        <v>0</v>
      </c>
      <c r="AR39" s="472">
        <f>COUNTIF(ParicipationMai1[[#This Row],[1]:[31]],Code9)</f>
        <v>0</v>
      </c>
      <c r="AS39" s="472">
        <f>COUNTIF(ParicipationMai1[[#This Row],[1]:[31]],Code10)</f>
        <v>0</v>
      </c>
      <c r="AT39" s="472">
        <f>COUNTIF(ParicipationMai1[[#This Row],[1]:[31]],Code11)</f>
        <v>0</v>
      </c>
      <c r="AU39" s="472">
        <f>COUNTIF(ParicipationMai1[[#This Row],[1]:[31]],Code12)</f>
        <v>0</v>
      </c>
      <c r="AV39" s="472">
        <f>COUNTIF(ParicipationMai1[[#This Row],[1]:[31]],Code13)</f>
        <v>0</v>
      </c>
      <c r="AW39" s="472">
        <f>COUNTIF(ParicipationMai1[[#This Row],[1]:[31]],Code14)</f>
        <v>0</v>
      </c>
      <c r="AX39" s="472">
        <f>COUNTIF(ParicipationMai1[[#This Row],[1]:[31]],Code15)</f>
        <v>0</v>
      </c>
      <c r="AY39" s="472">
        <f>COUNTIF(ParicipationMai1[[#This Row],[1]:[31]],Code16)</f>
        <v>0</v>
      </c>
      <c r="AZ39" s="472">
        <f>COUNTIF(ParicipationMai1[[#This Row],[1]:[31]],Code17)</f>
        <v>0</v>
      </c>
      <c r="BA39" s="472">
        <f>COUNTIF(ParicipationMai1[[#This Row],[1]:[31]],Code25)</f>
        <v>0</v>
      </c>
      <c r="BB39" s="472">
        <f>COUNTIF(ParicipationMai1[[#This Row],[1]:[31]],Code26)</f>
        <v>0</v>
      </c>
      <c r="BC39" s="472">
        <f>COUNTIF(ParicipationMai1[[#This Row],[1]:[31]],Code27)</f>
        <v>0</v>
      </c>
      <c r="BD39" s="472">
        <f>COUNTIF(ParicipationMai1[[#This Row],[1]:[31]],Code28)</f>
        <v>0</v>
      </c>
      <c r="BE39" s="472">
        <f>COUNTIF(ParicipationMai1[[#This Row],[1]:[31]],code30)</f>
        <v>0</v>
      </c>
      <c r="BF39" s="472">
        <f>COUNTIF(ParicipationMai1[[#This Row],[1]:[31]],Code31)</f>
        <v>0</v>
      </c>
      <c r="BG39" s="472">
        <f>COUNTIF(ParicipationMai1[[#This Row],[1]:[31]],code21)</f>
        <v>0</v>
      </c>
      <c r="BH39" s="472">
        <f>COUNTIF(ParicipationMai1[[#This Row],[1]:[31]],Code24)</f>
        <v>0</v>
      </c>
      <c r="BI39" s="370">
        <f>COUNTIF(ParicipationMai1[[#This Row],[1]:[31]],code18)</f>
        <v>0</v>
      </c>
      <c r="BJ39" s="370">
        <f>COUNTIF(ParicipationMai1[[#This Row],[1]:[31]],code19)</f>
        <v>0</v>
      </c>
      <c r="BK39" s="370">
        <f>COUNTIF(ParicipationMai1[[#This Row],[1]:[31]],code20)</f>
        <v>0</v>
      </c>
      <c r="BL39" s="516">
        <f>COUNTIF(ParicipationMai1[[#This Row],[1]:[31]],code29)</f>
        <v>0</v>
      </c>
      <c r="BM39" s="297"/>
      <c r="BN39" s="297"/>
      <c r="BO39" s="297"/>
      <c r="BP39" s="297"/>
      <c r="BQ39" s="297"/>
      <c r="BR39" s="297"/>
      <c r="BS39" s="297"/>
      <c r="BT39" s="297"/>
      <c r="BU39" s="297"/>
      <c r="BV39" s="297"/>
      <c r="BW39" s="297"/>
      <c r="BX39" s="297"/>
      <c r="BY39" s="297"/>
      <c r="BZ39" s="297"/>
      <c r="CA39" s="297"/>
      <c r="CB39" s="297"/>
      <c r="CC39" s="297"/>
      <c r="CD39" s="297"/>
      <c r="CE39" s="297"/>
      <c r="CF39" s="297"/>
      <c r="CG39" s="297"/>
      <c r="CH39" s="297"/>
      <c r="CI39" s="297"/>
      <c r="CJ39" s="297"/>
      <c r="CK39" s="297"/>
      <c r="CL39" s="297"/>
      <c r="CM39" s="297"/>
      <c r="CN39" s="297"/>
      <c r="CO39" s="297"/>
      <c r="CP39" s="297"/>
      <c r="CQ39" s="297"/>
      <c r="CR39" s="297"/>
      <c r="CS39" s="297"/>
      <c r="CT39" s="472"/>
      <c r="CU39" s="300"/>
      <c r="CV39" s="589">
        <f t="shared" si="0"/>
        <v>0</v>
      </c>
      <c r="CW39" s="501">
        <f t="shared" si="1"/>
        <v>0</v>
      </c>
      <c r="CX39" s="472">
        <f t="shared" si="2"/>
        <v>0</v>
      </c>
      <c r="CY39" s="512">
        <f t="shared" si="3"/>
        <v>0</v>
      </c>
    </row>
    <row r="40" spans="1:103">
      <c r="A40" s="29" t="s">
        <v>381</v>
      </c>
      <c r="B40" s="162" t="str">
        <f>IFERROR(VLOOKUP(ParicipationMai1[[#This Row],[Référence]],ListeÉtudiants1[],18,FALSE),"")</f>
        <v>CAMISON VICTORIA</v>
      </c>
      <c r="AG40" s="286"/>
      <c r="AH40" s="138">
        <f>COUNTIF(ParicipationMai1[[1]:[31]],Code1)</f>
        <v>0</v>
      </c>
      <c r="AI40" s="474">
        <f>COUNTIF(ParicipationMai1[[1]:[31]],code22)</f>
        <v>0</v>
      </c>
      <c r="AJ40" s="138">
        <f>COUNTIF(ParicipationMai1[[#This Row],[1]:[31]],Code2)</f>
        <v>0</v>
      </c>
      <c r="AK40" s="138">
        <f>COUNTIF(ParicipationMai1[[#This Row],[1]:[31]],Code3)</f>
        <v>0</v>
      </c>
      <c r="AL40" s="138">
        <f>COUNTIF(ParicipationMai1[[#This Row],[1]:[31]],Code4)</f>
        <v>0</v>
      </c>
      <c r="AM40" s="472">
        <f>COUNTIF(ParicipationMai1[[#This Row],[1]:[31]],Code5)</f>
        <v>0</v>
      </c>
      <c r="AN40" s="472">
        <f>COUNTIF(ParicipationMai1[[#This Row],[1]:[31]],Code23)</f>
        <v>0</v>
      </c>
      <c r="AO40" s="472">
        <f>COUNTIF(ParicipationMai1[[#This Row],[1]:[31]],Code6)</f>
        <v>0</v>
      </c>
      <c r="AP40" s="472">
        <f>COUNTIF(ParicipationMai1[[#This Row],[1]:[31]],Code7)</f>
        <v>0</v>
      </c>
      <c r="AQ40" s="472">
        <f>COUNTIF(ParicipationMai1[[#This Row],[1]:[31]],Code8)</f>
        <v>0</v>
      </c>
      <c r="AR40" s="472">
        <f>COUNTIF(ParicipationMai1[[#This Row],[1]:[31]],Code9)</f>
        <v>0</v>
      </c>
      <c r="AS40" s="472">
        <f>COUNTIF(ParicipationMai1[[#This Row],[1]:[31]],Code10)</f>
        <v>0</v>
      </c>
      <c r="AT40" s="472">
        <f>COUNTIF(ParicipationMai1[[#This Row],[1]:[31]],Code11)</f>
        <v>0</v>
      </c>
      <c r="AU40" s="472">
        <f>COUNTIF(ParicipationMai1[[#This Row],[1]:[31]],Code12)</f>
        <v>0</v>
      </c>
      <c r="AV40" s="472">
        <f>COUNTIF(ParicipationMai1[[#This Row],[1]:[31]],Code13)</f>
        <v>0</v>
      </c>
      <c r="AW40" s="472">
        <f>COUNTIF(ParicipationMai1[[#This Row],[1]:[31]],Code14)</f>
        <v>0</v>
      </c>
      <c r="AX40" s="472">
        <f>COUNTIF(ParicipationMai1[[#This Row],[1]:[31]],Code15)</f>
        <v>0</v>
      </c>
      <c r="AY40" s="472">
        <f>COUNTIF(ParicipationMai1[[#This Row],[1]:[31]],Code16)</f>
        <v>0</v>
      </c>
      <c r="AZ40" s="472">
        <f>COUNTIF(ParicipationMai1[[#This Row],[1]:[31]],Code17)</f>
        <v>0</v>
      </c>
      <c r="BA40" s="472">
        <f>COUNTIF(ParicipationMai1[[#This Row],[1]:[31]],Code25)</f>
        <v>0</v>
      </c>
      <c r="BB40" s="472">
        <f>COUNTIF(ParicipationMai1[[#This Row],[1]:[31]],Code26)</f>
        <v>0</v>
      </c>
      <c r="BC40" s="472">
        <f>COUNTIF(ParicipationMai1[[#This Row],[1]:[31]],Code27)</f>
        <v>0</v>
      </c>
      <c r="BD40" s="472">
        <f>COUNTIF(ParicipationMai1[[#This Row],[1]:[31]],Code28)</f>
        <v>0</v>
      </c>
      <c r="BE40" s="472">
        <f>COUNTIF(ParicipationMai1[[#This Row],[1]:[31]],code30)</f>
        <v>0</v>
      </c>
      <c r="BF40" s="472">
        <f>COUNTIF(ParicipationMai1[[#This Row],[1]:[31]],Code31)</f>
        <v>0</v>
      </c>
      <c r="BG40" s="472">
        <f>COUNTIF(ParicipationMai1[[#This Row],[1]:[31]],code21)</f>
        <v>0</v>
      </c>
      <c r="BH40" s="472">
        <f>COUNTIF(ParicipationMai1[[#This Row],[1]:[31]],Code24)</f>
        <v>0</v>
      </c>
      <c r="BI40" s="370">
        <f>COUNTIF(ParicipationMai1[[#This Row],[1]:[31]],code18)</f>
        <v>0</v>
      </c>
      <c r="BJ40" s="370">
        <f>COUNTIF(ParicipationMai1[[#This Row],[1]:[31]],code19)</f>
        <v>0</v>
      </c>
      <c r="BK40" s="370">
        <f>COUNTIF(ParicipationMai1[[#This Row],[1]:[31]],code20)</f>
        <v>0</v>
      </c>
      <c r="BL40" s="516">
        <f>COUNTIF(ParicipationMai1[[#This Row],[1]:[31]],code29)</f>
        <v>0</v>
      </c>
      <c r="BM40" s="297"/>
      <c r="BN40" s="297"/>
      <c r="BO40" s="297"/>
      <c r="BP40" s="297"/>
      <c r="BQ40" s="297"/>
      <c r="BR40" s="297"/>
      <c r="BS40" s="297"/>
      <c r="BT40" s="297"/>
      <c r="BU40" s="297"/>
      <c r="BV40" s="297"/>
      <c r="BW40" s="297"/>
      <c r="BX40" s="297"/>
      <c r="BY40" s="297"/>
      <c r="BZ40" s="297"/>
      <c r="CA40" s="297"/>
      <c r="CB40" s="297"/>
      <c r="CC40" s="297"/>
      <c r="CD40" s="297"/>
      <c r="CE40" s="297"/>
      <c r="CF40" s="297"/>
      <c r="CG40" s="297"/>
      <c r="CH40" s="297"/>
      <c r="CI40" s="297"/>
      <c r="CJ40" s="297"/>
      <c r="CK40" s="297"/>
      <c r="CL40" s="297"/>
      <c r="CM40" s="297"/>
      <c r="CN40" s="297"/>
      <c r="CO40" s="297"/>
      <c r="CP40" s="297"/>
      <c r="CQ40" s="297"/>
      <c r="CR40" s="297"/>
      <c r="CS40" s="297"/>
      <c r="CT40" s="472"/>
      <c r="CU40" s="300"/>
      <c r="CV40" s="589">
        <f t="shared" si="0"/>
        <v>0</v>
      </c>
      <c r="CW40" s="501">
        <f t="shared" si="1"/>
        <v>0</v>
      </c>
      <c r="CX40" s="472">
        <f t="shared" si="2"/>
        <v>0</v>
      </c>
      <c r="CY40" s="512">
        <f t="shared" si="3"/>
        <v>0</v>
      </c>
    </row>
    <row r="41" spans="1:103">
      <c r="A41" s="29" t="s">
        <v>382</v>
      </c>
      <c r="B41" s="162" t="str">
        <f>IFERROR(VLOOKUP(ParicipationMai1[[#This Row],[Référence]],ListeÉtudiants1[],18,FALSE),"")</f>
        <v>CEBIN AMANDINE</v>
      </c>
      <c r="AG41" s="286"/>
      <c r="AH41" s="138">
        <f>COUNTIF(ParicipationMai1[[1]:[31]],Code1)</f>
        <v>0</v>
      </c>
      <c r="AI41" s="474">
        <f>COUNTIF(ParicipationMai1[[1]:[31]],code22)</f>
        <v>0</v>
      </c>
      <c r="AJ41" s="138">
        <f>COUNTIF(ParicipationMai1[[#This Row],[1]:[31]],Code2)</f>
        <v>0</v>
      </c>
      <c r="AK41" s="138">
        <f>COUNTIF(ParicipationMai1[[#This Row],[1]:[31]],Code3)</f>
        <v>0</v>
      </c>
      <c r="AL41" s="138">
        <f>COUNTIF(ParicipationMai1[[#This Row],[1]:[31]],Code4)</f>
        <v>0</v>
      </c>
      <c r="AM41" s="472">
        <f>COUNTIF(ParicipationMai1[[#This Row],[1]:[31]],Code5)</f>
        <v>0</v>
      </c>
      <c r="AN41" s="472">
        <f>COUNTIF(ParicipationMai1[[#This Row],[1]:[31]],Code23)</f>
        <v>0</v>
      </c>
      <c r="AO41" s="472">
        <f>COUNTIF(ParicipationMai1[[#This Row],[1]:[31]],Code6)</f>
        <v>0</v>
      </c>
      <c r="AP41" s="472">
        <f>COUNTIF(ParicipationMai1[[#This Row],[1]:[31]],Code7)</f>
        <v>0</v>
      </c>
      <c r="AQ41" s="472">
        <f>COUNTIF(ParicipationMai1[[#This Row],[1]:[31]],Code8)</f>
        <v>0</v>
      </c>
      <c r="AR41" s="472">
        <f>COUNTIF(ParicipationMai1[[#This Row],[1]:[31]],Code9)</f>
        <v>0</v>
      </c>
      <c r="AS41" s="472">
        <f>COUNTIF(ParicipationMai1[[#This Row],[1]:[31]],Code10)</f>
        <v>0</v>
      </c>
      <c r="AT41" s="472">
        <f>COUNTIF(ParicipationMai1[[#This Row],[1]:[31]],Code11)</f>
        <v>0</v>
      </c>
      <c r="AU41" s="472">
        <f>COUNTIF(ParicipationMai1[[#This Row],[1]:[31]],Code12)</f>
        <v>0</v>
      </c>
      <c r="AV41" s="472">
        <f>COUNTIF(ParicipationMai1[[#This Row],[1]:[31]],Code13)</f>
        <v>0</v>
      </c>
      <c r="AW41" s="472">
        <f>COUNTIF(ParicipationMai1[[#This Row],[1]:[31]],Code14)</f>
        <v>0</v>
      </c>
      <c r="AX41" s="472">
        <f>COUNTIF(ParicipationMai1[[#This Row],[1]:[31]],Code15)</f>
        <v>0</v>
      </c>
      <c r="AY41" s="472">
        <f>COUNTIF(ParicipationMai1[[#This Row],[1]:[31]],Code16)</f>
        <v>0</v>
      </c>
      <c r="AZ41" s="472">
        <f>COUNTIF(ParicipationMai1[[#This Row],[1]:[31]],Code17)</f>
        <v>0</v>
      </c>
      <c r="BA41" s="472">
        <f>COUNTIF(ParicipationMai1[[#This Row],[1]:[31]],Code25)</f>
        <v>0</v>
      </c>
      <c r="BB41" s="472">
        <f>COUNTIF(ParicipationMai1[[#This Row],[1]:[31]],Code26)</f>
        <v>0</v>
      </c>
      <c r="BC41" s="472">
        <f>COUNTIF(ParicipationMai1[[#This Row],[1]:[31]],Code27)</f>
        <v>0</v>
      </c>
      <c r="BD41" s="472">
        <f>COUNTIF(ParicipationMai1[[#This Row],[1]:[31]],Code28)</f>
        <v>0</v>
      </c>
      <c r="BE41" s="472">
        <f>COUNTIF(ParicipationMai1[[#This Row],[1]:[31]],code30)</f>
        <v>0</v>
      </c>
      <c r="BF41" s="472">
        <f>COUNTIF(ParicipationMai1[[#This Row],[1]:[31]],Code31)</f>
        <v>0</v>
      </c>
      <c r="BG41" s="472">
        <f>COUNTIF(ParicipationMai1[[#This Row],[1]:[31]],code21)</f>
        <v>0</v>
      </c>
      <c r="BH41" s="472">
        <f>COUNTIF(ParicipationMai1[[#This Row],[1]:[31]],Code24)</f>
        <v>0</v>
      </c>
      <c r="BI41" s="370">
        <f>COUNTIF(ParicipationMai1[[#This Row],[1]:[31]],code18)</f>
        <v>0</v>
      </c>
      <c r="BJ41" s="370">
        <f>COUNTIF(ParicipationMai1[[#This Row],[1]:[31]],code19)</f>
        <v>0</v>
      </c>
      <c r="BK41" s="370">
        <f>COUNTIF(ParicipationMai1[[#This Row],[1]:[31]],code20)</f>
        <v>0</v>
      </c>
      <c r="BL41" s="516">
        <f>COUNTIF(ParicipationMai1[[#This Row],[1]:[31]],code29)</f>
        <v>0</v>
      </c>
      <c r="BM41" s="297"/>
      <c r="BN41" s="297"/>
      <c r="BO41" s="297"/>
      <c r="BP41" s="297"/>
      <c r="BQ41" s="297"/>
      <c r="BR41" s="297"/>
      <c r="BS41" s="297"/>
      <c r="BT41" s="297"/>
      <c r="BU41" s="297"/>
      <c r="BV41" s="297"/>
      <c r="BW41" s="297"/>
      <c r="BX41" s="297"/>
      <c r="BY41" s="297"/>
      <c r="BZ41" s="297"/>
      <c r="CA41" s="297"/>
      <c r="CB41" s="297"/>
      <c r="CC41" s="297"/>
      <c r="CD41" s="297"/>
      <c r="CE41" s="297"/>
      <c r="CF41" s="297"/>
      <c r="CG41" s="297"/>
      <c r="CH41" s="297"/>
      <c r="CI41" s="297"/>
      <c r="CJ41" s="297"/>
      <c r="CK41" s="297"/>
      <c r="CL41" s="297"/>
      <c r="CM41" s="297"/>
      <c r="CN41" s="297"/>
      <c r="CO41" s="297"/>
      <c r="CP41" s="297"/>
      <c r="CQ41" s="297"/>
      <c r="CR41" s="297"/>
      <c r="CS41" s="297"/>
      <c r="CT41" s="472"/>
      <c r="CU41" s="300"/>
      <c r="CV41" s="589">
        <f t="shared" si="0"/>
        <v>0</v>
      </c>
      <c r="CW41" s="501">
        <f t="shared" si="1"/>
        <v>0</v>
      </c>
      <c r="CX41" s="472">
        <f t="shared" si="2"/>
        <v>0</v>
      </c>
      <c r="CY41" s="512">
        <f t="shared" si="3"/>
        <v>0</v>
      </c>
    </row>
    <row r="42" spans="1:103">
      <c r="A42" s="29" t="s">
        <v>383</v>
      </c>
      <c r="B42" s="162" t="str">
        <f>IFERROR(VLOOKUP(ParicipationMai1[[#This Row],[Référence]],ListeÉtudiants1[],18,FALSE),"")</f>
        <v>CHARPAGNE MORGANE</v>
      </c>
      <c r="AG42" s="286"/>
      <c r="AH42" s="138">
        <f>COUNTIF(ParicipationMai1[[1]:[31]],Code1)</f>
        <v>0</v>
      </c>
      <c r="AI42" s="474">
        <f>COUNTIF(ParicipationMai1[[1]:[31]],code22)</f>
        <v>0</v>
      </c>
      <c r="AJ42" s="138">
        <f>COUNTIF(ParicipationMai1[[#This Row],[1]:[31]],Code2)</f>
        <v>0</v>
      </c>
      <c r="AK42" s="138">
        <f>COUNTIF(ParicipationMai1[[#This Row],[1]:[31]],Code3)</f>
        <v>0</v>
      </c>
      <c r="AL42" s="138">
        <f>COUNTIF(ParicipationMai1[[#This Row],[1]:[31]],Code4)</f>
        <v>0</v>
      </c>
      <c r="AM42" s="472">
        <f>COUNTIF(ParicipationMai1[[#This Row],[1]:[31]],Code5)</f>
        <v>0</v>
      </c>
      <c r="AN42" s="472">
        <f>COUNTIF(ParicipationMai1[[#This Row],[1]:[31]],Code23)</f>
        <v>0</v>
      </c>
      <c r="AO42" s="472">
        <f>COUNTIF(ParicipationMai1[[#This Row],[1]:[31]],Code6)</f>
        <v>0</v>
      </c>
      <c r="AP42" s="472">
        <f>COUNTIF(ParicipationMai1[[#This Row],[1]:[31]],Code7)</f>
        <v>0</v>
      </c>
      <c r="AQ42" s="472">
        <f>COUNTIF(ParicipationMai1[[#This Row],[1]:[31]],Code8)</f>
        <v>0</v>
      </c>
      <c r="AR42" s="472">
        <f>COUNTIF(ParicipationMai1[[#This Row],[1]:[31]],Code9)</f>
        <v>0</v>
      </c>
      <c r="AS42" s="472">
        <f>COUNTIF(ParicipationMai1[[#This Row],[1]:[31]],Code10)</f>
        <v>0</v>
      </c>
      <c r="AT42" s="472">
        <f>COUNTIF(ParicipationMai1[[#This Row],[1]:[31]],Code11)</f>
        <v>0</v>
      </c>
      <c r="AU42" s="472">
        <f>COUNTIF(ParicipationMai1[[#This Row],[1]:[31]],Code12)</f>
        <v>0</v>
      </c>
      <c r="AV42" s="472">
        <f>COUNTIF(ParicipationMai1[[#This Row],[1]:[31]],Code13)</f>
        <v>0</v>
      </c>
      <c r="AW42" s="472">
        <f>COUNTIF(ParicipationMai1[[#This Row],[1]:[31]],Code14)</f>
        <v>0</v>
      </c>
      <c r="AX42" s="472">
        <f>COUNTIF(ParicipationMai1[[#This Row],[1]:[31]],Code15)</f>
        <v>0</v>
      </c>
      <c r="AY42" s="472">
        <f>COUNTIF(ParicipationMai1[[#This Row],[1]:[31]],Code16)</f>
        <v>0</v>
      </c>
      <c r="AZ42" s="472">
        <f>COUNTIF(ParicipationMai1[[#This Row],[1]:[31]],Code17)</f>
        <v>0</v>
      </c>
      <c r="BA42" s="472">
        <f>COUNTIF(ParicipationMai1[[#This Row],[1]:[31]],Code25)</f>
        <v>0</v>
      </c>
      <c r="BB42" s="472">
        <f>COUNTIF(ParicipationMai1[[#This Row],[1]:[31]],Code26)</f>
        <v>0</v>
      </c>
      <c r="BC42" s="472">
        <f>COUNTIF(ParicipationMai1[[#This Row],[1]:[31]],Code27)</f>
        <v>0</v>
      </c>
      <c r="BD42" s="472">
        <f>COUNTIF(ParicipationMai1[[#This Row],[1]:[31]],Code28)</f>
        <v>0</v>
      </c>
      <c r="BE42" s="472">
        <f>COUNTIF(ParicipationMai1[[#This Row],[1]:[31]],code30)</f>
        <v>0</v>
      </c>
      <c r="BF42" s="472">
        <f>COUNTIF(ParicipationMai1[[#This Row],[1]:[31]],Code31)</f>
        <v>0</v>
      </c>
      <c r="BG42" s="472">
        <f>COUNTIF(ParicipationMai1[[#This Row],[1]:[31]],code21)</f>
        <v>0</v>
      </c>
      <c r="BH42" s="472">
        <f>COUNTIF(ParicipationMai1[[#This Row],[1]:[31]],Code24)</f>
        <v>0</v>
      </c>
      <c r="BI42" s="370">
        <f>COUNTIF(ParicipationMai1[[#This Row],[1]:[31]],code18)</f>
        <v>0</v>
      </c>
      <c r="BJ42" s="370">
        <f>COUNTIF(ParicipationMai1[[#This Row],[1]:[31]],code19)</f>
        <v>0</v>
      </c>
      <c r="BK42" s="370">
        <f>COUNTIF(ParicipationMai1[[#This Row],[1]:[31]],code20)</f>
        <v>0</v>
      </c>
      <c r="BL42" s="516">
        <f>COUNTIF(ParicipationMai1[[#This Row],[1]:[31]],code29)</f>
        <v>0</v>
      </c>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7"/>
      <c r="CK42" s="297"/>
      <c r="CL42" s="297"/>
      <c r="CM42" s="297"/>
      <c r="CN42" s="297"/>
      <c r="CO42" s="297"/>
      <c r="CP42" s="297"/>
      <c r="CQ42" s="297"/>
      <c r="CR42" s="297"/>
      <c r="CS42" s="297"/>
      <c r="CT42" s="472"/>
      <c r="CU42" s="300"/>
      <c r="CV42" s="589">
        <f t="shared" si="0"/>
        <v>0</v>
      </c>
      <c r="CW42" s="501">
        <f t="shared" si="1"/>
        <v>0</v>
      </c>
      <c r="CX42" s="472">
        <f t="shared" si="2"/>
        <v>0</v>
      </c>
      <c r="CY42" s="512">
        <f t="shared" si="3"/>
        <v>0</v>
      </c>
    </row>
    <row r="43" spans="1:103">
      <c r="A43" s="29" t="s">
        <v>384</v>
      </c>
      <c r="B43" s="162" t="str">
        <f>IFERROR(VLOOKUP(ParicipationMai1[[#This Row],[Référence]],ListeÉtudiants1[],18,FALSE),"")</f>
        <v>CIRACI AYLA</v>
      </c>
      <c r="AG43" s="286"/>
      <c r="AH43" s="138">
        <f>COUNTIF(ParicipationMai1[[1]:[31]],Code1)</f>
        <v>0</v>
      </c>
      <c r="AI43" s="474">
        <f>COUNTIF(ParicipationMai1[[1]:[31]],code22)</f>
        <v>0</v>
      </c>
      <c r="AJ43" s="138">
        <f>COUNTIF(ParicipationMai1[[#This Row],[1]:[31]],Code2)</f>
        <v>0</v>
      </c>
      <c r="AK43" s="138">
        <f>COUNTIF(ParicipationMai1[[#This Row],[1]:[31]],Code3)</f>
        <v>0</v>
      </c>
      <c r="AL43" s="138">
        <f>COUNTIF(ParicipationMai1[[#This Row],[1]:[31]],Code4)</f>
        <v>0</v>
      </c>
      <c r="AM43" s="472">
        <f>COUNTIF(ParicipationMai1[[#This Row],[1]:[31]],Code5)</f>
        <v>0</v>
      </c>
      <c r="AN43" s="472">
        <f>COUNTIF(ParicipationMai1[[#This Row],[1]:[31]],Code23)</f>
        <v>0</v>
      </c>
      <c r="AO43" s="472">
        <f>COUNTIF(ParicipationMai1[[#This Row],[1]:[31]],Code6)</f>
        <v>0</v>
      </c>
      <c r="AP43" s="472">
        <f>COUNTIF(ParicipationMai1[[#This Row],[1]:[31]],Code7)</f>
        <v>0</v>
      </c>
      <c r="AQ43" s="472">
        <f>COUNTIF(ParicipationMai1[[#This Row],[1]:[31]],Code8)</f>
        <v>0</v>
      </c>
      <c r="AR43" s="472">
        <f>COUNTIF(ParicipationMai1[[#This Row],[1]:[31]],Code9)</f>
        <v>0</v>
      </c>
      <c r="AS43" s="472">
        <f>COUNTIF(ParicipationMai1[[#This Row],[1]:[31]],Code10)</f>
        <v>0</v>
      </c>
      <c r="AT43" s="472">
        <f>COUNTIF(ParicipationMai1[[#This Row],[1]:[31]],Code11)</f>
        <v>0</v>
      </c>
      <c r="AU43" s="472">
        <f>COUNTIF(ParicipationMai1[[#This Row],[1]:[31]],Code12)</f>
        <v>0</v>
      </c>
      <c r="AV43" s="472">
        <f>COUNTIF(ParicipationMai1[[#This Row],[1]:[31]],Code13)</f>
        <v>0</v>
      </c>
      <c r="AW43" s="472">
        <f>COUNTIF(ParicipationMai1[[#This Row],[1]:[31]],Code14)</f>
        <v>0</v>
      </c>
      <c r="AX43" s="472">
        <f>COUNTIF(ParicipationMai1[[#This Row],[1]:[31]],Code15)</f>
        <v>0</v>
      </c>
      <c r="AY43" s="472">
        <f>COUNTIF(ParicipationMai1[[#This Row],[1]:[31]],Code16)</f>
        <v>0</v>
      </c>
      <c r="AZ43" s="472">
        <f>COUNTIF(ParicipationMai1[[#This Row],[1]:[31]],Code17)</f>
        <v>0</v>
      </c>
      <c r="BA43" s="472">
        <f>COUNTIF(ParicipationMai1[[#This Row],[1]:[31]],Code25)</f>
        <v>0</v>
      </c>
      <c r="BB43" s="472">
        <f>COUNTIF(ParicipationMai1[[#This Row],[1]:[31]],Code26)</f>
        <v>0</v>
      </c>
      <c r="BC43" s="472">
        <f>COUNTIF(ParicipationMai1[[#This Row],[1]:[31]],Code27)</f>
        <v>0</v>
      </c>
      <c r="BD43" s="472">
        <f>COUNTIF(ParicipationMai1[[#This Row],[1]:[31]],Code28)</f>
        <v>0</v>
      </c>
      <c r="BE43" s="472">
        <f>COUNTIF(ParicipationMai1[[#This Row],[1]:[31]],code30)</f>
        <v>0</v>
      </c>
      <c r="BF43" s="472">
        <f>COUNTIF(ParicipationMai1[[#This Row],[1]:[31]],Code31)</f>
        <v>0</v>
      </c>
      <c r="BG43" s="472">
        <f>COUNTIF(ParicipationMai1[[#This Row],[1]:[31]],code21)</f>
        <v>0</v>
      </c>
      <c r="BH43" s="472">
        <f>COUNTIF(ParicipationMai1[[#This Row],[1]:[31]],Code24)</f>
        <v>0</v>
      </c>
      <c r="BI43" s="370">
        <f>COUNTIF(ParicipationMai1[[#This Row],[1]:[31]],code18)</f>
        <v>0</v>
      </c>
      <c r="BJ43" s="370">
        <f>COUNTIF(ParicipationMai1[[#This Row],[1]:[31]],code19)</f>
        <v>0</v>
      </c>
      <c r="BK43" s="370">
        <f>COUNTIF(ParicipationMai1[[#This Row],[1]:[31]],code20)</f>
        <v>0</v>
      </c>
      <c r="BL43" s="516">
        <f>COUNTIF(ParicipationMai1[[#This Row],[1]:[31]],code29)</f>
        <v>0</v>
      </c>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c r="CO43" s="297"/>
      <c r="CP43" s="297"/>
      <c r="CQ43" s="297"/>
      <c r="CR43" s="297"/>
      <c r="CS43" s="297"/>
      <c r="CT43" s="472"/>
      <c r="CU43" s="300"/>
      <c r="CV43" s="589">
        <f t="shared" si="0"/>
        <v>0</v>
      </c>
      <c r="CW43" s="501">
        <f t="shared" si="1"/>
        <v>0</v>
      </c>
      <c r="CX43" s="472">
        <f t="shared" si="2"/>
        <v>0</v>
      </c>
      <c r="CY43" s="512">
        <f t="shared" si="3"/>
        <v>0</v>
      </c>
    </row>
    <row r="44" spans="1:103">
      <c r="A44" s="29" t="s">
        <v>385</v>
      </c>
      <c r="B44" s="162" t="str">
        <f>IFERROR(VLOOKUP(ParicipationMai1[[#This Row],[Référence]],ListeÉtudiants1[],18,FALSE),"")</f>
        <v>CLARY VERONIQUE</v>
      </c>
      <c r="AG44" s="286"/>
      <c r="AH44" s="138">
        <f>COUNTIF(ParicipationMai1[[1]:[31]],Code1)</f>
        <v>0</v>
      </c>
      <c r="AI44" s="474">
        <f>COUNTIF(ParicipationMai1[[1]:[31]],code22)</f>
        <v>0</v>
      </c>
      <c r="AJ44" s="138">
        <f>COUNTIF(ParicipationMai1[[#This Row],[1]:[31]],Code2)</f>
        <v>0</v>
      </c>
      <c r="AK44" s="138">
        <f>COUNTIF(ParicipationMai1[[#This Row],[1]:[31]],Code3)</f>
        <v>0</v>
      </c>
      <c r="AL44" s="138">
        <f>COUNTIF(ParicipationMai1[[#This Row],[1]:[31]],Code4)</f>
        <v>0</v>
      </c>
      <c r="AM44" s="472">
        <f>COUNTIF(ParicipationMai1[[#This Row],[1]:[31]],Code5)</f>
        <v>0</v>
      </c>
      <c r="AN44" s="472">
        <f>COUNTIF(ParicipationMai1[[#This Row],[1]:[31]],Code23)</f>
        <v>0</v>
      </c>
      <c r="AO44" s="472">
        <f>COUNTIF(ParicipationMai1[[#This Row],[1]:[31]],Code6)</f>
        <v>0</v>
      </c>
      <c r="AP44" s="472">
        <f>COUNTIF(ParicipationMai1[[#This Row],[1]:[31]],Code7)</f>
        <v>0</v>
      </c>
      <c r="AQ44" s="472">
        <f>COUNTIF(ParicipationMai1[[#This Row],[1]:[31]],Code8)</f>
        <v>0</v>
      </c>
      <c r="AR44" s="472">
        <f>COUNTIF(ParicipationMai1[[#This Row],[1]:[31]],Code9)</f>
        <v>0</v>
      </c>
      <c r="AS44" s="472">
        <f>COUNTIF(ParicipationMai1[[#This Row],[1]:[31]],Code10)</f>
        <v>0</v>
      </c>
      <c r="AT44" s="472">
        <f>COUNTIF(ParicipationMai1[[#This Row],[1]:[31]],Code11)</f>
        <v>0</v>
      </c>
      <c r="AU44" s="472">
        <f>COUNTIF(ParicipationMai1[[#This Row],[1]:[31]],Code12)</f>
        <v>0</v>
      </c>
      <c r="AV44" s="472">
        <f>COUNTIF(ParicipationMai1[[#This Row],[1]:[31]],Code13)</f>
        <v>0</v>
      </c>
      <c r="AW44" s="472">
        <f>COUNTIF(ParicipationMai1[[#This Row],[1]:[31]],Code14)</f>
        <v>0</v>
      </c>
      <c r="AX44" s="472">
        <f>COUNTIF(ParicipationMai1[[#This Row],[1]:[31]],Code15)</f>
        <v>0</v>
      </c>
      <c r="AY44" s="472">
        <f>COUNTIF(ParicipationMai1[[#This Row],[1]:[31]],Code16)</f>
        <v>0</v>
      </c>
      <c r="AZ44" s="472">
        <f>COUNTIF(ParicipationMai1[[#This Row],[1]:[31]],Code17)</f>
        <v>0</v>
      </c>
      <c r="BA44" s="472">
        <f>COUNTIF(ParicipationMai1[[#This Row],[1]:[31]],Code25)</f>
        <v>0</v>
      </c>
      <c r="BB44" s="472">
        <f>COUNTIF(ParicipationMai1[[#This Row],[1]:[31]],Code26)</f>
        <v>0</v>
      </c>
      <c r="BC44" s="472">
        <f>COUNTIF(ParicipationMai1[[#This Row],[1]:[31]],Code27)</f>
        <v>0</v>
      </c>
      <c r="BD44" s="472">
        <f>COUNTIF(ParicipationMai1[[#This Row],[1]:[31]],Code28)</f>
        <v>0</v>
      </c>
      <c r="BE44" s="472">
        <f>COUNTIF(ParicipationMai1[[#This Row],[1]:[31]],code30)</f>
        <v>0</v>
      </c>
      <c r="BF44" s="472">
        <f>COUNTIF(ParicipationMai1[[#This Row],[1]:[31]],Code31)</f>
        <v>0</v>
      </c>
      <c r="BG44" s="472">
        <f>COUNTIF(ParicipationMai1[[#This Row],[1]:[31]],code21)</f>
        <v>0</v>
      </c>
      <c r="BH44" s="472">
        <f>COUNTIF(ParicipationMai1[[#This Row],[1]:[31]],Code24)</f>
        <v>0</v>
      </c>
      <c r="BI44" s="370">
        <f>COUNTIF(ParicipationMai1[[#This Row],[1]:[31]],code18)</f>
        <v>0</v>
      </c>
      <c r="BJ44" s="370">
        <f>COUNTIF(ParicipationMai1[[#This Row],[1]:[31]],code19)</f>
        <v>0</v>
      </c>
      <c r="BK44" s="370">
        <f>COUNTIF(ParicipationMai1[[#This Row],[1]:[31]],code20)</f>
        <v>0</v>
      </c>
      <c r="BL44" s="516">
        <f>COUNTIF(ParicipationMai1[[#This Row],[1]:[31]],code29)</f>
        <v>0</v>
      </c>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297"/>
      <c r="CO44" s="297"/>
      <c r="CP44" s="297"/>
      <c r="CQ44" s="297"/>
      <c r="CR44" s="297"/>
      <c r="CS44" s="297"/>
      <c r="CT44" s="472"/>
      <c r="CU44" s="300"/>
      <c r="CV44" s="589">
        <f t="shared" si="0"/>
        <v>0</v>
      </c>
      <c r="CW44" s="501">
        <f t="shared" si="1"/>
        <v>0</v>
      </c>
      <c r="CX44" s="472">
        <f t="shared" si="2"/>
        <v>0</v>
      </c>
      <c r="CY44" s="512">
        <f t="shared" si="3"/>
        <v>0</v>
      </c>
    </row>
    <row r="45" spans="1:103">
      <c r="A45" s="29" t="s">
        <v>386</v>
      </c>
      <c r="B45" s="162" t="str">
        <f>IFERROR(VLOOKUP(ParicipationMai1[[#This Row],[Référence]],ListeÉtudiants1[],18,FALSE),"")</f>
        <v>CLAUDIN LAURENE</v>
      </c>
      <c r="AG45" s="286"/>
      <c r="AH45" s="138">
        <f>COUNTIF(ParicipationMai1[[1]:[31]],Code1)</f>
        <v>0</v>
      </c>
      <c r="AI45" s="474">
        <f>COUNTIF(ParicipationMai1[[1]:[31]],code22)</f>
        <v>0</v>
      </c>
      <c r="AJ45" s="138">
        <f>COUNTIF(ParicipationMai1[[#This Row],[1]:[31]],Code2)</f>
        <v>0</v>
      </c>
      <c r="AK45" s="138">
        <f>COUNTIF(ParicipationMai1[[#This Row],[1]:[31]],Code3)</f>
        <v>0</v>
      </c>
      <c r="AL45" s="138">
        <f>COUNTIF(ParicipationMai1[[#This Row],[1]:[31]],Code4)</f>
        <v>0</v>
      </c>
      <c r="AM45" s="472">
        <f>COUNTIF(ParicipationMai1[[#This Row],[1]:[31]],Code5)</f>
        <v>0</v>
      </c>
      <c r="AN45" s="472">
        <f>COUNTIF(ParicipationMai1[[#This Row],[1]:[31]],Code23)</f>
        <v>0</v>
      </c>
      <c r="AO45" s="472">
        <f>COUNTIF(ParicipationMai1[[#This Row],[1]:[31]],Code6)</f>
        <v>0</v>
      </c>
      <c r="AP45" s="472">
        <f>COUNTIF(ParicipationMai1[[#This Row],[1]:[31]],Code7)</f>
        <v>0</v>
      </c>
      <c r="AQ45" s="472">
        <f>COUNTIF(ParicipationMai1[[#This Row],[1]:[31]],Code8)</f>
        <v>0</v>
      </c>
      <c r="AR45" s="472">
        <f>COUNTIF(ParicipationMai1[[#This Row],[1]:[31]],Code9)</f>
        <v>0</v>
      </c>
      <c r="AS45" s="472">
        <f>COUNTIF(ParicipationMai1[[#This Row],[1]:[31]],Code10)</f>
        <v>0</v>
      </c>
      <c r="AT45" s="472">
        <f>COUNTIF(ParicipationMai1[[#This Row],[1]:[31]],Code11)</f>
        <v>0</v>
      </c>
      <c r="AU45" s="472">
        <f>COUNTIF(ParicipationMai1[[#This Row],[1]:[31]],Code12)</f>
        <v>0</v>
      </c>
      <c r="AV45" s="472">
        <f>COUNTIF(ParicipationMai1[[#This Row],[1]:[31]],Code13)</f>
        <v>0</v>
      </c>
      <c r="AW45" s="472">
        <f>COUNTIF(ParicipationMai1[[#This Row],[1]:[31]],Code14)</f>
        <v>0</v>
      </c>
      <c r="AX45" s="472">
        <f>COUNTIF(ParicipationMai1[[#This Row],[1]:[31]],Code15)</f>
        <v>0</v>
      </c>
      <c r="AY45" s="472">
        <f>COUNTIF(ParicipationMai1[[#This Row],[1]:[31]],Code16)</f>
        <v>0</v>
      </c>
      <c r="AZ45" s="472">
        <f>COUNTIF(ParicipationMai1[[#This Row],[1]:[31]],Code17)</f>
        <v>0</v>
      </c>
      <c r="BA45" s="472">
        <f>COUNTIF(ParicipationMai1[[#This Row],[1]:[31]],Code25)</f>
        <v>0</v>
      </c>
      <c r="BB45" s="472">
        <f>COUNTIF(ParicipationMai1[[#This Row],[1]:[31]],Code26)</f>
        <v>0</v>
      </c>
      <c r="BC45" s="472">
        <f>COUNTIF(ParicipationMai1[[#This Row],[1]:[31]],Code27)</f>
        <v>0</v>
      </c>
      <c r="BD45" s="472">
        <f>COUNTIF(ParicipationMai1[[#This Row],[1]:[31]],Code28)</f>
        <v>0</v>
      </c>
      <c r="BE45" s="472">
        <f>COUNTIF(ParicipationMai1[[#This Row],[1]:[31]],code30)</f>
        <v>0</v>
      </c>
      <c r="BF45" s="472">
        <f>COUNTIF(ParicipationMai1[[#This Row],[1]:[31]],Code31)</f>
        <v>0</v>
      </c>
      <c r="BG45" s="472">
        <f>COUNTIF(ParicipationMai1[[#This Row],[1]:[31]],code21)</f>
        <v>0</v>
      </c>
      <c r="BH45" s="472">
        <f>COUNTIF(ParicipationMai1[[#This Row],[1]:[31]],Code24)</f>
        <v>0</v>
      </c>
      <c r="BI45" s="370">
        <f>COUNTIF(ParicipationMai1[[#This Row],[1]:[31]],code18)</f>
        <v>0</v>
      </c>
      <c r="BJ45" s="370">
        <f>COUNTIF(ParicipationMai1[[#This Row],[1]:[31]],code19)</f>
        <v>0</v>
      </c>
      <c r="BK45" s="370">
        <f>COUNTIF(ParicipationMai1[[#This Row],[1]:[31]],code20)</f>
        <v>0</v>
      </c>
      <c r="BL45" s="516">
        <f>COUNTIF(ParicipationMai1[[#This Row],[1]:[31]],code29)</f>
        <v>0</v>
      </c>
      <c r="BM45" s="297"/>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297"/>
      <c r="CL45" s="297"/>
      <c r="CM45" s="297"/>
      <c r="CN45" s="297"/>
      <c r="CO45" s="297"/>
      <c r="CP45" s="297"/>
      <c r="CQ45" s="297"/>
      <c r="CR45" s="297"/>
      <c r="CS45" s="297"/>
      <c r="CT45" s="472"/>
      <c r="CU45" s="300"/>
      <c r="CV45" s="589">
        <f t="shared" si="0"/>
        <v>0</v>
      </c>
      <c r="CW45" s="501">
        <f t="shared" si="1"/>
        <v>0</v>
      </c>
      <c r="CX45" s="472">
        <f t="shared" si="2"/>
        <v>0</v>
      </c>
      <c r="CY45" s="512">
        <f t="shared" si="3"/>
        <v>0</v>
      </c>
    </row>
    <row r="46" spans="1:103">
      <c r="A46" s="29" t="s">
        <v>387</v>
      </c>
      <c r="B46" s="162" t="str">
        <f>IFERROR(VLOOKUP(ParicipationMai1[[#This Row],[Référence]],ListeÉtudiants1[],18,FALSE),"")</f>
        <v>CORDEREIX MARIE</v>
      </c>
      <c r="AG46" s="286"/>
      <c r="AH46" s="138">
        <f>COUNTIF(ParicipationMai1[[1]:[31]],Code1)</f>
        <v>0</v>
      </c>
      <c r="AI46" s="474">
        <f>COUNTIF(ParicipationMai1[[1]:[31]],code22)</f>
        <v>0</v>
      </c>
      <c r="AJ46" s="138">
        <f>COUNTIF(ParicipationMai1[[#This Row],[1]:[31]],Code2)</f>
        <v>0</v>
      </c>
      <c r="AK46" s="138">
        <f>COUNTIF(ParicipationMai1[[#This Row],[1]:[31]],Code3)</f>
        <v>0</v>
      </c>
      <c r="AL46" s="138">
        <f>COUNTIF(ParicipationMai1[[#This Row],[1]:[31]],Code4)</f>
        <v>0</v>
      </c>
      <c r="AM46" s="472">
        <f>COUNTIF(ParicipationMai1[[#This Row],[1]:[31]],Code5)</f>
        <v>0</v>
      </c>
      <c r="AN46" s="472">
        <f>COUNTIF(ParicipationMai1[[#This Row],[1]:[31]],Code23)</f>
        <v>0</v>
      </c>
      <c r="AO46" s="472">
        <f>COUNTIF(ParicipationMai1[[#This Row],[1]:[31]],Code6)</f>
        <v>0</v>
      </c>
      <c r="AP46" s="472">
        <f>COUNTIF(ParicipationMai1[[#This Row],[1]:[31]],Code7)</f>
        <v>0</v>
      </c>
      <c r="AQ46" s="472">
        <f>COUNTIF(ParicipationMai1[[#This Row],[1]:[31]],Code8)</f>
        <v>0</v>
      </c>
      <c r="AR46" s="472">
        <f>COUNTIF(ParicipationMai1[[#This Row],[1]:[31]],Code9)</f>
        <v>0</v>
      </c>
      <c r="AS46" s="472">
        <f>COUNTIF(ParicipationMai1[[#This Row],[1]:[31]],Code10)</f>
        <v>0</v>
      </c>
      <c r="AT46" s="472">
        <f>COUNTIF(ParicipationMai1[[#This Row],[1]:[31]],Code11)</f>
        <v>0</v>
      </c>
      <c r="AU46" s="472">
        <f>COUNTIF(ParicipationMai1[[#This Row],[1]:[31]],Code12)</f>
        <v>0</v>
      </c>
      <c r="AV46" s="472">
        <f>COUNTIF(ParicipationMai1[[#This Row],[1]:[31]],Code13)</f>
        <v>0</v>
      </c>
      <c r="AW46" s="472">
        <f>COUNTIF(ParicipationMai1[[#This Row],[1]:[31]],Code14)</f>
        <v>0</v>
      </c>
      <c r="AX46" s="472">
        <f>COUNTIF(ParicipationMai1[[#This Row],[1]:[31]],Code15)</f>
        <v>0</v>
      </c>
      <c r="AY46" s="472">
        <f>COUNTIF(ParicipationMai1[[#This Row],[1]:[31]],Code16)</f>
        <v>0</v>
      </c>
      <c r="AZ46" s="472">
        <f>COUNTIF(ParicipationMai1[[#This Row],[1]:[31]],Code17)</f>
        <v>0</v>
      </c>
      <c r="BA46" s="472">
        <f>COUNTIF(ParicipationMai1[[#This Row],[1]:[31]],Code25)</f>
        <v>0</v>
      </c>
      <c r="BB46" s="472">
        <f>COUNTIF(ParicipationMai1[[#This Row],[1]:[31]],Code26)</f>
        <v>0</v>
      </c>
      <c r="BC46" s="472">
        <f>COUNTIF(ParicipationMai1[[#This Row],[1]:[31]],Code27)</f>
        <v>0</v>
      </c>
      <c r="BD46" s="472">
        <f>COUNTIF(ParicipationMai1[[#This Row],[1]:[31]],Code28)</f>
        <v>0</v>
      </c>
      <c r="BE46" s="472">
        <f>COUNTIF(ParicipationMai1[[#This Row],[1]:[31]],code30)</f>
        <v>0</v>
      </c>
      <c r="BF46" s="472">
        <f>COUNTIF(ParicipationMai1[[#This Row],[1]:[31]],Code31)</f>
        <v>0</v>
      </c>
      <c r="BG46" s="472">
        <f>COUNTIF(ParicipationMai1[[#This Row],[1]:[31]],code21)</f>
        <v>0</v>
      </c>
      <c r="BH46" s="472">
        <f>COUNTIF(ParicipationMai1[[#This Row],[1]:[31]],Code24)</f>
        <v>0</v>
      </c>
      <c r="BI46" s="370">
        <f>COUNTIF(ParicipationMai1[[#This Row],[1]:[31]],code18)</f>
        <v>0</v>
      </c>
      <c r="BJ46" s="370">
        <f>COUNTIF(ParicipationMai1[[#This Row],[1]:[31]],code19)</f>
        <v>0</v>
      </c>
      <c r="BK46" s="370">
        <f>COUNTIF(ParicipationMai1[[#This Row],[1]:[31]],code20)</f>
        <v>0</v>
      </c>
      <c r="BL46" s="516">
        <f>COUNTIF(ParicipationMai1[[#This Row],[1]:[31]],code29)</f>
        <v>0</v>
      </c>
      <c r="BM46" s="297"/>
      <c r="BN46" s="297"/>
      <c r="BO46" s="297"/>
      <c r="BP46" s="297"/>
      <c r="BQ46" s="297"/>
      <c r="BR46" s="297"/>
      <c r="BS46" s="297"/>
      <c r="BT46" s="297"/>
      <c r="BU46" s="297"/>
      <c r="BV46" s="297"/>
      <c r="BW46" s="297"/>
      <c r="BX46" s="297"/>
      <c r="BY46" s="297"/>
      <c r="BZ46" s="297"/>
      <c r="CA46" s="297"/>
      <c r="CB46" s="297"/>
      <c r="CC46" s="297"/>
      <c r="CD46" s="297"/>
      <c r="CE46" s="297"/>
      <c r="CF46" s="297"/>
      <c r="CG46" s="297"/>
      <c r="CH46" s="297"/>
      <c r="CI46" s="297"/>
      <c r="CJ46" s="297"/>
      <c r="CK46" s="297"/>
      <c r="CL46" s="297"/>
      <c r="CM46" s="297"/>
      <c r="CN46" s="297"/>
      <c r="CO46" s="297"/>
      <c r="CP46" s="297"/>
      <c r="CQ46" s="297"/>
      <c r="CR46" s="297"/>
      <c r="CS46" s="297"/>
      <c r="CT46" s="472"/>
      <c r="CU46" s="300"/>
      <c r="CV46" s="589">
        <f t="shared" si="0"/>
        <v>0</v>
      </c>
      <c r="CW46" s="501">
        <f t="shared" si="1"/>
        <v>0</v>
      </c>
      <c r="CX46" s="472">
        <f t="shared" si="2"/>
        <v>0</v>
      </c>
      <c r="CY46" s="512">
        <f t="shared" si="3"/>
        <v>0</v>
      </c>
    </row>
    <row r="47" spans="1:103">
      <c r="A47" s="29" t="s">
        <v>388</v>
      </c>
      <c r="B47" s="162" t="str">
        <f>IFERROR(VLOOKUP(ParicipationMai1[[#This Row],[Référence]],ListeÉtudiants1[],18,FALSE),"")</f>
        <v>CORNELIS  ESTELLE</v>
      </c>
      <c r="AG47" s="286"/>
      <c r="AH47" s="138">
        <f>COUNTIF(ParicipationMai1[[1]:[31]],Code1)</f>
        <v>0</v>
      </c>
      <c r="AI47" s="474">
        <f>COUNTIF(ParicipationMai1[[1]:[31]],code22)</f>
        <v>0</v>
      </c>
      <c r="AJ47" s="138">
        <f>COUNTIF(ParicipationMai1[[#This Row],[1]:[31]],Code2)</f>
        <v>0</v>
      </c>
      <c r="AK47" s="138">
        <f>COUNTIF(ParicipationMai1[[#This Row],[1]:[31]],Code3)</f>
        <v>0</v>
      </c>
      <c r="AL47" s="138">
        <f>COUNTIF(ParicipationMai1[[#This Row],[1]:[31]],Code4)</f>
        <v>0</v>
      </c>
      <c r="AM47" s="472">
        <f>COUNTIF(ParicipationMai1[[#This Row],[1]:[31]],Code5)</f>
        <v>0</v>
      </c>
      <c r="AN47" s="472">
        <f>COUNTIF(ParicipationMai1[[#This Row],[1]:[31]],Code23)</f>
        <v>0</v>
      </c>
      <c r="AO47" s="472">
        <f>COUNTIF(ParicipationMai1[[#This Row],[1]:[31]],Code6)</f>
        <v>0</v>
      </c>
      <c r="AP47" s="472">
        <f>COUNTIF(ParicipationMai1[[#This Row],[1]:[31]],Code7)</f>
        <v>0</v>
      </c>
      <c r="AQ47" s="472">
        <f>COUNTIF(ParicipationMai1[[#This Row],[1]:[31]],Code8)</f>
        <v>0</v>
      </c>
      <c r="AR47" s="472">
        <f>COUNTIF(ParicipationMai1[[#This Row],[1]:[31]],Code9)</f>
        <v>0</v>
      </c>
      <c r="AS47" s="472">
        <f>COUNTIF(ParicipationMai1[[#This Row],[1]:[31]],Code10)</f>
        <v>0</v>
      </c>
      <c r="AT47" s="472">
        <f>COUNTIF(ParicipationMai1[[#This Row],[1]:[31]],Code11)</f>
        <v>0</v>
      </c>
      <c r="AU47" s="472">
        <f>COUNTIF(ParicipationMai1[[#This Row],[1]:[31]],Code12)</f>
        <v>0</v>
      </c>
      <c r="AV47" s="472">
        <f>COUNTIF(ParicipationMai1[[#This Row],[1]:[31]],Code13)</f>
        <v>0</v>
      </c>
      <c r="AW47" s="472">
        <f>COUNTIF(ParicipationMai1[[#This Row],[1]:[31]],Code14)</f>
        <v>0</v>
      </c>
      <c r="AX47" s="472">
        <f>COUNTIF(ParicipationMai1[[#This Row],[1]:[31]],Code15)</f>
        <v>0</v>
      </c>
      <c r="AY47" s="472">
        <f>COUNTIF(ParicipationMai1[[#This Row],[1]:[31]],Code16)</f>
        <v>0</v>
      </c>
      <c r="AZ47" s="472">
        <f>COUNTIF(ParicipationMai1[[#This Row],[1]:[31]],Code17)</f>
        <v>0</v>
      </c>
      <c r="BA47" s="472">
        <f>COUNTIF(ParicipationMai1[[#This Row],[1]:[31]],Code25)</f>
        <v>0</v>
      </c>
      <c r="BB47" s="472">
        <f>COUNTIF(ParicipationMai1[[#This Row],[1]:[31]],Code26)</f>
        <v>0</v>
      </c>
      <c r="BC47" s="472">
        <f>COUNTIF(ParicipationMai1[[#This Row],[1]:[31]],Code27)</f>
        <v>0</v>
      </c>
      <c r="BD47" s="472">
        <f>COUNTIF(ParicipationMai1[[#This Row],[1]:[31]],Code28)</f>
        <v>0</v>
      </c>
      <c r="BE47" s="472">
        <f>COUNTIF(ParicipationMai1[[#This Row],[1]:[31]],code30)</f>
        <v>0</v>
      </c>
      <c r="BF47" s="472">
        <f>COUNTIF(ParicipationMai1[[#This Row],[1]:[31]],Code31)</f>
        <v>0</v>
      </c>
      <c r="BG47" s="472">
        <f>COUNTIF(ParicipationMai1[[#This Row],[1]:[31]],code21)</f>
        <v>0</v>
      </c>
      <c r="BH47" s="472">
        <f>COUNTIF(ParicipationMai1[[#This Row],[1]:[31]],Code24)</f>
        <v>0</v>
      </c>
      <c r="BI47" s="370">
        <f>COUNTIF(ParicipationMai1[[#This Row],[1]:[31]],code18)</f>
        <v>0</v>
      </c>
      <c r="BJ47" s="370">
        <f>COUNTIF(ParicipationMai1[[#This Row],[1]:[31]],code19)</f>
        <v>0</v>
      </c>
      <c r="BK47" s="370">
        <f>COUNTIF(ParicipationMai1[[#This Row],[1]:[31]],code20)</f>
        <v>0</v>
      </c>
      <c r="BL47" s="516">
        <f>COUNTIF(ParicipationMai1[[#This Row],[1]:[31]],code29)</f>
        <v>0</v>
      </c>
      <c r="BM47" s="297"/>
      <c r="BN47" s="297"/>
      <c r="BO47" s="297"/>
      <c r="BP47" s="297"/>
      <c r="BQ47" s="297"/>
      <c r="BR47" s="297"/>
      <c r="BS47" s="297"/>
      <c r="BT47" s="297"/>
      <c r="BU47" s="297"/>
      <c r="BV47" s="297"/>
      <c r="BW47" s="297"/>
      <c r="BX47" s="297"/>
      <c r="BY47" s="297"/>
      <c r="BZ47" s="297"/>
      <c r="CA47" s="297"/>
      <c r="CB47" s="297"/>
      <c r="CC47" s="297"/>
      <c r="CD47" s="297"/>
      <c r="CE47" s="297"/>
      <c r="CF47" s="297"/>
      <c r="CG47" s="297"/>
      <c r="CH47" s="297"/>
      <c r="CI47" s="297"/>
      <c r="CJ47" s="297"/>
      <c r="CK47" s="297"/>
      <c r="CL47" s="297"/>
      <c r="CM47" s="297"/>
      <c r="CN47" s="297"/>
      <c r="CO47" s="297"/>
      <c r="CP47" s="297"/>
      <c r="CQ47" s="297"/>
      <c r="CR47" s="297"/>
      <c r="CS47" s="297"/>
      <c r="CT47" s="472"/>
      <c r="CU47" s="300"/>
      <c r="CV47" s="589">
        <f t="shared" si="0"/>
        <v>0</v>
      </c>
      <c r="CW47" s="501">
        <f t="shared" si="1"/>
        <v>0</v>
      </c>
      <c r="CX47" s="472">
        <f t="shared" si="2"/>
        <v>0</v>
      </c>
      <c r="CY47" s="512">
        <f t="shared" si="3"/>
        <v>0</v>
      </c>
    </row>
    <row r="48" spans="1:103">
      <c r="A48" s="29" t="s">
        <v>389</v>
      </c>
      <c r="B48" s="162" t="str">
        <f>IFERROR(VLOOKUP(ParicipationMai1[[#This Row],[Référence]],ListeÉtudiants1[],18,FALSE),"")</f>
        <v>COULIBALY COLLO</v>
      </c>
      <c r="AG48" s="286"/>
      <c r="AH48" s="138">
        <f>COUNTIF(ParicipationMai1[[1]:[31]],Code1)</f>
        <v>0</v>
      </c>
      <c r="AI48" s="474">
        <f>COUNTIF(ParicipationMai1[[1]:[31]],code22)</f>
        <v>0</v>
      </c>
      <c r="AJ48" s="138">
        <f>COUNTIF(ParicipationMai1[[#This Row],[1]:[31]],Code2)</f>
        <v>0</v>
      </c>
      <c r="AK48" s="138">
        <f>COUNTIF(ParicipationMai1[[#This Row],[1]:[31]],Code3)</f>
        <v>0</v>
      </c>
      <c r="AL48" s="138">
        <f>COUNTIF(ParicipationMai1[[#This Row],[1]:[31]],Code4)</f>
        <v>0</v>
      </c>
      <c r="AM48" s="472">
        <f>COUNTIF(ParicipationMai1[[#This Row],[1]:[31]],Code5)</f>
        <v>0</v>
      </c>
      <c r="AN48" s="472">
        <f>COUNTIF(ParicipationMai1[[#This Row],[1]:[31]],Code23)</f>
        <v>0</v>
      </c>
      <c r="AO48" s="472">
        <f>COUNTIF(ParicipationMai1[[#This Row],[1]:[31]],Code6)</f>
        <v>0</v>
      </c>
      <c r="AP48" s="472">
        <f>COUNTIF(ParicipationMai1[[#This Row],[1]:[31]],Code7)</f>
        <v>0</v>
      </c>
      <c r="AQ48" s="472">
        <f>COUNTIF(ParicipationMai1[[#This Row],[1]:[31]],Code8)</f>
        <v>0</v>
      </c>
      <c r="AR48" s="472">
        <f>COUNTIF(ParicipationMai1[[#This Row],[1]:[31]],Code9)</f>
        <v>0</v>
      </c>
      <c r="AS48" s="472">
        <f>COUNTIF(ParicipationMai1[[#This Row],[1]:[31]],Code10)</f>
        <v>0</v>
      </c>
      <c r="AT48" s="472">
        <f>COUNTIF(ParicipationMai1[[#This Row],[1]:[31]],Code11)</f>
        <v>0</v>
      </c>
      <c r="AU48" s="472">
        <f>COUNTIF(ParicipationMai1[[#This Row],[1]:[31]],Code12)</f>
        <v>0</v>
      </c>
      <c r="AV48" s="472">
        <f>COUNTIF(ParicipationMai1[[#This Row],[1]:[31]],Code13)</f>
        <v>0</v>
      </c>
      <c r="AW48" s="472">
        <f>COUNTIF(ParicipationMai1[[#This Row],[1]:[31]],Code14)</f>
        <v>0</v>
      </c>
      <c r="AX48" s="472">
        <f>COUNTIF(ParicipationMai1[[#This Row],[1]:[31]],Code15)</f>
        <v>0</v>
      </c>
      <c r="AY48" s="472">
        <f>COUNTIF(ParicipationMai1[[#This Row],[1]:[31]],Code16)</f>
        <v>0</v>
      </c>
      <c r="AZ48" s="472">
        <f>COUNTIF(ParicipationMai1[[#This Row],[1]:[31]],Code17)</f>
        <v>0</v>
      </c>
      <c r="BA48" s="472">
        <f>COUNTIF(ParicipationMai1[[#This Row],[1]:[31]],Code25)</f>
        <v>0</v>
      </c>
      <c r="BB48" s="472">
        <f>COUNTIF(ParicipationMai1[[#This Row],[1]:[31]],Code26)</f>
        <v>0</v>
      </c>
      <c r="BC48" s="472">
        <f>COUNTIF(ParicipationMai1[[#This Row],[1]:[31]],Code27)</f>
        <v>0</v>
      </c>
      <c r="BD48" s="472">
        <f>COUNTIF(ParicipationMai1[[#This Row],[1]:[31]],Code28)</f>
        <v>0</v>
      </c>
      <c r="BE48" s="472">
        <f>COUNTIF(ParicipationMai1[[#This Row],[1]:[31]],code30)</f>
        <v>0</v>
      </c>
      <c r="BF48" s="472">
        <f>COUNTIF(ParicipationMai1[[#This Row],[1]:[31]],Code31)</f>
        <v>0</v>
      </c>
      <c r="BG48" s="472">
        <f>COUNTIF(ParicipationMai1[[#This Row],[1]:[31]],code21)</f>
        <v>0</v>
      </c>
      <c r="BH48" s="472">
        <f>COUNTIF(ParicipationMai1[[#This Row],[1]:[31]],Code24)</f>
        <v>0</v>
      </c>
      <c r="BI48" s="370">
        <f>COUNTIF(ParicipationMai1[[#This Row],[1]:[31]],code18)</f>
        <v>0</v>
      </c>
      <c r="BJ48" s="370">
        <f>COUNTIF(ParicipationMai1[[#This Row],[1]:[31]],code19)</f>
        <v>0</v>
      </c>
      <c r="BK48" s="370">
        <f>COUNTIF(ParicipationMai1[[#This Row],[1]:[31]],code20)</f>
        <v>0</v>
      </c>
      <c r="BL48" s="516">
        <f>COUNTIF(ParicipationMai1[[#This Row],[1]:[31]],code29)</f>
        <v>0</v>
      </c>
      <c r="BM48" s="297"/>
      <c r="BN48" s="297"/>
      <c r="BO48" s="297"/>
      <c r="BP48" s="297"/>
      <c r="BQ48" s="297"/>
      <c r="BR48" s="297"/>
      <c r="BS48" s="297"/>
      <c r="BT48" s="297"/>
      <c r="BU48" s="297"/>
      <c r="BV48" s="297"/>
      <c r="BW48" s="297"/>
      <c r="BX48" s="297"/>
      <c r="BY48" s="297"/>
      <c r="BZ48" s="297"/>
      <c r="CA48" s="297"/>
      <c r="CB48" s="297"/>
      <c r="CC48" s="297"/>
      <c r="CD48" s="297"/>
      <c r="CE48" s="297"/>
      <c r="CF48" s="297"/>
      <c r="CG48" s="297"/>
      <c r="CH48" s="297"/>
      <c r="CI48" s="297"/>
      <c r="CJ48" s="297"/>
      <c r="CK48" s="297"/>
      <c r="CL48" s="297"/>
      <c r="CM48" s="297"/>
      <c r="CN48" s="297"/>
      <c r="CO48" s="297"/>
      <c r="CP48" s="297"/>
      <c r="CQ48" s="297"/>
      <c r="CR48" s="297"/>
      <c r="CS48" s="297"/>
      <c r="CT48" s="472"/>
      <c r="CU48" s="300"/>
      <c r="CV48" s="589">
        <f t="shared" si="0"/>
        <v>0</v>
      </c>
      <c r="CW48" s="501">
        <f t="shared" si="1"/>
        <v>0</v>
      </c>
      <c r="CX48" s="472">
        <f t="shared" si="2"/>
        <v>0</v>
      </c>
      <c r="CY48" s="512">
        <f t="shared" si="3"/>
        <v>0</v>
      </c>
    </row>
    <row r="49" spans="1:103">
      <c r="A49" s="29" t="s">
        <v>390</v>
      </c>
      <c r="B49" s="162" t="str">
        <f>IFERROR(VLOOKUP(ParicipationMai1[[#This Row],[Référence]],ListeÉtudiants1[],18,FALSE),"")</f>
        <v>DAGNET ANNAH</v>
      </c>
      <c r="AG49" s="286"/>
      <c r="AH49" s="138">
        <f>COUNTIF(ParicipationMai1[[1]:[31]],Code1)</f>
        <v>0</v>
      </c>
      <c r="AI49" s="474">
        <f>COUNTIF(ParicipationMai1[[1]:[31]],code22)</f>
        <v>0</v>
      </c>
      <c r="AJ49" s="138">
        <f>COUNTIF(ParicipationMai1[[#This Row],[1]:[31]],Code2)</f>
        <v>0</v>
      </c>
      <c r="AK49" s="138">
        <f>COUNTIF(ParicipationMai1[[#This Row],[1]:[31]],Code3)</f>
        <v>0</v>
      </c>
      <c r="AL49" s="138">
        <f>COUNTIF(ParicipationMai1[[#This Row],[1]:[31]],Code4)</f>
        <v>0</v>
      </c>
      <c r="AM49" s="472">
        <f>COUNTIF(ParicipationMai1[[#This Row],[1]:[31]],Code5)</f>
        <v>0</v>
      </c>
      <c r="AN49" s="472">
        <f>COUNTIF(ParicipationMai1[[#This Row],[1]:[31]],Code23)</f>
        <v>0</v>
      </c>
      <c r="AO49" s="472">
        <f>COUNTIF(ParicipationMai1[[#This Row],[1]:[31]],Code6)</f>
        <v>0</v>
      </c>
      <c r="AP49" s="472">
        <f>COUNTIF(ParicipationMai1[[#This Row],[1]:[31]],Code7)</f>
        <v>0</v>
      </c>
      <c r="AQ49" s="472">
        <f>COUNTIF(ParicipationMai1[[#This Row],[1]:[31]],Code8)</f>
        <v>0</v>
      </c>
      <c r="AR49" s="472">
        <f>COUNTIF(ParicipationMai1[[#This Row],[1]:[31]],Code9)</f>
        <v>0</v>
      </c>
      <c r="AS49" s="472">
        <f>COUNTIF(ParicipationMai1[[#This Row],[1]:[31]],Code10)</f>
        <v>0</v>
      </c>
      <c r="AT49" s="472">
        <f>COUNTIF(ParicipationMai1[[#This Row],[1]:[31]],Code11)</f>
        <v>0</v>
      </c>
      <c r="AU49" s="472">
        <f>COUNTIF(ParicipationMai1[[#This Row],[1]:[31]],Code12)</f>
        <v>0</v>
      </c>
      <c r="AV49" s="472">
        <f>COUNTIF(ParicipationMai1[[#This Row],[1]:[31]],Code13)</f>
        <v>0</v>
      </c>
      <c r="AW49" s="472">
        <f>COUNTIF(ParicipationMai1[[#This Row],[1]:[31]],Code14)</f>
        <v>0</v>
      </c>
      <c r="AX49" s="472">
        <f>COUNTIF(ParicipationMai1[[#This Row],[1]:[31]],Code15)</f>
        <v>0</v>
      </c>
      <c r="AY49" s="472">
        <f>COUNTIF(ParicipationMai1[[#This Row],[1]:[31]],Code16)</f>
        <v>0</v>
      </c>
      <c r="AZ49" s="472">
        <f>COUNTIF(ParicipationMai1[[#This Row],[1]:[31]],Code17)</f>
        <v>0</v>
      </c>
      <c r="BA49" s="472">
        <f>COUNTIF(ParicipationMai1[[#This Row],[1]:[31]],Code25)</f>
        <v>0</v>
      </c>
      <c r="BB49" s="472">
        <f>COUNTIF(ParicipationMai1[[#This Row],[1]:[31]],Code26)</f>
        <v>0</v>
      </c>
      <c r="BC49" s="472">
        <f>COUNTIF(ParicipationMai1[[#This Row],[1]:[31]],Code27)</f>
        <v>0</v>
      </c>
      <c r="BD49" s="472">
        <f>COUNTIF(ParicipationMai1[[#This Row],[1]:[31]],Code28)</f>
        <v>0</v>
      </c>
      <c r="BE49" s="472">
        <f>COUNTIF(ParicipationMai1[[#This Row],[1]:[31]],code30)</f>
        <v>0</v>
      </c>
      <c r="BF49" s="472">
        <f>COUNTIF(ParicipationMai1[[#This Row],[1]:[31]],Code31)</f>
        <v>0</v>
      </c>
      <c r="BG49" s="472">
        <f>COUNTIF(ParicipationMai1[[#This Row],[1]:[31]],code21)</f>
        <v>0</v>
      </c>
      <c r="BH49" s="472">
        <f>COUNTIF(ParicipationMai1[[#This Row],[1]:[31]],Code24)</f>
        <v>0</v>
      </c>
      <c r="BI49" s="370">
        <f>COUNTIF(ParicipationMai1[[#This Row],[1]:[31]],code18)</f>
        <v>0</v>
      </c>
      <c r="BJ49" s="370">
        <f>COUNTIF(ParicipationMai1[[#This Row],[1]:[31]],code19)</f>
        <v>0</v>
      </c>
      <c r="BK49" s="370">
        <f>COUNTIF(ParicipationMai1[[#This Row],[1]:[31]],code20)</f>
        <v>0</v>
      </c>
      <c r="BL49" s="516">
        <f>COUNTIF(ParicipationMai1[[#This Row],[1]:[31]],code29)</f>
        <v>0</v>
      </c>
      <c r="BM49" s="297"/>
      <c r="BN49" s="297"/>
      <c r="BO49" s="297"/>
      <c r="BP49" s="297"/>
      <c r="BQ49" s="297"/>
      <c r="BR49" s="297"/>
      <c r="BS49" s="297"/>
      <c r="BT49" s="297"/>
      <c r="BU49" s="297"/>
      <c r="BV49" s="297"/>
      <c r="BW49" s="297"/>
      <c r="BX49" s="297"/>
      <c r="BY49" s="297"/>
      <c r="BZ49" s="297"/>
      <c r="CA49" s="297"/>
      <c r="CB49" s="297"/>
      <c r="CC49" s="297"/>
      <c r="CD49" s="297"/>
      <c r="CE49" s="297"/>
      <c r="CF49" s="297"/>
      <c r="CG49" s="297"/>
      <c r="CH49" s="297"/>
      <c r="CI49" s="297"/>
      <c r="CJ49" s="297"/>
      <c r="CK49" s="297"/>
      <c r="CL49" s="297"/>
      <c r="CM49" s="297"/>
      <c r="CN49" s="297"/>
      <c r="CO49" s="297"/>
      <c r="CP49" s="297"/>
      <c r="CQ49" s="297"/>
      <c r="CR49" s="297"/>
      <c r="CS49" s="297"/>
      <c r="CT49" s="472"/>
      <c r="CU49" s="300"/>
      <c r="CV49" s="589">
        <f t="shared" si="0"/>
        <v>0</v>
      </c>
      <c r="CW49" s="501">
        <f t="shared" si="1"/>
        <v>0</v>
      </c>
      <c r="CX49" s="472">
        <f t="shared" si="2"/>
        <v>0</v>
      </c>
      <c r="CY49" s="512">
        <f t="shared" si="3"/>
        <v>0</v>
      </c>
    </row>
    <row r="50" spans="1:103">
      <c r="A50" s="29" t="s">
        <v>391</v>
      </c>
      <c r="B50" s="162" t="str">
        <f>IFERROR(VLOOKUP(ParicipationMai1[[#This Row],[Référence]],ListeÉtudiants1[],18,FALSE),"")</f>
        <v>DAHMANI LUANA</v>
      </c>
      <c r="AG50" s="286"/>
      <c r="AH50" s="138">
        <f>COUNTIF(ParicipationMai1[[1]:[31]],Code1)</f>
        <v>0</v>
      </c>
      <c r="AI50" s="474">
        <f>COUNTIF(ParicipationMai1[[1]:[31]],code22)</f>
        <v>0</v>
      </c>
      <c r="AJ50" s="138">
        <f>COUNTIF(ParicipationMai1[[#This Row],[1]:[31]],Code2)</f>
        <v>0</v>
      </c>
      <c r="AK50" s="138">
        <f>COUNTIF(ParicipationMai1[[#This Row],[1]:[31]],Code3)</f>
        <v>0</v>
      </c>
      <c r="AL50" s="138">
        <f>COUNTIF(ParicipationMai1[[#This Row],[1]:[31]],Code4)</f>
        <v>0</v>
      </c>
      <c r="AM50" s="472">
        <f>COUNTIF(ParicipationMai1[[#This Row],[1]:[31]],Code5)</f>
        <v>0</v>
      </c>
      <c r="AN50" s="472">
        <f>COUNTIF(ParicipationMai1[[#This Row],[1]:[31]],Code23)</f>
        <v>0</v>
      </c>
      <c r="AO50" s="472">
        <f>COUNTIF(ParicipationMai1[[#This Row],[1]:[31]],Code6)</f>
        <v>0</v>
      </c>
      <c r="AP50" s="472">
        <f>COUNTIF(ParicipationMai1[[#This Row],[1]:[31]],Code7)</f>
        <v>0</v>
      </c>
      <c r="AQ50" s="472">
        <f>COUNTIF(ParicipationMai1[[#This Row],[1]:[31]],Code8)</f>
        <v>0</v>
      </c>
      <c r="AR50" s="472">
        <f>COUNTIF(ParicipationMai1[[#This Row],[1]:[31]],Code9)</f>
        <v>0</v>
      </c>
      <c r="AS50" s="472">
        <f>COUNTIF(ParicipationMai1[[#This Row],[1]:[31]],Code10)</f>
        <v>0</v>
      </c>
      <c r="AT50" s="472">
        <f>COUNTIF(ParicipationMai1[[#This Row],[1]:[31]],Code11)</f>
        <v>0</v>
      </c>
      <c r="AU50" s="472">
        <f>COUNTIF(ParicipationMai1[[#This Row],[1]:[31]],Code12)</f>
        <v>0</v>
      </c>
      <c r="AV50" s="472">
        <f>COUNTIF(ParicipationMai1[[#This Row],[1]:[31]],Code13)</f>
        <v>0</v>
      </c>
      <c r="AW50" s="472">
        <f>COUNTIF(ParicipationMai1[[#This Row],[1]:[31]],Code14)</f>
        <v>0</v>
      </c>
      <c r="AX50" s="472">
        <f>COUNTIF(ParicipationMai1[[#This Row],[1]:[31]],Code15)</f>
        <v>0</v>
      </c>
      <c r="AY50" s="472">
        <f>COUNTIF(ParicipationMai1[[#This Row],[1]:[31]],Code16)</f>
        <v>0</v>
      </c>
      <c r="AZ50" s="472">
        <f>COUNTIF(ParicipationMai1[[#This Row],[1]:[31]],Code17)</f>
        <v>0</v>
      </c>
      <c r="BA50" s="472">
        <f>COUNTIF(ParicipationMai1[[#This Row],[1]:[31]],Code25)</f>
        <v>0</v>
      </c>
      <c r="BB50" s="472">
        <f>COUNTIF(ParicipationMai1[[#This Row],[1]:[31]],Code26)</f>
        <v>0</v>
      </c>
      <c r="BC50" s="472">
        <f>COUNTIF(ParicipationMai1[[#This Row],[1]:[31]],Code27)</f>
        <v>0</v>
      </c>
      <c r="BD50" s="472">
        <f>COUNTIF(ParicipationMai1[[#This Row],[1]:[31]],Code28)</f>
        <v>0</v>
      </c>
      <c r="BE50" s="472">
        <f>COUNTIF(ParicipationMai1[[#This Row],[1]:[31]],code30)</f>
        <v>0</v>
      </c>
      <c r="BF50" s="472">
        <f>COUNTIF(ParicipationMai1[[#This Row],[1]:[31]],Code31)</f>
        <v>0</v>
      </c>
      <c r="BG50" s="472">
        <f>COUNTIF(ParicipationMai1[[#This Row],[1]:[31]],code21)</f>
        <v>0</v>
      </c>
      <c r="BH50" s="472">
        <f>COUNTIF(ParicipationMai1[[#This Row],[1]:[31]],Code24)</f>
        <v>0</v>
      </c>
      <c r="BI50" s="370">
        <f>COUNTIF(ParicipationMai1[[#This Row],[1]:[31]],code18)</f>
        <v>0</v>
      </c>
      <c r="BJ50" s="370">
        <f>COUNTIF(ParicipationMai1[[#This Row],[1]:[31]],code19)</f>
        <v>0</v>
      </c>
      <c r="BK50" s="370">
        <f>COUNTIF(ParicipationMai1[[#This Row],[1]:[31]],code20)</f>
        <v>0</v>
      </c>
      <c r="BL50" s="516">
        <f>COUNTIF(ParicipationMai1[[#This Row],[1]:[31]],code29)</f>
        <v>0</v>
      </c>
      <c r="BM50" s="297"/>
      <c r="BN50" s="297"/>
      <c r="BO50" s="297"/>
      <c r="BP50" s="297"/>
      <c r="BQ50" s="297"/>
      <c r="BR50" s="297"/>
      <c r="BS50" s="297"/>
      <c r="BT50" s="297"/>
      <c r="BU50" s="297"/>
      <c r="BV50" s="297"/>
      <c r="BW50" s="297"/>
      <c r="BX50" s="297"/>
      <c r="BY50" s="297"/>
      <c r="BZ50" s="297"/>
      <c r="CA50" s="297"/>
      <c r="CB50" s="297"/>
      <c r="CC50" s="297"/>
      <c r="CD50" s="297"/>
      <c r="CE50" s="297"/>
      <c r="CF50" s="297"/>
      <c r="CG50" s="297"/>
      <c r="CH50" s="297"/>
      <c r="CI50" s="297"/>
      <c r="CJ50" s="297"/>
      <c r="CK50" s="297"/>
      <c r="CL50" s="297"/>
      <c r="CM50" s="297"/>
      <c r="CN50" s="297"/>
      <c r="CO50" s="297"/>
      <c r="CP50" s="297"/>
      <c r="CQ50" s="297"/>
      <c r="CR50" s="297"/>
      <c r="CS50" s="297"/>
      <c r="CT50" s="472"/>
      <c r="CU50" s="300"/>
      <c r="CV50" s="589">
        <f t="shared" si="0"/>
        <v>0</v>
      </c>
      <c r="CW50" s="501">
        <f t="shared" si="1"/>
        <v>0</v>
      </c>
      <c r="CX50" s="472">
        <f t="shared" si="2"/>
        <v>0</v>
      </c>
      <c r="CY50" s="512">
        <f t="shared" si="3"/>
        <v>0</v>
      </c>
    </row>
    <row r="51" spans="1:103">
      <c r="A51" s="29" t="s">
        <v>392</v>
      </c>
      <c r="B51" s="162" t="str">
        <f>IFERROR(VLOOKUP(ParicipationMai1[[#This Row],[Référence]],ListeÉtudiants1[],18,FALSE),"")</f>
        <v>DALI SOUAD</v>
      </c>
      <c r="AG51" s="286"/>
      <c r="AH51" s="138">
        <f>COUNTIF(ParicipationMai1[[1]:[31]],Code1)</f>
        <v>0</v>
      </c>
      <c r="AI51" s="474">
        <f>COUNTIF(ParicipationMai1[[1]:[31]],code22)</f>
        <v>0</v>
      </c>
      <c r="AJ51" s="138">
        <f>COUNTIF(ParicipationMai1[[#This Row],[1]:[31]],Code2)</f>
        <v>0</v>
      </c>
      <c r="AK51" s="138">
        <f>COUNTIF(ParicipationMai1[[#This Row],[1]:[31]],Code3)</f>
        <v>0</v>
      </c>
      <c r="AL51" s="138">
        <f>COUNTIF(ParicipationMai1[[#This Row],[1]:[31]],Code4)</f>
        <v>0</v>
      </c>
      <c r="AM51" s="472">
        <f>COUNTIF(ParicipationMai1[[#This Row],[1]:[31]],Code5)</f>
        <v>0</v>
      </c>
      <c r="AN51" s="472">
        <f>COUNTIF(ParicipationMai1[[#This Row],[1]:[31]],Code23)</f>
        <v>0</v>
      </c>
      <c r="AO51" s="472">
        <f>COUNTIF(ParicipationMai1[[#This Row],[1]:[31]],Code6)</f>
        <v>0</v>
      </c>
      <c r="AP51" s="472">
        <f>COUNTIF(ParicipationMai1[[#This Row],[1]:[31]],Code7)</f>
        <v>0</v>
      </c>
      <c r="AQ51" s="472">
        <f>COUNTIF(ParicipationMai1[[#This Row],[1]:[31]],Code8)</f>
        <v>0</v>
      </c>
      <c r="AR51" s="472">
        <f>COUNTIF(ParicipationMai1[[#This Row],[1]:[31]],Code9)</f>
        <v>0</v>
      </c>
      <c r="AS51" s="472">
        <f>COUNTIF(ParicipationMai1[[#This Row],[1]:[31]],Code10)</f>
        <v>0</v>
      </c>
      <c r="AT51" s="472">
        <f>COUNTIF(ParicipationMai1[[#This Row],[1]:[31]],Code11)</f>
        <v>0</v>
      </c>
      <c r="AU51" s="472">
        <f>COUNTIF(ParicipationMai1[[#This Row],[1]:[31]],Code12)</f>
        <v>0</v>
      </c>
      <c r="AV51" s="472">
        <f>COUNTIF(ParicipationMai1[[#This Row],[1]:[31]],Code13)</f>
        <v>0</v>
      </c>
      <c r="AW51" s="472">
        <f>COUNTIF(ParicipationMai1[[#This Row],[1]:[31]],Code14)</f>
        <v>0</v>
      </c>
      <c r="AX51" s="472">
        <f>COUNTIF(ParicipationMai1[[#This Row],[1]:[31]],Code15)</f>
        <v>0</v>
      </c>
      <c r="AY51" s="472">
        <f>COUNTIF(ParicipationMai1[[#This Row],[1]:[31]],Code16)</f>
        <v>0</v>
      </c>
      <c r="AZ51" s="472">
        <f>COUNTIF(ParicipationMai1[[#This Row],[1]:[31]],Code17)</f>
        <v>0</v>
      </c>
      <c r="BA51" s="472">
        <f>COUNTIF(ParicipationMai1[[#This Row],[1]:[31]],Code25)</f>
        <v>0</v>
      </c>
      <c r="BB51" s="472">
        <f>COUNTIF(ParicipationMai1[[#This Row],[1]:[31]],Code26)</f>
        <v>0</v>
      </c>
      <c r="BC51" s="472">
        <f>COUNTIF(ParicipationMai1[[#This Row],[1]:[31]],Code27)</f>
        <v>0</v>
      </c>
      <c r="BD51" s="472">
        <f>COUNTIF(ParicipationMai1[[#This Row],[1]:[31]],Code28)</f>
        <v>0</v>
      </c>
      <c r="BE51" s="472">
        <f>COUNTIF(ParicipationMai1[[#This Row],[1]:[31]],code30)</f>
        <v>0</v>
      </c>
      <c r="BF51" s="472">
        <f>COUNTIF(ParicipationMai1[[#This Row],[1]:[31]],Code31)</f>
        <v>0</v>
      </c>
      <c r="BG51" s="472">
        <f>COUNTIF(ParicipationMai1[[#This Row],[1]:[31]],code21)</f>
        <v>0</v>
      </c>
      <c r="BH51" s="472">
        <f>COUNTIF(ParicipationMai1[[#This Row],[1]:[31]],Code24)</f>
        <v>0</v>
      </c>
      <c r="BI51" s="370">
        <f>COUNTIF(ParicipationMai1[[#This Row],[1]:[31]],code18)</f>
        <v>0</v>
      </c>
      <c r="BJ51" s="370">
        <f>COUNTIF(ParicipationMai1[[#This Row],[1]:[31]],code19)</f>
        <v>0</v>
      </c>
      <c r="BK51" s="370">
        <f>COUNTIF(ParicipationMai1[[#This Row],[1]:[31]],code20)</f>
        <v>0</v>
      </c>
      <c r="BL51" s="516">
        <f>COUNTIF(ParicipationMai1[[#This Row],[1]:[31]],code29)</f>
        <v>0</v>
      </c>
      <c r="BM51" s="297"/>
      <c r="BN51" s="297"/>
      <c r="BO51" s="297"/>
      <c r="BP51" s="297"/>
      <c r="BQ51" s="297"/>
      <c r="BR51" s="297"/>
      <c r="BS51" s="297"/>
      <c r="BT51" s="297"/>
      <c r="BU51" s="297"/>
      <c r="BV51" s="297"/>
      <c r="BW51" s="297"/>
      <c r="BX51" s="297"/>
      <c r="BY51" s="297"/>
      <c r="BZ51" s="297"/>
      <c r="CA51" s="297"/>
      <c r="CB51" s="297"/>
      <c r="CC51" s="297"/>
      <c r="CD51" s="297"/>
      <c r="CE51" s="297"/>
      <c r="CF51" s="297"/>
      <c r="CG51" s="297"/>
      <c r="CH51" s="297"/>
      <c r="CI51" s="297"/>
      <c r="CJ51" s="297"/>
      <c r="CK51" s="297"/>
      <c r="CL51" s="297"/>
      <c r="CM51" s="297"/>
      <c r="CN51" s="297"/>
      <c r="CO51" s="297"/>
      <c r="CP51" s="297"/>
      <c r="CQ51" s="297"/>
      <c r="CR51" s="297"/>
      <c r="CS51" s="297"/>
      <c r="CT51" s="472"/>
      <c r="CU51" s="300"/>
      <c r="CV51" s="589">
        <f t="shared" si="0"/>
        <v>0</v>
      </c>
      <c r="CW51" s="501">
        <f t="shared" si="1"/>
        <v>0</v>
      </c>
      <c r="CX51" s="472">
        <f t="shared" si="2"/>
        <v>0</v>
      </c>
      <c r="CY51" s="512">
        <f t="shared" si="3"/>
        <v>0</v>
      </c>
    </row>
    <row r="52" spans="1:103">
      <c r="A52" s="29" t="s">
        <v>393</v>
      </c>
      <c r="B52" s="162" t="str">
        <f>IFERROR(VLOOKUP(ParicipationMai1[[#This Row],[Référence]],ListeÉtudiants1[],18,FALSE),"")</f>
        <v>DANION LUCIE</v>
      </c>
      <c r="AG52" s="286"/>
      <c r="AH52" s="138">
        <f>COUNTIF(ParicipationMai1[[1]:[31]],Code1)</f>
        <v>0</v>
      </c>
      <c r="AI52" s="474">
        <f>COUNTIF(ParicipationMai1[[1]:[31]],code22)</f>
        <v>0</v>
      </c>
      <c r="AJ52" s="138">
        <f>COUNTIF(ParicipationMai1[[#This Row],[1]:[31]],Code2)</f>
        <v>0</v>
      </c>
      <c r="AK52" s="138">
        <f>COUNTIF(ParicipationMai1[[#This Row],[1]:[31]],Code3)</f>
        <v>0</v>
      </c>
      <c r="AL52" s="138">
        <f>COUNTIF(ParicipationMai1[[#This Row],[1]:[31]],Code4)</f>
        <v>0</v>
      </c>
      <c r="AM52" s="472">
        <f>COUNTIF(ParicipationMai1[[#This Row],[1]:[31]],Code5)</f>
        <v>0</v>
      </c>
      <c r="AN52" s="472">
        <f>COUNTIF(ParicipationMai1[[#This Row],[1]:[31]],Code23)</f>
        <v>0</v>
      </c>
      <c r="AO52" s="472">
        <f>COUNTIF(ParicipationMai1[[#This Row],[1]:[31]],Code6)</f>
        <v>0</v>
      </c>
      <c r="AP52" s="472">
        <f>COUNTIF(ParicipationMai1[[#This Row],[1]:[31]],Code7)</f>
        <v>0</v>
      </c>
      <c r="AQ52" s="472">
        <f>COUNTIF(ParicipationMai1[[#This Row],[1]:[31]],Code8)</f>
        <v>0</v>
      </c>
      <c r="AR52" s="472">
        <f>COUNTIF(ParicipationMai1[[#This Row],[1]:[31]],Code9)</f>
        <v>0</v>
      </c>
      <c r="AS52" s="472">
        <f>COUNTIF(ParicipationMai1[[#This Row],[1]:[31]],Code10)</f>
        <v>0</v>
      </c>
      <c r="AT52" s="472">
        <f>COUNTIF(ParicipationMai1[[#This Row],[1]:[31]],Code11)</f>
        <v>0</v>
      </c>
      <c r="AU52" s="472">
        <f>COUNTIF(ParicipationMai1[[#This Row],[1]:[31]],Code12)</f>
        <v>0</v>
      </c>
      <c r="AV52" s="472">
        <f>COUNTIF(ParicipationMai1[[#This Row],[1]:[31]],Code13)</f>
        <v>0</v>
      </c>
      <c r="AW52" s="472">
        <f>COUNTIF(ParicipationMai1[[#This Row],[1]:[31]],Code14)</f>
        <v>0</v>
      </c>
      <c r="AX52" s="472">
        <f>COUNTIF(ParicipationMai1[[#This Row],[1]:[31]],Code15)</f>
        <v>0</v>
      </c>
      <c r="AY52" s="472">
        <f>COUNTIF(ParicipationMai1[[#This Row],[1]:[31]],Code16)</f>
        <v>0</v>
      </c>
      <c r="AZ52" s="472">
        <f>COUNTIF(ParicipationMai1[[#This Row],[1]:[31]],Code17)</f>
        <v>0</v>
      </c>
      <c r="BA52" s="472">
        <f>COUNTIF(ParicipationMai1[[#This Row],[1]:[31]],Code25)</f>
        <v>0</v>
      </c>
      <c r="BB52" s="472">
        <f>COUNTIF(ParicipationMai1[[#This Row],[1]:[31]],Code26)</f>
        <v>0</v>
      </c>
      <c r="BC52" s="472">
        <f>COUNTIF(ParicipationMai1[[#This Row],[1]:[31]],Code27)</f>
        <v>0</v>
      </c>
      <c r="BD52" s="472">
        <f>COUNTIF(ParicipationMai1[[#This Row],[1]:[31]],Code28)</f>
        <v>0</v>
      </c>
      <c r="BE52" s="472">
        <f>COUNTIF(ParicipationMai1[[#This Row],[1]:[31]],code30)</f>
        <v>0</v>
      </c>
      <c r="BF52" s="472">
        <f>COUNTIF(ParicipationMai1[[#This Row],[1]:[31]],Code31)</f>
        <v>0</v>
      </c>
      <c r="BG52" s="472">
        <f>COUNTIF(ParicipationMai1[[#This Row],[1]:[31]],code21)</f>
        <v>0</v>
      </c>
      <c r="BH52" s="472">
        <f>COUNTIF(ParicipationMai1[[#This Row],[1]:[31]],Code24)</f>
        <v>0</v>
      </c>
      <c r="BI52" s="370">
        <f>COUNTIF(ParicipationMai1[[#This Row],[1]:[31]],code18)</f>
        <v>0</v>
      </c>
      <c r="BJ52" s="370">
        <f>COUNTIF(ParicipationMai1[[#This Row],[1]:[31]],code19)</f>
        <v>0</v>
      </c>
      <c r="BK52" s="370">
        <f>COUNTIF(ParicipationMai1[[#This Row],[1]:[31]],code20)</f>
        <v>0</v>
      </c>
      <c r="BL52" s="516">
        <f>COUNTIF(ParicipationMai1[[#This Row],[1]:[31]],code29)</f>
        <v>0</v>
      </c>
      <c r="BM52" s="297"/>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472"/>
      <c r="CU52" s="300"/>
      <c r="CV52" s="593">
        <f t="shared" si="0"/>
        <v>0</v>
      </c>
      <c r="CW52" s="501">
        <f t="shared" si="1"/>
        <v>0</v>
      </c>
      <c r="CX52" s="472">
        <f t="shared" si="2"/>
        <v>0</v>
      </c>
      <c r="CY52" s="512">
        <f t="shared" si="3"/>
        <v>0</v>
      </c>
    </row>
    <row r="53" spans="1:103">
      <c r="A53" s="29" t="s">
        <v>394</v>
      </c>
      <c r="B53" s="162" t="str">
        <f>IFERROR(VLOOKUP(ParicipationMai1[[#This Row],[Référence]],ListeÉtudiants1[],18,FALSE),"")</f>
        <v>DE LUISE STELLA</v>
      </c>
      <c r="AG53" s="286"/>
      <c r="AH53" s="138">
        <f>COUNTIF(ParicipationMai1[[1]:[31]],Code1)</f>
        <v>0</v>
      </c>
      <c r="AI53" s="474">
        <f>COUNTIF(ParicipationMai1[[1]:[31]],code22)</f>
        <v>0</v>
      </c>
      <c r="AJ53" s="138">
        <f>COUNTIF(ParicipationMai1[[#This Row],[1]:[31]],Code2)</f>
        <v>0</v>
      </c>
      <c r="AK53" s="138">
        <f>COUNTIF(ParicipationMai1[[#This Row],[1]:[31]],Code3)</f>
        <v>0</v>
      </c>
      <c r="AL53" s="138">
        <f>COUNTIF(ParicipationMai1[[#This Row],[1]:[31]],Code4)</f>
        <v>0</v>
      </c>
      <c r="AM53" s="472">
        <f>COUNTIF(ParicipationMai1[[#This Row],[1]:[31]],Code5)</f>
        <v>0</v>
      </c>
      <c r="AN53" s="472">
        <f>COUNTIF(ParicipationMai1[[#This Row],[1]:[31]],Code23)</f>
        <v>0</v>
      </c>
      <c r="AO53" s="472">
        <f>COUNTIF(ParicipationMai1[[#This Row],[1]:[31]],Code6)</f>
        <v>0</v>
      </c>
      <c r="AP53" s="472">
        <f>COUNTIF(ParicipationMai1[[#This Row],[1]:[31]],Code7)</f>
        <v>0</v>
      </c>
      <c r="AQ53" s="472">
        <f>COUNTIF(ParicipationMai1[[#This Row],[1]:[31]],Code8)</f>
        <v>0</v>
      </c>
      <c r="AR53" s="472">
        <f>COUNTIF(ParicipationMai1[[#This Row],[1]:[31]],Code9)</f>
        <v>0</v>
      </c>
      <c r="AS53" s="472">
        <f>COUNTIF(ParicipationMai1[[#This Row],[1]:[31]],Code10)</f>
        <v>0</v>
      </c>
      <c r="AT53" s="472">
        <f>COUNTIF(ParicipationMai1[[#This Row],[1]:[31]],Code11)</f>
        <v>0</v>
      </c>
      <c r="AU53" s="472">
        <f>COUNTIF(ParicipationMai1[[#This Row],[1]:[31]],Code12)</f>
        <v>0</v>
      </c>
      <c r="AV53" s="472">
        <f>COUNTIF(ParicipationMai1[[#This Row],[1]:[31]],Code13)</f>
        <v>0</v>
      </c>
      <c r="AW53" s="472">
        <f>COUNTIF(ParicipationMai1[[#This Row],[1]:[31]],Code14)</f>
        <v>0</v>
      </c>
      <c r="AX53" s="472">
        <f>COUNTIF(ParicipationMai1[[#This Row],[1]:[31]],Code15)</f>
        <v>0</v>
      </c>
      <c r="AY53" s="472">
        <f>COUNTIF(ParicipationMai1[[#This Row],[1]:[31]],Code16)</f>
        <v>0</v>
      </c>
      <c r="AZ53" s="472">
        <f>COUNTIF(ParicipationMai1[[#This Row],[1]:[31]],Code17)</f>
        <v>0</v>
      </c>
      <c r="BA53" s="472">
        <f>COUNTIF(ParicipationMai1[[#This Row],[1]:[31]],Code25)</f>
        <v>0</v>
      </c>
      <c r="BB53" s="472">
        <f>COUNTIF(ParicipationMai1[[#This Row],[1]:[31]],Code26)</f>
        <v>0</v>
      </c>
      <c r="BC53" s="472">
        <f>COUNTIF(ParicipationMai1[[#This Row],[1]:[31]],Code27)</f>
        <v>0</v>
      </c>
      <c r="BD53" s="472">
        <f>COUNTIF(ParicipationMai1[[#This Row],[1]:[31]],Code28)</f>
        <v>0</v>
      </c>
      <c r="BE53" s="472">
        <f>COUNTIF(ParicipationMai1[[#This Row],[1]:[31]],code30)</f>
        <v>0</v>
      </c>
      <c r="BF53" s="472">
        <f>COUNTIF(ParicipationMai1[[#This Row],[1]:[31]],Code31)</f>
        <v>0</v>
      </c>
      <c r="BG53" s="472">
        <f>COUNTIF(ParicipationMai1[[#This Row],[1]:[31]],code21)</f>
        <v>0</v>
      </c>
      <c r="BH53" s="472">
        <f>COUNTIF(ParicipationMai1[[#This Row],[1]:[31]],Code24)</f>
        <v>0</v>
      </c>
      <c r="BI53" s="370">
        <f>COUNTIF(ParicipationMai1[[#This Row],[1]:[31]],code18)</f>
        <v>0</v>
      </c>
      <c r="BJ53" s="370">
        <f>COUNTIF(ParicipationMai1[[#This Row],[1]:[31]],code19)</f>
        <v>0</v>
      </c>
      <c r="BK53" s="370">
        <f>COUNTIF(ParicipationMai1[[#This Row],[1]:[31]],code20)</f>
        <v>0</v>
      </c>
      <c r="BL53" s="516">
        <f>COUNTIF(ParicipationMai1[[#This Row],[1]:[31]],code29)</f>
        <v>0</v>
      </c>
      <c r="BM53" s="297"/>
      <c r="BN53" s="297"/>
      <c r="BO53" s="297"/>
      <c r="BP53" s="297"/>
      <c r="BQ53" s="297"/>
      <c r="BR53" s="297"/>
      <c r="BS53" s="297"/>
      <c r="BT53" s="297"/>
      <c r="BU53" s="297"/>
      <c r="BV53" s="297"/>
      <c r="BW53" s="297"/>
      <c r="BX53" s="297"/>
      <c r="BY53" s="297"/>
      <c r="BZ53" s="297"/>
      <c r="CA53" s="297"/>
      <c r="CB53" s="297"/>
      <c r="CC53" s="297"/>
      <c r="CD53" s="297"/>
      <c r="CE53" s="297"/>
      <c r="CF53" s="297"/>
      <c r="CG53" s="297"/>
      <c r="CH53" s="297"/>
      <c r="CI53" s="297"/>
      <c r="CJ53" s="297"/>
      <c r="CK53" s="297"/>
      <c r="CL53" s="297"/>
      <c r="CM53" s="297"/>
      <c r="CN53" s="297"/>
      <c r="CO53" s="297"/>
      <c r="CP53" s="297"/>
      <c r="CQ53" s="297"/>
      <c r="CR53" s="297"/>
      <c r="CS53" s="297"/>
      <c r="CT53" s="472"/>
      <c r="CU53" s="300"/>
      <c r="CV53" s="505">
        <f t="shared" si="0"/>
        <v>0</v>
      </c>
      <c r="CW53" s="501">
        <f t="shared" si="1"/>
        <v>0</v>
      </c>
      <c r="CX53" s="472">
        <f t="shared" si="2"/>
        <v>0</v>
      </c>
      <c r="CY53" s="512">
        <f t="shared" si="3"/>
        <v>0</v>
      </c>
    </row>
    <row r="54" spans="1:103">
      <c r="A54" s="29" t="s">
        <v>395</v>
      </c>
      <c r="B54" s="162" t="str">
        <f>IFERROR(VLOOKUP(ParicipationMai1[[#This Row],[Référence]],ListeÉtudiants1[],18,FALSE),"")</f>
        <v>DIAOUNE MAJULA</v>
      </c>
      <c r="AG54" s="286"/>
      <c r="AH54" s="138">
        <f>COUNTIF(ParicipationMai1[[1]:[31]],Code1)</f>
        <v>0</v>
      </c>
      <c r="AI54" s="474">
        <f>COUNTIF(ParicipationMai1[[1]:[31]],code22)</f>
        <v>0</v>
      </c>
      <c r="AJ54" s="138">
        <f>COUNTIF(ParicipationMai1[[#This Row],[1]:[31]],Code2)</f>
        <v>0</v>
      </c>
      <c r="AK54" s="138">
        <f>COUNTIF(ParicipationMai1[[#This Row],[1]:[31]],Code3)</f>
        <v>0</v>
      </c>
      <c r="AL54" s="138">
        <f>COUNTIF(ParicipationMai1[[#This Row],[1]:[31]],Code4)</f>
        <v>0</v>
      </c>
      <c r="AM54" s="472">
        <f>COUNTIF(ParicipationMai1[[#This Row],[1]:[31]],Code5)</f>
        <v>0</v>
      </c>
      <c r="AN54" s="472">
        <f>COUNTIF(ParicipationMai1[[#This Row],[1]:[31]],Code23)</f>
        <v>0</v>
      </c>
      <c r="AO54" s="472">
        <f>COUNTIF(ParicipationMai1[[#This Row],[1]:[31]],Code6)</f>
        <v>0</v>
      </c>
      <c r="AP54" s="472">
        <f>COUNTIF(ParicipationMai1[[#This Row],[1]:[31]],Code7)</f>
        <v>0</v>
      </c>
      <c r="AQ54" s="472">
        <f>COUNTIF(ParicipationMai1[[#This Row],[1]:[31]],Code8)</f>
        <v>0</v>
      </c>
      <c r="AR54" s="472">
        <f>COUNTIF(ParicipationMai1[[#This Row],[1]:[31]],Code9)</f>
        <v>0</v>
      </c>
      <c r="AS54" s="472">
        <f>COUNTIF(ParicipationMai1[[#This Row],[1]:[31]],Code10)</f>
        <v>0</v>
      </c>
      <c r="AT54" s="472">
        <f>COUNTIF(ParicipationMai1[[#This Row],[1]:[31]],Code11)</f>
        <v>0</v>
      </c>
      <c r="AU54" s="472">
        <f>COUNTIF(ParicipationMai1[[#This Row],[1]:[31]],Code12)</f>
        <v>0</v>
      </c>
      <c r="AV54" s="472">
        <f>COUNTIF(ParicipationMai1[[#This Row],[1]:[31]],Code13)</f>
        <v>0</v>
      </c>
      <c r="AW54" s="472">
        <f>COUNTIF(ParicipationMai1[[#This Row],[1]:[31]],Code14)</f>
        <v>0</v>
      </c>
      <c r="AX54" s="472">
        <f>COUNTIF(ParicipationMai1[[#This Row],[1]:[31]],Code15)</f>
        <v>0</v>
      </c>
      <c r="AY54" s="472">
        <f>COUNTIF(ParicipationMai1[[#This Row],[1]:[31]],Code16)</f>
        <v>0</v>
      </c>
      <c r="AZ54" s="472">
        <f>COUNTIF(ParicipationMai1[[#This Row],[1]:[31]],Code17)</f>
        <v>0</v>
      </c>
      <c r="BA54" s="472">
        <f>COUNTIF(ParicipationMai1[[#This Row],[1]:[31]],Code25)</f>
        <v>0</v>
      </c>
      <c r="BB54" s="472">
        <f>COUNTIF(ParicipationMai1[[#This Row],[1]:[31]],Code26)</f>
        <v>0</v>
      </c>
      <c r="BC54" s="472">
        <f>COUNTIF(ParicipationMai1[[#This Row],[1]:[31]],Code27)</f>
        <v>0</v>
      </c>
      <c r="BD54" s="472">
        <f>COUNTIF(ParicipationMai1[[#This Row],[1]:[31]],Code28)</f>
        <v>0</v>
      </c>
      <c r="BE54" s="472">
        <f>COUNTIF(ParicipationMai1[[#This Row],[1]:[31]],code30)</f>
        <v>0</v>
      </c>
      <c r="BF54" s="472">
        <f>COUNTIF(ParicipationMai1[[#This Row],[1]:[31]],Code31)</f>
        <v>0</v>
      </c>
      <c r="BG54" s="472">
        <f>COUNTIF(ParicipationMai1[[#This Row],[1]:[31]],code21)</f>
        <v>0</v>
      </c>
      <c r="BH54" s="472">
        <f>COUNTIF(ParicipationMai1[[#This Row],[1]:[31]],Code24)</f>
        <v>0</v>
      </c>
      <c r="BI54" s="370">
        <f>COUNTIF(ParicipationMai1[[#This Row],[1]:[31]],code18)</f>
        <v>0</v>
      </c>
      <c r="BJ54" s="370">
        <f>COUNTIF(ParicipationMai1[[#This Row],[1]:[31]],code19)</f>
        <v>0</v>
      </c>
      <c r="BK54" s="370">
        <f>COUNTIF(ParicipationMai1[[#This Row],[1]:[31]],code20)</f>
        <v>0</v>
      </c>
      <c r="BL54" s="516">
        <f>COUNTIF(ParicipationMai1[[#This Row],[1]:[31]],code29)</f>
        <v>0</v>
      </c>
      <c r="BM54" s="297"/>
      <c r="BN54" s="297"/>
      <c r="BO54" s="297"/>
      <c r="BP54" s="297"/>
      <c r="BQ54" s="297"/>
      <c r="BR54" s="297"/>
      <c r="BS54" s="297"/>
      <c r="BT54" s="297"/>
      <c r="BU54" s="297"/>
      <c r="BV54" s="297"/>
      <c r="BW54" s="297"/>
      <c r="BX54" s="297"/>
      <c r="BY54" s="297"/>
      <c r="BZ54" s="297"/>
      <c r="CA54" s="297"/>
      <c r="CB54" s="297"/>
      <c r="CC54" s="297"/>
      <c r="CD54" s="297"/>
      <c r="CE54" s="297"/>
      <c r="CF54" s="297"/>
      <c r="CG54" s="297"/>
      <c r="CH54" s="297"/>
      <c r="CI54" s="297"/>
      <c r="CJ54" s="297"/>
      <c r="CK54" s="297"/>
      <c r="CL54" s="297"/>
      <c r="CM54" s="297"/>
      <c r="CN54" s="297"/>
      <c r="CO54" s="297"/>
      <c r="CP54" s="297"/>
      <c r="CQ54" s="297"/>
      <c r="CR54" s="297"/>
      <c r="CS54" s="297"/>
      <c r="CT54" s="472"/>
      <c r="CU54" s="300"/>
      <c r="CV54" s="505">
        <f t="shared" si="0"/>
        <v>0</v>
      </c>
      <c r="CW54" s="501">
        <f t="shared" si="1"/>
        <v>0</v>
      </c>
      <c r="CX54" s="472">
        <f t="shared" si="2"/>
        <v>0</v>
      </c>
      <c r="CY54" s="512">
        <f t="shared" si="3"/>
        <v>0</v>
      </c>
    </row>
    <row r="55" spans="1:103">
      <c r="A55" s="29" t="s">
        <v>396</v>
      </c>
      <c r="B55" s="162" t="str">
        <f>IFERROR(VLOOKUP(ParicipationMai1[[#This Row],[Référence]],ListeÉtudiants1[],18,FALSE),"")</f>
        <v>DOS SANTOS SILVA CELIA</v>
      </c>
      <c r="AG55" s="286"/>
      <c r="AH55" s="138">
        <f>COUNTIF(ParicipationMai1[[1]:[31]],Code1)</f>
        <v>0</v>
      </c>
      <c r="AI55" s="474">
        <f>COUNTIF(ParicipationMai1[[1]:[31]],code22)</f>
        <v>0</v>
      </c>
      <c r="AJ55" s="138">
        <f>COUNTIF(ParicipationMai1[[#This Row],[1]:[31]],Code2)</f>
        <v>0</v>
      </c>
      <c r="AK55" s="138">
        <f>COUNTIF(ParicipationMai1[[#This Row],[1]:[31]],Code3)</f>
        <v>0</v>
      </c>
      <c r="AL55" s="138">
        <f>COUNTIF(ParicipationMai1[[#This Row],[1]:[31]],Code4)</f>
        <v>0</v>
      </c>
      <c r="AM55" s="472">
        <f>COUNTIF(ParicipationMai1[[#This Row],[1]:[31]],Code5)</f>
        <v>0</v>
      </c>
      <c r="AN55" s="472">
        <f>COUNTIF(ParicipationMai1[[#This Row],[1]:[31]],Code23)</f>
        <v>0</v>
      </c>
      <c r="AO55" s="472">
        <f>COUNTIF(ParicipationMai1[[#This Row],[1]:[31]],Code6)</f>
        <v>0</v>
      </c>
      <c r="AP55" s="472">
        <f>COUNTIF(ParicipationMai1[[#This Row],[1]:[31]],Code7)</f>
        <v>0</v>
      </c>
      <c r="AQ55" s="472">
        <f>COUNTIF(ParicipationMai1[[#This Row],[1]:[31]],Code8)</f>
        <v>0</v>
      </c>
      <c r="AR55" s="472">
        <f>COUNTIF(ParicipationMai1[[#This Row],[1]:[31]],Code9)</f>
        <v>0</v>
      </c>
      <c r="AS55" s="472">
        <f>COUNTIF(ParicipationMai1[[#This Row],[1]:[31]],Code10)</f>
        <v>0</v>
      </c>
      <c r="AT55" s="472">
        <f>COUNTIF(ParicipationMai1[[#This Row],[1]:[31]],Code11)</f>
        <v>0</v>
      </c>
      <c r="AU55" s="472">
        <f>COUNTIF(ParicipationMai1[[#This Row],[1]:[31]],Code12)</f>
        <v>0</v>
      </c>
      <c r="AV55" s="472">
        <f>COUNTIF(ParicipationMai1[[#This Row],[1]:[31]],Code13)</f>
        <v>0</v>
      </c>
      <c r="AW55" s="472">
        <f>COUNTIF(ParicipationMai1[[#This Row],[1]:[31]],Code14)</f>
        <v>0</v>
      </c>
      <c r="AX55" s="472">
        <f>COUNTIF(ParicipationMai1[[#This Row],[1]:[31]],Code15)</f>
        <v>0</v>
      </c>
      <c r="AY55" s="472">
        <f>COUNTIF(ParicipationMai1[[#This Row],[1]:[31]],Code16)</f>
        <v>0</v>
      </c>
      <c r="AZ55" s="472">
        <f>COUNTIF(ParicipationMai1[[#This Row],[1]:[31]],Code17)</f>
        <v>0</v>
      </c>
      <c r="BA55" s="472">
        <f>COUNTIF(ParicipationMai1[[#This Row],[1]:[31]],Code25)</f>
        <v>0</v>
      </c>
      <c r="BB55" s="472">
        <f>COUNTIF(ParicipationMai1[[#This Row],[1]:[31]],Code26)</f>
        <v>0</v>
      </c>
      <c r="BC55" s="472">
        <f>COUNTIF(ParicipationMai1[[#This Row],[1]:[31]],Code27)</f>
        <v>0</v>
      </c>
      <c r="BD55" s="472">
        <f>COUNTIF(ParicipationMai1[[#This Row],[1]:[31]],Code28)</f>
        <v>0</v>
      </c>
      <c r="BE55" s="472">
        <f>COUNTIF(ParicipationMai1[[#This Row],[1]:[31]],code30)</f>
        <v>0</v>
      </c>
      <c r="BF55" s="472">
        <f>COUNTIF(ParicipationMai1[[#This Row],[1]:[31]],Code31)</f>
        <v>0</v>
      </c>
      <c r="BG55" s="472">
        <f>COUNTIF(ParicipationMai1[[#This Row],[1]:[31]],code21)</f>
        <v>0</v>
      </c>
      <c r="BH55" s="472">
        <f>COUNTIF(ParicipationMai1[[#This Row],[1]:[31]],Code24)</f>
        <v>0</v>
      </c>
      <c r="BI55" s="370">
        <f>COUNTIF(ParicipationMai1[[#This Row],[1]:[31]],code18)</f>
        <v>0</v>
      </c>
      <c r="BJ55" s="370">
        <f>COUNTIF(ParicipationMai1[[#This Row],[1]:[31]],code19)</f>
        <v>0</v>
      </c>
      <c r="BK55" s="370">
        <f>COUNTIF(ParicipationMai1[[#This Row],[1]:[31]],code20)</f>
        <v>0</v>
      </c>
      <c r="BL55" s="516">
        <f>COUNTIF(ParicipationMai1[[#This Row],[1]:[31]],code29)</f>
        <v>0</v>
      </c>
      <c r="BM55" s="297"/>
      <c r="BN55" s="297"/>
      <c r="BO55" s="297"/>
      <c r="BP55" s="297"/>
      <c r="BQ55" s="297"/>
      <c r="BR55" s="297"/>
      <c r="BS55" s="297"/>
      <c r="BT55" s="297"/>
      <c r="BU55" s="297"/>
      <c r="BV55" s="297"/>
      <c r="BW55" s="297"/>
      <c r="BX55" s="297"/>
      <c r="BY55" s="297"/>
      <c r="BZ55" s="297"/>
      <c r="CA55" s="297"/>
      <c r="CB55" s="297"/>
      <c r="CC55" s="297"/>
      <c r="CD55" s="297"/>
      <c r="CE55" s="297"/>
      <c r="CF55" s="297"/>
      <c r="CG55" s="297"/>
      <c r="CH55" s="297"/>
      <c r="CI55" s="297"/>
      <c r="CJ55" s="297"/>
      <c r="CK55" s="297"/>
      <c r="CL55" s="297"/>
      <c r="CM55" s="297"/>
      <c r="CN55" s="297"/>
      <c r="CO55" s="297"/>
      <c r="CP55" s="297"/>
      <c r="CQ55" s="297"/>
      <c r="CR55" s="297"/>
      <c r="CS55" s="297"/>
      <c r="CT55" s="472"/>
      <c r="CU55" s="300"/>
      <c r="CV55" s="505">
        <f t="shared" si="0"/>
        <v>0</v>
      </c>
      <c r="CW55" s="501">
        <f t="shared" si="1"/>
        <v>0</v>
      </c>
      <c r="CX55" s="472">
        <f t="shared" si="2"/>
        <v>0</v>
      </c>
      <c r="CY55" s="512">
        <f t="shared" si="3"/>
        <v>0</v>
      </c>
    </row>
    <row r="56" spans="1:103">
      <c r="A56" s="29" t="s">
        <v>397</v>
      </c>
      <c r="B56" s="162" t="str">
        <f>IFERROR(VLOOKUP(ParicipationMai1[[#This Row],[Référence]],ListeÉtudiants1[],18,FALSE),"")</f>
        <v>DOSSOU ESTELLE</v>
      </c>
      <c r="AG56" s="286"/>
      <c r="AH56" s="138">
        <f>COUNTIF(ParicipationMai1[[1]:[31]],Code1)</f>
        <v>0</v>
      </c>
      <c r="AI56" s="474">
        <f>COUNTIF(ParicipationMai1[[1]:[31]],code22)</f>
        <v>0</v>
      </c>
      <c r="AJ56" s="138">
        <f>COUNTIF(ParicipationMai1[[#This Row],[1]:[31]],Code2)</f>
        <v>0</v>
      </c>
      <c r="AK56" s="138">
        <f>COUNTIF(ParicipationMai1[[#This Row],[1]:[31]],Code3)</f>
        <v>0</v>
      </c>
      <c r="AL56" s="138">
        <f>COUNTIF(ParicipationMai1[[#This Row],[1]:[31]],Code4)</f>
        <v>0</v>
      </c>
      <c r="AM56" s="472">
        <f>COUNTIF(ParicipationMai1[[#This Row],[1]:[31]],Code5)</f>
        <v>0</v>
      </c>
      <c r="AN56" s="472">
        <f>COUNTIF(ParicipationMai1[[#This Row],[1]:[31]],Code23)</f>
        <v>0</v>
      </c>
      <c r="AO56" s="472">
        <f>COUNTIF(ParicipationMai1[[#This Row],[1]:[31]],Code6)</f>
        <v>0</v>
      </c>
      <c r="AP56" s="472">
        <f>COUNTIF(ParicipationMai1[[#This Row],[1]:[31]],Code7)</f>
        <v>0</v>
      </c>
      <c r="AQ56" s="472">
        <f>COUNTIF(ParicipationMai1[[#This Row],[1]:[31]],Code8)</f>
        <v>0</v>
      </c>
      <c r="AR56" s="472">
        <f>COUNTIF(ParicipationMai1[[#This Row],[1]:[31]],Code9)</f>
        <v>0</v>
      </c>
      <c r="AS56" s="472">
        <f>COUNTIF(ParicipationMai1[[#This Row],[1]:[31]],Code10)</f>
        <v>0</v>
      </c>
      <c r="AT56" s="472">
        <f>COUNTIF(ParicipationMai1[[#This Row],[1]:[31]],Code11)</f>
        <v>0</v>
      </c>
      <c r="AU56" s="472">
        <f>COUNTIF(ParicipationMai1[[#This Row],[1]:[31]],Code12)</f>
        <v>0</v>
      </c>
      <c r="AV56" s="472">
        <f>COUNTIF(ParicipationMai1[[#This Row],[1]:[31]],Code13)</f>
        <v>0</v>
      </c>
      <c r="AW56" s="472">
        <f>COUNTIF(ParicipationMai1[[#This Row],[1]:[31]],Code14)</f>
        <v>0</v>
      </c>
      <c r="AX56" s="472">
        <f>COUNTIF(ParicipationMai1[[#This Row],[1]:[31]],Code15)</f>
        <v>0</v>
      </c>
      <c r="AY56" s="472">
        <f>COUNTIF(ParicipationMai1[[#This Row],[1]:[31]],Code16)</f>
        <v>0</v>
      </c>
      <c r="AZ56" s="472">
        <f>COUNTIF(ParicipationMai1[[#This Row],[1]:[31]],Code17)</f>
        <v>0</v>
      </c>
      <c r="BA56" s="472">
        <f>COUNTIF(ParicipationMai1[[#This Row],[1]:[31]],Code25)</f>
        <v>0</v>
      </c>
      <c r="BB56" s="472">
        <f>COUNTIF(ParicipationMai1[[#This Row],[1]:[31]],Code26)</f>
        <v>0</v>
      </c>
      <c r="BC56" s="472">
        <f>COUNTIF(ParicipationMai1[[#This Row],[1]:[31]],Code27)</f>
        <v>0</v>
      </c>
      <c r="BD56" s="472">
        <f>COUNTIF(ParicipationMai1[[#This Row],[1]:[31]],Code28)</f>
        <v>0</v>
      </c>
      <c r="BE56" s="472">
        <f>COUNTIF(ParicipationMai1[[#This Row],[1]:[31]],code30)</f>
        <v>0</v>
      </c>
      <c r="BF56" s="472">
        <f>COUNTIF(ParicipationMai1[[#This Row],[1]:[31]],Code31)</f>
        <v>0</v>
      </c>
      <c r="BG56" s="472">
        <f>COUNTIF(ParicipationMai1[[#This Row],[1]:[31]],code21)</f>
        <v>0</v>
      </c>
      <c r="BH56" s="472">
        <f>COUNTIF(ParicipationMai1[[#This Row],[1]:[31]],Code24)</f>
        <v>0</v>
      </c>
      <c r="BI56" s="370">
        <f>COUNTIF(ParicipationMai1[[#This Row],[1]:[31]],code18)</f>
        <v>0</v>
      </c>
      <c r="BJ56" s="370">
        <f>COUNTIF(ParicipationMai1[[#This Row],[1]:[31]],code19)</f>
        <v>0</v>
      </c>
      <c r="BK56" s="370">
        <f>COUNTIF(ParicipationMai1[[#This Row],[1]:[31]],code20)</f>
        <v>0</v>
      </c>
      <c r="BL56" s="516">
        <f>COUNTIF(ParicipationMai1[[#This Row],[1]:[31]],code29)</f>
        <v>0</v>
      </c>
      <c r="BM56" s="297"/>
      <c r="BN56" s="297"/>
      <c r="BO56" s="297"/>
      <c r="BP56" s="297"/>
      <c r="BQ56" s="297"/>
      <c r="BR56" s="297"/>
      <c r="BS56" s="297"/>
      <c r="BT56" s="297"/>
      <c r="BU56" s="297"/>
      <c r="BV56" s="297"/>
      <c r="BW56" s="297"/>
      <c r="BX56" s="297"/>
      <c r="BY56" s="297"/>
      <c r="BZ56" s="297"/>
      <c r="CA56" s="297"/>
      <c r="CB56" s="297"/>
      <c r="CC56" s="297"/>
      <c r="CD56" s="297"/>
      <c r="CE56" s="297"/>
      <c r="CF56" s="297"/>
      <c r="CG56" s="297"/>
      <c r="CH56" s="297"/>
      <c r="CI56" s="297"/>
      <c r="CJ56" s="297"/>
      <c r="CK56" s="297"/>
      <c r="CL56" s="297"/>
      <c r="CM56" s="297"/>
      <c r="CN56" s="297"/>
      <c r="CO56" s="297"/>
      <c r="CP56" s="297"/>
      <c r="CQ56" s="297"/>
      <c r="CR56" s="297"/>
      <c r="CS56" s="297"/>
      <c r="CT56" s="472"/>
      <c r="CU56" s="300"/>
      <c r="CV56" s="505">
        <f t="shared" si="0"/>
        <v>0</v>
      </c>
      <c r="CW56" s="501">
        <f t="shared" si="1"/>
        <v>0</v>
      </c>
      <c r="CX56" s="472">
        <f t="shared" si="2"/>
        <v>0</v>
      </c>
      <c r="CY56" s="512">
        <f t="shared" si="3"/>
        <v>0</v>
      </c>
    </row>
    <row r="57" spans="1:103">
      <c r="A57" s="29" t="s">
        <v>398</v>
      </c>
      <c r="B57" s="162" t="str">
        <f>IFERROR(VLOOKUP(ParicipationMai1[[#This Row],[Référence]],ListeÉtudiants1[],18,FALSE),"")</f>
        <v>DUFFO FELIX</v>
      </c>
      <c r="AG57" s="286"/>
      <c r="AH57" s="138">
        <f>COUNTIF(ParicipationMai1[[1]:[31]],Code1)</f>
        <v>0</v>
      </c>
      <c r="AI57" s="474">
        <f>COUNTIF(ParicipationMai1[[1]:[31]],code22)</f>
        <v>0</v>
      </c>
      <c r="AJ57" s="138">
        <f>COUNTIF(ParicipationMai1[[#This Row],[1]:[31]],Code2)</f>
        <v>0</v>
      </c>
      <c r="AK57" s="138">
        <f>COUNTIF(ParicipationMai1[[#This Row],[1]:[31]],Code3)</f>
        <v>0</v>
      </c>
      <c r="AL57" s="138">
        <f>COUNTIF(ParicipationMai1[[#This Row],[1]:[31]],Code4)</f>
        <v>0</v>
      </c>
      <c r="AM57" s="472">
        <f>COUNTIF(ParicipationMai1[[#This Row],[1]:[31]],Code5)</f>
        <v>0</v>
      </c>
      <c r="AN57" s="472">
        <f>COUNTIF(ParicipationMai1[[#This Row],[1]:[31]],Code23)</f>
        <v>0</v>
      </c>
      <c r="AO57" s="472">
        <f>COUNTIF(ParicipationMai1[[#This Row],[1]:[31]],Code6)</f>
        <v>0</v>
      </c>
      <c r="AP57" s="472">
        <f>COUNTIF(ParicipationMai1[[#This Row],[1]:[31]],Code7)</f>
        <v>0</v>
      </c>
      <c r="AQ57" s="472">
        <f>COUNTIF(ParicipationMai1[[#This Row],[1]:[31]],Code8)</f>
        <v>0</v>
      </c>
      <c r="AR57" s="472">
        <f>COUNTIF(ParicipationMai1[[#This Row],[1]:[31]],Code9)</f>
        <v>0</v>
      </c>
      <c r="AS57" s="472">
        <f>COUNTIF(ParicipationMai1[[#This Row],[1]:[31]],Code10)</f>
        <v>0</v>
      </c>
      <c r="AT57" s="472">
        <f>COUNTIF(ParicipationMai1[[#This Row],[1]:[31]],Code11)</f>
        <v>0</v>
      </c>
      <c r="AU57" s="472">
        <f>COUNTIF(ParicipationMai1[[#This Row],[1]:[31]],Code12)</f>
        <v>0</v>
      </c>
      <c r="AV57" s="472">
        <f>COUNTIF(ParicipationMai1[[#This Row],[1]:[31]],Code13)</f>
        <v>0</v>
      </c>
      <c r="AW57" s="472">
        <f>COUNTIF(ParicipationMai1[[#This Row],[1]:[31]],Code14)</f>
        <v>0</v>
      </c>
      <c r="AX57" s="472">
        <f>COUNTIF(ParicipationMai1[[#This Row],[1]:[31]],Code15)</f>
        <v>0</v>
      </c>
      <c r="AY57" s="472">
        <f>COUNTIF(ParicipationMai1[[#This Row],[1]:[31]],Code16)</f>
        <v>0</v>
      </c>
      <c r="AZ57" s="472">
        <f>COUNTIF(ParicipationMai1[[#This Row],[1]:[31]],Code17)</f>
        <v>0</v>
      </c>
      <c r="BA57" s="472">
        <f>COUNTIF(ParicipationMai1[[#This Row],[1]:[31]],Code25)</f>
        <v>0</v>
      </c>
      <c r="BB57" s="472">
        <f>COUNTIF(ParicipationMai1[[#This Row],[1]:[31]],Code26)</f>
        <v>0</v>
      </c>
      <c r="BC57" s="472">
        <f>COUNTIF(ParicipationMai1[[#This Row],[1]:[31]],Code27)</f>
        <v>0</v>
      </c>
      <c r="BD57" s="472">
        <f>COUNTIF(ParicipationMai1[[#This Row],[1]:[31]],Code28)</f>
        <v>0</v>
      </c>
      <c r="BE57" s="472">
        <f>COUNTIF(ParicipationMai1[[#This Row],[1]:[31]],code30)</f>
        <v>0</v>
      </c>
      <c r="BF57" s="472">
        <f>COUNTIF(ParicipationMai1[[#This Row],[1]:[31]],Code31)</f>
        <v>0</v>
      </c>
      <c r="BG57" s="472">
        <f>COUNTIF(ParicipationMai1[[#This Row],[1]:[31]],code21)</f>
        <v>0</v>
      </c>
      <c r="BH57" s="472">
        <f>COUNTIF(ParicipationMai1[[#This Row],[1]:[31]],Code24)</f>
        <v>0</v>
      </c>
      <c r="BI57" s="370">
        <f>COUNTIF(ParicipationMai1[[#This Row],[1]:[31]],code18)</f>
        <v>0</v>
      </c>
      <c r="BJ57" s="370">
        <f>COUNTIF(ParicipationMai1[[#This Row],[1]:[31]],code19)</f>
        <v>0</v>
      </c>
      <c r="BK57" s="370">
        <f>COUNTIF(ParicipationMai1[[#This Row],[1]:[31]],code20)</f>
        <v>0</v>
      </c>
      <c r="BL57" s="516">
        <f>COUNTIF(ParicipationMai1[[#This Row],[1]:[31]],code29)</f>
        <v>0</v>
      </c>
      <c r="BM57" s="297"/>
      <c r="BN57" s="297"/>
      <c r="BO57" s="297"/>
      <c r="BP57" s="297"/>
      <c r="BQ57" s="297"/>
      <c r="BR57" s="297"/>
      <c r="BS57" s="297"/>
      <c r="BT57" s="297"/>
      <c r="BU57" s="297"/>
      <c r="BV57" s="297"/>
      <c r="BW57" s="297"/>
      <c r="BX57" s="297"/>
      <c r="BY57" s="297"/>
      <c r="BZ57" s="297"/>
      <c r="CA57" s="297"/>
      <c r="CB57" s="297"/>
      <c r="CC57" s="297"/>
      <c r="CD57" s="297"/>
      <c r="CE57" s="297"/>
      <c r="CF57" s="297"/>
      <c r="CG57" s="297"/>
      <c r="CH57" s="297"/>
      <c r="CI57" s="297"/>
      <c r="CJ57" s="297"/>
      <c r="CK57" s="297"/>
      <c r="CL57" s="297"/>
      <c r="CM57" s="297"/>
      <c r="CN57" s="297"/>
      <c r="CO57" s="297"/>
      <c r="CP57" s="297"/>
      <c r="CQ57" s="297"/>
      <c r="CR57" s="297"/>
      <c r="CS57" s="297"/>
      <c r="CT57" s="472"/>
      <c r="CU57" s="300"/>
      <c r="CV57" s="593">
        <f t="shared" si="0"/>
        <v>0</v>
      </c>
      <c r="CW57" s="501">
        <f t="shared" si="1"/>
        <v>0</v>
      </c>
      <c r="CX57" s="472">
        <f t="shared" si="2"/>
        <v>0</v>
      </c>
      <c r="CY57" s="512">
        <f t="shared" si="3"/>
        <v>0</v>
      </c>
    </row>
    <row r="58" spans="1:103">
      <c r="A58" s="29" t="s">
        <v>399</v>
      </c>
      <c r="B58" s="162" t="str">
        <f>IFERROR(VLOOKUP(ParicipationMai1[[#This Row],[Référence]],ListeÉtudiants1[],18,FALSE),"")</f>
        <v>DUPUY JULINE</v>
      </c>
      <c r="AG58" s="286"/>
      <c r="AH58" s="138">
        <f>COUNTIF(ParicipationMai1[[1]:[31]],Code1)</f>
        <v>0</v>
      </c>
      <c r="AI58" s="474">
        <f>COUNTIF(ParicipationMai1[[1]:[31]],code22)</f>
        <v>0</v>
      </c>
      <c r="AJ58" s="138">
        <f>COUNTIF(ParicipationMai1[[#This Row],[1]:[31]],Code2)</f>
        <v>0</v>
      </c>
      <c r="AK58" s="138">
        <f>COUNTIF(ParicipationMai1[[#This Row],[1]:[31]],Code3)</f>
        <v>0</v>
      </c>
      <c r="AL58" s="138">
        <f>COUNTIF(ParicipationMai1[[#This Row],[1]:[31]],Code4)</f>
        <v>0</v>
      </c>
      <c r="AM58" s="472">
        <f>COUNTIF(ParicipationMai1[[#This Row],[1]:[31]],Code5)</f>
        <v>0</v>
      </c>
      <c r="AN58" s="472">
        <f>COUNTIF(ParicipationMai1[[#This Row],[1]:[31]],Code23)</f>
        <v>0</v>
      </c>
      <c r="AO58" s="472">
        <f>COUNTIF(ParicipationMai1[[#This Row],[1]:[31]],Code6)</f>
        <v>0</v>
      </c>
      <c r="AP58" s="472">
        <f>COUNTIF(ParicipationMai1[[#This Row],[1]:[31]],Code7)</f>
        <v>0</v>
      </c>
      <c r="AQ58" s="472">
        <f>COUNTIF(ParicipationMai1[[#This Row],[1]:[31]],Code8)</f>
        <v>0</v>
      </c>
      <c r="AR58" s="472">
        <f>COUNTIF(ParicipationMai1[[#This Row],[1]:[31]],Code9)</f>
        <v>0</v>
      </c>
      <c r="AS58" s="472">
        <f>COUNTIF(ParicipationMai1[[#This Row],[1]:[31]],Code10)</f>
        <v>0</v>
      </c>
      <c r="AT58" s="472">
        <f>COUNTIF(ParicipationMai1[[#This Row],[1]:[31]],Code11)</f>
        <v>0</v>
      </c>
      <c r="AU58" s="472">
        <f>COUNTIF(ParicipationMai1[[#This Row],[1]:[31]],Code12)</f>
        <v>0</v>
      </c>
      <c r="AV58" s="472">
        <f>COUNTIF(ParicipationMai1[[#This Row],[1]:[31]],Code13)</f>
        <v>0</v>
      </c>
      <c r="AW58" s="472">
        <f>COUNTIF(ParicipationMai1[[#This Row],[1]:[31]],Code14)</f>
        <v>0</v>
      </c>
      <c r="AX58" s="472">
        <f>COUNTIF(ParicipationMai1[[#This Row],[1]:[31]],Code15)</f>
        <v>0</v>
      </c>
      <c r="AY58" s="472">
        <f>COUNTIF(ParicipationMai1[[#This Row],[1]:[31]],Code16)</f>
        <v>0</v>
      </c>
      <c r="AZ58" s="472">
        <f>COUNTIF(ParicipationMai1[[#This Row],[1]:[31]],Code17)</f>
        <v>0</v>
      </c>
      <c r="BA58" s="472">
        <f>COUNTIF(ParicipationMai1[[#This Row],[1]:[31]],Code25)</f>
        <v>0</v>
      </c>
      <c r="BB58" s="472">
        <f>COUNTIF(ParicipationMai1[[#This Row],[1]:[31]],Code26)</f>
        <v>0</v>
      </c>
      <c r="BC58" s="472">
        <f>COUNTIF(ParicipationMai1[[#This Row],[1]:[31]],Code27)</f>
        <v>0</v>
      </c>
      <c r="BD58" s="472">
        <f>COUNTIF(ParicipationMai1[[#This Row],[1]:[31]],Code28)</f>
        <v>0</v>
      </c>
      <c r="BE58" s="472">
        <f>COUNTIF(ParicipationMai1[[#This Row],[1]:[31]],code30)</f>
        <v>0</v>
      </c>
      <c r="BF58" s="472">
        <f>COUNTIF(ParicipationMai1[[#This Row],[1]:[31]],Code31)</f>
        <v>0</v>
      </c>
      <c r="BG58" s="472">
        <f>COUNTIF(ParicipationMai1[[#This Row],[1]:[31]],code21)</f>
        <v>0</v>
      </c>
      <c r="BH58" s="472">
        <f>COUNTIF(ParicipationMai1[[#This Row],[1]:[31]],Code24)</f>
        <v>0</v>
      </c>
      <c r="BI58" s="370">
        <f>COUNTIF(ParicipationMai1[[#This Row],[1]:[31]],code18)</f>
        <v>0</v>
      </c>
      <c r="BJ58" s="370">
        <f>COUNTIF(ParicipationMai1[[#This Row],[1]:[31]],code19)</f>
        <v>0</v>
      </c>
      <c r="BK58" s="370">
        <f>COUNTIF(ParicipationMai1[[#This Row],[1]:[31]],code20)</f>
        <v>0</v>
      </c>
      <c r="BL58" s="516">
        <f>COUNTIF(ParicipationMai1[[#This Row],[1]:[31]],code29)</f>
        <v>0</v>
      </c>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c r="CI58" s="297"/>
      <c r="CJ58" s="297"/>
      <c r="CK58" s="297"/>
      <c r="CL58" s="297"/>
      <c r="CM58" s="297"/>
      <c r="CN58" s="297"/>
      <c r="CO58" s="297"/>
      <c r="CP58" s="297"/>
      <c r="CQ58" s="297"/>
      <c r="CR58" s="297"/>
      <c r="CS58" s="297"/>
      <c r="CT58" s="472"/>
      <c r="CU58" s="300"/>
      <c r="CV58" s="505">
        <f t="shared" si="0"/>
        <v>0</v>
      </c>
      <c r="CW58" s="501">
        <f t="shared" si="1"/>
        <v>0</v>
      </c>
      <c r="CX58" s="472">
        <f t="shared" si="2"/>
        <v>0</v>
      </c>
      <c r="CY58" s="512">
        <f t="shared" si="3"/>
        <v>0</v>
      </c>
    </row>
    <row r="59" spans="1:103">
      <c r="A59" s="29" t="s">
        <v>400</v>
      </c>
      <c r="B59" s="162" t="str">
        <f>IFERROR(VLOOKUP(ParicipationMai1[[#This Row],[Référence]],ListeÉtudiants1[],18,FALSE),"")</f>
        <v>EDERY JEFFREY</v>
      </c>
      <c r="AG59" s="286"/>
      <c r="AH59" s="138">
        <f>COUNTIF(ParicipationMai1[[1]:[31]],Code1)</f>
        <v>0</v>
      </c>
      <c r="AI59" s="474">
        <f>COUNTIF(ParicipationMai1[[1]:[31]],code22)</f>
        <v>0</v>
      </c>
      <c r="AJ59" s="138">
        <f>COUNTIF(ParicipationMai1[[#This Row],[1]:[31]],Code2)</f>
        <v>0</v>
      </c>
      <c r="AK59" s="138">
        <f>COUNTIF(ParicipationMai1[[#This Row],[1]:[31]],Code3)</f>
        <v>0</v>
      </c>
      <c r="AL59" s="138">
        <f>COUNTIF(ParicipationMai1[[#This Row],[1]:[31]],Code4)</f>
        <v>0</v>
      </c>
      <c r="AM59" s="472">
        <f>COUNTIF(ParicipationMai1[[#This Row],[1]:[31]],Code5)</f>
        <v>0</v>
      </c>
      <c r="AN59" s="472">
        <f>COUNTIF(ParicipationMai1[[#This Row],[1]:[31]],Code23)</f>
        <v>0</v>
      </c>
      <c r="AO59" s="472">
        <f>COUNTIF(ParicipationMai1[[#This Row],[1]:[31]],Code6)</f>
        <v>0</v>
      </c>
      <c r="AP59" s="472">
        <f>COUNTIF(ParicipationMai1[[#This Row],[1]:[31]],Code7)</f>
        <v>0</v>
      </c>
      <c r="AQ59" s="472">
        <f>COUNTIF(ParicipationMai1[[#This Row],[1]:[31]],Code8)</f>
        <v>0</v>
      </c>
      <c r="AR59" s="472">
        <f>COUNTIF(ParicipationMai1[[#This Row],[1]:[31]],Code9)</f>
        <v>0</v>
      </c>
      <c r="AS59" s="472">
        <f>COUNTIF(ParicipationMai1[[#This Row],[1]:[31]],Code10)</f>
        <v>0</v>
      </c>
      <c r="AT59" s="472">
        <f>COUNTIF(ParicipationMai1[[#This Row],[1]:[31]],Code11)</f>
        <v>0</v>
      </c>
      <c r="AU59" s="472">
        <f>COUNTIF(ParicipationMai1[[#This Row],[1]:[31]],Code12)</f>
        <v>0</v>
      </c>
      <c r="AV59" s="472">
        <f>COUNTIF(ParicipationMai1[[#This Row],[1]:[31]],Code13)</f>
        <v>0</v>
      </c>
      <c r="AW59" s="472">
        <f>COUNTIF(ParicipationMai1[[#This Row],[1]:[31]],Code14)</f>
        <v>0</v>
      </c>
      <c r="AX59" s="472">
        <f>COUNTIF(ParicipationMai1[[#This Row],[1]:[31]],Code15)</f>
        <v>0</v>
      </c>
      <c r="AY59" s="472">
        <f>COUNTIF(ParicipationMai1[[#This Row],[1]:[31]],Code16)</f>
        <v>0</v>
      </c>
      <c r="AZ59" s="472">
        <f>COUNTIF(ParicipationMai1[[#This Row],[1]:[31]],Code17)</f>
        <v>0</v>
      </c>
      <c r="BA59" s="472">
        <f>COUNTIF(ParicipationMai1[[#This Row],[1]:[31]],Code25)</f>
        <v>0</v>
      </c>
      <c r="BB59" s="472">
        <f>COUNTIF(ParicipationMai1[[#This Row],[1]:[31]],Code26)</f>
        <v>0</v>
      </c>
      <c r="BC59" s="472">
        <f>COUNTIF(ParicipationMai1[[#This Row],[1]:[31]],Code27)</f>
        <v>0</v>
      </c>
      <c r="BD59" s="472">
        <f>COUNTIF(ParicipationMai1[[#This Row],[1]:[31]],Code28)</f>
        <v>0</v>
      </c>
      <c r="BE59" s="472">
        <f>COUNTIF(ParicipationMai1[[#This Row],[1]:[31]],code30)</f>
        <v>0</v>
      </c>
      <c r="BF59" s="472">
        <f>COUNTIF(ParicipationMai1[[#This Row],[1]:[31]],Code31)</f>
        <v>0</v>
      </c>
      <c r="BG59" s="472">
        <f>COUNTIF(ParicipationMai1[[#This Row],[1]:[31]],code21)</f>
        <v>0</v>
      </c>
      <c r="BH59" s="472">
        <f>COUNTIF(ParicipationMai1[[#This Row],[1]:[31]],Code24)</f>
        <v>0</v>
      </c>
      <c r="BI59" s="370">
        <f>COUNTIF(ParicipationMai1[[#This Row],[1]:[31]],code18)</f>
        <v>0</v>
      </c>
      <c r="BJ59" s="370">
        <f>COUNTIF(ParicipationMai1[[#This Row],[1]:[31]],code19)</f>
        <v>0</v>
      </c>
      <c r="BK59" s="370">
        <f>COUNTIF(ParicipationMai1[[#This Row],[1]:[31]],code20)</f>
        <v>0</v>
      </c>
      <c r="BL59" s="516">
        <f>COUNTIF(ParicipationMai1[[#This Row],[1]:[31]],code29)</f>
        <v>0</v>
      </c>
      <c r="BM59" s="297"/>
      <c r="BN59" s="297"/>
      <c r="BO59" s="297"/>
      <c r="BP59" s="297"/>
      <c r="BQ59" s="297"/>
      <c r="BR59" s="297"/>
      <c r="BS59" s="297"/>
      <c r="BT59" s="297"/>
      <c r="BU59" s="297"/>
      <c r="BV59" s="297"/>
      <c r="BW59" s="297"/>
      <c r="BX59" s="297"/>
      <c r="BY59" s="297"/>
      <c r="BZ59" s="297"/>
      <c r="CA59" s="297"/>
      <c r="CB59" s="297"/>
      <c r="CC59" s="297"/>
      <c r="CD59" s="297"/>
      <c r="CE59" s="297"/>
      <c r="CF59" s="297"/>
      <c r="CG59" s="297"/>
      <c r="CH59" s="297"/>
      <c r="CI59" s="297"/>
      <c r="CJ59" s="297"/>
      <c r="CK59" s="297"/>
      <c r="CL59" s="297"/>
      <c r="CM59" s="297"/>
      <c r="CN59" s="297"/>
      <c r="CO59" s="297"/>
      <c r="CP59" s="297"/>
      <c r="CQ59" s="297"/>
      <c r="CR59" s="297"/>
      <c r="CS59" s="297"/>
      <c r="CT59" s="472"/>
      <c r="CU59" s="300"/>
      <c r="CV59" s="593">
        <f t="shared" si="0"/>
        <v>0</v>
      </c>
      <c r="CW59" s="501">
        <f t="shared" si="1"/>
        <v>0</v>
      </c>
      <c r="CX59" s="472">
        <f t="shared" si="2"/>
        <v>0</v>
      </c>
      <c r="CY59" s="512">
        <f t="shared" si="3"/>
        <v>0</v>
      </c>
    </row>
    <row r="60" spans="1:103">
      <c r="A60" s="29" t="s">
        <v>401</v>
      </c>
      <c r="B60" s="162" t="str">
        <f>IFERROR(VLOOKUP(ParicipationMai1[[#This Row],[Référence]],ListeÉtudiants1[],18,FALSE),"")</f>
        <v>EL MAZGHI GHITA</v>
      </c>
      <c r="AG60" s="286"/>
      <c r="AH60" s="138">
        <f>COUNTIF(ParicipationMai1[[1]:[31]],Code1)</f>
        <v>0</v>
      </c>
      <c r="AI60" s="474">
        <f>COUNTIF(ParicipationMai1[[1]:[31]],code22)</f>
        <v>0</v>
      </c>
      <c r="AJ60" s="138">
        <f>COUNTIF(ParicipationMai1[[#This Row],[1]:[31]],Code2)</f>
        <v>0</v>
      </c>
      <c r="AK60" s="138">
        <f>COUNTIF(ParicipationMai1[[#This Row],[1]:[31]],Code3)</f>
        <v>0</v>
      </c>
      <c r="AL60" s="138">
        <f>COUNTIF(ParicipationMai1[[#This Row],[1]:[31]],Code4)</f>
        <v>0</v>
      </c>
      <c r="AM60" s="472">
        <f>COUNTIF(ParicipationMai1[[#This Row],[1]:[31]],Code5)</f>
        <v>0</v>
      </c>
      <c r="AN60" s="472">
        <f>COUNTIF(ParicipationMai1[[#This Row],[1]:[31]],Code23)</f>
        <v>0</v>
      </c>
      <c r="AO60" s="472">
        <f>COUNTIF(ParicipationMai1[[#This Row],[1]:[31]],Code6)</f>
        <v>0</v>
      </c>
      <c r="AP60" s="472">
        <f>COUNTIF(ParicipationMai1[[#This Row],[1]:[31]],Code7)</f>
        <v>0</v>
      </c>
      <c r="AQ60" s="472">
        <f>COUNTIF(ParicipationMai1[[#This Row],[1]:[31]],Code8)</f>
        <v>0</v>
      </c>
      <c r="AR60" s="472">
        <f>COUNTIF(ParicipationMai1[[#This Row],[1]:[31]],Code9)</f>
        <v>0</v>
      </c>
      <c r="AS60" s="472">
        <f>COUNTIF(ParicipationMai1[[#This Row],[1]:[31]],Code10)</f>
        <v>0</v>
      </c>
      <c r="AT60" s="472">
        <f>COUNTIF(ParicipationMai1[[#This Row],[1]:[31]],Code11)</f>
        <v>0</v>
      </c>
      <c r="AU60" s="472">
        <f>COUNTIF(ParicipationMai1[[#This Row],[1]:[31]],Code12)</f>
        <v>0</v>
      </c>
      <c r="AV60" s="472">
        <f>COUNTIF(ParicipationMai1[[#This Row],[1]:[31]],Code13)</f>
        <v>0</v>
      </c>
      <c r="AW60" s="472">
        <f>COUNTIF(ParicipationMai1[[#This Row],[1]:[31]],Code14)</f>
        <v>0</v>
      </c>
      <c r="AX60" s="472">
        <f>COUNTIF(ParicipationMai1[[#This Row],[1]:[31]],Code15)</f>
        <v>0</v>
      </c>
      <c r="AY60" s="472">
        <f>COUNTIF(ParicipationMai1[[#This Row],[1]:[31]],Code16)</f>
        <v>0</v>
      </c>
      <c r="AZ60" s="472">
        <f>COUNTIF(ParicipationMai1[[#This Row],[1]:[31]],Code17)</f>
        <v>0</v>
      </c>
      <c r="BA60" s="472">
        <f>COUNTIF(ParicipationMai1[[#This Row],[1]:[31]],Code25)</f>
        <v>0</v>
      </c>
      <c r="BB60" s="472">
        <f>COUNTIF(ParicipationMai1[[#This Row],[1]:[31]],Code26)</f>
        <v>0</v>
      </c>
      <c r="BC60" s="472">
        <f>COUNTIF(ParicipationMai1[[#This Row],[1]:[31]],Code27)</f>
        <v>0</v>
      </c>
      <c r="BD60" s="472">
        <f>COUNTIF(ParicipationMai1[[#This Row],[1]:[31]],Code28)</f>
        <v>0</v>
      </c>
      <c r="BE60" s="472">
        <f>COUNTIF(ParicipationMai1[[#This Row],[1]:[31]],code30)</f>
        <v>0</v>
      </c>
      <c r="BF60" s="472">
        <f>COUNTIF(ParicipationMai1[[#This Row],[1]:[31]],Code31)</f>
        <v>0</v>
      </c>
      <c r="BG60" s="472">
        <f>COUNTIF(ParicipationMai1[[#This Row],[1]:[31]],code21)</f>
        <v>0</v>
      </c>
      <c r="BH60" s="472">
        <f>COUNTIF(ParicipationMai1[[#This Row],[1]:[31]],Code24)</f>
        <v>0</v>
      </c>
      <c r="BI60" s="370">
        <f>COUNTIF(ParicipationMai1[[#This Row],[1]:[31]],code18)</f>
        <v>0</v>
      </c>
      <c r="BJ60" s="370">
        <f>COUNTIF(ParicipationMai1[[#This Row],[1]:[31]],code19)</f>
        <v>0</v>
      </c>
      <c r="BK60" s="370">
        <f>COUNTIF(ParicipationMai1[[#This Row],[1]:[31]],code20)</f>
        <v>0</v>
      </c>
      <c r="BL60" s="516">
        <f>COUNTIF(ParicipationMai1[[#This Row],[1]:[31]],code29)</f>
        <v>0</v>
      </c>
      <c r="BM60" s="297"/>
      <c r="BN60" s="297"/>
      <c r="BO60" s="297"/>
      <c r="BP60" s="297"/>
      <c r="BQ60" s="297"/>
      <c r="BR60" s="297"/>
      <c r="BS60" s="297"/>
      <c r="BT60" s="297"/>
      <c r="BU60" s="297"/>
      <c r="BV60" s="297"/>
      <c r="BW60" s="297"/>
      <c r="BX60" s="297"/>
      <c r="BY60" s="297"/>
      <c r="BZ60" s="297"/>
      <c r="CA60" s="297"/>
      <c r="CB60" s="297"/>
      <c r="CC60" s="297"/>
      <c r="CD60" s="297"/>
      <c r="CE60" s="297"/>
      <c r="CF60" s="297"/>
      <c r="CG60" s="297"/>
      <c r="CH60" s="297"/>
      <c r="CI60" s="297"/>
      <c r="CJ60" s="297"/>
      <c r="CK60" s="297"/>
      <c r="CL60" s="297"/>
      <c r="CM60" s="297"/>
      <c r="CN60" s="297"/>
      <c r="CO60" s="297"/>
      <c r="CP60" s="297"/>
      <c r="CQ60" s="297"/>
      <c r="CR60" s="297"/>
      <c r="CS60" s="297"/>
      <c r="CT60" s="472"/>
      <c r="CU60" s="300"/>
      <c r="CV60" s="593">
        <f t="shared" si="0"/>
        <v>0</v>
      </c>
      <c r="CW60" s="501">
        <f t="shared" si="1"/>
        <v>0</v>
      </c>
      <c r="CX60" s="472">
        <f t="shared" si="2"/>
        <v>0</v>
      </c>
      <c r="CY60" s="512">
        <f t="shared" si="3"/>
        <v>0</v>
      </c>
    </row>
    <row r="61" spans="1:103">
      <c r="A61" s="29" t="s">
        <v>402</v>
      </c>
      <c r="B61" s="162" t="str">
        <f>IFERROR(VLOOKUP(ParicipationMai1[[#This Row],[Référence]],ListeÉtudiants1[],18,FALSE),"")</f>
        <v>ELIE ODILE</v>
      </c>
      <c r="AG61" s="286"/>
      <c r="AH61" s="138">
        <f>COUNTIF(ParicipationMai1[[1]:[31]],Code1)</f>
        <v>0</v>
      </c>
      <c r="AI61" s="474">
        <f>COUNTIF(ParicipationMai1[[1]:[31]],code22)</f>
        <v>0</v>
      </c>
      <c r="AJ61" s="138">
        <f>COUNTIF(ParicipationMai1[[#This Row],[1]:[31]],Code2)</f>
        <v>0</v>
      </c>
      <c r="AK61" s="138">
        <f>COUNTIF(ParicipationMai1[[#This Row],[1]:[31]],Code3)</f>
        <v>0</v>
      </c>
      <c r="AL61" s="138">
        <f>COUNTIF(ParicipationMai1[[#This Row],[1]:[31]],Code4)</f>
        <v>0</v>
      </c>
      <c r="AM61" s="472">
        <f>COUNTIF(ParicipationMai1[[#This Row],[1]:[31]],Code5)</f>
        <v>0</v>
      </c>
      <c r="AN61" s="472">
        <f>COUNTIF(ParicipationMai1[[#This Row],[1]:[31]],Code23)</f>
        <v>0</v>
      </c>
      <c r="AO61" s="472">
        <f>COUNTIF(ParicipationMai1[[#This Row],[1]:[31]],Code6)</f>
        <v>0</v>
      </c>
      <c r="AP61" s="472">
        <f>COUNTIF(ParicipationMai1[[#This Row],[1]:[31]],Code7)</f>
        <v>0</v>
      </c>
      <c r="AQ61" s="472">
        <f>COUNTIF(ParicipationMai1[[#This Row],[1]:[31]],Code8)</f>
        <v>0</v>
      </c>
      <c r="AR61" s="472">
        <f>COUNTIF(ParicipationMai1[[#This Row],[1]:[31]],Code9)</f>
        <v>0</v>
      </c>
      <c r="AS61" s="472">
        <f>COUNTIF(ParicipationMai1[[#This Row],[1]:[31]],Code10)</f>
        <v>0</v>
      </c>
      <c r="AT61" s="472">
        <f>COUNTIF(ParicipationMai1[[#This Row],[1]:[31]],Code11)</f>
        <v>0</v>
      </c>
      <c r="AU61" s="472">
        <f>COUNTIF(ParicipationMai1[[#This Row],[1]:[31]],Code12)</f>
        <v>0</v>
      </c>
      <c r="AV61" s="472">
        <f>COUNTIF(ParicipationMai1[[#This Row],[1]:[31]],Code13)</f>
        <v>0</v>
      </c>
      <c r="AW61" s="472">
        <f>COUNTIF(ParicipationMai1[[#This Row],[1]:[31]],Code14)</f>
        <v>0</v>
      </c>
      <c r="AX61" s="472">
        <f>COUNTIF(ParicipationMai1[[#This Row],[1]:[31]],Code15)</f>
        <v>0</v>
      </c>
      <c r="AY61" s="472">
        <f>COUNTIF(ParicipationMai1[[#This Row],[1]:[31]],Code16)</f>
        <v>0</v>
      </c>
      <c r="AZ61" s="472">
        <f>COUNTIF(ParicipationMai1[[#This Row],[1]:[31]],Code17)</f>
        <v>0</v>
      </c>
      <c r="BA61" s="472">
        <f>COUNTIF(ParicipationMai1[[#This Row],[1]:[31]],Code25)</f>
        <v>0</v>
      </c>
      <c r="BB61" s="472">
        <f>COUNTIF(ParicipationMai1[[#This Row],[1]:[31]],Code26)</f>
        <v>0</v>
      </c>
      <c r="BC61" s="472">
        <f>COUNTIF(ParicipationMai1[[#This Row],[1]:[31]],Code27)</f>
        <v>0</v>
      </c>
      <c r="BD61" s="472">
        <f>COUNTIF(ParicipationMai1[[#This Row],[1]:[31]],Code28)</f>
        <v>0</v>
      </c>
      <c r="BE61" s="472">
        <f>COUNTIF(ParicipationMai1[[#This Row],[1]:[31]],code30)</f>
        <v>0</v>
      </c>
      <c r="BF61" s="472">
        <f>COUNTIF(ParicipationMai1[[#This Row],[1]:[31]],Code31)</f>
        <v>0</v>
      </c>
      <c r="BG61" s="472">
        <f>COUNTIF(ParicipationMai1[[#This Row],[1]:[31]],code21)</f>
        <v>0</v>
      </c>
      <c r="BH61" s="472">
        <f>COUNTIF(ParicipationMai1[[#This Row],[1]:[31]],Code24)</f>
        <v>0</v>
      </c>
      <c r="BI61" s="370">
        <f>COUNTIF(ParicipationMai1[[#This Row],[1]:[31]],code18)</f>
        <v>0</v>
      </c>
      <c r="BJ61" s="370">
        <f>COUNTIF(ParicipationMai1[[#This Row],[1]:[31]],code19)</f>
        <v>0</v>
      </c>
      <c r="BK61" s="370">
        <f>COUNTIF(ParicipationMai1[[#This Row],[1]:[31]],code20)</f>
        <v>0</v>
      </c>
      <c r="BL61" s="516">
        <f>COUNTIF(ParicipationMai1[[#This Row],[1]:[31]],code29)</f>
        <v>0</v>
      </c>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c r="CI61" s="297"/>
      <c r="CJ61" s="297"/>
      <c r="CK61" s="297"/>
      <c r="CL61" s="297"/>
      <c r="CM61" s="297"/>
      <c r="CN61" s="297"/>
      <c r="CO61" s="297"/>
      <c r="CP61" s="297"/>
      <c r="CQ61" s="297"/>
      <c r="CR61" s="297"/>
      <c r="CS61" s="297"/>
      <c r="CT61" s="472"/>
      <c r="CU61" s="300"/>
      <c r="CV61" s="505">
        <f t="shared" si="0"/>
        <v>0</v>
      </c>
      <c r="CW61" s="501">
        <f t="shared" si="1"/>
        <v>0</v>
      </c>
      <c r="CX61" s="472">
        <f t="shared" si="2"/>
        <v>0</v>
      </c>
      <c r="CY61" s="512">
        <f t="shared" si="3"/>
        <v>0</v>
      </c>
    </row>
    <row r="62" spans="1:103">
      <c r="A62" s="29" t="s">
        <v>403</v>
      </c>
      <c r="B62" s="162" t="str">
        <f>IFERROR(VLOOKUP(ParicipationMai1[[#This Row],[Référence]],ListeÉtudiants1[],18,FALSE),"")</f>
        <v>ETIENNE MYLENE</v>
      </c>
      <c r="AG62" s="286"/>
      <c r="AH62" s="138">
        <f>COUNTIF(ParicipationMai1[[1]:[31]],Code1)</f>
        <v>0</v>
      </c>
      <c r="AI62" s="474">
        <f>COUNTIF(ParicipationMai1[[1]:[31]],code22)</f>
        <v>0</v>
      </c>
      <c r="AJ62" s="138">
        <f>COUNTIF(ParicipationMai1[[#This Row],[1]:[31]],Code2)</f>
        <v>0</v>
      </c>
      <c r="AK62" s="138">
        <f>COUNTIF(ParicipationMai1[[#This Row],[1]:[31]],Code3)</f>
        <v>0</v>
      </c>
      <c r="AL62" s="138">
        <f>COUNTIF(ParicipationMai1[[#This Row],[1]:[31]],Code4)</f>
        <v>0</v>
      </c>
      <c r="AM62" s="472">
        <f>COUNTIF(ParicipationMai1[[#This Row],[1]:[31]],Code5)</f>
        <v>0</v>
      </c>
      <c r="AN62" s="472">
        <f>COUNTIF(ParicipationMai1[[#This Row],[1]:[31]],Code23)</f>
        <v>0</v>
      </c>
      <c r="AO62" s="472">
        <f>COUNTIF(ParicipationMai1[[#This Row],[1]:[31]],Code6)</f>
        <v>0</v>
      </c>
      <c r="AP62" s="472">
        <f>COUNTIF(ParicipationMai1[[#This Row],[1]:[31]],Code7)</f>
        <v>0</v>
      </c>
      <c r="AQ62" s="472">
        <f>COUNTIF(ParicipationMai1[[#This Row],[1]:[31]],Code8)</f>
        <v>0</v>
      </c>
      <c r="AR62" s="472">
        <f>COUNTIF(ParicipationMai1[[#This Row],[1]:[31]],Code9)</f>
        <v>0</v>
      </c>
      <c r="AS62" s="472">
        <f>COUNTIF(ParicipationMai1[[#This Row],[1]:[31]],Code10)</f>
        <v>0</v>
      </c>
      <c r="AT62" s="472">
        <f>COUNTIF(ParicipationMai1[[#This Row],[1]:[31]],Code11)</f>
        <v>0</v>
      </c>
      <c r="AU62" s="472">
        <f>COUNTIF(ParicipationMai1[[#This Row],[1]:[31]],Code12)</f>
        <v>0</v>
      </c>
      <c r="AV62" s="472">
        <f>COUNTIF(ParicipationMai1[[#This Row],[1]:[31]],Code13)</f>
        <v>0</v>
      </c>
      <c r="AW62" s="472">
        <f>COUNTIF(ParicipationMai1[[#This Row],[1]:[31]],Code14)</f>
        <v>0</v>
      </c>
      <c r="AX62" s="472">
        <f>COUNTIF(ParicipationMai1[[#This Row],[1]:[31]],Code15)</f>
        <v>0</v>
      </c>
      <c r="AY62" s="472">
        <f>COUNTIF(ParicipationMai1[[#This Row],[1]:[31]],Code16)</f>
        <v>0</v>
      </c>
      <c r="AZ62" s="472">
        <f>COUNTIF(ParicipationMai1[[#This Row],[1]:[31]],Code17)</f>
        <v>0</v>
      </c>
      <c r="BA62" s="472">
        <f>COUNTIF(ParicipationMai1[[#This Row],[1]:[31]],Code25)</f>
        <v>0</v>
      </c>
      <c r="BB62" s="472">
        <f>COUNTIF(ParicipationMai1[[#This Row],[1]:[31]],Code26)</f>
        <v>0</v>
      </c>
      <c r="BC62" s="472">
        <f>COUNTIF(ParicipationMai1[[#This Row],[1]:[31]],Code27)</f>
        <v>0</v>
      </c>
      <c r="BD62" s="472">
        <f>COUNTIF(ParicipationMai1[[#This Row],[1]:[31]],Code28)</f>
        <v>0</v>
      </c>
      <c r="BE62" s="472">
        <f>COUNTIF(ParicipationMai1[[#This Row],[1]:[31]],code30)</f>
        <v>0</v>
      </c>
      <c r="BF62" s="472">
        <f>COUNTIF(ParicipationMai1[[#This Row],[1]:[31]],Code31)</f>
        <v>0</v>
      </c>
      <c r="BG62" s="472">
        <f>COUNTIF(ParicipationMai1[[#This Row],[1]:[31]],code21)</f>
        <v>0</v>
      </c>
      <c r="BH62" s="472">
        <f>COUNTIF(ParicipationMai1[[#This Row],[1]:[31]],Code24)</f>
        <v>0</v>
      </c>
      <c r="BI62" s="370">
        <f>COUNTIF(ParicipationMai1[[#This Row],[1]:[31]],code18)</f>
        <v>0</v>
      </c>
      <c r="BJ62" s="370">
        <f>COUNTIF(ParicipationMai1[[#This Row],[1]:[31]],code19)</f>
        <v>0</v>
      </c>
      <c r="BK62" s="370">
        <f>COUNTIF(ParicipationMai1[[#This Row],[1]:[31]],code20)</f>
        <v>0</v>
      </c>
      <c r="BL62" s="516">
        <f>COUNTIF(ParicipationMai1[[#This Row],[1]:[31]],code29)</f>
        <v>0</v>
      </c>
      <c r="BM62" s="297"/>
      <c r="BN62" s="297"/>
      <c r="BO62" s="297"/>
      <c r="BP62" s="297"/>
      <c r="BQ62" s="297"/>
      <c r="BR62" s="297"/>
      <c r="BS62" s="297"/>
      <c r="BT62" s="297"/>
      <c r="BU62" s="297"/>
      <c r="BV62" s="297"/>
      <c r="BW62" s="297"/>
      <c r="BX62" s="297"/>
      <c r="BY62" s="297"/>
      <c r="BZ62" s="297"/>
      <c r="CA62" s="297"/>
      <c r="CB62" s="297"/>
      <c r="CC62" s="297"/>
      <c r="CD62" s="297"/>
      <c r="CE62" s="297"/>
      <c r="CF62" s="297"/>
      <c r="CG62" s="297"/>
      <c r="CH62" s="297"/>
      <c r="CI62" s="297"/>
      <c r="CJ62" s="297"/>
      <c r="CK62" s="297"/>
      <c r="CL62" s="297"/>
      <c r="CM62" s="297"/>
      <c r="CN62" s="297"/>
      <c r="CO62" s="297"/>
      <c r="CP62" s="297"/>
      <c r="CQ62" s="297"/>
      <c r="CR62" s="297"/>
      <c r="CS62" s="297"/>
      <c r="CT62" s="472"/>
      <c r="CU62" s="300"/>
      <c r="CV62" s="505">
        <f t="shared" si="0"/>
        <v>0</v>
      </c>
      <c r="CW62" s="501">
        <f t="shared" si="1"/>
        <v>0</v>
      </c>
      <c r="CX62" s="472">
        <f t="shared" si="2"/>
        <v>0</v>
      </c>
      <c r="CY62" s="512">
        <f t="shared" si="3"/>
        <v>0</v>
      </c>
    </row>
    <row r="63" spans="1:103">
      <c r="A63" s="29" t="s">
        <v>404</v>
      </c>
      <c r="B63" s="162" t="str">
        <f>IFERROR(VLOOKUP(ParicipationMai1[[#This Row],[Référence]],ListeÉtudiants1[],18,FALSE),"")</f>
        <v>FIRPION ALLISON</v>
      </c>
      <c r="AG63" s="286"/>
      <c r="AH63" s="138">
        <f>COUNTIF(ParicipationMai1[[1]:[31]],Code1)</f>
        <v>0</v>
      </c>
      <c r="AI63" s="474">
        <f>COUNTIF(ParicipationMai1[[1]:[31]],code22)</f>
        <v>0</v>
      </c>
      <c r="AJ63" s="138">
        <f>COUNTIF(ParicipationMai1[[#This Row],[1]:[31]],Code2)</f>
        <v>0</v>
      </c>
      <c r="AK63" s="138">
        <f>COUNTIF(ParicipationMai1[[#This Row],[1]:[31]],Code3)</f>
        <v>0</v>
      </c>
      <c r="AL63" s="138">
        <f>COUNTIF(ParicipationMai1[[#This Row],[1]:[31]],Code4)</f>
        <v>0</v>
      </c>
      <c r="AM63" s="472">
        <f>COUNTIF(ParicipationMai1[[#This Row],[1]:[31]],Code5)</f>
        <v>0</v>
      </c>
      <c r="AN63" s="472">
        <f>COUNTIF(ParicipationMai1[[#This Row],[1]:[31]],Code23)</f>
        <v>0</v>
      </c>
      <c r="AO63" s="472">
        <f>COUNTIF(ParicipationMai1[[#This Row],[1]:[31]],Code6)</f>
        <v>0</v>
      </c>
      <c r="AP63" s="472">
        <f>COUNTIF(ParicipationMai1[[#This Row],[1]:[31]],Code7)</f>
        <v>0</v>
      </c>
      <c r="AQ63" s="472">
        <f>COUNTIF(ParicipationMai1[[#This Row],[1]:[31]],Code8)</f>
        <v>0</v>
      </c>
      <c r="AR63" s="472">
        <f>COUNTIF(ParicipationMai1[[#This Row],[1]:[31]],Code9)</f>
        <v>0</v>
      </c>
      <c r="AS63" s="472">
        <f>COUNTIF(ParicipationMai1[[#This Row],[1]:[31]],Code10)</f>
        <v>0</v>
      </c>
      <c r="AT63" s="472">
        <f>COUNTIF(ParicipationMai1[[#This Row],[1]:[31]],Code11)</f>
        <v>0</v>
      </c>
      <c r="AU63" s="472">
        <f>COUNTIF(ParicipationMai1[[#This Row],[1]:[31]],Code12)</f>
        <v>0</v>
      </c>
      <c r="AV63" s="472">
        <f>COUNTIF(ParicipationMai1[[#This Row],[1]:[31]],Code13)</f>
        <v>0</v>
      </c>
      <c r="AW63" s="472">
        <f>COUNTIF(ParicipationMai1[[#This Row],[1]:[31]],Code14)</f>
        <v>0</v>
      </c>
      <c r="AX63" s="472">
        <f>COUNTIF(ParicipationMai1[[#This Row],[1]:[31]],Code15)</f>
        <v>0</v>
      </c>
      <c r="AY63" s="472">
        <f>COUNTIF(ParicipationMai1[[#This Row],[1]:[31]],Code16)</f>
        <v>0</v>
      </c>
      <c r="AZ63" s="472">
        <f>COUNTIF(ParicipationMai1[[#This Row],[1]:[31]],Code17)</f>
        <v>0</v>
      </c>
      <c r="BA63" s="472">
        <f>COUNTIF(ParicipationMai1[[#This Row],[1]:[31]],Code25)</f>
        <v>0</v>
      </c>
      <c r="BB63" s="472">
        <f>COUNTIF(ParicipationMai1[[#This Row],[1]:[31]],Code26)</f>
        <v>0</v>
      </c>
      <c r="BC63" s="472">
        <f>COUNTIF(ParicipationMai1[[#This Row],[1]:[31]],Code27)</f>
        <v>0</v>
      </c>
      <c r="BD63" s="472">
        <f>COUNTIF(ParicipationMai1[[#This Row],[1]:[31]],Code28)</f>
        <v>0</v>
      </c>
      <c r="BE63" s="472">
        <f>COUNTIF(ParicipationMai1[[#This Row],[1]:[31]],code30)</f>
        <v>0</v>
      </c>
      <c r="BF63" s="472">
        <f>COUNTIF(ParicipationMai1[[#This Row],[1]:[31]],Code31)</f>
        <v>0</v>
      </c>
      <c r="BG63" s="472">
        <f>COUNTIF(ParicipationMai1[[#This Row],[1]:[31]],code21)</f>
        <v>0</v>
      </c>
      <c r="BH63" s="472">
        <f>COUNTIF(ParicipationMai1[[#This Row],[1]:[31]],Code24)</f>
        <v>0</v>
      </c>
      <c r="BI63" s="370">
        <f>COUNTIF(ParicipationMai1[[#This Row],[1]:[31]],code18)</f>
        <v>0</v>
      </c>
      <c r="BJ63" s="370">
        <f>COUNTIF(ParicipationMai1[[#This Row],[1]:[31]],code19)</f>
        <v>0</v>
      </c>
      <c r="BK63" s="370">
        <f>COUNTIF(ParicipationMai1[[#This Row],[1]:[31]],code20)</f>
        <v>0</v>
      </c>
      <c r="BL63" s="516">
        <f>COUNTIF(ParicipationMai1[[#This Row],[1]:[31]],code29)</f>
        <v>0</v>
      </c>
      <c r="BM63" s="297"/>
      <c r="BN63" s="297"/>
      <c r="BO63" s="297"/>
      <c r="BP63" s="297"/>
      <c r="BQ63" s="297"/>
      <c r="BR63" s="297"/>
      <c r="BS63" s="297"/>
      <c r="BT63" s="297"/>
      <c r="BU63" s="297"/>
      <c r="BV63" s="297"/>
      <c r="BW63" s="297"/>
      <c r="BX63" s="297"/>
      <c r="BY63" s="297"/>
      <c r="BZ63" s="297"/>
      <c r="CA63" s="297"/>
      <c r="CB63" s="297"/>
      <c r="CC63" s="297"/>
      <c r="CD63" s="297"/>
      <c r="CE63" s="297"/>
      <c r="CF63" s="297"/>
      <c r="CG63" s="297"/>
      <c r="CH63" s="297"/>
      <c r="CI63" s="297"/>
      <c r="CJ63" s="297"/>
      <c r="CK63" s="297"/>
      <c r="CL63" s="297"/>
      <c r="CM63" s="297"/>
      <c r="CN63" s="297"/>
      <c r="CO63" s="297"/>
      <c r="CP63" s="297"/>
      <c r="CQ63" s="297"/>
      <c r="CR63" s="297"/>
      <c r="CS63" s="297"/>
      <c r="CT63" s="472"/>
      <c r="CU63" s="300"/>
      <c r="CV63" s="505">
        <f t="shared" si="0"/>
        <v>0</v>
      </c>
      <c r="CW63" s="501">
        <f t="shared" si="1"/>
        <v>0</v>
      </c>
      <c r="CX63" s="472">
        <f t="shared" si="2"/>
        <v>0</v>
      </c>
      <c r="CY63" s="512">
        <f t="shared" si="3"/>
        <v>0</v>
      </c>
    </row>
    <row r="64" spans="1:103">
      <c r="A64" s="29" t="s">
        <v>405</v>
      </c>
      <c r="B64" s="162" t="str">
        <f>IFERROR(VLOOKUP(ParicipationMai1[[#This Row],[Référence]],ListeÉtudiants1[],18,FALSE),"")</f>
        <v>GARGIULO  LUCIE</v>
      </c>
      <c r="AG64" s="286"/>
      <c r="AH64" s="138">
        <f>COUNTIF(ParicipationMai1[[1]:[31]],Code1)</f>
        <v>0</v>
      </c>
      <c r="AI64" s="474">
        <f>COUNTIF(ParicipationMai1[[1]:[31]],code22)</f>
        <v>0</v>
      </c>
      <c r="AJ64" s="138">
        <f>COUNTIF(ParicipationMai1[[#This Row],[1]:[31]],Code2)</f>
        <v>0</v>
      </c>
      <c r="AK64" s="138">
        <f>COUNTIF(ParicipationMai1[[#This Row],[1]:[31]],Code3)</f>
        <v>0</v>
      </c>
      <c r="AL64" s="138">
        <f>COUNTIF(ParicipationMai1[[#This Row],[1]:[31]],Code4)</f>
        <v>0</v>
      </c>
      <c r="AM64" s="472">
        <f>COUNTIF(ParicipationMai1[[#This Row],[1]:[31]],Code5)</f>
        <v>0</v>
      </c>
      <c r="AN64" s="472">
        <f>COUNTIF(ParicipationMai1[[#This Row],[1]:[31]],Code23)</f>
        <v>0</v>
      </c>
      <c r="AO64" s="472">
        <f>COUNTIF(ParicipationMai1[[#This Row],[1]:[31]],Code6)</f>
        <v>0</v>
      </c>
      <c r="AP64" s="472">
        <f>COUNTIF(ParicipationMai1[[#This Row],[1]:[31]],Code7)</f>
        <v>0</v>
      </c>
      <c r="AQ64" s="472">
        <f>COUNTIF(ParicipationMai1[[#This Row],[1]:[31]],Code8)</f>
        <v>0</v>
      </c>
      <c r="AR64" s="472">
        <f>COUNTIF(ParicipationMai1[[#This Row],[1]:[31]],Code9)</f>
        <v>0</v>
      </c>
      <c r="AS64" s="472">
        <f>COUNTIF(ParicipationMai1[[#This Row],[1]:[31]],Code10)</f>
        <v>0</v>
      </c>
      <c r="AT64" s="472">
        <f>COUNTIF(ParicipationMai1[[#This Row],[1]:[31]],Code11)</f>
        <v>0</v>
      </c>
      <c r="AU64" s="472">
        <f>COUNTIF(ParicipationMai1[[#This Row],[1]:[31]],Code12)</f>
        <v>0</v>
      </c>
      <c r="AV64" s="472">
        <f>COUNTIF(ParicipationMai1[[#This Row],[1]:[31]],Code13)</f>
        <v>0</v>
      </c>
      <c r="AW64" s="472">
        <f>COUNTIF(ParicipationMai1[[#This Row],[1]:[31]],Code14)</f>
        <v>0</v>
      </c>
      <c r="AX64" s="472">
        <f>COUNTIF(ParicipationMai1[[#This Row],[1]:[31]],Code15)</f>
        <v>0</v>
      </c>
      <c r="AY64" s="472">
        <f>COUNTIF(ParicipationMai1[[#This Row],[1]:[31]],Code16)</f>
        <v>0</v>
      </c>
      <c r="AZ64" s="472">
        <f>COUNTIF(ParicipationMai1[[#This Row],[1]:[31]],Code17)</f>
        <v>0</v>
      </c>
      <c r="BA64" s="472">
        <f>COUNTIF(ParicipationMai1[[#This Row],[1]:[31]],Code25)</f>
        <v>0</v>
      </c>
      <c r="BB64" s="472">
        <f>COUNTIF(ParicipationMai1[[#This Row],[1]:[31]],Code26)</f>
        <v>0</v>
      </c>
      <c r="BC64" s="472">
        <f>COUNTIF(ParicipationMai1[[#This Row],[1]:[31]],Code27)</f>
        <v>0</v>
      </c>
      <c r="BD64" s="472">
        <f>COUNTIF(ParicipationMai1[[#This Row],[1]:[31]],Code28)</f>
        <v>0</v>
      </c>
      <c r="BE64" s="472">
        <f>COUNTIF(ParicipationMai1[[#This Row],[1]:[31]],code30)</f>
        <v>0</v>
      </c>
      <c r="BF64" s="472">
        <f>COUNTIF(ParicipationMai1[[#This Row],[1]:[31]],Code31)</f>
        <v>0</v>
      </c>
      <c r="BG64" s="472">
        <f>COUNTIF(ParicipationMai1[[#This Row],[1]:[31]],code21)</f>
        <v>0</v>
      </c>
      <c r="BH64" s="472">
        <f>COUNTIF(ParicipationMai1[[#This Row],[1]:[31]],Code24)</f>
        <v>0</v>
      </c>
      <c r="BI64" s="370">
        <f>COUNTIF(ParicipationMai1[[#This Row],[1]:[31]],code18)</f>
        <v>0</v>
      </c>
      <c r="BJ64" s="370">
        <f>COUNTIF(ParicipationMai1[[#This Row],[1]:[31]],code19)</f>
        <v>0</v>
      </c>
      <c r="BK64" s="370">
        <f>COUNTIF(ParicipationMai1[[#This Row],[1]:[31]],code20)</f>
        <v>0</v>
      </c>
      <c r="BL64" s="516">
        <f>COUNTIF(ParicipationMai1[[#This Row],[1]:[31]],code29)</f>
        <v>0</v>
      </c>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c r="CI64" s="297"/>
      <c r="CJ64" s="297"/>
      <c r="CK64" s="297"/>
      <c r="CL64" s="297"/>
      <c r="CM64" s="297"/>
      <c r="CN64" s="297"/>
      <c r="CO64" s="297"/>
      <c r="CP64" s="297"/>
      <c r="CQ64" s="297"/>
      <c r="CR64" s="297"/>
      <c r="CS64" s="297"/>
      <c r="CT64" s="472"/>
      <c r="CU64" s="300"/>
      <c r="CV64" s="589">
        <f t="shared" si="0"/>
        <v>0</v>
      </c>
      <c r="CW64" s="501">
        <f t="shared" si="1"/>
        <v>0</v>
      </c>
      <c r="CX64" s="472">
        <f t="shared" si="2"/>
        <v>0</v>
      </c>
      <c r="CY64" s="512">
        <f t="shared" si="3"/>
        <v>0</v>
      </c>
    </row>
    <row r="65" spans="1:103">
      <c r="A65" s="29" t="s">
        <v>406</v>
      </c>
      <c r="B65" s="162" t="str">
        <f>IFERROR(VLOOKUP(ParicipationMai1[[#This Row],[Référence]],ListeÉtudiants1[],18,FALSE),"")</f>
        <v>GASQUET ANTOINE</v>
      </c>
      <c r="AG65" s="286"/>
      <c r="AH65" s="138">
        <f>COUNTIF(ParicipationMai1[[1]:[31]],Code1)</f>
        <v>0</v>
      </c>
      <c r="AI65" s="474">
        <f>COUNTIF(ParicipationMai1[[1]:[31]],code22)</f>
        <v>0</v>
      </c>
      <c r="AJ65" s="138">
        <f>COUNTIF(ParicipationMai1[[#This Row],[1]:[31]],Code2)</f>
        <v>0</v>
      </c>
      <c r="AK65" s="138">
        <f>COUNTIF(ParicipationMai1[[#This Row],[1]:[31]],Code3)</f>
        <v>0</v>
      </c>
      <c r="AL65" s="138">
        <f>COUNTIF(ParicipationMai1[[#This Row],[1]:[31]],Code4)</f>
        <v>0</v>
      </c>
      <c r="AM65" s="472">
        <f>COUNTIF(ParicipationMai1[[#This Row],[1]:[31]],Code5)</f>
        <v>0</v>
      </c>
      <c r="AN65" s="472">
        <f>COUNTIF(ParicipationMai1[[#This Row],[1]:[31]],Code23)</f>
        <v>0</v>
      </c>
      <c r="AO65" s="472">
        <f>COUNTIF(ParicipationMai1[[#This Row],[1]:[31]],Code6)</f>
        <v>0</v>
      </c>
      <c r="AP65" s="472">
        <f>COUNTIF(ParicipationMai1[[#This Row],[1]:[31]],Code7)</f>
        <v>0</v>
      </c>
      <c r="AQ65" s="472">
        <f>COUNTIF(ParicipationMai1[[#This Row],[1]:[31]],Code8)</f>
        <v>0</v>
      </c>
      <c r="AR65" s="472">
        <f>COUNTIF(ParicipationMai1[[#This Row],[1]:[31]],Code9)</f>
        <v>0</v>
      </c>
      <c r="AS65" s="472">
        <f>COUNTIF(ParicipationMai1[[#This Row],[1]:[31]],Code10)</f>
        <v>0</v>
      </c>
      <c r="AT65" s="472">
        <f>COUNTIF(ParicipationMai1[[#This Row],[1]:[31]],Code11)</f>
        <v>0</v>
      </c>
      <c r="AU65" s="472">
        <f>COUNTIF(ParicipationMai1[[#This Row],[1]:[31]],Code12)</f>
        <v>0</v>
      </c>
      <c r="AV65" s="472">
        <f>COUNTIF(ParicipationMai1[[#This Row],[1]:[31]],Code13)</f>
        <v>0</v>
      </c>
      <c r="AW65" s="472">
        <f>COUNTIF(ParicipationMai1[[#This Row],[1]:[31]],Code14)</f>
        <v>0</v>
      </c>
      <c r="AX65" s="472">
        <f>COUNTIF(ParicipationMai1[[#This Row],[1]:[31]],Code15)</f>
        <v>0</v>
      </c>
      <c r="AY65" s="472">
        <f>COUNTIF(ParicipationMai1[[#This Row],[1]:[31]],Code16)</f>
        <v>0</v>
      </c>
      <c r="AZ65" s="472">
        <f>COUNTIF(ParicipationMai1[[#This Row],[1]:[31]],Code17)</f>
        <v>0</v>
      </c>
      <c r="BA65" s="472">
        <f>COUNTIF(ParicipationMai1[[#This Row],[1]:[31]],Code25)</f>
        <v>0</v>
      </c>
      <c r="BB65" s="472">
        <f>COUNTIF(ParicipationMai1[[#This Row],[1]:[31]],Code26)</f>
        <v>0</v>
      </c>
      <c r="BC65" s="472">
        <f>COUNTIF(ParicipationMai1[[#This Row],[1]:[31]],Code27)</f>
        <v>0</v>
      </c>
      <c r="BD65" s="472">
        <f>COUNTIF(ParicipationMai1[[#This Row],[1]:[31]],Code28)</f>
        <v>0</v>
      </c>
      <c r="BE65" s="472">
        <f>COUNTIF(ParicipationMai1[[#This Row],[1]:[31]],code30)</f>
        <v>0</v>
      </c>
      <c r="BF65" s="472">
        <f>COUNTIF(ParicipationMai1[[#This Row],[1]:[31]],Code31)</f>
        <v>0</v>
      </c>
      <c r="BG65" s="472">
        <f>COUNTIF(ParicipationMai1[[#This Row],[1]:[31]],code21)</f>
        <v>0</v>
      </c>
      <c r="BH65" s="472">
        <f>COUNTIF(ParicipationMai1[[#This Row],[1]:[31]],Code24)</f>
        <v>0</v>
      </c>
      <c r="BI65" s="370">
        <f>COUNTIF(ParicipationMai1[[#This Row],[1]:[31]],code18)</f>
        <v>0</v>
      </c>
      <c r="BJ65" s="370">
        <f>COUNTIF(ParicipationMai1[[#This Row],[1]:[31]],code19)</f>
        <v>0</v>
      </c>
      <c r="BK65" s="370">
        <f>COUNTIF(ParicipationMai1[[#This Row],[1]:[31]],code20)</f>
        <v>0</v>
      </c>
      <c r="BL65" s="516">
        <f>COUNTIF(ParicipationMai1[[#This Row],[1]:[31]],code29)</f>
        <v>0</v>
      </c>
      <c r="BM65" s="297"/>
      <c r="BN65" s="297"/>
      <c r="BO65" s="297"/>
      <c r="BP65" s="297"/>
      <c r="BQ65" s="297"/>
      <c r="BR65" s="297"/>
      <c r="BS65" s="297"/>
      <c r="BT65" s="297"/>
      <c r="BU65" s="297"/>
      <c r="BV65" s="297"/>
      <c r="BW65" s="297"/>
      <c r="BX65" s="297"/>
      <c r="BY65" s="297"/>
      <c r="BZ65" s="297"/>
      <c r="CA65" s="297"/>
      <c r="CB65" s="297"/>
      <c r="CC65" s="297"/>
      <c r="CD65" s="297"/>
      <c r="CE65" s="297"/>
      <c r="CF65" s="297"/>
      <c r="CG65" s="297"/>
      <c r="CH65" s="297"/>
      <c r="CI65" s="297"/>
      <c r="CJ65" s="297"/>
      <c r="CK65" s="297"/>
      <c r="CL65" s="297"/>
      <c r="CM65" s="297"/>
      <c r="CN65" s="297"/>
      <c r="CO65" s="297"/>
      <c r="CP65" s="297"/>
      <c r="CQ65" s="297"/>
      <c r="CR65" s="297"/>
      <c r="CS65" s="297"/>
      <c r="CT65" s="472"/>
      <c r="CU65" s="300"/>
      <c r="CV65" s="589">
        <f t="shared" si="0"/>
        <v>0</v>
      </c>
      <c r="CW65" s="501">
        <f t="shared" si="1"/>
        <v>0</v>
      </c>
      <c r="CX65" s="472">
        <f t="shared" si="2"/>
        <v>0</v>
      </c>
      <c r="CY65" s="512">
        <f t="shared" si="3"/>
        <v>0</v>
      </c>
    </row>
    <row r="66" spans="1:103">
      <c r="A66" s="29" t="s">
        <v>407</v>
      </c>
      <c r="B66" s="162" t="str">
        <f>IFERROR(VLOOKUP(ParicipationMai1[[#This Row],[Référence]],ListeÉtudiants1[],18,FALSE),"")</f>
        <v>GATIBELZA LESLEY</v>
      </c>
      <c r="AG66" s="286"/>
      <c r="AH66" s="138">
        <f>COUNTIF(ParicipationMai1[[1]:[31]],Code1)</f>
        <v>0</v>
      </c>
      <c r="AI66" s="474">
        <f>COUNTIF(ParicipationMai1[[1]:[31]],code22)</f>
        <v>0</v>
      </c>
      <c r="AJ66" s="138">
        <f>COUNTIF(ParicipationMai1[[#This Row],[1]:[31]],Code2)</f>
        <v>0</v>
      </c>
      <c r="AK66" s="138">
        <f>COUNTIF(ParicipationMai1[[#This Row],[1]:[31]],Code3)</f>
        <v>0</v>
      </c>
      <c r="AL66" s="138">
        <f>COUNTIF(ParicipationMai1[[#This Row],[1]:[31]],Code4)</f>
        <v>0</v>
      </c>
      <c r="AM66" s="472">
        <f>COUNTIF(ParicipationMai1[[#This Row],[1]:[31]],Code5)</f>
        <v>0</v>
      </c>
      <c r="AN66" s="472">
        <f>COUNTIF(ParicipationMai1[[#This Row],[1]:[31]],Code23)</f>
        <v>0</v>
      </c>
      <c r="AO66" s="472">
        <f>COUNTIF(ParicipationMai1[[#This Row],[1]:[31]],Code6)</f>
        <v>0</v>
      </c>
      <c r="AP66" s="472">
        <f>COUNTIF(ParicipationMai1[[#This Row],[1]:[31]],Code7)</f>
        <v>0</v>
      </c>
      <c r="AQ66" s="472">
        <f>COUNTIF(ParicipationMai1[[#This Row],[1]:[31]],Code8)</f>
        <v>0</v>
      </c>
      <c r="AR66" s="472">
        <f>COUNTIF(ParicipationMai1[[#This Row],[1]:[31]],Code9)</f>
        <v>0</v>
      </c>
      <c r="AS66" s="472">
        <f>COUNTIF(ParicipationMai1[[#This Row],[1]:[31]],Code10)</f>
        <v>0</v>
      </c>
      <c r="AT66" s="472">
        <f>COUNTIF(ParicipationMai1[[#This Row],[1]:[31]],Code11)</f>
        <v>0</v>
      </c>
      <c r="AU66" s="472">
        <f>COUNTIF(ParicipationMai1[[#This Row],[1]:[31]],Code12)</f>
        <v>0</v>
      </c>
      <c r="AV66" s="472">
        <f>COUNTIF(ParicipationMai1[[#This Row],[1]:[31]],Code13)</f>
        <v>0</v>
      </c>
      <c r="AW66" s="472">
        <f>COUNTIF(ParicipationMai1[[#This Row],[1]:[31]],Code14)</f>
        <v>0</v>
      </c>
      <c r="AX66" s="472">
        <f>COUNTIF(ParicipationMai1[[#This Row],[1]:[31]],Code15)</f>
        <v>0</v>
      </c>
      <c r="AY66" s="472">
        <f>COUNTIF(ParicipationMai1[[#This Row],[1]:[31]],Code16)</f>
        <v>0</v>
      </c>
      <c r="AZ66" s="472">
        <f>COUNTIF(ParicipationMai1[[#This Row],[1]:[31]],Code17)</f>
        <v>0</v>
      </c>
      <c r="BA66" s="472">
        <f>COUNTIF(ParicipationMai1[[#This Row],[1]:[31]],Code25)</f>
        <v>0</v>
      </c>
      <c r="BB66" s="472">
        <f>COUNTIF(ParicipationMai1[[#This Row],[1]:[31]],Code26)</f>
        <v>0</v>
      </c>
      <c r="BC66" s="472">
        <f>COUNTIF(ParicipationMai1[[#This Row],[1]:[31]],Code27)</f>
        <v>0</v>
      </c>
      <c r="BD66" s="472">
        <f>COUNTIF(ParicipationMai1[[#This Row],[1]:[31]],Code28)</f>
        <v>0</v>
      </c>
      <c r="BE66" s="472">
        <f>COUNTIF(ParicipationMai1[[#This Row],[1]:[31]],code30)</f>
        <v>0</v>
      </c>
      <c r="BF66" s="472">
        <f>COUNTIF(ParicipationMai1[[#This Row],[1]:[31]],Code31)</f>
        <v>0</v>
      </c>
      <c r="BG66" s="472">
        <f>COUNTIF(ParicipationMai1[[#This Row],[1]:[31]],code21)</f>
        <v>0</v>
      </c>
      <c r="BH66" s="472">
        <f>COUNTIF(ParicipationMai1[[#This Row],[1]:[31]],Code24)</f>
        <v>0</v>
      </c>
      <c r="BI66" s="370">
        <f>COUNTIF(ParicipationMai1[[#This Row],[1]:[31]],code18)</f>
        <v>0</v>
      </c>
      <c r="BJ66" s="370">
        <f>COUNTIF(ParicipationMai1[[#This Row],[1]:[31]],code19)</f>
        <v>0</v>
      </c>
      <c r="BK66" s="370">
        <f>COUNTIF(ParicipationMai1[[#This Row],[1]:[31]],code20)</f>
        <v>0</v>
      </c>
      <c r="BL66" s="516">
        <f>COUNTIF(ParicipationMai1[[#This Row],[1]:[31]],code29)</f>
        <v>0</v>
      </c>
      <c r="BM66" s="297"/>
      <c r="BN66" s="297"/>
      <c r="BO66" s="297"/>
      <c r="BP66" s="297"/>
      <c r="BQ66" s="297"/>
      <c r="BR66" s="297"/>
      <c r="BS66" s="297"/>
      <c r="BT66" s="297"/>
      <c r="BU66" s="297"/>
      <c r="BV66" s="297"/>
      <c r="BW66" s="297"/>
      <c r="BX66" s="297"/>
      <c r="BY66" s="297"/>
      <c r="BZ66" s="297"/>
      <c r="CA66" s="297"/>
      <c r="CB66" s="297"/>
      <c r="CC66" s="297"/>
      <c r="CD66" s="297"/>
      <c r="CE66" s="297"/>
      <c r="CF66" s="297"/>
      <c r="CG66" s="297"/>
      <c r="CH66" s="297"/>
      <c r="CI66" s="297"/>
      <c r="CJ66" s="297"/>
      <c r="CK66" s="297"/>
      <c r="CL66" s="297"/>
      <c r="CM66" s="297"/>
      <c r="CN66" s="297"/>
      <c r="CO66" s="297"/>
      <c r="CP66" s="297"/>
      <c r="CQ66" s="297"/>
      <c r="CR66" s="297"/>
      <c r="CS66" s="297"/>
      <c r="CT66" s="472"/>
      <c r="CU66" s="300"/>
      <c r="CV66" s="589">
        <f t="shared" si="0"/>
        <v>0</v>
      </c>
      <c r="CW66" s="501">
        <f t="shared" si="1"/>
        <v>0</v>
      </c>
      <c r="CX66" s="472">
        <f t="shared" si="2"/>
        <v>0</v>
      </c>
      <c r="CY66" s="512">
        <f t="shared" si="3"/>
        <v>0</v>
      </c>
    </row>
    <row r="67" spans="1:103">
      <c r="A67" s="29" t="s">
        <v>408</v>
      </c>
      <c r="B67" s="162" t="str">
        <f>IFERROR(VLOOKUP(ParicipationMai1[[#This Row],[Référence]],ListeÉtudiants1[],18,FALSE),"")</f>
        <v>GOMES SEMEDO LUCY</v>
      </c>
      <c r="AG67" s="286"/>
      <c r="AH67" s="138">
        <f>COUNTIF(ParicipationMai1[[1]:[31]],Code1)</f>
        <v>0</v>
      </c>
      <c r="AI67" s="474">
        <f>COUNTIF(ParicipationMai1[[1]:[31]],code22)</f>
        <v>0</v>
      </c>
      <c r="AJ67" s="138">
        <f>COUNTIF(ParicipationMai1[[#This Row],[1]:[31]],Code2)</f>
        <v>0</v>
      </c>
      <c r="AK67" s="138">
        <f>COUNTIF(ParicipationMai1[[#This Row],[1]:[31]],Code3)</f>
        <v>0</v>
      </c>
      <c r="AL67" s="138">
        <f>COUNTIF(ParicipationMai1[[#This Row],[1]:[31]],Code4)</f>
        <v>0</v>
      </c>
      <c r="AM67" s="472">
        <f>COUNTIF(ParicipationMai1[[#This Row],[1]:[31]],Code5)</f>
        <v>0</v>
      </c>
      <c r="AN67" s="472">
        <f>COUNTIF(ParicipationMai1[[#This Row],[1]:[31]],Code23)</f>
        <v>0</v>
      </c>
      <c r="AO67" s="472">
        <f>COUNTIF(ParicipationMai1[[#This Row],[1]:[31]],Code6)</f>
        <v>0</v>
      </c>
      <c r="AP67" s="472">
        <f>COUNTIF(ParicipationMai1[[#This Row],[1]:[31]],Code7)</f>
        <v>0</v>
      </c>
      <c r="AQ67" s="472">
        <f>COUNTIF(ParicipationMai1[[#This Row],[1]:[31]],Code8)</f>
        <v>0</v>
      </c>
      <c r="AR67" s="472">
        <f>COUNTIF(ParicipationMai1[[#This Row],[1]:[31]],Code9)</f>
        <v>0</v>
      </c>
      <c r="AS67" s="472">
        <f>COUNTIF(ParicipationMai1[[#This Row],[1]:[31]],Code10)</f>
        <v>0</v>
      </c>
      <c r="AT67" s="472">
        <f>COUNTIF(ParicipationMai1[[#This Row],[1]:[31]],Code11)</f>
        <v>0</v>
      </c>
      <c r="AU67" s="472">
        <f>COUNTIF(ParicipationMai1[[#This Row],[1]:[31]],Code12)</f>
        <v>0</v>
      </c>
      <c r="AV67" s="472">
        <f>COUNTIF(ParicipationMai1[[#This Row],[1]:[31]],Code13)</f>
        <v>0</v>
      </c>
      <c r="AW67" s="472">
        <f>COUNTIF(ParicipationMai1[[#This Row],[1]:[31]],Code14)</f>
        <v>0</v>
      </c>
      <c r="AX67" s="472">
        <f>COUNTIF(ParicipationMai1[[#This Row],[1]:[31]],Code15)</f>
        <v>0</v>
      </c>
      <c r="AY67" s="472">
        <f>COUNTIF(ParicipationMai1[[#This Row],[1]:[31]],Code16)</f>
        <v>0</v>
      </c>
      <c r="AZ67" s="472">
        <f>COUNTIF(ParicipationMai1[[#This Row],[1]:[31]],Code17)</f>
        <v>0</v>
      </c>
      <c r="BA67" s="472">
        <f>COUNTIF(ParicipationMai1[[#This Row],[1]:[31]],Code25)</f>
        <v>0</v>
      </c>
      <c r="BB67" s="472">
        <f>COUNTIF(ParicipationMai1[[#This Row],[1]:[31]],Code26)</f>
        <v>0</v>
      </c>
      <c r="BC67" s="472">
        <f>COUNTIF(ParicipationMai1[[#This Row],[1]:[31]],Code27)</f>
        <v>0</v>
      </c>
      <c r="BD67" s="472">
        <f>COUNTIF(ParicipationMai1[[#This Row],[1]:[31]],Code28)</f>
        <v>0</v>
      </c>
      <c r="BE67" s="472">
        <f>COUNTIF(ParicipationMai1[[#This Row],[1]:[31]],code30)</f>
        <v>0</v>
      </c>
      <c r="BF67" s="472">
        <f>COUNTIF(ParicipationMai1[[#This Row],[1]:[31]],Code31)</f>
        <v>0</v>
      </c>
      <c r="BG67" s="472">
        <f>COUNTIF(ParicipationMai1[[#This Row],[1]:[31]],code21)</f>
        <v>0</v>
      </c>
      <c r="BH67" s="472">
        <f>COUNTIF(ParicipationMai1[[#This Row],[1]:[31]],Code24)</f>
        <v>0</v>
      </c>
      <c r="BI67" s="370">
        <f>COUNTIF(ParicipationMai1[[#This Row],[1]:[31]],code18)</f>
        <v>0</v>
      </c>
      <c r="BJ67" s="370">
        <f>COUNTIF(ParicipationMai1[[#This Row],[1]:[31]],code19)</f>
        <v>0</v>
      </c>
      <c r="BK67" s="370">
        <f>COUNTIF(ParicipationMai1[[#This Row],[1]:[31]],code20)</f>
        <v>0</v>
      </c>
      <c r="BL67" s="516">
        <f>COUNTIF(ParicipationMai1[[#This Row],[1]:[31]],code29)</f>
        <v>0</v>
      </c>
      <c r="BM67" s="297"/>
      <c r="BN67" s="297"/>
      <c r="BO67" s="297"/>
      <c r="BP67" s="297"/>
      <c r="BQ67" s="297"/>
      <c r="BR67" s="297"/>
      <c r="BS67" s="297"/>
      <c r="BT67" s="297"/>
      <c r="BU67" s="297"/>
      <c r="BV67" s="297"/>
      <c r="BW67" s="297"/>
      <c r="BX67" s="297"/>
      <c r="BY67" s="297"/>
      <c r="BZ67" s="297"/>
      <c r="CA67" s="297"/>
      <c r="CB67" s="297"/>
      <c r="CC67" s="297"/>
      <c r="CD67" s="297"/>
      <c r="CE67" s="297"/>
      <c r="CF67" s="297"/>
      <c r="CG67" s="297"/>
      <c r="CH67" s="297"/>
      <c r="CI67" s="297"/>
      <c r="CJ67" s="297"/>
      <c r="CK67" s="297"/>
      <c r="CL67" s="297"/>
      <c r="CM67" s="297"/>
      <c r="CN67" s="297"/>
      <c r="CO67" s="297"/>
      <c r="CP67" s="297"/>
      <c r="CQ67" s="297"/>
      <c r="CR67" s="297"/>
      <c r="CS67" s="297"/>
      <c r="CT67" s="472"/>
      <c r="CU67" s="300"/>
      <c r="CV67" s="589">
        <f t="shared" si="0"/>
        <v>0</v>
      </c>
      <c r="CW67" s="501">
        <f t="shared" si="1"/>
        <v>0</v>
      </c>
      <c r="CX67" s="472">
        <f t="shared" si="2"/>
        <v>0</v>
      </c>
      <c r="CY67" s="512">
        <f t="shared" si="3"/>
        <v>0</v>
      </c>
    </row>
    <row r="68" spans="1:103">
      <c r="A68" s="29" t="s">
        <v>409</v>
      </c>
      <c r="B68" s="162" t="str">
        <f>IFERROR(VLOOKUP(ParicipationMai1[[#This Row],[Référence]],ListeÉtudiants1[],18,FALSE),"")</f>
        <v>GORDON  MAIVA</v>
      </c>
      <c r="AG68" s="286"/>
      <c r="AH68" s="138">
        <f>COUNTIF(ParicipationMai1[[1]:[31]],Code1)</f>
        <v>0</v>
      </c>
      <c r="AI68" s="474">
        <f>COUNTIF(ParicipationMai1[[1]:[31]],code22)</f>
        <v>0</v>
      </c>
      <c r="AJ68" s="138">
        <f>COUNTIF(ParicipationMai1[[#This Row],[1]:[31]],Code2)</f>
        <v>0</v>
      </c>
      <c r="AK68" s="138">
        <f>COUNTIF(ParicipationMai1[[#This Row],[1]:[31]],Code3)</f>
        <v>0</v>
      </c>
      <c r="AL68" s="138">
        <f>COUNTIF(ParicipationMai1[[#This Row],[1]:[31]],Code4)</f>
        <v>0</v>
      </c>
      <c r="AM68" s="472">
        <f>COUNTIF(ParicipationMai1[[#This Row],[1]:[31]],Code5)</f>
        <v>0</v>
      </c>
      <c r="AN68" s="472">
        <f>COUNTIF(ParicipationMai1[[#This Row],[1]:[31]],Code23)</f>
        <v>0</v>
      </c>
      <c r="AO68" s="472">
        <f>COUNTIF(ParicipationMai1[[#This Row],[1]:[31]],Code6)</f>
        <v>0</v>
      </c>
      <c r="AP68" s="472">
        <f>COUNTIF(ParicipationMai1[[#This Row],[1]:[31]],Code7)</f>
        <v>0</v>
      </c>
      <c r="AQ68" s="472">
        <f>COUNTIF(ParicipationMai1[[#This Row],[1]:[31]],Code8)</f>
        <v>0</v>
      </c>
      <c r="AR68" s="472">
        <f>COUNTIF(ParicipationMai1[[#This Row],[1]:[31]],Code9)</f>
        <v>0</v>
      </c>
      <c r="AS68" s="472">
        <f>COUNTIF(ParicipationMai1[[#This Row],[1]:[31]],Code10)</f>
        <v>0</v>
      </c>
      <c r="AT68" s="472">
        <f>COUNTIF(ParicipationMai1[[#This Row],[1]:[31]],Code11)</f>
        <v>0</v>
      </c>
      <c r="AU68" s="472">
        <f>COUNTIF(ParicipationMai1[[#This Row],[1]:[31]],Code12)</f>
        <v>0</v>
      </c>
      <c r="AV68" s="472">
        <f>COUNTIF(ParicipationMai1[[#This Row],[1]:[31]],Code13)</f>
        <v>0</v>
      </c>
      <c r="AW68" s="472">
        <f>COUNTIF(ParicipationMai1[[#This Row],[1]:[31]],Code14)</f>
        <v>0</v>
      </c>
      <c r="AX68" s="472">
        <f>COUNTIF(ParicipationMai1[[#This Row],[1]:[31]],Code15)</f>
        <v>0</v>
      </c>
      <c r="AY68" s="472">
        <f>COUNTIF(ParicipationMai1[[#This Row],[1]:[31]],Code16)</f>
        <v>0</v>
      </c>
      <c r="AZ68" s="472">
        <f>COUNTIF(ParicipationMai1[[#This Row],[1]:[31]],Code17)</f>
        <v>0</v>
      </c>
      <c r="BA68" s="472">
        <f>COUNTIF(ParicipationMai1[[#This Row],[1]:[31]],Code25)</f>
        <v>0</v>
      </c>
      <c r="BB68" s="472">
        <f>COUNTIF(ParicipationMai1[[#This Row],[1]:[31]],Code26)</f>
        <v>0</v>
      </c>
      <c r="BC68" s="472">
        <f>COUNTIF(ParicipationMai1[[#This Row],[1]:[31]],Code27)</f>
        <v>0</v>
      </c>
      <c r="BD68" s="472">
        <f>COUNTIF(ParicipationMai1[[#This Row],[1]:[31]],Code28)</f>
        <v>0</v>
      </c>
      <c r="BE68" s="472">
        <f>COUNTIF(ParicipationMai1[[#This Row],[1]:[31]],code30)</f>
        <v>0</v>
      </c>
      <c r="BF68" s="472">
        <f>COUNTIF(ParicipationMai1[[#This Row],[1]:[31]],Code31)</f>
        <v>0</v>
      </c>
      <c r="BG68" s="472">
        <f>COUNTIF(ParicipationMai1[[#This Row],[1]:[31]],code21)</f>
        <v>0</v>
      </c>
      <c r="BH68" s="472">
        <f>COUNTIF(ParicipationMai1[[#This Row],[1]:[31]],Code24)</f>
        <v>0</v>
      </c>
      <c r="BI68" s="370">
        <f>COUNTIF(ParicipationMai1[[#This Row],[1]:[31]],code18)</f>
        <v>0</v>
      </c>
      <c r="BJ68" s="370">
        <f>COUNTIF(ParicipationMai1[[#This Row],[1]:[31]],code19)</f>
        <v>0</v>
      </c>
      <c r="BK68" s="370">
        <f>COUNTIF(ParicipationMai1[[#This Row],[1]:[31]],code20)</f>
        <v>0</v>
      </c>
      <c r="BL68" s="516">
        <f>COUNTIF(ParicipationMai1[[#This Row],[1]:[31]],code29)</f>
        <v>0</v>
      </c>
      <c r="BM68" s="297"/>
      <c r="BN68" s="297"/>
      <c r="BO68" s="297"/>
      <c r="BP68" s="297"/>
      <c r="BQ68" s="297"/>
      <c r="BR68" s="297"/>
      <c r="BS68" s="297"/>
      <c r="BT68" s="297"/>
      <c r="BU68" s="297"/>
      <c r="BV68" s="297"/>
      <c r="BW68" s="297"/>
      <c r="BX68" s="297"/>
      <c r="BY68" s="297"/>
      <c r="BZ68" s="297"/>
      <c r="CA68" s="297"/>
      <c r="CB68" s="297"/>
      <c r="CC68" s="297"/>
      <c r="CD68" s="297"/>
      <c r="CE68" s="297"/>
      <c r="CF68" s="297"/>
      <c r="CG68" s="297"/>
      <c r="CH68" s="297"/>
      <c r="CI68" s="297"/>
      <c r="CJ68" s="297"/>
      <c r="CK68" s="297"/>
      <c r="CL68" s="297"/>
      <c r="CM68" s="297"/>
      <c r="CN68" s="297"/>
      <c r="CO68" s="297"/>
      <c r="CP68" s="297"/>
      <c r="CQ68" s="297"/>
      <c r="CR68" s="297"/>
      <c r="CS68" s="297"/>
      <c r="CT68" s="472"/>
      <c r="CU68" s="300"/>
      <c r="CV68" s="589">
        <f t="shared" si="0"/>
        <v>0</v>
      </c>
      <c r="CW68" s="501">
        <f t="shared" si="1"/>
        <v>0</v>
      </c>
      <c r="CX68" s="472">
        <f t="shared" si="2"/>
        <v>0</v>
      </c>
      <c r="CY68" s="512">
        <f t="shared" si="3"/>
        <v>0</v>
      </c>
    </row>
    <row r="69" spans="1:103">
      <c r="A69" s="29" t="s">
        <v>410</v>
      </c>
      <c r="B69" s="162" t="str">
        <f>IFERROR(VLOOKUP(ParicipationMai1[[#This Row],[Référence]],ListeÉtudiants1[],18,FALSE),"")</f>
        <v>GRANCHON-RIOLZIR DOROTHEE</v>
      </c>
      <c r="AG69" s="286"/>
      <c r="AH69" s="138">
        <f>COUNTIF(ParicipationMai1[[1]:[31]],Code1)</f>
        <v>0</v>
      </c>
      <c r="AI69" s="474">
        <f>COUNTIF(ParicipationMai1[[1]:[31]],code22)</f>
        <v>0</v>
      </c>
      <c r="AJ69" s="138">
        <f>COUNTIF(ParicipationMai1[[#This Row],[1]:[31]],Code2)</f>
        <v>0</v>
      </c>
      <c r="AK69" s="138">
        <f>COUNTIF(ParicipationMai1[[#This Row],[1]:[31]],Code3)</f>
        <v>0</v>
      </c>
      <c r="AL69" s="138">
        <f>COUNTIF(ParicipationMai1[[#This Row],[1]:[31]],Code4)</f>
        <v>0</v>
      </c>
      <c r="AM69" s="472">
        <f>COUNTIF(ParicipationMai1[[#This Row],[1]:[31]],Code5)</f>
        <v>0</v>
      </c>
      <c r="AN69" s="472">
        <f>COUNTIF(ParicipationMai1[[#This Row],[1]:[31]],Code23)</f>
        <v>0</v>
      </c>
      <c r="AO69" s="472">
        <f>COUNTIF(ParicipationMai1[[#This Row],[1]:[31]],Code6)</f>
        <v>0</v>
      </c>
      <c r="AP69" s="472">
        <f>COUNTIF(ParicipationMai1[[#This Row],[1]:[31]],Code7)</f>
        <v>0</v>
      </c>
      <c r="AQ69" s="472">
        <f>COUNTIF(ParicipationMai1[[#This Row],[1]:[31]],Code8)</f>
        <v>0</v>
      </c>
      <c r="AR69" s="472">
        <f>COUNTIF(ParicipationMai1[[#This Row],[1]:[31]],Code9)</f>
        <v>0</v>
      </c>
      <c r="AS69" s="472">
        <f>COUNTIF(ParicipationMai1[[#This Row],[1]:[31]],Code10)</f>
        <v>0</v>
      </c>
      <c r="AT69" s="472">
        <f>COUNTIF(ParicipationMai1[[#This Row],[1]:[31]],Code11)</f>
        <v>0</v>
      </c>
      <c r="AU69" s="472">
        <f>COUNTIF(ParicipationMai1[[#This Row],[1]:[31]],Code12)</f>
        <v>0</v>
      </c>
      <c r="AV69" s="472">
        <f>COUNTIF(ParicipationMai1[[#This Row],[1]:[31]],Code13)</f>
        <v>0</v>
      </c>
      <c r="AW69" s="472">
        <f>COUNTIF(ParicipationMai1[[#This Row],[1]:[31]],Code14)</f>
        <v>0</v>
      </c>
      <c r="AX69" s="472">
        <f>COUNTIF(ParicipationMai1[[#This Row],[1]:[31]],Code15)</f>
        <v>0</v>
      </c>
      <c r="AY69" s="472">
        <f>COUNTIF(ParicipationMai1[[#This Row],[1]:[31]],Code16)</f>
        <v>0</v>
      </c>
      <c r="AZ69" s="472">
        <f>COUNTIF(ParicipationMai1[[#This Row],[1]:[31]],Code17)</f>
        <v>0</v>
      </c>
      <c r="BA69" s="472">
        <f>COUNTIF(ParicipationMai1[[#This Row],[1]:[31]],Code25)</f>
        <v>0</v>
      </c>
      <c r="BB69" s="472">
        <f>COUNTIF(ParicipationMai1[[#This Row],[1]:[31]],Code26)</f>
        <v>0</v>
      </c>
      <c r="BC69" s="472">
        <f>COUNTIF(ParicipationMai1[[#This Row],[1]:[31]],Code27)</f>
        <v>0</v>
      </c>
      <c r="BD69" s="472">
        <f>COUNTIF(ParicipationMai1[[#This Row],[1]:[31]],Code28)</f>
        <v>0</v>
      </c>
      <c r="BE69" s="472">
        <f>COUNTIF(ParicipationMai1[[#This Row],[1]:[31]],code30)</f>
        <v>0</v>
      </c>
      <c r="BF69" s="472">
        <f>COUNTIF(ParicipationMai1[[#This Row],[1]:[31]],Code31)</f>
        <v>0</v>
      </c>
      <c r="BG69" s="472">
        <f>COUNTIF(ParicipationMai1[[#This Row],[1]:[31]],code21)</f>
        <v>0</v>
      </c>
      <c r="BH69" s="472">
        <f>COUNTIF(ParicipationMai1[[#This Row],[1]:[31]],Code24)</f>
        <v>0</v>
      </c>
      <c r="BI69" s="370">
        <f>COUNTIF(ParicipationMai1[[#This Row],[1]:[31]],code18)</f>
        <v>0</v>
      </c>
      <c r="BJ69" s="370">
        <f>COUNTIF(ParicipationMai1[[#This Row],[1]:[31]],code19)</f>
        <v>0</v>
      </c>
      <c r="BK69" s="370">
        <f>COUNTIF(ParicipationMai1[[#This Row],[1]:[31]],code20)</f>
        <v>0</v>
      </c>
      <c r="BL69" s="516">
        <f>COUNTIF(ParicipationMai1[[#This Row],[1]:[31]],code29)</f>
        <v>0</v>
      </c>
      <c r="BM69" s="297"/>
      <c r="BN69" s="297"/>
      <c r="BO69" s="297"/>
      <c r="BP69" s="297"/>
      <c r="BQ69" s="297"/>
      <c r="BR69" s="297"/>
      <c r="BS69" s="297"/>
      <c r="BT69" s="297"/>
      <c r="BU69" s="297"/>
      <c r="BV69" s="297"/>
      <c r="BW69" s="297"/>
      <c r="BX69" s="297"/>
      <c r="BY69" s="297"/>
      <c r="BZ69" s="297"/>
      <c r="CA69" s="297"/>
      <c r="CB69" s="297"/>
      <c r="CC69" s="297"/>
      <c r="CD69" s="297"/>
      <c r="CE69" s="297"/>
      <c r="CF69" s="297"/>
      <c r="CG69" s="297"/>
      <c r="CH69" s="297"/>
      <c r="CI69" s="297"/>
      <c r="CJ69" s="297"/>
      <c r="CK69" s="297"/>
      <c r="CL69" s="297"/>
      <c r="CM69" s="297"/>
      <c r="CN69" s="297"/>
      <c r="CO69" s="297"/>
      <c r="CP69" s="297"/>
      <c r="CQ69" s="297"/>
      <c r="CR69" s="297"/>
      <c r="CS69" s="297"/>
      <c r="CT69" s="472"/>
      <c r="CU69" s="300"/>
      <c r="CV69" s="589">
        <f t="shared" si="0"/>
        <v>0</v>
      </c>
      <c r="CW69" s="501">
        <f t="shared" si="1"/>
        <v>0</v>
      </c>
      <c r="CX69" s="472">
        <f t="shared" si="2"/>
        <v>0</v>
      </c>
      <c r="CY69" s="512">
        <f t="shared" si="3"/>
        <v>0</v>
      </c>
    </row>
    <row r="70" spans="1:103">
      <c r="A70" s="29" t="s">
        <v>411</v>
      </c>
      <c r="B70" s="162" t="str">
        <f>IFERROR(VLOOKUP(ParicipationMai1[[#This Row],[Référence]],ListeÉtudiants1[],18,FALSE),"")</f>
        <v>GROEVIUS EMILIE</v>
      </c>
      <c r="AG70" s="286"/>
      <c r="AH70" s="138">
        <f>COUNTIF(ParicipationMai1[[1]:[31]],Code1)</f>
        <v>0</v>
      </c>
      <c r="AI70" s="474">
        <f>COUNTIF(ParicipationMai1[[1]:[31]],code22)</f>
        <v>0</v>
      </c>
      <c r="AJ70" s="138">
        <f>COUNTIF(ParicipationMai1[[#This Row],[1]:[31]],Code2)</f>
        <v>0</v>
      </c>
      <c r="AK70" s="138">
        <f>COUNTIF(ParicipationMai1[[#This Row],[1]:[31]],Code3)</f>
        <v>0</v>
      </c>
      <c r="AL70" s="138">
        <f>COUNTIF(ParicipationMai1[[#This Row],[1]:[31]],Code4)</f>
        <v>0</v>
      </c>
      <c r="AM70" s="472">
        <f>COUNTIF(ParicipationMai1[[#This Row],[1]:[31]],Code5)</f>
        <v>0</v>
      </c>
      <c r="AN70" s="472">
        <f>COUNTIF(ParicipationMai1[[#This Row],[1]:[31]],Code23)</f>
        <v>0</v>
      </c>
      <c r="AO70" s="472">
        <f>COUNTIF(ParicipationMai1[[#This Row],[1]:[31]],Code6)</f>
        <v>0</v>
      </c>
      <c r="AP70" s="472">
        <f>COUNTIF(ParicipationMai1[[#This Row],[1]:[31]],Code7)</f>
        <v>0</v>
      </c>
      <c r="AQ70" s="472">
        <f>COUNTIF(ParicipationMai1[[#This Row],[1]:[31]],Code8)</f>
        <v>0</v>
      </c>
      <c r="AR70" s="472">
        <f>COUNTIF(ParicipationMai1[[#This Row],[1]:[31]],Code9)</f>
        <v>0</v>
      </c>
      <c r="AS70" s="472">
        <f>COUNTIF(ParicipationMai1[[#This Row],[1]:[31]],Code10)</f>
        <v>0</v>
      </c>
      <c r="AT70" s="472">
        <f>COUNTIF(ParicipationMai1[[#This Row],[1]:[31]],Code11)</f>
        <v>0</v>
      </c>
      <c r="AU70" s="472">
        <f>COUNTIF(ParicipationMai1[[#This Row],[1]:[31]],Code12)</f>
        <v>0</v>
      </c>
      <c r="AV70" s="472">
        <f>COUNTIF(ParicipationMai1[[#This Row],[1]:[31]],Code13)</f>
        <v>0</v>
      </c>
      <c r="AW70" s="472">
        <f>COUNTIF(ParicipationMai1[[#This Row],[1]:[31]],Code14)</f>
        <v>0</v>
      </c>
      <c r="AX70" s="472">
        <f>COUNTIF(ParicipationMai1[[#This Row],[1]:[31]],Code15)</f>
        <v>0</v>
      </c>
      <c r="AY70" s="472">
        <f>COUNTIF(ParicipationMai1[[#This Row],[1]:[31]],Code16)</f>
        <v>0</v>
      </c>
      <c r="AZ70" s="472">
        <f>COUNTIF(ParicipationMai1[[#This Row],[1]:[31]],Code17)</f>
        <v>0</v>
      </c>
      <c r="BA70" s="472">
        <f>COUNTIF(ParicipationMai1[[#This Row],[1]:[31]],Code25)</f>
        <v>0</v>
      </c>
      <c r="BB70" s="472">
        <f>COUNTIF(ParicipationMai1[[#This Row],[1]:[31]],Code26)</f>
        <v>0</v>
      </c>
      <c r="BC70" s="472">
        <f>COUNTIF(ParicipationMai1[[#This Row],[1]:[31]],Code27)</f>
        <v>0</v>
      </c>
      <c r="BD70" s="472">
        <f>COUNTIF(ParicipationMai1[[#This Row],[1]:[31]],Code28)</f>
        <v>0</v>
      </c>
      <c r="BE70" s="472">
        <f>COUNTIF(ParicipationMai1[[#This Row],[1]:[31]],code30)</f>
        <v>0</v>
      </c>
      <c r="BF70" s="472">
        <f>COUNTIF(ParicipationMai1[[#This Row],[1]:[31]],Code31)</f>
        <v>0</v>
      </c>
      <c r="BG70" s="472">
        <f>COUNTIF(ParicipationMai1[[#This Row],[1]:[31]],code21)</f>
        <v>0</v>
      </c>
      <c r="BH70" s="472">
        <f>COUNTIF(ParicipationMai1[[#This Row],[1]:[31]],Code24)</f>
        <v>0</v>
      </c>
      <c r="BI70" s="370">
        <f>COUNTIF(ParicipationMai1[[#This Row],[1]:[31]],code18)</f>
        <v>0</v>
      </c>
      <c r="BJ70" s="370">
        <f>COUNTIF(ParicipationMai1[[#This Row],[1]:[31]],code19)</f>
        <v>0</v>
      </c>
      <c r="BK70" s="370">
        <f>COUNTIF(ParicipationMai1[[#This Row],[1]:[31]],code20)</f>
        <v>0</v>
      </c>
      <c r="BL70" s="516">
        <f>COUNTIF(ParicipationMai1[[#This Row],[1]:[31]],code29)</f>
        <v>0</v>
      </c>
      <c r="BM70" s="297"/>
      <c r="BN70" s="297"/>
      <c r="BO70" s="297"/>
      <c r="BP70" s="297"/>
      <c r="BQ70" s="297"/>
      <c r="BR70" s="297"/>
      <c r="BS70" s="297"/>
      <c r="BT70" s="297"/>
      <c r="BU70" s="297"/>
      <c r="BV70" s="297"/>
      <c r="BW70" s="297"/>
      <c r="BX70" s="297"/>
      <c r="BY70" s="297"/>
      <c r="BZ70" s="297"/>
      <c r="CA70" s="297"/>
      <c r="CB70" s="297"/>
      <c r="CC70" s="297"/>
      <c r="CD70" s="297"/>
      <c r="CE70" s="297"/>
      <c r="CF70" s="297"/>
      <c r="CG70" s="297"/>
      <c r="CH70" s="297"/>
      <c r="CI70" s="297"/>
      <c r="CJ70" s="297"/>
      <c r="CK70" s="297"/>
      <c r="CL70" s="297"/>
      <c r="CM70" s="297"/>
      <c r="CN70" s="297"/>
      <c r="CO70" s="297"/>
      <c r="CP70" s="297"/>
      <c r="CQ70" s="297"/>
      <c r="CR70" s="297"/>
      <c r="CS70" s="297"/>
      <c r="CT70" s="472"/>
      <c r="CU70" s="300"/>
      <c r="CV70" s="589">
        <f t="shared" si="0"/>
        <v>0</v>
      </c>
      <c r="CW70" s="501">
        <f t="shared" si="1"/>
        <v>0</v>
      </c>
      <c r="CX70" s="472">
        <f t="shared" si="2"/>
        <v>0</v>
      </c>
      <c r="CY70" s="512">
        <f t="shared" si="3"/>
        <v>0</v>
      </c>
    </row>
    <row r="71" spans="1:103">
      <c r="A71" s="29" t="s">
        <v>412</v>
      </c>
      <c r="B71" s="162" t="str">
        <f>IFERROR(VLOOKUP(ParicipationMai1[[#This Row],[Référence]],ListeÉtudiants1[],18,FALSE),"")</f>
        <v>GUECHI DOUNIA</v>
      </c>
      <c r="AG71" s="286"/>
      <c r="AH71" s="138">
        <f>COUNTIF(ParicipationMai1[[1]:[31]],Code1)</f>
        <v>0</v>
      </c>
      <c r="AI71" s="474">
        <f>COUNTIF(ParicipationMai1[[1]:[31]],code22)</f>
        <v>0</v>
      </c>
      <c r="AJ71" s="138">
        <f>COUNTIF(ParicipationMai1[[#This Row],[1]:[31]],Code2)</f>
        <v>0</v>
      </c>
      <c r="AK71" s="138">
        <f>COUNTIF(ParicipationMai1[[#This Row],[1]:[31]],Code3)</f>
        <v>0</v>
      </c>
      <c r="AL71" s="138">
        <f>COUNTIF(ParicipationMai1[[#This Row],[1]:[31]],Code4)</f>
        <v>0</v>
      </c>
      <c r="AM71" s="472">
        <f>COUNTIF(ParicipationMai1[[#This Row],[1]:[31]],Code5)</f>
        <v>0</v>
      </c>
      <c r="AN71" s="472">
        <f>COUNTIF(ParicipationMai1[[#This Row],[1]:[31]],Code23)</f>
        <v>0</v>
      </c>
      <c r="AO71" s="472">
        <f>COUNTIF(ParicipationMai1[[#This Row],[1]:[31]],Code6)</f>
        <v>0</v>
      </c>
      <c r="AP71" s="472">
        <f>COUNTIF(ParicipationMai1[[#This Row],[1]:[31]],Code7)</f>
        <v>0</v>
      </c>
      <c r="AQ71" s="472">
        <f>COUNTIF(ParicipationMai1[[#This Row],[1]:[31]],Code8)</f>
        <v>0</v>
      </c>
      <c r="AR71" s="472">
        <f>COUNTIF(ParicipationMai1[[#This Row],[1]:[31]],Code9)</f>
        <v>0</v>
      </c>
      <c r="AS71" s="472">
        <f>COUNTIF(ParicipationMai1[[#This Row],[1]:[31]],Code10)</f>
        <v>0</v>
      </c>
      <c r="AT71" s="472">
        <f>COUNTIF(ParicipationMai1[[#This Row],[1]:[31]],Code11)</f>
        <v>0</v>
      </c>
      <c r="AU71" s="472">
        <f>COUNTIF(ParicipationMai1[[#This Row],[1]:[31]],Code12)</f>
        <v>0</v>
      </c>
      <c r="AV71" s="472">
        <f>COUNTIF(ParicipationMai1[[#This Row],[1]:[31]],Code13)</f>
        <v>0</v>
      </c>
      <c r="AW71" s="472">
        <f>COUNTIF(ParicipationMai1[[#This Row],[1]:[31]],Code14)</f>
        <v>0</v>
      </c>
      <c r="AX71" s="472">
        <f>COUNTIF(ParicipationMai1[[#This Row],[1]:[31]],Code15)</f>
        <v>0</v>
      </c>
      <c r="AY71" s="472">
        <f>COUNTIF(ParicipationMai1[[#This Row],[1]:[31]],Code16)</f>
        <v>0</v>
      </c>
      <c r="AZ71" s="472">
        <f>COUNTIF(ParicipationMai1[[#This Row],[1]:[31]],Code17)</f>
        <v>0</v>
      </c>
      <c r="BA71" s="472">
        <f>COUNTIF(ParicipationMai1[[#This Row],[1]:[31]],Code25)</f>
        <v>0</v>
      </c>
      <c r="BB71" s="472">
        <f>COUNTIF(ParicipationMai1[[#This Row],[1]:[31]],Code26)</f>
        <v>0</v>
      </c>
      <c r="BC71" s="472">
        <f>COUNTIF(ParicipationMai1[[#This Row],[1]:[31]],Code27)</f>
        <v>0</v>
      </c>
      <c r="BD71" s="472">
        <f>COUNTIF(ParicipationMai1[[#This Row],[1]:[31]],Code28)</f>
        <v>0</v>
      </c>
      <c r="BE71" s="472">
        <f>COUNTIF(ParicipationMai1[[#This Row],[1]:[31]],code30)</f>
        <v>0</v>
      </c>
      <c r="BF71" s="472">
        <f>COUNTIF(ParicipationMai1[[#This Row],[1]:[31]],Code31)</f>
        <v>0</v>
      </c>
      <c r="BG71" s="472">
        <f>COUNTIF(ParicipationMai1[[#This Row],[1]:[31]],code21)</f>
        <v>0</v>
      </c>
      <c r="BH71" s="472">
        <f>COUNTIF(ParicipationMai1[[#This Row],[1]:[31]],Code24)</f>
        <v>0</v>
      </c>
      <c r="BI71" s="370">
        <f>COUNTIF(ParicipationMai1[[#This Row],[1]:[31]],code18)</f>
        <v>0</v>
      </c>
      <c r="BJ71" s="370">
        <f>COUNTIF(ParicipationMai1[[#This Row],[1]:[31]],code19)</f>
        <v>0</v>
      </c>
      <c r="BK71" s="370">
        <f>COUNTIF(ParicipationMai1[[#This Row],[1]:[31]],code20)</f>
        <v>0</v>
      </c>
      <c r="BL71" s="516">
        <f>COUNTIF(ParicipationMai1[[#This Row],[1]:[31]],code29)</f>
        <v>0</v>
      </c>
      <c r="BM71" s="297"/>
      <c r="BN71" s="297"/>
      <c r="BO71" s="297"/>
      <c r="BP71" s="297"/>
      <c r="BQ71" s="297"/>
      <c r="BR71" s="297"/>
      <c r="BS71" s="297"/>
      <c r="BT71" s="297"/>
      <c r="BU71" s="297"/>
      <c r="BV71" s="297"/>
      <c r="BW71" s="297"/>
      <c r="BX71" s="297"/>
      <c r="BY71" s="297"/>
      <c r="BZ71" s="297"/>
      <c r="CA71" s="297"/>
      <c r="CB71" s="297"/>
      <c r="CC71" s="297"/>
      <c r="CD71" s="297"/>
      <c r="CE71" s="297"/>
      <c r="CF71" s="297"/>
      <c r="CG71" s="297"/>
      <c r="CH71" s="297"/>
      <c r="CI71" s="297"/>
      <c r="CJ71" s="297"/>
      <c r="CK71" s="297"/>
      <c r="CL71" s="297"/>
      <c r="CM71" s="297"/>
      <c r="CN71" s="297"/>
      <c r="CO71" s="297"/>
      <c r="CP71" s="297"/>
      <c r="CQ71" s="297"/>
      <c r="CR71" s="297"/>
      <c r="CS71" s="297"/>
      <c r="CT71" s="472"/>
      <c r="CU71" s="300"/>
      <c r="CV71" s="589">
        <f t="shared" si="0"/>
        <v>0</v>
      </c>
      <c r="CW71" s="501">
        <f t="shared" si="1"/>
        <v>0</v>
      </c>
      <c r="CX71" s="472">
        <f t="shared" si="2"/>
        <v>0</v>
      </c>
      <c r="CY71" s="512">
        <f t="shared" si="3"/>
        <v>0</v>
      </c>
    </row>
    <row r="72" spans="1:103">
      <c r="A72" s="29" t="s">
        <v>413</v>
      </c>
      <c r="B72" s="162" t="str">
        <f>IFERROR(VLOOKUP(ParicipationMai1[[#This Row],[Référence]],ListeÉtudiants1[],18,FALSE),"")</f>
        <v>HASSANI CHERINE</v>
      </c>
      <c r="AG72" s="286"/>
      <c r="AH72" s="138">
        <f>COUNTIF(ParicipationMai1[[1]:[31]],Code1)</f>
        <v>0</v>
      </c>
      <c r="AI72" s="474">
        <f>COUNTIF(ParicipationMai1[[1]:[31]],code22)</f>
        <v>0</v>
      </c>
      <c r="AJ72" s="138">
        <f>COUNTIF(ParicipationMai1[[#This Row],[1]:[31]],Code2)</f>
        <v>0</v>
      </c>
      <c r="AK72" s="138">
        <f>COUNTIF(ParicipationMai1[[#This Row],[1]:[31]],Code3)</f>
        <v>0</v>
      </c>
      <c r="AL72" s="138">
        <f>COUNTIF(ParicipationMai1[[#This Row],[1]:[31]],Code4)</f>
        <v>0</v>
      </c>
      <c r="AM72" s="472">
        <f>COUNTIF(ParicipationMai1[[#This Row],[1]:[31]],Code5)</f>
        <v>0</v>
      </c>
      <c r="AN72" s="472">
        <f>COUNTIF(ParicipationMai1[[#This Row],[1]:[31]],Code23)</f>
        <v>0</v>
      </c>
      <c r="AO72" s="472">
        <f>COUNTIF(ParicipationMai1[[#This Row],[1]:[31]],Code6)</f>
        <v>0</v>
      </c>
      <c r="AP72" s="472">
        <f>COUNTIF(ParicipationMai1[[#This Row],[1]:[31]],Code7)</f>
        <v>0</v>
      </c>
      <c r="AQ72" s="472">
        <f>COUNTIF(ParicipationMai1[[#This Row],[1]:[31]],Code8)</f>
        <v>0</v>
      </c>
      <c r="AR72" s="472">
        <f>COUNTIF(ParicipationMai1[[#This Row],[1]:[31]],Code9)</f>
        <v>0</v>
      </c>
      <c r="AS72" s="472">
        <f>COUNTIF(ParicipationMai1[[#This Row],[1]:[31]],Code10)</f>
        <v>0</v>
      </c>
      <c r="AT72" s="472">
        <f>COUNTIF(ParicipationMai1[[#This Row],[1]:[31]],Code11)</f>
        <v>0</v>
      </c>
      <c r="AU72" s="472">
        <f>COUNTIF(ParicipationMai1[[#This Row],[1]:[31]],Code12)</f>
        <v>0</v>
      </c>
      <c r="AV72" s="472">
        <f>COUNTIF(ParicipationMai1[[#This Row],[1]:[31]],Code13)</f>
        <v>0</v>
      </c>
      <c r="AW72" s="472">
        <f>COUNTIF(ParicipationMai1[[#This Row],[1]:[31]],Code14)</f>
        <v>0</v>
      </c>
      <c r="AX72" s="472">
        <f>COUNTIF(ParicipationMai1[[#This Row],[1]:[31]],Code15)</f>
        <v>0</v>
      </c>
      <c r="AY72" s="472">
        <f>COUNTIF(ParicipationMai1[[#This Row],[1]:[31]],Code16)</f>
        <v>0</v>
      </c>
      <c r="AZ72" s="472">
        <f>COUNTIF(ParicipationMai1[[#This Row],[1]:[31]],Code17)</f>
        <v>0</v>
      </c>
      <c r="BA72" s="472">
        <f>COUNTIF(ParicipationMai1[[#This Row],[1]:[31]],Code25)</f>
        <v>0</v>
      </c>
      <c r="BB72" s="472">
        <f>COUNTIF(ParicipationMai1[[#This Row],[1]:[31]],Code26)</f>
        <v>0</v>
      </c>
      <c r="BC72" s="472">
        <f>COUNTIF(ParicipationMai1[[#This Row],[1]:[31]],Code27)</f>
        <v>0</v>
      </c>
      <c r="BD72" s="472">
        <f>COUNTIF(ParicipationMai1[[#This Row],[1]:[31]],Code28)</f>
        <v>0</v>
      </c>
      <c r="BE72" s="472">
        <f>COUNTIF(ParicipationMai1[[#This Row],[1]:[31]],code30)</f>
        <v>0</v>
      </c>
      <c r="BF72" s="472">
        <f>COUNTIF(ParicipationMai1[[#This Row],[1]:[31]],Code31)</f>
        <v>0</v>
      </c>
      <c r="BG72" s="472">
        <f>COUNTIF(ParicipationMai1[[#This Row],[1]:[31]],code21)</f>
        <v>0</v>
      </c>
      <c r="BH72" s="472">
        <f>COUNTIF(ParicipationMai1[[#This Row],[1]:[31]],Code24)</f>
        <v>0</v>
      </c>
      <c r="BI72" s="370">
        <f>COUNTIF(ParicipationMai1[[#This Row],[1]:[31]],code18)</f>
        <v>0</v>
      </c>
      <c r="BJ72" s="370">
        <f>COUNTIF(ParicipationMai1[[#This Row],[1]:[31]],code19)</f>
        <v>0</v>
      </c>
      <c r="BK72" s="370">
        <f>COUNTIF(ParicipationMai1[[#This Row],[1]:[31]],code20)</f>
        <v>0</v>
      </c>
      <c r="BL72" s="516">
        <f>COUNTIF(ParicipationMai1[[#This Row],[1]:[31]],code29)</f>
        <v>0</v>
      </c>
      <c r="BM72" s="297"/>
      <c r="BN72" s="297"/>
      <c r="BO72" s="297"/>
      <c r="BP72" s="297"/>
      <c r="BQ72" s="297"/>
      <c r="BR72" s="297"/>
      <c r="BS72" s="297"/>
      <c r="BT72" s="297"/>
      <c r="BU72" s="297"/>
      <c r="BV72" s="297"/>
      <c r="BW72" s="297"/>
      <c r="BX72" s="297"/>
      <c r="BY72" s="297"/>
      <c r="BZ72" s="297"/>
      <c r="CA72" s="297"/>
      <c r="CB72" s="297"/>
      <c r="CC72" s="297"/>
      <c r="CD72" s="297"/>
      <c r="CE72" s="297"/>
      <c r="CF72" s="297"/>
      <c r="CG72" s="297"/>
      <c r="CH72" s="297"/>
      <c r="CI72" s="297"/>
      <c r="CJ72" s="297"/>
      <c r="CK72" s="297"/>
      <c r="CL72" s="297"/>
      <c r="CM72" s="297"/>
      <c r="CN72" s="297"/>
      <c r="CO72" s="297"/>
      <c r="CP72" s="297"/>
      <c r="CQ72" s="297"/>
      <c r="CR72" s="297"/>
      <c r="CS72" s="297"/>
      <c r="CT72" s="472"/>
      <c r="CU72" s="307"/>
      <c r="CV72" s="598">
        <f t="shared" si="0"/>
        <v>0</v>
      </c>
      <c r="CW72" s="501">
        <f t="shared" si="1"/>
        <v>0</v>
      </c>
      <c r="CX72" s="472">
        <f t="shared" si="2"/>
        <v>0</v>
      </c>
      <c r="CY72" s="512">
        <f t="shared" si="3"/>
        <v>0</v>
      </c>
    </row>
    <row r="73" spans="1:103">
      <c r="A73" s="29" t="s">
        <v>414</v>
      </c>
      <c r="B73" s="162" t="str">
        <f>IFERROR(VLOOKUP(ParicipationMai1[[#This Row],[Référence]],ListeÉtudiants1[],18,FALSE),"")</f>
        <v>HERMANN-MANETTE  CORALIE</v>
      </c>
      <c r="AG73" s="286"/>
      <c r="AH73" s="138">
        <f>COUNTIF(ParicipationMai1[[1]:[31]],Code1)</f>
        <v>0</v>
      </c>
      <c r="AI73" s="474">
        <f>COUNTIF(ParicipationMai1[[1]:[31]],code22)</f>
        <v>0</v>
      </c>
      <c r="AJ73" s="138">
        <f>COUNTIF(ParicipationMai1[[#This Row],[1]:[31]],Code2)</f>
        <v>0</v>
      </c>
      <c r="AK73" s="138">
        <f>COUNTIF(ParicipationMai1[[#This Row],[1]:[31]],Code3)</f>
        <v>0</v>
      </c>
      <c r="AL73" s="138">
        <f>COUNTIF(ParicipationMai1[[#This Row],[1]:[31]],Code4)</f>
        <v>0</v>
      </c>
      <c r="AM73" s="472">
        <f>COUNTIF(ParicipationMai1[[#This Row],[1]:[31]],Code5)</f>
        <v>0</v>
      </c>
      <c r="AN73" s="472">
        <f>COUNTIF(ParicipationMai1[[#This Row],[1]:[31]],Code23)</f>
        <v>0</v>
      </c>
      <c r="AO73" s="472">
        <f>COUNTIF(ParicipationMai1[[#This Row],[1]:[31]],Code6)</f>
        <v>0</v>
      </c>
      <c r="AP73" s="472">
        <f>COUNTIF(ParicipationMai1[[#This Row],[1]:[31]],Code7)</f>
        <v>0</v>
      </c>
      <c r="AQ73" s="472">
        <f>COUNTIF(ParicipationMai1[[#This Row],[1]:[31]],Code8)</f>
        <v>0</v>
      </c>
      <c r="AR73" s="472">
        <f>COUNTIF(ParicipationMai1[[#This Row],[1]:[31]],Code9)</f>
        <v>0</v>
      </c>
      <c r="AS73" s="472">
        <f>COUNTIF(ParicipationMai1[[#This Row],[1]:[31]],Code10)</f>
        <v>0</v>
      </c>
      <c r="AT73" s="472">
        <f>COUNTIF(ParicipationMai1[[#This Row],[1]:[31]],Code11)</f>
        <v>0</v>
      </c>
      <c r="AU73" s="472">
        <f>COUNTIF(ParicipationMai1[[#This Row],[1]:[31]],Code12)</f>
        <v>0</v>
      </c>
      <c r="AV73" s="472">
        <f>COUNTIF(ParicipationMai1[[#This Row],[1]:[31]],Code13)</f>
        <v>0</v>
      </c>
      <c r="AW73" s="472">
        <f>COUNTIF(ParicipationMai1[[#This Row],[1]:[31]],Code14)</f>
        <v>0</v>
      </c>
      <c r="AX73" s="472">
        <f>COUNTIF(ParicipationMai1[[#This Row],[1]:[31]],Code15)</f>
        <v>0</v>
      </c>
      <c r="AY73" s="472">
        <f>COUNTIF(ParicipationMai1[[#This Row],[1]:[31]],Code16)</f>
        <v>0</v>
      </c>
      <c r="AZ73" s="472">
        <f>COUNTIF(ParicipationMai1[[#This Row],[1]:[31]],Code17)</f>
        <v>0</v>
      </c>
      <c r="BA73" s="472">
        <f>COUNTIF(ParicipationMai1[[#This Row],[1]:[31]],Code25)</f>
        <v>0</v>
      </c>
      <c r="BB73" s="472">
        <f>COUNTIF(ParicipationMai1[[#This Row],[1]:[31]],Code26)</f>
        <v>0</v>
      </c>
      <c r="BC73" s="472">
        <f>COUNTIF(ParicipationMai1[[#This Row],[1]:[31]],Code27)</f>
        <v>0</v>
      </c>
      <c r="BD73" s="472">
        <f>COUNTIF(ParicipationMai1[[#This Row],[1]:[31]],Code28)</f>
        <v>0</v>
      </c>
      <c r="BE73" s="472">
        <f>COUNTIF(ParicipationMai1[[#This Row],[1]:[31]],code30)</f>
        <v>0</v>
      </c>
      <c r="BF73" s="472">
        <f>COUNTIF(ParicipationMai1[[#This Row],[1]:[31]],Code31)</f>
        <v>0</v>
      </c>
      <c r="BG73" s="472">
        <f>COUNTIF(ParicipationMai1[[#This Row],[1]:[31]],code21)</f>
        <v>0</v>
      </c>
      <c r="BH73" s="472">
        <f>COUNTIF(ParicipationMai1[[#This Row],[1]:[31]],Code24)</f>
        <v>0</v>
      </c>
      <c r="BI73" s="370">
        <f>COUNTIF(ParicipationMai1[[#This Row],[1]:[31]],code18)</f>
        <v>0</v>
      </c>
      <c r="BJ73" s="370">
        <f>COUNTIF(ParicipationMai1[[#This Row],[1]:[31]],code19)</f>
        <v>0</v>
      </c>
      <c r="BK73" s="370">
        <f>COUNTIF(ParicipationMai1[[#This Row],[1]:[31]],code20)</f>
        <v>0</v>
      </c>
      <c r="BL73" s="516">
        <f>COUNTIF(ParicipationMai1[[#This Row],[1]:[31]],code29)</f>
        <v>0</v>
      </c>
      <c r="BM73" s="297"/>
      <c r="BN73" s="297"/>
      <c r="BO73" s="297"/>
      <c r="BP73" s="297"/>
      <c r="BQ73" s="297"/>
      <c r="BR73" s="297"/>
      <c r="BS73" s="297"/>
      <c r="BT73" s="297"/>
      <c r="BU73" s="297"/>
      <c r="BV73" s="297"/>
      <c r="BW73" s="297"/>
      <c r="BX73" s="297"/>
      <c r="BY73" s="297"/>
      <c r="BZ73" s="297"/>
      <c r="CA73" s="297"/>
      <c r="CB73" s="297"/>
      <c r="CC73" s="297"/>
      <c r="CD73" s="297"/>
      <c r="CE73" s="297"/>
      <c r="CF73" s="297"/>
      <c r="CG73" s="297"/>
      <c r="CH73" s="297"/>
      <c r="CI73" s="297"/>
      <c r="CJ73" s="297"/>
      <c r="CK73" s="297"/>
      <c r="CL73" s="297"/>
      <c r="CM73" s="297"/>
      <c r="CN73" s="297"/>
      <c r="CO73" s="297"/>
      <c r="CP73" s="297"/>
      <c r="CQ73" s="297"/>
      <c r="CR73" s="297"/>
      <c r="CS73" s="297"/>
      <c r="CT73" s="472"/>
      <c r="CU73" s="300"/>
      <c r="CV73" s="589">
        <f t="shared" si="0"/>
        <v>0</v>
      </c>
      <c r="CW73" s="501">
        <f t="shared" si="1"/>
        <v>0</v>
      </c>
      <c r="CX73" s="472">
        <f t="shared" si="2"/>
        <v>0</v>
      </c>
      <c r="CY73" s="512">
        <f t="shared" si="3"/>
        <v>0</v>
      </c>
    </row>
    <row r="74" spans="1:103">
      <c r="A74" s="29" t="s">
        <v>415</v>
      </c>
      <c r="B74" s="162" t="str">
        <f>IFERROR(VLOOKUP(ParicipationMai1[[#This Row],[Référence]],ListeÉtudiants1[],18,FALSE),"")</f>
        <v>HOSTI MATHIAS</v>
      </c>
      <c r="AG74" s="286"/>
      <c r="AH74" s="138">
        <f>COUNTIF(ParicipationMai1[[1]:[31]],Code1)</f>
        <v>0</v>
      </c>
      <c r="AI74" s="474">
        <f>COUNTIF(ParicipationMai1[[1]:[31]],code22)</f>
        <v>0</v>
      </c>
      <c r="AJ74" s="138">
        <f>COUNTIF(ParicipationMai1[[#This Row],[1]:[31]],Code2)</f>
        <v>0</v>
      </c>
      <c r="AK74" s="138">
        <f>COUNTIF(ParicipationMai1[[#This Row],[1]:[31]],Code3)</f>
        <v>0</v>
      </c>
      <c r="AL74" s="138">
        <f>COUNTIF(ParicipationMai1[[#This Row],[1]:[31]],Code4)</f>
        <v>0</v>
      </c>
      <c r="AM74" s="472">
        <f>COUNTIF(ParicipationMai1[[#This Row],[1]:[31]],Code5)</f>
        <v>0</v>
      </c>
      <c r="AN74" s="472">
        <f>COUNTIF(ParicipationMai1[[#This Row],[1]:[31]],Code23)</f>
        <v>0</v>
      </c>
      <c r="AO74" s="472">
        <f>COUNTIF(ParicipationMai1[[#This Row],[1]:[31]],Code6)</f>
        <v>0</v>
      </c>
      <c r="AP74" s="472">
        <f>COUNTIF(ParicipationMai1[[#This Row],[1]:[31]],Code7)</f>
        <v>0</v>
      </c>
      <c r="AQ74" s="472">
        <f>COUNTIF(ParicipationMai1[[#This Row],[1]:[31]],Code8)</f>
        <v>0</v>
      </c>
      <c r="AR74" s="472">
        <f>COUNTIF(ParicipationMai1[[#This Row],[1]:[31]],Code9)</f>
        <v>0</v>
      </c>
      <c r="AS74" s="472">
        <f>COUNTIF(ParicipationMai1[[#This Row],[1]:[31]],Code10)</f>
        <v>0</v>
      </c>
      <c r="AT74" s="472">
        <f>COUNTIF(ParicipationMai1[[#This Row],[1]:[31]],Code11)</f>
        <v>0</v>
      </c>
      <c r="AU74" s="472">
        <f>COUNTIF(ParicipationMai1[[#This Row],[1]:[31]],Code12)</f>
        <v>0</v>
      </c>
      <c r="AV74" s="472">
        <f>COUNTIF(ParicipationMai1[[#This Row],[1]:[31]],Code13)</f>
        <v>0</v>
      </c>
      <c r="AW74" s="472">
        <f>COUNTIF(ParicipationMai1[[#This Row],[1]:[31]],Code14)</f>
        <v>0</v>
      </c>
      <c r="AX74" s="472">
        <f>COUNTIF(ParicipationMai1[[#This Row],[1]:[31]],Code15)</f>
        <v>0</v>
      </c>
      <c r="AY74" s="472">
        <f>COUNTIF(ParicipationMai1[[#This Row],[1]:[31]],Code16)</f>
        <v>0</v>
      </c>
      <c r="AZ74" s="472">
        <f>COUNTIF(ParicipationMai1[[#This Row],[1]:[31]],Code17)</f>
        <v>0</v>
      </c>
      <c r="BA74" s="472">
        <f>COUNTIF(ParicipationMai1[[#This Row],[1]:[31]],Code25)</f>
        <v>0</v>
      </c>
      <c r="BB74" s="472">
        <f>COUNTIF(ParicipationMai1[[#This Row],[1]:[31]],Code26)</f>
        <v>0</v>
      </c>
      <c r="BC74" s="472">
        <f>COUNTIF(ParicipationMai1[[#This Row],[1]:[31]],Code27)</f>
        <v>0</v>
      </c>
      <c r="BD74" s="472">
        <f>COUNTIF(ParicipationMai1[[#This Row],[1]:[31]],Code28)</f>
        <v>0</v>
      </c>
      <c r="BE74" s="472">
        <f>COUNTIF(ParicipationMai1[[#This Row],[1]:[31]],code30)</f>
        <v>0</v>
      </c>
      <c r="BF74" s="472">
        <f>COUNTIF(ParicipationMai1[[#This Row],[1]:[31]],Code31)</f>
        <v>0</v>
      </c>
      <c r="BG74" s="472">
        <f>COUNTIF(ParicipationMai1[[#This Row],[1]:[31]],code21)</f>
        <v>0</v>
      </c>
      <c r="BH74" s="472">
        <f>COUNTIF(ParicipationMai1[[#This Row],[1]:[31]],Code24)</f>
        <v>0</v>
      </c>
      <c r="BI74" s="370">
        <f>COUNTIF(ParicipationMai1[[#This Row],[1]:[31]],code18)</f>
        <v>0</v>
      </c>
      <c r="BJ74" s="370">
        <f>COUNTIF(ParicipationMai1[[#This Row],[1]:[31]],code19)</f>
        <v>0</v>
      </c>
      <c r="BK74" s="370">
        <f>COUNTIF(ParicipationMai1[[#This Row],[1]:[31]],code20)</f>
        <v>0</v>
      </c>
      <c r="BL74" s="516">
        <f>COUNTIF(ParicipationMai1[[#This Row],[1]:[31]],code29)</f>
        <v>0</v>
      </c>
      <c r="BM74" s="297"/>
      <c r="BN74" s="297"/>
      <c r="BO74" s="297"/>
      <c r="BP74" s="297"/>
      <c r="BQ74" s="297"/>
      <c r="BR74" s="297"/>
      <c r="BS74" s="297"/>
      <c r="BT74" s="297"/>
      <c r="BU74" s="297"/>
      <c r="BV74" s="297"/>
      <c r="BW74" s="297"/>
      <c r="BX74" s="297"/>
      <c r="BY74" s="297"/>
      <c r="BZ74" s="297"/>
      <c r="CA74" s="297"/>
      <c r="CB74" s="297"/>
      <c r="CC74" s="297"/>
      <c r="CD74" s="297"/>
      <c r="CE74" s="297"/>
      <c r="CF74" s="297"/>
      <c r="CG74" s="297"/>
      <c r="CH74" s="297"/>
      <c r="CI74" s="297"/>
      <c r="CJ74" s="297"/>
      <c r="CK74" s="297"/>
      <c r="CL74" s="297"/>
      <c r="CM74" s="297"/>
      <c r="CN74" s="297"/>
      <c r="CO74" s="297"/>
      <c r="CP74" s="297"/>
      <c r="CQ74" s="297"/>
      <c r="CR74" s="297"/>
      <c r="CS74" s="297"/>
      <c r="CT74" s="472"/>
      <c r="CU74" s="300"/>
      <c r="CV74" s="589">
        <f t="shared" si="0"/>
        <v>0</v>
      </c>
      <c r="CW74" s="501">
        <f t="shared" si="1"/>
        <v>0</v>
      </c>
      <c r="CX74" s="472">
        <f t="shared" si="2"/>
        <v>0</v>
      </c>
      <c r="CY74" s="512">
        <f t="shared" si="3"/>
        <v>0</v>
      </c>
    </row>
    <row r="75" spans="1:103">
      <c r="A75" s="29" t="s">
        <v>416</v>
      </c>
      <c r="B75" s="162" t="str">
        <f>IFERROR(VLOOKUP(ParicipationMai1[[#This Row],[Référence]],ListeÉtudiants1[],18,FALSE),"")</f>
        <v>ITSOTSO MEGGIE</v>
      </c>
      <c r="AG75" s="286"/>
      <c r="AH75" s="138">
        <f>COUNTIF(ParicipationMai1[[1]:[31]],Code1)</f>
        <v>0</v>
      </c>
      <c r="AI75" s="474">
        <f>COUNTIF(ParicipationMai1[[1]:[31]],code22)</f>
        <v>0</v>
      </c>
      <c r="AJ75" s="138">
        <f>COUNTIF(ParicipationMai1[[#This Row],[1]:[31]],Code2)</f>
        <v>0</v>
      </c>
      <c r="AK75" s="138">
        <f>COUNTIF(ParicipationMai1[[#This Row],[1]:[31]],Code3)</f>
        <v>0</v>
      </c>
      <c r="AL75" s="138">
        <f>COUNTIF(ParicipationMai1[[#This Row],[1]:[31]],Code4)</f>
        <v>0</v>
      </c>
      <c r="AM75" s="472">
        <f>COUNTIF(ParicipationMai1[[#This Row],[1]:[31]],Code5)</f>
        <v>0</v>
      </c>
      <c r="AN75" s="472">
        <f>COUNTIF(ParicipationMai1[[#This Row],[1]:[31]],Code23)</f>
        <v>0</v>
      </c>
      <c r="AO75" s="472">
        <f>COUNTIF(ParicipationMai1[[#This Row],[1]:[31]],Code6)</f>
        <v>0</v>
      </c>
      <c r="AP75" s="472">
        <f>COUNTIF(ParicipationMai1[[#This Row],[1]:[31]],Code7)</f>
        <v>0</v>
      </c>
      <c r="AQ75" s="472">
        <f>COUNTIF(ParicipationMai1[[#This Row],[1]:[31]],Code8)</f>
        <v>0</v>
      </c>
      <c r="AR75" s="472">
        <f>COUNTIF(ParicipationMai1[[#This Row],[1]:[31]],Code9)</f>
        <v>0</v>
      </c>
      <c r="AS75" s="472">
        <f>COUNTIF(ParicipationMai1[[#This Row],[1]:[31]],Code10)</f>
        <v>0</v>
      </c>
      <c r="AT75" s="472">
        <f>COUNTIF(ParicipationMai1[[#This Row],[1]:[31]],Code11)</f>
        <v>0</v>
      </c>
      <c r="AU75" s="472">
        <f>COUNTIF(ParicipationMai1[[#This Row],[1]:[31]],Code12)</f>
        <v>0</v>
      </c>
      <c r="AV75" s="472">
        <f>COUNTIF(ParicipationMai1[[#This Row],[1]:[31]],Code13)</f>
        <v>0</v>
      </c>
      <c r="AW75" s="472">
        <f>COUNTIF(ParicipationMai1[[#This Row],[1]:[31]],Code14)</f>
        <v>0</v>
      </c>
      <c r="AX75" s="472">
        <f>COUNTIF(ParicipationMai1[[#This Row],[1]:[31]],Code15)</f>
        <v>0</v>
      </c>
      <c r="AY75" s="472">
        <f>COUNTIF(ParicipationMai1[[#This Row],[1]:[31]],Code16)</f>
        <v>0</v>
      </c>
      <c r="AZ75" s="472">
        <f>COUNTIF(ParicipationMai1[[#This Row],[1]:[31]],Code17)</f>
        <v>0</v>
      </c>
      <c r="BA75" s="472">
        <f>COUNTIF(ParicipationMai1[[#This Row],[1]:[31]],Code25)</f>
        <v>0</v>
      </c>
      <c r="BB75" s="472">
        <f>COUNTIF(ParicipationMai1[[#This Row],[1]:[31]],Code26)</f>
        <v>0</v>
      </c>
      <c r="BC75" s="472">
        <f>COUNTIF(ParicipationMai1[[#This Row],[1]:[31]],Code27)</f>
        <v>0</v>
      </c>
      <c r="BD75" s="472">
        <f>COUNTIF(ParicipationMai1[[#This Row],[1]:[31]],Code28)</f>
        <v>0</v>
      </c>
      <c r="BE75" s="472">
        <f>COUNTIF(ParicipationMai1[[#This Row],[1]:[31]],code30)</f>
        <v>0</v>
      </c>
      <c r="BF75" s="472">
        <f>COUNTIF(ParicipationMai1[[#This Row],[1]:[31]],Code31)</f>
        <v>0</v>
      </c>
      <c r="BG75" s="472">
        <f>COUNTIF(ParicipationMai1[[#This Row],[1]:[31]],code21)</f>
        <v>0</v>
      </c>
      <c r="BH75" s="472">
        <f>COUNTIF(ParicipationMai1[[#This Row],[1]:[31]],Code24)</f>
        <v>0</v>
      </c>
      <c r="BI75" s="370">
        <f>COUNTIF(ParicipationMai1[[#This Row],[1]:[31]],code18)</f>
        <v>0</v>
      </c>
      <c r="BJ75" s="370">
        <f>COUNTIF(ParicipationMai1[[#This Row],[1]:[31]],code19)</f>
        <v>0</v>
      </c>
      <c r="BK75" s="370">
        <f>COUNTIF(ParicipationMai1[[#This Row],[1]:[31]],code20)</f>
        <v>0</v>
      </c>
      <c r="BL75" s="516">
        <f>COUNTIF(ParicipationMai1[[#This Row],[1]:[31]],code29)</f>
        <v>0</v>
      </c>
      <c r="BM75" s="297"/>
      <c r="BN75" s="297"/>
      <c r="BO75" s="297"/>
      <c r="BP75" s="297"/>
      <c r="BQ75" s="297"/>
      <c r="BR75" s="297"/>
      <c r="BS75" s="297"/>
      <c r="BT75" s="297"/>
      <c r="BU75" s="297"/>
      <c r="BV75" s="297"/>
      <c r="BW75" s="297"/>
      <c r="BX75" s="297"/>
      <c r="BY75" s="297"/>
      <c r="BZ75" s="297"/>
      <c r="CA75" s="297"/>
      <c r="CB75" s="297"/>
      <c r="CC75" s="297"/>
      <c r="CD75" s="297"/>
      <c r="CE75" s="297"/>
      <c r="CF75" s="297"/>
      <c r="CG75" s="297"/>
      <c r="CH75" s="297"/>
      <c r="CI75" s="297"/>
      <c r="CJ75" s="297"/>
      <c r="CK75" s="297"/>
      <c r="CL75" s="297"/>
      <c r="CM75" s="297"/>
      <c r="CN75" s="297"/>
      <c r="CO75" s="297"/>
      <c r="CP75" s="297"/>
      <c r="CQ75" s="297"/>
      <c r="CR75" s="297"/>
      <c r="CS75" s="297"/>
      <c r="CT75" s="472"/>
      <c r="CU75" s="300"/>
      <c r="CV75" s="589">
        <f t="shared" ref="CV75:CV138" si="4">SUM((AH75*1)+(AI75*1.5)+(AJ75*2)+(AK75*3)+(AP75*5)+(AQ75*6)+(AR75*7)+(AU75*2)+(AX75*3)+(AY75*4)+(AZ75*5)+(BB75*3)+(BA75*2)+(BG75*2)+(BC75*2)+(BD75*2))</f>
        <v>0</v>
      </c>
      <c r="CW75" s="501">
        <f t="shared" ref="CW75:CW138" si="5">SUM((AN75*1)+(AM75*2)+(AO75*3)+(AP75*4)+(AT75*5)+(AU75*7)+(AV75*7)+(AW75*7)+(AX75*4)+(AY75*3)+(BB75*2)+(BC75*4)+(AZ75*1)+(BG75*2)+(BA75*5)+(BD75*1))</f>
        <v>0</v>
      </c>
      <c r="CX75" s="472">
        <f t="shared" ref="CX75:CX138" si="6">BH75*1+BL75*3</f>
        <v>0</v>
      </c>
      <c r="CY75" s="512">
        <f t="shared" si="3"/>
        <v>0</v>
      </c>
    </row>
    <row r="76" spans="1:103">
      <c r="A76" s="29" t="s">
        <v>417</v>
      </c>
      <c r="B76" s="162" t="str">
        <f>IFERROR(VLOOKUP(ParicipationMai1[[#This Row],[Référence]],ListeÉtudiants1[],18,FALSE),"")</f>
        <v>JACQUIN  LAURENE</v>
      </c>
      <c r="AG76" s="286"/>
      <c r="AH76" s="138">
        <f>COUNTIF(ParicipationMai1[[1]:[31]],Code1)</f>
        <v>0</v>
      </c>
      <c r="AI76" s="474">
        <f>COUNTIF(ParicipationMai1[[1]:[31]],code22)</f>
        <v>0</v>
      </c>
      <c r="AJ76" s="138">
        <f>COUNTIF(ParicipationMai1[[#This Row],[1]:[31]],Code2)</f>
        <v>0</v>
      </c>
      <c r="AK76" s="138">
        <f>COUNTIF(ParicipationMai1[[#This Row],[1]:[31]],Code3)</f>
        <v>0</v>
      </c>
      <c r="AL76" s="138">
        <f>COUNTIF(ParicipationMai1[[#This Row],[1]:[31]],Code4)</f>
        <v>0</v>
      </c>
      <c r="AM76" s="472">
        <f>COUNTIF(ParicipationMai1[[#This Row],[1]:[31]],Code5)</f>
        <v>0</v>
      </c>
      <c r="AN76" s="472">
        <f>COUNTIF(ParicipationMai1[[#This Row],[1]:[31]],Code23)</f>
        <v>0</v>
      </c>
      <c r="AO76" s="472">
        <f>COUNTIF(ParicipationMai1[[#This Row],[1]:[31]],Code6)</f>
        <v>0</v>
      </c>
      <c r="AP76" s="472">
        <f>COUNTIF(ParicipationMai1[[#This Row],[1]:[31]],Code7)</f>
        <v>0</v>
      </c>
      <c r="AQ76" s="472">
        <f>COUNTIF(ParicipationMai1[[#This Row],[1]:[31]],Code8)</f>
        <v>0</v>
      </c>
      <c r="AR76" s="472">
        <f>COUNTIF(ParicipationMai1[[#This Row],[1]:[31]],Code9)</f>
        <v>0</v>
      </c>
      <c r="AS76" s="472">
        <f>COUNTIF(ParicipationMai1[[#This Row],[1]:[31]],Code10)</f>
        <v>0</v>
      </c>
      <c r="AT76" s="472">
        <f>COUNTIF(ParicipationMai1[[#This Row],[1]:[31]],Code11)</f>
        <v>0</v>
      </c>
      <c r="AU76" s="472">
        <f>COUNTIF(ParicipationMai1[[#This Row],[1]:[31]],Code12)</f>
        <v>0</v>
      </c>
      <c r="AV76" s="472">
        <f>COUNTIF(ParicipationMai1[[#This Row],[1]:[31]],Code13)</f>
        <v>0</v>
      </c>
      <c r="AW76" s="472">
        <f>COUNTIF(ParicipationMai1[[#This Row],[1]:[31]],Code14)</f>
        <v>0</v>
      </c>
      <c r="AX76" s="472">
        <f>COUNTIF(ParicipationMai1[[#This Row],[1]:[31]],Code15)</f>
        <v>0</v>
      </c>
      <c r="AY76" s="472">
        <f>COUNTIF(ParicipationMai1[[#This Row],[1]:[31]],Code16)</f>
        <v>0</v>
      </c>
      <c r="AZ76" s="472">
        <f>COUNTIF(ParicipationMai1[[#This Row],[1]:[31]],Code17)</f>
        <v>0</v>
      </c>
      <c r="BA76" s="472">
        <f>COUNTIF(ParicipationMai1[[#This Row],[1]:[31]],Code25)</f>
        <v>0</v>
      </c>
      <c r="BB76" s="472">
        <f>COUNTIF(ParicipationMai1[[#This Row],[1]:[31]],Code26)</f>
        <v>0</v>
      </c>
      <c r="BC76" s="472">
        <f>COUNTIF(ParicipationMai1[[#This Row],[1]:[31]],Code27)</f>
        <v>0</v>
      </c>
      <c r="BD76" s="472">
        <f>COUNTIF(ParicipationMai1[[#This Row],[1]:[31]],Code28)</f>
        <v>0</v>
      </c>
      <c r="BE76" s="472">
        <f>COUNTIF(ParicipationMai1[[#This Row],[1]:[31]],code30)</f>
        <v>0</v>
      </c>
      <c r="BF76" s="472">
        <f>COUNTIF(ParicipationMai1[[#This Row],[1]:[31]],Code31)</f>
        <v>0</v>
      </c>
      <c r="BG76" s="472">
        <f>COUNTIF(ParicipationMai1[[#This Row],[1]:[31]],code21)</f>
        <v>0</v>
      </c>
      <c r="BH76" s="472">
        <f>COUNTIF(ParicipationMai1[[#This Row],[1]:[31]],Code24)</f>
        <v>0</v>
      </c>
      <c r="BI76" s="370">
        <f>COUNTIF(ParicipationMai1[[#This Row],[1]:[31]],code18)</f>
        <v>0</v>
      </c>
      <c r="BJ76" s="370">
        <f>COUNTIF(ParicipationMai1[[#This Row],[1]:[31]],code19)</f>
        <v>0</v>
      </c>
      <c r="BK76" s="370">
        <f>COUNTIF(ParicipationMai1[[#This Row],[1]:[31]],code20)</f>
        <v>0</v>
      </c>
      <c r="BL76" s="516">
        <f>COUNTIF(ParicipationMai1[[#This Row],[1]:[31]],code29)</f>
        <v>0</v>
      </c>
      <c r="BM76" s="297"/>
      <c r="BN76" s="297"/>
      <c r="BO76" s="297"/>
      <c r="BP76" s="297"/>
      <c r="BQ76" s="297"/>
      <c r="BR76" s="297"/>
      <c r="BS76" s="297"/>
      <c r="BT76" s="297"/>
      <c r="BU76" s="297"/>
      <c r="BV76" s="297"/>
      <c r="BW76" s="297"/>
      <c r="BX76" s="297"/>
      <c r="BY76" s="297"/>
      <c r="BZ76" s="297"/>
      <c r="CA76" s="297"/>
      <c r="CB76" s="297"/>
      <c r="CC76" s="297"/>
      <c r="CD76" s="297"/>
      <c r="CE76" s="297"/>
      <c r="CF76" s="297"/>
      <c r="CG76" s="297"/>
      <c r="CH76" s="297"/>
      <c r="CI76" s="297"/>
      <c r="CJ76" s="297"/>
      <c r="CK76" s="297"/>
      <c r="CL76" s="297"/>
      <c r="CM76" s="297"/>
      <c r="CN76" s="297"/>
      <c r="CO76" s="297"/>
      <c r="CP76" s="297"/>
      <c r="CQ76" s="297"/>
      <c r="CR76" s="297"/>
      <c r="CS76" s="297"/>
      <c r="CT76" s="472"/>
      <c r="CU76" s="300"/>
      <c r="CV76" s="589">
        <f t="shared" si="4"/>
        <v>0</v>
      </c>
      <c r="CW76" s="501">
        <f t="shared" si="5"/>
        <v>0</v>
      </c>
      <c r="CX76" s="472">
        <f t="shared" si="6"/>
        <v>0</v>
      </c>
      <c r="CY76" s="512">
        <f t="shared" ref="CY76:CY139" si="7">SUM((BI76*7),(BJ76*10),(BK76*12))</f>
        <v>0</v>
      </c>
    </row>
    <row r="77" spans="1:103">
      <c r="A77" s="29" t="s">
        <v>418</v>
      </c>
      <c r="B77" s="162" t="str">
        <f>IFERROR(VLOOKUP(ParicipationMai1[[#This Row],[Référence]],ListeÉtudiants1[],18,FALSE),"")</f>
        <v>JOSEPH PALOUNA</v>
      </c>
      <c r="AG77" s="286"/>
      <c r="AH77" s="138">
        <f>COUNTIF(ParicipationMai1[[1]:[31]],Code1)</f>
        <v>0</v>
      </c>
      <c r="AI77" s="474">
        <f>COUNTIF(ParicipationMai1[[1]:[31]],code22)</f>
        <v>0</v>
      </c>
      <c r="AJ77" s="138">
        <f>COUNTIF(ParicipationMai1[[#This Row],[1]:[31]],Code2)</f>
        <v>0</v>
      </c>
      <c r="AK77" s="138">
        <f>COUNTIF(ParicipationMai1[[#This Row],[1]:[31]],Code3)</f>
        <v>0</v>
      </c>
      <c r="AL77" s="138">
        <f>COUNTIF(ParicipationMai1[[#This Row],[1]:[31]],Code4)</f>
        <v>0</v>
      </c>
      <c r="AM77" s="472">
        <f>COUNTIF(ParicipationMai1[[#This Row],[1]:[31]],Code5)</f>
        <v>0</v>
      </c>
      <c r="AN77" s="472">
        <f>COUNTIF(ParicipationMai1[[#This Row],[1]:[31]],Code23)</f>
        <v>0</v>
      </c>
      <c r="AO77" s="472">
        <f>COUNTIF(ParicipationMai1[[#This Row],[1]:[31]],Code6)</f>
        <v>0</v>
      </c>
      <c r="AP77" s="472">
        <f>COUNTIF(ParicipationMai1[[#This Row],[1]:[31]],Code7)</f>
        <v>0</v>
      </c>
      <c r="AQ77" s="472">
        <f>COUNTIF(ParicipationMai1[[#This Row],[1]:[31]],Code8)</f>
        <v>0</v>
      </c>
      <c r="AR77" s="472">
        <f>COUNTIF(ParicipationMai1[[#This Row],[1]:[31]],Code9)</f>
        <v>0</v>
      </c>
      <c r="AS77" s="472">
        <f>COUNTIF(ParicipationMai1[[#This Row],[1]:[31]],Code10)</f>
        <v>0</v>
      </c>
      <c r="AT77" s="472">
        <f>COUNTIF(ParicipationMai1[[#This Row],[1]:[31]],Code11)</f>
        <v>0</v>
      </c>
      <c r="AU77" s="472">
        <f>COUNTIF(ParicipationMai1[[#This Row],[1]:[31]],Code12)</f>
        <v>0</v>
      </c>
      <c r="AV77" s="472">
        <f>COUNTIF(ParicipationMai1[[#This Row],[1]:[31]],Code13)</f>
        <v>0</v>
      </c>
      <c r="AW77" s="472">
        <f>COUNTIF(ParicipationMai1[[#This Row],[1]:[31]],Code14)</f>
        <v>0</v>
      </c>
      <c r="AX77" s="472">
        <f>COUNTIF(ParicipationMai1[[#This Row],[1]:[31]],Code15)</f>
        <v>0</v>
      </c>
      <c r="AY77" s="472">
        <f>COUNTIF(ParicipationMai1[[#This Row],[1]:[31]],Code16)</f>
        <v>0</v>
      </c>
      <c r="AZ77" s="472">
        <f>COUNTIF(ParicipationMai1[[#This Row],[1]:[31]],Code17)</f>
        <v>0</v>
      </c>
      <c r="BA77" s="472">
        <f>COUNTIF(ParicipationMai1[[#This Row],[1]:[31]],Code25)</f>
        <v>0</v>
      </c>
      <c r="BB77" s="472">
        <f>COUNTIF(ParicipationMai1[[#This Row],[1]:[31]],Code26)</f>
        <v>0</v>
      </c>
      <c r="BC77" s="472">
        <f>COUNTIF(ParicipationMai1[[#This Row],[1]:[31]],Code27)</f>
        <v>0</v>
      </c>
      <c r="BD77" s="472">
        <f>COUNTIF(ParicipationMai1[[#This Row],[1]:[31]],Code28)</f>
        <v>0</v>
      </c>
      <c r="BE77" s="472">
        <f>COUNTIF(ParicipationMai1[[#This Row],[1]:[31]],code30)</f>
        <v>0</v>
      </c>
      <c r="BF77" s="472">
        <f>COUNTIF(ParicipationMai1[[#This Row],[1]:[31]],Code31)</f>
        <v>0</v>
      </c>
      <c r="BG77" s="472">
        <f>COUNTIF(ParicipationMai1[[#This Row],[1]:[31]],code21)</f>
        <v>0</v>
      </c>
      <c r="BH77" s="472">
        <f>COUNTIF(ParicipationMai1[[#This Row],[1]:[31]],Code24)</f>
        <v>0</v>
      </c>
      <c r="BI77" s="370">
        <f>COUNTIF(ParicipationMai1[[#This Row],[1]:[31]],code18)</f>
        <v>0</v>
      </c>
      <c r="BJ77" s="370">
        <f>COUNTIF(ParicipationMai1[[#This Row],[1]:[31]],code19)</f>
        <v>0</v>
      </c>
      <c r="BK77" s="370">
        <f>COUNTIF(ParicipationMai1[[#This Row],[1]:[31]],code20)</f>
        <v>0</v>
      </c>
      <c r="BL77" s="516">
        <f>COUNTIF(ParicipationMai1[[#This Row],[1]:[31]],code29)</f>
        <v>0</v>
      </c>
      <c r="BM77" s="297"/>
      <c r="BN77" s="297"/>
      <c r="BO77" s="297"/>
      <c r="BP77" s="297"/>
      <c r="BQ77" s="297"/>
      <c r="BR77" s="297"/>
      <c r="BS77" s="297"/>
      <c r="BT77" s="297"/>
      <c r="BU77" s="297"/>
      <c r="BV77" s="297"/>
      <c r="BW77" s="297"/>
      <c r="BX77" s="297"/>
      <c r="BY77" s="297"/>
      <c r="BZ77" s="297"/>
      <c r="CA77" s="297"/>
      <c r="CB77" s="297"/>
      <c r="CC77" s="297"/>
      <c r="CD77" s="297"/>
      <c r="CE77" s="297"/>
      <c r="CF77" s="297"/>
      <c r="CG77" s="297"/>
      <c r="CH77" s="297"/>
      <c r="CI77" s="297"/>
      <c r="CJ77" s="297"/>
      <c r="CK77" s="297"/>
      <c r="CL77" s="297"/>
      <c r="CM77" s="297"/>
      <c r="CN77" s="297"/>
      <c r="CO77" s="297"/>
      <c r="CP77" s="297"/>
      <c r="CQ77" s="297"/>
      <c r="CR77" s="297"/>
      <c r="CS77" s="297"/>
      <c r="CT77" s="472"/>
      <c r="CU77" s="300"/>
      <c r="CV77" s="589">
        <f t="shared" si="4"/>
        <v>0</v>
      </c>
      <c r="CW77" s="501">
        <f t="shared" si="5"/>
        <v>0</v>
      </c>
      <c r="CX77" s="472">
        <f t="shared" si="6"/>
        <v>0</v>
      </c>
      <c r="CY77" s="512">
        <f t="shared" si="7"/>
        <v>0</v>
      </c>
    </row>
    <row r="78" spans="1:103">
      <c r="A78" s="29" t="s">
        <v>419</v>
      </c>
      <c r="B78" s="162" t="str">
        <f>IFERROR(VLOOKUP(ParicipationMai1[[#This Row],[Référence]],ListeÉtudiants1[],18,FALSE),"")</f>
        <v>JUAN DORINE</v>
      </c>
      <c r="AG78" s="286"/>
      <c r="AH78" s="138">
        <f>COUNTIF(ParicipationMai1[[1]:[31]],Code1)</f>
        <v>0</v>
      </c>
      <c r="AI78" s="474">
        <f>COUNTIF(ParicipationMai1[[1]:[31]],code22)</f>
        <v>0</v>
      </c>
      <c r="AJ78" s="138">
        <f>COUNTIF(ParicipationMai1[[#This Row],[1]:[31]],Code2)</f>
        <v>0</v>
      </c>
      <c r="AK78" s="138">
        <f>COUNTIF(ParicipationMai1[[#This Row],[1]:[31]],Code3)</f>
        <v>0</v>
      </c>
      <c r="AL78" s="138">
        <f>COUNTIF(ParicipationMai1[[#This Row],[1]:[31]],Code4)</f>
        <v>0</v>
      </c>
      <c r="AM78" s="472">
        <f>COUNTIF(ParicipationMai1[[#This Row],[1]:[31]],Code5)</f>
        <v>0</v>
      </c>
      <c r="AN78" s="472">
        <f>COUNTIF(ParicipationMai1[[#This Row],[1]:[31]],Code23)</f>
        <v>0</v>
      </c>
      <c r="AO78" s="472">
        <f>COUNTIF(ParicipationMai1[[#This Row],[1]:[31]],Code6)</f>
        <v>0</v>
      </c>
      <c r="AP78" s="472">
        <f>COUNTIF(ParicipationMai1[[#This Row],[1]:[31]],Code7)</f>
        <v>0</v>
      </c>
      <c r="AQ78" s="472">
        <f>COUNTIF(ParicipationMai1[[#This Row],[1]:[31]],Code8)</f>
        <v>0</v>
      </c>
      <c r="AR78" s="472">
        <f>COUNTIF(ParicipationMai1[[#This Row],[1]:[31]],Code9)</f>
        <v>0</v>
      </c>
      <c r="AS78" s="472">
        <f>COUNTIF(ParicipationMai1[[#This Row],[1]:[31]],Code10)</f>
        <v>0</v>
      </c>
      <c r="AT78" s="472">
        <f>COUNTIF(ParicipationMai1[[#This Row],[1]:[31]],Code11)</f>
        <v>0</v>
      </c>
      <c r="AU78" s="472">
        <f>COUNTIF(ParicipationMai1[[#This Row],[1]:[31]],Code12)</f>
        <v>0</v>
      </c>
      <c r="AV78" s="472">
        <f>COUNTIF(ParicipationMai1[[#This Row],[1]:[31]],Code13)</f>
        <v>0</v>
      </c>
      <c r="AW78" s="472">
        <f>COUNTIF(ParicipationMai1[[#This Row],[1]:[31]],Code14)</f>
        <v>0</v>
      </c>
      <c r="AX78" s="472">
        <f>COUNTIF(ParicipationMai1[[#This Row],[1]:[31]],Code15)</f>
        <v>0</v>
      </c>
      <c r="AY78" s="472">
        <f>COUNTIF(ParicipationMai1[[#This Row],[1]:[31]],Code16)</f>
        <v>0</v>
      </c>
      <c r="AZ78" s="472">
        <f>COUNTIF(ParicipationMai1[[#This Row],[1]:[31]],Code17)</f>
        <v>0</v>
      </c>
      <c r="BA78" s="472">
        <f>COUNTIF(ParicipationMai1[[#This Row],[1]:[31]],Code25)</f>
        <v>0</v>
      </c>
      <c r="BB78" s="472">
        <f>COUNTIF(ParicipationMai1[[#This Row],[1]:[31]],Code26)</f>
        <v>0</v>
      </c>
      <c r="BC78" s="472">
        <f>COUNTIF(ParicipationMai1[[#This Row],[1]:[31]],Code27)</f>
        <v>0</v>
      </c>
      <c r="BD78" s="472">
        <f>COUNTIF(ParicipationMai1[[#This Row],[1]:[31]],Code28)</f>
        <v>0</v>
      </c>
      <c r="BE78" s="472">
        <f>COUNTIF(ParicipationMai1[[#This Row],[1]:[31]],code30)</f>
        <v>0</v>
      </c>
      <c r="BF78" s="472">
        <f>COUNTIF(ParicipationMai1[[#This Row],[1]:[31]],Code31)</f>
        <v>0</v>
      </c>
      <c r="BG78" s="472">
        <f>COUNTIF(ParicipationMai1[[#This Row],[1]:[31]],code21)</f>
        <v>0</v>
      </c>
      <c r="BH78" s="472">
        <f>COUNTIF(ParicipationMai1[[#This Row],[1]:[31]],Code24)</f>
        <v>0</v>
      </c>
      <c r="BI78" s="370">
        <f>COUNTIF(ParicipationMai1[[#This Row],[1]:[31]],code18)</f>
        <v>0</v>
      </c>
      <c r="BJ78" s="370">
        <f>COUNTIF(ParicipationMai1[[#This Row],[1]:[31]],code19)</f>
        <v>0</v>
      </c>
      <c r="BK78" s="370">
        <f>COUNTIF(ParicipationMai1[[#This Row],[1]:[31]],code20)</f>
        <v>0</v>
      </c>
      <c r="BL78" s="516">
        <f>COUNTIF(ParicipationMai1[[#This Row],[1]:[31]],code29)</f>
        <v>0</v>
      </c>
      <c r="BM78" s="297"/>
      <c r="BN78" s="297"/>
      <c r="BO78" s="297"/>
      <c r="BP78" s="297"/>
      <c r="BQ78" s="297"/>
      <c r="BR78" s="297"/>
      <c r="BS78" s="297"/>
      <c r="BT78" s="297"/>
      <c r="BU78" s="297"/>
      <c r="BV78" s="297"/>
      <c r="BW78" s="297"/>
      <c r="BX78" s="297"/>
      <c r="BY78" s="297"/>
      <c r="BZ78" s="297"/>
      <c r="CA78" s="297"/>
      <c r="CB78" s="297"/>
      <c r="CC78" s="297"/>
      <c r="CD78" s="297"/>
      <c r="CE78" s="297"/>
      <c r="CF78" s="297"/>
      <c r="CG78" s="297"/>
      <c r="CH78" s="297"/>
      <c r="CI78" s="297"/>
      <c r="CJ78" s="297"/>
      <c r="CK78" s="297"/>
      <c r="CL78" s="297"/>
      <c r="CM78" s="297"/>
      <c r="CN78" s="297"/>
      <c r="CO78" s="297"/>
      <c r="CP78" s="297"/>
      <c r="CQ78" s="297"/>
      <c r="CR78" s="297"/>
      <c r="CS78" s="297"/>
      <c r="CT78" s="472"/>
      <c r="CU78" s="300"/>
      <c r="CV78" s="589">
        <f t="shared" si="4"/>
        <v>0</v>
      </c>
      <c r="CW78" s="501">
        <f t="shared" si="5"/>
        <v>0</v>
      </c>
      <c r="CX78" s="472">
        <f t="shared" si="6"/>
        <v>0</v>
      </c>
      <c r="CY78" s="512">
        <f t="shared" si="7"/>
        <v>0</v>
      </c>
    </row>
    <row r="79" spans="1:103">
      <c r="A79" s="29" t="s">
        <v>420</v>
      </c>
      <c r="B79" s="162" t="str">
        <f>IFERROR(VLOOKUP(ParicipationMai1[[#This Row],[Référence]],ListeÉtudiants1[],18,FALSE),"")</f>
        <v>KABOL HELENA</v>
      </c>
      <c r="AG79" s="286"/>
      <c r="AH79" s="138">
        <f>COUNTIF(ParicipationMai1[[1]:[31]],Code1)</f>
        <v>0</v>
      </c>
      <c r="AI79" s="474">
        <f>COUNTIF(ParicipationMai1[[1]:[31]],code22)</f>
        <v>0</v>
      </c>
      <c r="AJ79" s="138">
        <f>COUNTIF(ParicipationMai1[[#This Row],[1]:[31]],Code2)</f>
        <v>0</v>
      </c>
      <c r="AK79" s="138">
        <f>COUNTIF(ParicipationMai1[[#This Row],[1]:[31]],Code3)</f>
        <v>0</v>
      </c>
      <c r="AL79" s="138">
        <f>COUNTIF(ParicipationMai1[[#This Row],[1]:[31]],Code4)</f>
        <v>0</v>
      </c>
      <c r="AM79" s="472">
        <f>COUNTIF(ParicipationMai1[[#This Row],[1]:[31]],Code5)</f>
        <v>0</v>
      </c>
      <c r="AN79" s="472">
        <f>COUNTIF(ParicipationMai1[[#This Row],[1]:[31]],Code23)</f>
        <v>0</v>
      </c>
      <c r="AO79" s="472">
        <f>COUNTIF(ParicipationMai1[[#This Row],[1]:[31]],Code6)</f>
        <v>0</v>
      </c>
      <c r="AP79" s="472">
        <f>COUNTIF(ParicipationMai1[[#This Row],[1]:[31]],Code7)</f>
        <v>0</v>
      </c>
      <c r="AQ79" s="472">
        <f>COUNTIF(ParicipationMai1[[#This Row],[1]:[31]],Code8)</f>
        <v>0</v>
      </c>
      <c r="AR79" s="472">
        <f>COUNTIF(ParicipationMai1[[#This Row],[1]:[31]],Code9)</f>
        <v>0</v>
      </c>
      <c r="AS79" s="472">
        <f>COUNTIF(ParicipationMai1[[#This Row],[1]:[31]],Code10)</f>
        <v>0</v>
      </c>
      <c r="AT79" s="472">
        <f>COUNTIF(ParicipationMai1[[#This Row],[1]:[31]],Code11)</f>
        <v>0</v>
      </c>
      <c r="AU79" s="472">
        <f>COUNTIF(ParicipationMai1[[#This Row],[1]:[31]],Code12)</f>
        <v>0</v>
      </c>
      <c r="AV79" s="472">
        <f>COUNTIF(ParicipationMai1[[#This Row],[1]:[31]],Code13)</f>
        <v>0</v>
      </c>
      <c r="AW79" s="472">
        <f>COUNTIF(ParicipationMai1[[#This Row],[1]:[31]],Code14)</f>
        <v>0</v>
      </c>
      <c r="AX79" s="472">
        <f>COUNTIF(ParicipationMai1[[#This Row],[1]:[31]],Code15)</f>
        <v>0</v>
      </c>
      <c r="AY79" s="472">
        <f>COUNTIF(ParicipationMai1[[#This Row],[1]:[31]],Code16)</f>
        <v>0</v>
      </c>
      <c r="AZ79" s="472">
        <f>COUNTIF(ParicipationMai1[[#This Row],[1]:[31]],Code17)</f>
        <v>0</v>
      </c>
      <c r="BA79" s="472">
        <f>COUNTIF(ParicipationMai1[[#This Row],[1]:[31]],Code25)</f>
        <v>0</v>
      </c>
      <c r="BB79" s="472">
        <f>COUNTIF(ParicipationMai1[[#This Row],[1]:[31]],Code26)</f>
        <v>0</v>
      </c>
      <c r="BC79" s="472">
        <f>COUNTIF(ParicipationMai1[[#This Row],[1]:[31]],Code27)</f>
        <v>0</v>
      </c>
      <c r="BD79" s="472">
        <f>COUNTIF(ParicipationMai1[[#This Row],[1]:[31]],Code28)</f>
        <v>0</v>
      </c>
      <c r="BE79" s="472">
        <f>COUNTIF(ParicipationMai1[[#This Row],[1]:[31]],code30)</f>
        <v>0</v>
      </c>
      <c r="BF79" s="472">
        <f>COUNTIF(ParicipationMai1[[#This Row],[1]:[31]],Code31)</f>
        <v>0</v>
      </c>
      <c r="BG79" s="472">
        <f>COUNTIF(ParicipationMai1[[#This Row],[1]:[31]],code21)</f>
        <v>0</v>
      </c>
      <c r="BH79" s="472">
        <f>COUNTIF(ParicipationMai1[[#This Row],[1]:[31]],Code24)</f>
        <v>0</v>
      </c>
      <c r="BI79" s="370">
        <f>COUNTIF(ParicipationMai1[[#This Row],[1]:[31]],code18)</f>
        <v>0</v>
      </c>
      <c r="BJ79" s="370">
        <f>COUNTIF(ParicipationMai1[[#This Row],[1]:[31]],code19)</f>
        <v>0</v>
      </c>
      <c r="BK79" s="370">
        <f>COUNTIF(ParicipationMai1[[#This Row],[1]:[31]],code20)</f>
        <v>0</v>
      </c>
      <c r="BL79" s="516">
        <f>COUNTIF(ParicipationMai1[[#This Row],[1]:[31]],code29)</f>
        <v>0</v>
      </c>
      <c r="BM79" s="297"/>
      <c r="BN79" s="297"/>
      <c r="BO79" s="297"/>
      <c r="BP79" s="297"/>
      <c r="BQ79" s="297"/>
      <c r="BR79" s="297"/>
      <c r="BS79" s="297"/>
      <c r="BT79" s="297"/>
      <c r="BU79" s="297"/>
      <c r="BV79" s="297"/>
      <c r="BW79" s="297"/>
      <c r="BX79" s="297"/>
      <c r="BY79" s="297"/>
      <c r="BZ79" s="297"/>
      <c r="CA79" s="297"/>
      <c r="CB79" s="297"/>
      <c r="CC79" s="297"/>
      <c r="CD79" s="297"/>
      <c r="CE79" s="297"/>
      <c r="CF79" s="297"/>
      <c r="CG79" s="297"/>
      <c r="CH79" s="297"/>
      <c r="CI79" s="297"/>
      <c r="CJ79" s="297"/>
      <c r="CK79" s="297"/>
      <c r="CL79" s="297"/>
      <c r="CM79" s="297"/>
      <c r="CN79" s="297"/>
      <c r="CO79" s="297"/>
      <c r="CP79" s="297"/>
      <c r="CQ79" s="297"/>
      <c r="CR79" s="297"/>
      <c r="CS79" s="297"/>
      <c r="CT79" s="472"/>
      <c r="CU79" s="300"/>
      <c r="CV79" s="589">
        <f t="shared" si="4"/>
        <v>0</v>
      </c>
      <c r="CW79" s="501">
        <f t="shared" si="5"/>
        <v>0</v>
      </c>
      <c r="CX79" s="472">
        <f t="shared" si="6"/>
        <v>0</v>
      </c>
      <c r="CY79" s="512">
        <f t="shared" si="7"/>
        <v>0</v>
      </c>
    </row>
    <row r="80" spans="1:103">
      <c r="A80" s="29" t="s">
        <v>421</v>
      </c>
      <c r="B80" s="162" t="str">
        <f>IFERROR(VLOOKUP(ParicipationMai1[[#This Row],[Référence]],ListeÉtudiants1[],18,FALSE),"")</f>
        <v>KANTE TIGUIDA</v>
      </c>
      <c r="AG80" s="286"/>
      <c r="AH80" s="138">
        <f>COUNTIF(ParicipationMai1[[1]:[31]],Code1)</f>
        <v>0</v>
      </c>
      <c r="AI80" s="474">
        <f>COUNTIF(ParicipationMai1[[1]:[31]],code22)</f>
        <v>0</v>
      </c>
      <c r="AJ80" s="138">
        <f>COUNTIF(ParicipationMai1[[#This Row],[1]:[31]],Code2)</f>
        <v>0</v>
      </c>
      <c r="AK80" s="138">
        <f>COUNTIF(ParicipationMai1[[#This Row],[1]:[31]],Code3)</f>
        <v>0</v>
      </c>
      <c r="AL80" s="138">
        <f>COUNTIF(ParicipationMai1[[#This Row],[1]:[31]],Code4)</f>
        <v>0</v>
      </c>
      <c r="AM80" s="472">
        <f>COUNTIF(ParicipationMai1[[#This Row],[1]:[31]],Code5)</f>
        <v>0</v>
      </c>
      <c r="AN80" s="472">
        <f>COUNTIF(ParicipationMai1[[#This Row],[1]:[31]],Code23)</f>
        <v>0</v>
      </c>
      <c r="AO80" s="472">
        <f>COUNTIF(ParicipationMai1[[#This Row],[1]:[31]],Code6)</f>
        <v>0</v>
      </c>
      <c r="AP80" s="472">
        <f>COUNTIF(ParicipationMai1[[#This Row],[1]:[31]],Code7)</f>
        <v>0</v>
      </c>
      <c r="AQ80" s="472">
        <f>COUNTIF(ParicipationMai1[[#This Row],[1]:[31]],Code8)</f>
        <v>0</v>
      </c>
      <c r="AR80" s="472">
        <f>COUNTIF(ParicipationMai1[[#This Row],[1]:[31]],Code9)</f>
        <v>0</v>
      </c>
      <c r="AS80" s="472">
        <f>COUNTIF(ParicipationMai1[[#This Row],[1]:[31]],Code10)</f>
        <v>0</v>
      </c>
      <c r="AT80" s="472">
        <f>COUNTIF(ParicipationMai1[[#This Row],[1]:[31]],Code11)</f>
        <v>0</v>
      </c>
      <c r="AU80" s="472">
        <f>COUNTIF(ParicipationMai1[[#This Row],[1]:[31]],Code12)</f>
        <v>0</v>
      </c>
      <c r="AV80" s="472">
        <f>COUNTIF(ParicipationMai1[[#This Row],[1]:[31]],Code13)</f>
        <v>0</v>
      </c>
      <c r="AW80" s="472">
        <f>COUNTIF(ParicipationMai1[[#This Row],[1]:[31]],Code14)</f>
        <v>0</v>
      </c>
      <c r="AX80" s="472">
        <f>COUNTIF(ParicipationMai1[[#This Row],[1]:[31]],Code15)</f>
        <v>0</v>
      </c>
      <c r="AY80" s="472">
        <f>COUNTIF(ParicipationMai1[[#This Row],[1]:[31]],Code16)</f>
        <v>0</v>
      </c>
      <c r="AZ80" s="472">
        <f>COUNTIF(ParicipationMai1[[#This Row],[1]:[31]],Code17)</f>
        <v>0</v>
      </c>
      <c r="BA80" s="472">
        <f>COUNTIF(ParicipationMai1[[#This Row],[1]:[31]],Code25)</f>
        <v>0</v>
      </c>
      <c r="BB80" s="472">
        <f>COUNTIF(ParicipationMai1[[#This Row],[1]:[31]],Code26)</f>
        <v>0</v>
      </c>
      <c r="BC80" s="472">
        <f>COUNTIF(ParicipationMai1[[#This Row],[1]:[31]],Code27)</f>
        <v>0</v>
      </c>
      <c r="BD80" s="472">
        <f>COUNTIF(ParicipationMai1[[#This Row],[1]:[31]],Code28)</f>
        <v>0</v>
      </c>
      <c r="BE80" s="472">
        <f>COUNTIF(ParicipationMai1[[#This Row],[1]:[31]],code30)</f>
        <v>0</v>
      </c>
      <c r="BF80" s="472">
        <f>COUNTIF(ParicipationMai1[[#This Row],[1]:[31]],Code31)</f>
        <v>0</v>
      </c>
      <c r="BG80" s="472">
        <f>COUNTIF(ParicipationMai1[[#This Row],[1]:[31]],code21)</f>
        <v>0</v>
      </c>
      <c r="BH80" s="472">
        <f>COUNTIF(ParicipationMai1[[#This Row],[1]:[31]],Code24)</f>
        <v>0</v>
      </c>
      <c r="BI80" s="370">
        <f>COUNTIF(ParicipationMai1[[#This Row],[1]:[31]],code18)</f>
        <v>0</v>
      </c>
      <c r="BJ80" s="370">
        <f>COUNTIF(ParicipationMai1[[#This Row],[1]:[31]],code19)</f>
        <v>0</v>
      </c>
      <c r="BK80" s="370">
        <f>COUNTIF(ParicipationMai1[[#This Row],[1]:[31]],code20)</f>
        <v>0</v>
      </c>
      <c r="BL80" s="516">
        <f>COUNTIF(ParicipationMai1[[#This Row],[1]:[31]],code29)</f>
        <v>0</v>
      </c>
      <c r="BM80" s="297"/>
      <c r="BN80" s="297"/>
      <c r="BO80" s="297"/>
      <c r="BP80" s="297"/>
      <c r="BQ80" s="297"/>
      <c r="BR80" s="297"/>
      <c r="BS80" s="297"/>
      <c r="BT80" s="297"/>
      <c r="BU80" s="297"/>
      <c r="BV80" s="297"/>
      <c r="BW80" s="297"/>
      <c r="BX80" s="297"/>
      <c r="BY80" s="297"/>
      <c r="BZ80" s="297"/>
      <c r="CA80" s="297"/>
      <c r="CB80" s="297"/>
      <c r="CC80" s="297"/>
      <c r="CD80" s="297"/>
      <c r="CE80" s="297"/>
      <c r="CF80" s="297"/>
      <c r="CG80" s="297"/>
      <c r="CH80" s="297"/>
      <c r="CI80" s="297"/>
      <c r="CJ80" s="297"/>
      <c r="CK80" s="297"/>
      <c r="CL80" s="297"/>
      <c r="CM80" s="297"/>
      <c r="CN80" s="297"/>
      <c r="CO80" s="297"/>
      <c r="CP80" s="297"/>
      <c r="CQ80" s="297"/>
      <c r="CR80" s="297"/>
      <c r="CS80" s="297"/>
      <c r="CT80" s="472"/>
      <c r="CU80" s="300"/>
      <c r="CV80" s="589">
        <f t="shared" si="4"/>
        <v>0</v>
      </c>
      <c r="CW80" s="501">
        <f t="shared" si="5"/>
        <v>0</v>
      </c>
      <c r="CX80" s="472">
        <f t="shared" si="6"/>
        <v>0</v>
      </c>
      <c r="CY80" s="512">
        <f t="shared" si="7"/>
        <v>0</v>
      </c>
    </row>
    <row r="81" spans="1:103">
      <c r="A81" s="29" t="s">
        <v>422</v>
      </c>
      <c r="B81" s="162" t="str">
        <f>IFERROR(VLOOKUP(ParicipationMai1[[#This Row],[Référence]],ListeÉtudiants1[],18,FALSE),"")</f>
        <v>KERMESH NELLY</v>
      </c>
      <c r="AG81" s="286"/>
      <c r="AH81" s="138">
        <f>COUNTIF(ParicipationMai1[[1]:[31]],Code1)</f>
        <v>0</v>
      </c>
      <c r="AI81" s="474">
        <f>COUNTIF(ParicipationMai1[[1]:[31]],code22)</f>
        <v>0</v>
      </c>
      <c r="AJ81" s="138">
        <f>COUNTIF(ParicipationMai1[[#This Row],[1]:[31]],Code2)</f>
        <v>0</v>
      </c>
      <c r="AK81" s="138">
        <f>COUNTIF(ParicipationMai1[[#This Row],[1]:[31]],Code3)</f>
        <v>0</v>
      </c>
      <c r="AL81" s="138">
        <f>COUNTIF(ParicipationMai1[[#This Row],[1]:[31]],Code4)</f>
        <v>0</v>
      </c>
      <c r="AM81" s="472">
        <f>COUNTIF(ParicipationMai1[[#This Row],[1]:[31]],Code5)</f>
        <v>0</v>
      </c>
      <c r="AN81" s="472">
        <f>COUNTIF(ParicipationMai1[[#This Row],[1]:[31]],Code23)</f>
        <v>0</v>
      </c>
      <c r="AO81" s="472">
        <f>COUNTIF(ParicipationMai1[[#This Row],[1]:[31]],Code6)</f>
        <v>0</v>
      </c>
      <c r="AP81" s="472">
        <f>COUNTIF(ParicipationMai1[[#This Row],[1]:[31]],Code7)</f>
        <v>0</v>
      </c>
      <c r="AQ81" s="472">
        <f>COUNTIF(ParicipationMai1[[#This Row],[1]:[31]],Code8)</f>
        <v>0</v>
      </c>
      <c r="AR81" s="472">
        <f>COUNTIF(ParicipationMai1[[#This Row],[1]:[31]],Code9)</f>
        <v>0</v>
      </c>
      <c r="AS81" s="472">
        <f>COUNTIF(ParicipationMai1[[#This Row],[1]:[31]],Code10)</f>
        <v>0</v>
      </c>
      <c r="AT81" s="472">
        <f>COUNTIF(ParicipationMai1[[#This Row],[1]:[31]],Code11)</f>
        <v>0</v>
      </c>
      <c r="AU81" s="472">
        <f>COUNTIF(ParicipationMai1[[#This Row],[1]:[31]],Code12)</f>
        <v>0</v>
      </c>
      <c r="AV81" s="472">
        <f>COUNTIF(ParicipationMai1[[#This Row],[1]:[31]],Code13)</f>
        <v>0</v>
      </c>
      <c r="AW81" s="472">
        <f>COUNTIF(ParicipationMai1[[#This Row],[1]:[31]],Code14)</f>
        <v>0</v>
      </c>
      <c r="AX81" s="472">
        <f>COUNTIF(ParicipationMai1[[#This Row],[1]:[31]],Code15)</f>
        <v>0</v>
      </c>
      <c r="AY81" s="472">
        <f>COUNTIF(ParicipationMai1[[#This Row],[1]:[31]],Code16)</f>
        <v>0</v>
      </c>
      <c r="AZ81" s="472">
        <f>COUNTIF(ParicipationMai1[[#This Row],[1]:[31]],Code17)</f>
        <v>0</v>
      </c>
      <c r="BA81" s="472">
        <f>COUNTIF(ParicipationMai1[[#This Row],[1]:[31]],Code25)</f>
        <v>0</v>
      </c>
      <c r="BB81" s="472">
        <f>COUNTIF(ParicipationMai1[[#This Row],[1]:[31]],Code26)</f>
        <v>0</v>
      </c>
      <c r="BC81" s="472">
        <f>COUNTIF(ParicipationMai1[[#This Row],[1]:[31]],Code27)</f>
        <v>0</v>
      </c>
      <c r="BD81" s="472">
        <f>COUNTIF(ParicipationMai1[[#This Row],[1]:[31]],Code28)</f>
        <v>0</v>
      </c>
      <c r="BE81" s="472">
        <f>COUNTIF(ParicipationMai1[[#This Row],[1]:[31]],code30)</f>
        <v>0</v>
      </c>
      <c r="BF81" s="472">
        <f>COUNTIF(ParicipationMai1[[#This Row],[1]:[31]],Code31)</f>
        <v>0</v>
      </c>
      <c r="BG81" s="472">
        <f>COUNTIF(ParicipationMai1[[#This Row],[1]:[31]],code21)</f>
        <v>0</v>
      </c>
      <c r="BH81" s="472">
        <f>COUNTIF(ParicipationMai1[[#This Row],[1]:[31]],Code24)</f>
        <v>0</v>
      </c>
      <c r="BI81" s="370">
        <f>COUNTIF(ParicipationMai1[[#This Row],[1]:[31]],code18)</f>
        <v>0</v>
      </c>
      <c r="BJ81" s="370">
        <f>COUNTIF(ParicipationMai1[[#This Row],[1]:[31]],code19)</f>
        <v>0</v>
      </c>
      <c r="BK81" s="370">
        <f>COUNTIF(ParicipationMai1[[#This Row],[1]:[31]],code20)</f>
        <v>0</v>
      </c>
      <c r="BL81" s="516">
        <f>COUNTIF(ParicipationMai1[[#This Row],[1]:[31]],code29)</f>
        <v>0</v>
      </c>
      <c r="BM81" s="297"/>
      <c r="BN81" s="297"/>
      <c r="BO81" s="297"/>
      <c r="BP81" s="297"/>
      <c r="BQ81" s="297"/>
      <c r="BR81" s="297"/>
      <c r="BS81" s="297"/>
      <c r="BT81" s="297"/>
      <c r="BU81" s="297"/>
      <c r="BV81" s="297"/>
      <c r="BW81" s="297"/>
      <c r="BX81" s="297"/>
      <c r="BY81" s="297"/>
      <c r="BZ81" s="297"/>
      <c r="CA81" s="297"/>
      <c r="CB81" s="297"/>
      <c r="CC81" s="297"/>
      <c r="CD81" s="297"/>
      <c r="CE81" s="297"/>
      <c r="CF81" s="297"/>
      <c r="CG81" s="297"/>
      <c r="CH81" s="297"/>
      <c r="CI81" s="297"/>
      <c r="CJ81" s="297"/>
      <c r="CK81" s="297"/>
      <c r="CL81" s="297"/>
      <c r="CM81" s="297"/>
      <c r="CN81" s="297"/>
      <c r="CO81" s="297"/>
      <c r="CP81" s="297"/>
      <c r="CQ81" s="297"/>
      <c r="CR81" s="297"/>
      <c r="CS81" s="297"/>
      <c r="CT81" s="472"/>
      <c r="CU81" s="300"/>
      <c r="CV81" s="589">
        <f t="shared" si="4"/>
        <v>0</v>
      </c>
      <c r="CW81" s="501">
        <f t="shared" si="5"/>
        <v>0</v>
      </c>
      <c r="CX81" s="472">
        <f t="shared" si="6"/>
        <v>0</v>
      </c>
      <c r="CY81" s="512">
        <f t="shared" si="7"/>
        <v>0</v>
      </c>
    </row>
    <row r="82" spans="1:103">
      <c r="A82" s="29" t="s">
        <v>423</v>
      </c>
      <c r="B82" s="162" t="str">
        <f>IFERROR(VLOOKUP(ParicipationMai1[[#This Row],[Référence]],ListeÉtudiants1[],18,FALSE),"")</f>
        <v>KESSIE INES</v>
      </c>
      <c r="AG82" s="286"/>
      <c r="AH82" s="138">
        <f>COUNTIF(ParicipationMai1[[1]:[31]],Code1)</f>
        <v>0</v>
      </c>
      <c r="AI82" s="474">
        <f>COUNTIF(ParicipationMai1[[1]:[31]],code22)</f>
        <v>0</v>
      </c>
      <c r="AJ82" s="138">
        <f>COUNTIF(ParicipationMai1[[#This Row],[1]:[31]],Code2)</f>
        <v>0</v>
      </c>
      <c r="AK82" s="138">
        <f>COUNTIF(ParicipationMai1[[#This Row],[1]:[31]],Code3)</f>
        <v>0</v>
      </c>
      <c r="AL82" s="138">
        <f>COUNTIF(ParicipationMai1[[#This Row],[1]:[31]],Code4)</f>
        <v>0</v>
      </c>
      <c r="AM82" s="472">
        <f>COUNTIF(ParicipationMai1[[#This Row],[1]:[31]],Code5)</f>
        <v>0</v>
      </c>
      <c r="AN82" s="472">
        <f>COUNTIF(ParicipationMai1[[#This Row],[1]:[31]],Code23)</f>
        <v>0</v>
      </c>
      <c r="AO82" s="472">
        <f>COUNTIF(ParicipationMai1[[#This Row],[1]:[31]],Code6)</f>
        <v>0</v>
      </c>
      <c r="AP82" s="472">
        <f>COUNTIF(ParicipationMai1[[#This Row],[1]:[31]],Code7)</f>
        <v>0</v>
      </c>
      <c r="AQ82" s="472">
        <f>COUNTIF(ParicipationMai1[[#This Row],[1]:[31]],Code8)</f>
        <v>0</v>
      </c>
      <c r="AR82" s="472">
        <f>COUNTIF(ParicipationMai1[[#This Row],[1]:[31]],Code9)</f>
        <v>0</v>
      </c>
      <c r="AS82" s="472">
        <f>COUNTIF(ParicipationMai1[[#This Row],[1]:[31]],Code10)</f>
        <v>0</v>
      </c>
      <c r="AT82" s="472">
        <f>COUNTIF(ParicipationMai1[[#This Row],[1]:[31]],Code11)</f>
        <v>0</v>
      </c>
      <c r="AU82" s="472">
        <f>COUNTIF(ParicipationMai1[[#This Row],[1]:[31]],Code12)</f>
        <v>0</v>
      </c>
      <c r="AV82" s="472">
        <f>COUNTIF(ParicipationMai1[[#This Row],[1]:[31]],Code13)</f>
        <v>0</v>
      </c>
      <c r="AW82" s="472">
        <f>COUNTIF(ParicipationMai1[[#This Row],[1]:[31]],Code14)</f>
        <v>0</v>
      </c>
      <c r="AX82" s="472">
        <f>COUNTIF(ParicipationMai1[[#This Row],[1]:[31]],Code15)</f>
        <v>0</v>
      </c>
      <c r="AY82" s="472">
        <f>COUNTIF(ParicipationMai1[[#This Row],[1]:[31]],Code16)</f>
        <v>0</v>
      </c>
      <c r="AZ82" s="472">
        <f>COUNTIF(ParicipationMai1[[#This Row],[1]:[31]],Code17)</f>
        <v>0</v>
      </c>
      <c r="BA82" s="472">
        <f>COUNTIF(ParicipationMai1[[#This Row],[1]:[31]],Code25)</f>
        <v>0</v>
      </c>
      <c r="BB82" s="472">
        <f>COUNTIF(ParicipationMai1[[#This Row],[1]:[31]],Code26)</f>
        <v>0</v>
      </c>
      <c r="BC82" s="472">
        <f>COUNTIF(ParicipationMai1[[#This Row],[1]:[31]],Code27)</f>
        <v>0</v>
      </c>
      <c r="BD82" s="472">
        <f>COUNTIF(ParicipationMai1[[#This Row],[1]:[31]],Code28)</f>
        <v>0</v>
      </c>
      <c r="BE82" s="472">
        <f>COUNTIF(ParicipationMai1[[#This Row],[1]:[31]],code30)</f>
        <v>0</v>
      </c>
      <c r="BF82" s="472">
        <f>COUNTIF(ParicipationMai1[[#This Row],[1]:[31]],Code31)</f>
        <v>0</v>
      </c>
      <c r="BG82" s="472">
        <f>COUNTIF(ParicipationMai1[[#This Row],[1]:[31]],code21)</f>
        <v>0</v>
      </c>
      <c r="BH82" s="472">
        <f>COUNTIF(ParicipationMai1[[#This Row],[1]:[31]],Code24)</f>
        <v>0</v>
      </c>
      <c r="BI82" s="370">
        <f>COUNTIF(ParicipationMai1[[#This Row],[1]:[31]],code18)</f>
        <v>0</v>
      </c>
      <c r="BJ82" s="370">
        <f>COUNTIF(ParicipationMai1[[#This Row],[1]:[31]],code19)</f>
        <v>0</v>
      </c>
      <c r="BK82" s="370">
        <f>COUNTIF(ParicipationMai1[[#This Row],[1]:[31]],code20)</f>
        <v>0</v>
      </c>
      <c r="BL82" s="516">
        <f>COUNTIF(ParicipationMai1[[#This Row],[1]:[31]],code29)</f>
        <v>0</v>
      </c>
      <c r="BM82" s="297"/>
      <c r="BN82" s="297"/>
      <c r="BO82" s="297"/>
      <c r="BP82" s="297"/>
      <c r="BQ82" s="297"/>
      <c r="BR82" s="297"/>
      <c r="BS82" s="297"/>
      <c r="BT82" s="297"/>
      <c r="BU82" s="297"/>
      <c r="BV82" s="297"/>
      <c r="BW82" s="297"/>
      <c r="BX82" s="297"/>
      <c r="BY82" s="297"/>
      <c r="BZ82" s="297"/>
      <c r="CA82" s="297"/>
      <c r="CB82" s="297"/>
      <c r="CC82" s="297"/>
      <c r="CD82" s="297"/>
      <c r="CE82" s="297"/>
      <c r="CF82" s="297"/>
      <c r="CG82" s="297"/>
      <c r="CH82" s="297"/>
      <c r="CI82" s="297"/>
      <c r="CJ82" s="297"/>
      <c r="CK82" s="297"/>
      <c r="CL82" s="297"/>
      <c r="CM82" s="297"/>
      <c r="CN82" s="297"/>
      <c r="CO82" s="297"/>
      <c r="CP82" s="297"/>
      <c r="CQ82" s="297"/>
      <c r="CR82" s="297"/>
      <c r="CS82" s="297"/>
      <c r="CT82" s="472"/>
      <c r="CU82" s="300"/>
      <c r="CV82" s="589">
        <f t="shared" si="4"/>
        <v>0</v>
      </c>
      <c r="CW82" s="501">
        <f t="shared" si="5"/>
        <v>0</v>
      </c>
      <c r="CX82" s="472">
        <f t="shared" si="6"/>
        <v>0</v>
      </c>
      <c r="CY82" s="512">
        <f t="shared" si="7"/>
        <v>0</v>
      </c>
    </row>
    <row r="83" spans="1:103">
      <c r="A83" s="29" t="s">
        <v>424</v>
      </c>
      <c r="B83" s="162" t="str">
        <f>IFERROR(VLOOKUP(ParicipationMai1[[#This Row],[Référence]],ListeÉtudiants1[],18,FALSE),"")</f>
        <v>KIFIA ALI HILDA</v>
      </c>
      <c r="AG83" s="286"/>
      <c r="AH83" s="138">
        <f>COUNTIF(ParicipationMai1[[1]:[31]],Code1)</f>
        <v>0</v>
      </c>
      <c r="AI83" s="474">
        <f>COUNTIF(ParicipationMai1[[1]:[31]],code22)</f>
        <v>0</v>
      </c>
      <c r="AJ83" s="138">
        <f>COUNTIF(ParicipationMai1[[#This Row],[1]:[31]],Code2)</f>
        <v>0</v>
      </c>
      <c r="AK83" s="138">
        <f>COUNTIF(ParicipationMai1[[#This Row],[1]:[31]],Code3)</f>
        <v>0</v>
      </c>
      <c r="AL83" s="138">
        <f>COUNTIF(ParicipationMai1[[#This Row],[1]:[31]],Code4)</f>
        <v>0</v>
      </c>
      <c r="AM83" s="472">
        <f>COUNTIF(ParicipationMai1[[#This Row],[1]:[31]],Code5)</f>
        <v>0</v>
      </c>
      <c r="AN83" s="472">
        <f>COUNTIF(ParicipationMai1[[#This Row],[1]:[31]],Code23)</f>
        <v>0</v>
      </c>
      <c r="AO83" s="472">
        <f>COUNTIF(ParicipationMai1[[#This Row],[1]:[31]],Code6)</f>
        <v>0</v>
      </c>
      <c r="AP83" s="472">
        <f>COUNTIF(ParicipationMai1[[#This Row],[1]:[31]],Code7)</f>
        <v>0</v>
      </c>
      <c r="AQ83" s="472">
        <f>COUNTIF(ParicipationMai1[[#This Row],[1]:[31]],Code8)</f>
        <v>0</v>
      </c>
      <c r="AR83" s="472">
        <f>COUNTIF(ParicipationMai1[[#This Row],[1]:[31]],Code9)</f>
        <v>0</v>
      </c>
      <c r="AS83" s="472">
        <f>COUNTIF(ParicipationMai1[[#This Row],[1]:[31]],Code10)</f>
        <v>0</v>
      </c>
      <c r="AT83" s="472">
        <f>COUNTIF(ParicipationMai1[[#This Row],[1]:[31]],Code11)</f>
        <v>0</v>
      </c>
      <c r="AU83" s="472">
        <f>COUNTIF(ParicipationMai1[[#This Row],[1]:[31]],Code12)</f>
        <v>0</v>
      </c>
      <c r="AV83" s="472">
        <f>COUNTIF(ParicipationMai1[[#This Row],[1]:[31]],Code13)</f>
        <v>0</v>
      </c>
      <c r="AW83" s="472">
        <f>COUNTIF(ParicipationMai1[[#This Row],[1]:[31]],Code14)</f>
        <v>0</v>
      </c>
      <c r="AX83" s="472">
        <f>COUNTIF(ParicipationMai1[[#This Row],[1]:[31]],Code15)</f>
        <v>0</v>
      </c>
      <c r="AY83" s="472">
        <f>COUNTIF(ParicipationMai1[[#This Row],[1]:[31]],Code16)</f>
        <v>0</v>
      </c>
      <c r="AZ83" s="472">
        <f>COUNTIF(ParicipationMai1[[#This Row],[1]:[31]],Code17)</f>
        <v>0</v>
      </c>
      <c r="BA83" s="472">
        <f>COUNTIF(ParicipationMai1[[#This Row],[1]:[31]],Code25)</f>
        <v>0</v>
      </c>
      <c r="BB83" s="472">
        <f>COUNTIF(ParicipationMai1[[#This Row],[1]:[31]],Code26)</f>
        <v>0</v>
      </c>
      <c r="BC83" s="472">
        <f>COUNTIF(ParicipationMai1[[#This Row],[1]:[31]],Code27)</f>
        <v>0</v>
      </c>
      <c r="BD83" s="472">
        <f>COUNTIF(ParicipationMai1[[#This Row],[1]:[31]],Code28)</f>
        <v>0</v>
      </c>
      <c r="BE83" s="472">
        <f>COUNTIF(ParicipationMai1[[#This Row],[1]:[31]],code30)</f>
        <v>0</v>
      </c>
      <c r="BF83" s="472">
        <f>COUNTIF(ParicipationMai1[[#This Row],[1]:[31]],Code31)</f>
        <v>0</v>
      </c>
      <c r="BG83" s="472">
        <f>COUNTIF(ParicipationMai1[[#This Row],[1]:[31]],code21)</f>
        <v>0</v>
      </c>
      <c r="BH83" s="472">
        <f>COUNTIF(ParicipationMai1[[#This Row],[1]:[31]],Code24)</f>
        <v>0</v>
      </c>
      <c r="BI83" s="370">
        <f>COUNTIF(ParicipationMai1[[#This Row],[1]:[31]],code18)</f>
        <v>0</v>
      </c>
      <c r="BJ83" s="370">
        <f>COUNTIF(ParicipationMai1[[#This Row],[1]:[31]],code19)</f>
        <v>0</v>
      </c>
      <c r="BK83" s="370">
        <f>COUNTIF(ParicipationMai1[[#This Row],[1]:[31]],code20)</f>
        <v>0</v>
      </c>
      <c r="BL83" s="516">
        <f>COUNTIF(ParicipationMai1[[#This Row],[1]:[31]],code29)</f>
        <v>0</v>
      </c>
      <c r="BM83" s="297"/>
      <c r="BN83" s="297"/>
      <c r="BO83" s="297"/>
      <c r="BP83" s="297"/>
      <c r="BQ83" s="297"/>
      <c r="BR83" s="297"/>
      <c r="BS83" s="297"/>
      <c r="BT83" s="297"/>
      <c r="BU83" s="297"/>
      <c r="BV83" s="297"/>
      <c r="BW83" s="297"/>
      <c r="BX83" s="297"/>
      <c r="BY83" s="297"/>
      <c r="BZ83" s="297"/>
      <c r="CA83" s="297"/>
      <c r="CB83" s="297"/>
      <c r="CC83" s="297"/>
      <c r="CD83" s="297"/>
      <c r="CE83" s="297"/>
      <c r="CF83" s="297"/>
      <c r="CG83" s="297"/>
      <c r="CH83" s="297"/>
      <c r="CI83" s="297"/>
      <c r="CJ83" s="297"/>
      <c r="CK83" s="297"/>
      <c r="CL83" s="297"/>
      <c r="CM83" s="297"/>
      <c r="CN83" s="297"/>
      <c r="CO83" s="297"/>
      <c r="CP83" s="297"/>
      <c r="CQ83" s="297"/>
      <c r="CR83" s="297"/>
      <c r="CS83" s="297"/>
      <c r="CT83" s="472"/>
      <c r="CU83" s="300"/>
      <c r="CV83" s="589">
        <f t="shared" si="4"/>
        <v>0</v>
      </c>
      <c r="CW83" s="501">
        <f t="shared" si="5"/>
        <v>0</v>
      </c>
      <c r="CX83" s="472">
        <f t="shared" si="6"/>
        <v>0</v>
      </c>
      <c r="CY83" s="512">
        <f t="shared" si="7"/>
        <v>0</v>
      </c>
    </row>
    <row r="84" spans="1:103">
      <c r="A84" s="29" t="s">
        <v>425</v>
      </c>
      <c r="B84" s="162" t="str">
        <f>IFERROR(VLOOKUP(ParicipationMai1[[#This Row],[Référence]],ListeÉtudiants1[],18,FALSE),"")</f>
        <v>KONATE FATOUMATA</v>
      </c>
      <c r="AG84" s="286"/>
      <c r="AH84" s="138">
        <f>COUNTIF(ParicipationMai1[[1]:[31]],Code1)</f>
        <v>0</v>
      </c>
      <c r="AI84" s="474">
        <f>COUNTIF(ParicipationMai1[[1]:[31]],code22)</f>
        <v>0</v>
      </c>
      <c r="AJ84" s="138">
        <f>COUNTIF(ParicipationMai1[[#This Row],[1]:[31]],Code2)</f>
        <v>0</v>
      </c>
      <c r="AK84" s="138">
        <f>COUNTIF(ParicipationMai1[[#This Row],[1]:[31]],Code3)</f>
        <v>0</v>
      </c>
      <c r="AL84" s="138">
        <f>COUNTIF(ParicipationMai1[[#This Row],[1]:[31]],Code4)</f>
        <v>0</v>
      </c>
      <c r="AM84" s="472">
        <f>COUNTIF(ParicipationMai1[[#This Row],[1]:[31]],Code5)</f>
        <v>0</v>
      </c>
      <c r="AN84" s="472">
        <f>COUNTIF(ParicipationMai1[[#This Row],[1]:[31]],Code23)</f>
        <v>0</v>
      </c>
      <c r="AO84" s="472">
        <f>COUNTIF(ParicipationMai1[[#This Row],[1]:[31]],Code6)</f>
        <v>0</v>
      </c>
      <c r="AP84" s="472">
        <f>COUNTIF(ParicipationMai1[[#This Row],[1]:[31]],Code7)</f>
        <v>0</v>
      </c>
      <c r="AQ84" s="472">
        <f>COUNTIF(ParicipationMai1[[#This Row],[1]:[31]],Code8)</f>
        <v>0</v>
      </c>
      <c r="AR84" s="472">
        <f>COUNTIF(ParicipationMai1[[#This Row],[1]:[31]],Code9)</f>
        <v>0</v>
      </c>
      <c r="AS84" s="472">
        <f>COUNTIF(ParicipationMai1[[#This Row],[1]:[31]],Code10)</f>
        <v>0</v>
      </c>
      <c r="AT84" s="472">
        <f>COUNTIF(ParicipationMai1[[#This Row],[1]:[31]],Code11)</f>
        <v>0</v>
      </c>
      <c r="AU84" s="472">
        <f>COUNTIF(ParicipationMai1[[#This Row],[1]:[31]],Code12)</f>
        <v>0</v>
      </c>
      <c r="AV84" s="472">
        <f>COUNTIF(ParicipationMai1[[#This Row],[1]:[31]],Code13)</f>
        <v>0</v>
      </c>
      <c r="AW84" s="472">
        <f>COUNTIF(ParicipationMai1[[#This Row],[1]:[31]],Code14)</f>
        <v>0</v>
      </c>
      <c r="AX84" s="472">
        <f>COUNTIF(ParicipationMai1[[#This Row],[1]:[31]],Code15)</f>
        <v>0</v>
      </c>
      <c r="AY84" s="472">
        <f>COUNTIF(ParicipationMai1[[#This Row],[1]:[31]],Code16)</f>
        <v>0</v>
      </c>
      <c r="AZ84" s="472">
        <f>COUNTIF(ParicipationMai1[[#This Row],[1]:[31]],Code17)</f>
        <v>0</v>
      </c>
      <c r="BA84" s="472">
        <f>COUNTIF(ParicipationMai1[[#This Row],[1]:[31]],Code25)</f>
        <v>0</v>
      </c>
      <c r="BB84" s="472">
        <f>COUNTIF(ParicipationMai1[[#This Row],[1]:[31]],Code26)</f>
        <v>0</v>
      </c>
      <c r="BC84" s="472">
        <f>COUNTIF(ParicipationMai1[[#This Row],[1]:[31]],Code27)</f>
        <v>0</v>
      </c>
      <c r="BD84" s="472">
        <f>COUNTIF(ParicipationMai1[[#This Row],[1]:[31]],Code28)</f>
        <v>0</v>
      </c>
      <c r="BE84" s="472">
        <f>COUNTIF(ParicipationMai1[[#This Row],[1]:[31]],code30)</f>
        <v>0</v>
      </c>
      <c r="BF84" s="472">
        <f>COUNTIF(ParicipationMai1[[#This Row],[1]:[31]],Code31)</f>
        <v>0</v>
      </c>
      <c r="BG84" s="472">
        <f>COUNTIF(ParicipationMai1[[#This Row],[1]:[31]],code21)</f>
        <v>0</v>
      </c>
      <c r="BH84" s="472">
        <f>COUNTIF(ParicipationMai1[[#This Row],[1]:[31]],Code24)</f>
        <v>0</v>
      </c>
      <c r="BI84" s="370">
        <f>COUNTIF(ParicipationMai1[[#This Row],[1]:[31]],code18)</f>
        <v>0</v>
      </c>
      <c r="BJ84" s="370">
        <f>COUNTIF(ParicipationMai1[[#This Row],[1]:[31]],code19)</f>
        <v>0</v>
      </c>
      <c r="BK84" s="370">
        <f>COUNTIF(ParicipationMai1[[#This Row],[1]:[31]],code20)</f>
        <v>0</v>
      </c>
      <c r="BL84" s="516">
        <f>COUNTIF(ParicipationMai1[[#This Row],[1]:[31]],code29)</f>
        <v>0</v>
      </c>
      <c r="BM84" s="297"/>
      <c r="BN84" s="297"/>
      <c r="BO84" s="297"/>
      <c r="BP84" s="297"/>
      <c r="BQ84" s="297"/>
      <c r="BR84" s="297"/>
      <c r="BS84" s="297"/>
      <c r="BT84" s="297"/>
      <c r="BU84" s="297"/>
      <c r="BV84" s="297"/>
      <c r="BW84" s="297"/>
      <c r="BX84" s="297"/>
      <c r="BY84" s="297"/>
      <c r="BZ84" s="297"/>
      <c r="CA84" s="297"/>
      <c r="CB84" s="297"/>
      <c r="CC84" s="297"/>
      <c r="CD84" s="297"/>
      <c r="CE84" s="297"/>
      <c r="CF84" s="297"/>
      <c r="CG84" s="297"/>
      <c r="CH84" s="297"/>
      <c r="CI84" s="297"/>
      <c r="CJ84" s="297"/>
      <c r="CK84" s="297"/>
      <c r="CL84" s="297"/>
      <c r="CM84" s="297"/>
      <c r="CN84" s="297"/>
      <c r="CO84" s="297"/>
      <c r="CP84" s="297"/>
      <c r="CQ84" s="297"/>
      <c r="CR84" s="297"/>
      <c r="CS84" s="297"/>
      <c r="CT84" s="472"/>
      <c r="CU84" s="300"/>
      <c r="CV84" s="589">
        <f t="shared" si="4"/>
        <v>0</v>
      </c>
      <c r="CW84" s="501">
        <f t="shared" si="5"/>
        <v>0</v>
      </c>
      <c r="CX84" s="472">
        <f t="shared" si="6"/>
        <v>0</v>
      </c>
      <c r="CY84" s="512">
        <f t="shared" si="7"/>
        <v>0</v>
      </c>
    </row>
    <row r="85" spans="1:103">
      <c r="A85" s="29" t="s">
        <v>426</v>
      </c>
      <c r="B85" s="162" t="str">
        <f>IFERROR(VLOOKUP(ParicipationMai1[[#This Row],[Référence]],ListeÉtudiants1[],18,FALSE),"")</f>
        <v>KRIR DINA</v>
      </c>
      <c r="AG85" s="286"/>
      <c r="AH85" s="138">
        <f>COUNTIF(ParicipationMai1[[1]:[31]],Code1)</f>
        <v>0</v>
      </c>
      <c r="AI85" s="474">
        <f>COUNTIF(ParicipationMai1[[1]:[31]],code22)</f>
        <v>0</v>
      </c>
      <c r="AJ85" s="138">
        <f>COUNTIF(ParicipationMai1[[#This Row],[1]:[31]],Code2)</f>
        <v>0</v>
      </c>
      <c r="AK85" s="138">
        <f>COUNTIF(ParicipationMai1[[#This Row],[1]:[31]],Code3)</f>
        <v>0</v>
      </c>
      <c r="AL85" s="138">
        <f>COUNTIF(ParicipationMai1[[#This Row],[1]:[31]],Code4)</f>
        <v>0</v>
      </c>
      <c r="AM85" s="472">
        <f>COUNTIF(ParicipationMai1[[#This Row],[1]:[31]],Code5)</f>
        <v>0</v>
      </c>
      <c r="AN85" s="472">
        <f>COUNTIF(ParicipationMai1[[#This Row],[1]:[31]],Code23)</f>
        <v>0</v>
      </c>
      <c r="AO85" s="472">
        <f>COUNTIF(ParicipationMai1[[#This Row],[1]:[31]],Code6)</f>
        <v>0</v>
      </c>
      <c r="AP85" s="472">
        <f>COUNTIF(ParicipationMai1[[#This Row],[1]:[31]],Code7)</f>
        <v>0</v>
      </c>
      <c r="AQ85" s="472">
        <f>COUNTIF(ParicipationMai1[[#This Row],[1]:[31]],Code8)</f>
        <v>0</v>
      </c>
      <c r="AR85" s="472">
        <f>COUNTIF(ParicipationMai1[[#This Row],[1]:[31]],Code9)</f>
        <v>0</v>
      </c>
      <c r="AS85" s="472">
        <f>COUNTIF(ParicipationMai1[[#This Row],[1]:[31]],Code10)</f>
        <v>0</v>
      </c>
      <c r="AT85" s="472">
        <f>COUNTIF(ParicipationMai1[[#This Row],[1]:[31]],Code11)</f>
        <v>0</v>
      </c>
      <c r="AU85" s="472">
        <f>COUNTIF(ParicipationMai1[[#This Row],[1]:[31]],Code12)</f>
        <v>0</v>
      </c>
      <c r="AV85" s="472">
        <f>COUNTIF(ParicipationMai1[[#This Row],[1]:[31]],Code13)</f>
        <v>0</v>
      </c>
      <c r="AW85" s="472">
        <f>COUNTIF(ParicipationMai1[[#This Row],[1]:[31]],Code14)</f>
        <v>0</v>
      </c>
      <c r="AX85" s="472">
        <f>COUNTIF(ParicipationMai1[[#This Row],[1]:[31]],Code15)</f>
        <v>0</v>
      </c>
      <c r="AY85" s="472">
        <f>COUNTIF(ParicipationMai1[[#This Row],[1]:[31]],Code16)</f>
        <v>0</v>
      </c>
      <c r="AZ85" s="472">
        <f>COUNTIF(ParicipationMai1[[#This Row],[1]:[31]],Code17)</f>
        <v>0</v>
      </c>
      <c r="BA85" s="472">
        <f>COUNTIF(ParicipationMai1[[#This Row],[1]:[31]],Code25)</f>
        <v>0</v>
      </c>
      <c r="BB85" s="472">
        <f>COUNTIF(ParicipationMai1[[#This Row],[1]:[31]],Code26)</f>
        <v>0</v>
      </c>
      <c r="BC85" s="472">
        <f>COUNTIF(ParicipationMai1[[#This Row],[1]:[31]],Code27)</f>
        <v>0</v>
      </c>
      <c r="BD85" s="472">
        <f>COUNTIF(ParicipationMai1[[#This Row],[1]:[31]],Code28)</f>
        <v>0</v>
      </c>
      <c r="BE85" s="472">
        <f>COUNTIF(ParicipationMai1[[#This Row],[1]:[31]],code30)</f>
        <v>0</v>
      </c>
      <c r="BF85" s="472">
        <f>COUNTIF(ParicipationMai1[[#This Row],[1]:[31]],Code31)</f>
        <v>0</v>
      </c>
      <c r="BG85" s="472">
        <f>COUNTIF(ParicipationMai1[[#This Row],[1]:[31]],code21)</f>
        <v>0</v>
      </c>
      <c r="BH85" s="472">
        <f>COUNTIF(ParicipationMai1[[#This Row],[1]:[31]],Code24)</f>
        <v>0</v>
      </c>
      <c r="BI85" s="370">
        <f>COUNTIF(ParicipationMai1[[#This Row],[1]:[31]],code18)</f>
        <v>0</v>
      </c>
      <c r="BJ85" s="370">
        <f>COUNTIF(ParicipationMai1[[#This Row],[1]:[31]],code19)</f>
        <v>0</v>
      </c>
      <c r="BK85" s="370">
        <f>COUNTIF(ParicipationMai1[[#This Row],[1]:[31]],code20)</f>
        <v>0</v>
      </c>
      <c r="BL85" s="516">
        <f>COUNTIF(ParicipationMai1[[#This Row],[1]:[31]],code29)</f>
        <v>0</v>
      </c>
      <c r="BM85" s="297"/>
      <c r="BN85" s="297"/>
      <c r="BO85" s="297"/>
      <c r="BP85" s="297"/>
      <c r="BQ85" s="297"/>
      <c r="BR85" s="297"/>
      <c r="BS85" s="297"/>
      <c r="BT85" s="297"/>
      <c r="BU85" s="297"/>
      <c r="BV85" s="297"/>
      <c r="BW85" s="297"/>
      <c r="BX85" s="297"/>
      <c r="BY85" s="297"/>
      <c r="BZ85" s="297"/>
      <c r="CA85" s="297"/>
      <c r="CB85" s="297"/>
      <c r="CC85" s="297"/>
      <c r="CD85" s="297"/>
      <c r="CE85" s="297"/>
      <c r="CF85" s="297"/>
      <c r="CG85" s="297"/>
      <c r="CH85" s="297"/>
      <c r="CI85" s="297"/>
      <c r="CJ85" s="297"/>
      <c r="CK85" s="297"/>
      <c r="CL85" s="297"/>
      <c r="CM85" s="297"/>
      <c r="CN85" s="297"/>
      <c r="CO85" s="297"/>
      <c r="CP85" s="297"/>
      <c r="CQ85" s="297"/>
      <c r="CR85" s="297"/>
      <c r="CS85" s="297"/>
      <c r="CT85" s="472"/>
      <c r="CU85" s="300"/>
      <c r="CV85" s="589">
        <f t="shared" si="4"/>
        <v>0</v>
      </c>
      <c r="CW85" s="501">
        <f t="shared" si="5"/>
        <v>0</v>
      </c>
      <c r="CX85" s="472">
        <f t="shared" si="6"/>
        <v>0</v>
      </c>
      <c r="CY85" s="512">
        <f t="shared" si="7"/>
        <v>0</v>
      </c>
    </row>
    <row r="86" spans="1:103">
      <c r="A86" s="29" t="s">
        <v>427</v>
      </c>
      <c r="B86" s="162" t="str">
        <f>IFERROR(VLOOKUP(ParicipationMai1[[#This Row],[Référence]],ListeÉtudiants1[],18,FALSE),"")</f>
        <v>LACROIX LORRY</v>
      </c>
      <c r="AG86" s="286"/>
      <c r="AH86" s="138">
        <f>COUNTIF(ParicipationMai1[[1]:[31]],Code1)</f>
        <v>0</v>
      </c>
      <c r="AI86" s="474">
        <f>COUNTIF(ParicipationMai1[[1]:[31]],code22)</f>
        <v>0</v>
      </c>
      <c r="AJ86" s="138">
        <f>COUNTIF(ParicipationMai1[[#This Row],[1]:[31]],Code2)</f>
        <v>0</v>
      </c>
      <c r="AK86" s="138">
        <f>COUNTIF(ParicipationMai1[[#This Row],[1]:[31]],Code3)</f>
        <v>0</v>
      </c>
      <c r="AL86" s="138">
        <f>COUNTIF(ParicipationMai1[[#This Row],[1]:[31]],Code4)</f>
        <v>0</v>
      </c>
      <c r="AM86" s="472">
        <f>COUNTIF(ParicipationMai1[[#This Row],[1]:[31]],Code5)</f>
        <v>0</v>
      </c>
      <c r="AN86" s="472">
        <f>COUNTIF(ParicipationMai1[[#This Row],[1]:[31]],Code23)</f>
        <v>0</v>
      </c>
      <c r="AO86" s="472">
        <f>COUNTIF(ParicipationMai1[[#This Row],[1]:[31]],Code6)</f>
        <v>0</v>
      </c>
      <c r="AP86" s="472">
        <f>COUNTIF(ParicipationMai1[[#This Row],[1]:[31]],Code7)</f>
        <v>0</v>
      </c>
      <c r="AQ86" s="472">
        <f>COUNTIF(ParicipationMai1[[#This Row],[1]:[31]],Code8)</f>
        <v>0</v>
      </c>
      <c r="AR86" s="472">
        <f>COUNTIF(ParicipationMai1[[#This Row],[1]:[31]],Code9)</f>
        <v>0</v>
      </c>
      <c r="AS86" s="472">
        <f>COUNTIF(ParicipationMai1[[#This Row],[1]:[31]],Code10)</f>
        <v>0</v>
      </c>
      <c r="AT86" s="472">
        <f>COUNTIF(ParicipationMai1[[#This Row],[1]:[31]],Code11)</f>
        <v>0</v>
      </c>
      <c r="AU86" s="472">
        <f>COUNTIF(ParicipationMai1[[#This Row],[1]:[31]],Code12)</f>
        <v>0</v>
      </c>
      <c r="AV86" s="472">
        <f>COUNTIF(ParicipationMai1[[#This Row],[1]:[31]],Code13)</f>
        <v>0</v>
      </c>
      <c r="AW86" s="472">
        <f>COUNTIF(ParicipationMai1[[#This Row],[1]:[31]],Code14)</f>
        <v>0</v>
      </c>
      <c r="AX86" s="472">
        <f>COUNTIF(ParicipationMai1[[#This Row],[1]:[31]],Code15)</f>
        <v>0</v>
      </c>
      <c r="AY86" s="472">
        <f>COUNTIF(ParicipationMai1[[#This Row],[1]:[31]],Code16)</f>
        <v>0</v>
      </c>
      <c r="AZ86" s="472">
        <f>COUNTIF(ParicipationMai1[[#This Row],[1]:[31]],Code17)</f>
        <v>0</v>
      </c>
      <c r="BA86" s="472">
        <f>COUNTIF(ParicipationMai1[[#This Row],[1]:[31]],Code25)</f>
        <v>0</v>
      </c>
      <c r="BB86" s="472">
        <f>COUNTIF(ParicipationMai1[[#This Row],[1]:[31]],Code26)</f>
        <v>0</v>
      </c>
      <c r="BC86" s="472">
        <f>COUNTIF(ParicipationMai1[[#This Row],[1]:[31]],Code27)</f>
        <v>0</v>
      </c>
      <c r="BD86" s="472">
        <f>COUNTIF(ParicipationMai1[[#This Row],[1]:[31]],Code28)</f>
        <v>0</v>
      </c>
      <c r="BE86" s="472">
        <f>COUNTIF(ParicipationMai1[[#This Row],[1]:[31]],code30)</f>
        <v>0</v>
      </c>
      <c r="BF86" s="472">
        <f>COUNTIF(ParicipationMai1[[#This Row],[1]:[31]],Code31)</f>
        <v>0</v>
      </c>
      <c r="BG86" s="472">
        <f>COUNTIF(ParicipationMai1[[#This Row],[1]:[31]],code21)</f>
        <v>0</v>
      </c>
      <c r="BH86" s="472">
        <f>COUNTIF(ParicipationMai1[[#This Row],[1]:[31]],Code24)</f>
        <v>0</v>
      </c>
      <c r="BI86" s="370">
        <f>COUNTIF(ParicipationMai1[[#This Row],[1]:[31]],code18)</f>
        <v>0</v>
      </c>
      <c r="BJ86" s="370">
        <f>COUNTIF(ParicipationMai1[[#This Row],[1]:[31]],code19)</f>
        <v>0</v>
      </c>
      <c r="BK86" s="370">
        <f>COUNTIF(ParicipationMai1[[#This Row],[1]:[31]],code20)</f>
        <v>0</v>
      </c>
      <c r="BL86" s="516">
        <f>COUNTIF(ParicipationMai1[[#This Row],[1]:[31]],code29)</f>
        <v>0</v>
      </c>
      <c r="BM86" s="297"/>
      <c r="BN86" s="297"/>
      <c r="BO86" s="297"/>
      <c r="BP86" s="297"/>
      <c r="BQ86" s="297"/>
      <c r="BR86" s="297"/>
      <c r="BS86" s="297"/>
      <c r="BT86" s="297"/>
      <c r="BU86" s="297"/>
      <c r="BV86" s="297"/>
      <c r="BW86" s="297"/>
      <c r="BX86" s="297"/>
      <c r="BY86" s="297"/>
      <c r="BZ86" s="297"/>
      <c r="CA86" s="297"/>
      <c r="CB86" s="297"/>
      <c r="CC86" s="297"/>
      <c r="CD86" s="297"/>
      <c r="CE86" s="297"/>
      <c r="CF86" s="297"/>
      <c r="CG86" s="297"/>
      <c r="CH86" s="297"/>
      <c r="CI86" s="297"/>
      <c r="CJ86" s="297"/>
      <c r="CK86" s="297"/>
      <c r="CL86" s="297"/>
      <c r="CM86" s="297"/>
      <c r="CN86" s="297"/>
      <c r="CO86" s="297"/>
      <c r="CP86" s="297"/>
      <c r="CQ86" s="297"/>
      <c r="CR86" s="297"/>
      <c r="CS86" s="297"/>
      <c r="CT86" s="472"/>
      <c r="CU86" s="300"/>
      <c r="CV86" s="589">
        <f t="shared" si="4"/>
        <v>0</v>
      </c>
      <c r="CW86" s="501">
        <f t="shared" si="5"/>
        <v>0</v>
      </c>
      <c r="CX86" s="472">
        <f t="shared" si="6"/>
        <v>0</v>
      </c>
      <c r="CY86" s="512">
        <f t="shared" si="7"/>
        <v>0</v>
      </c>
    </row>
    <row r="87" spans="1:103">
      <c r="A87" s="29" t="s">
        <v>428</v>
      </c>
      <c r="B87" s="162" t="str">
        <f>IFERROR(VLOOKUP(ParicipationMai1[[#This Row],[Référence]],ListeÉtudiants1[],18,FALSE),"")</f>
        <v>LADERVAL TATIANA</v>
      </c>
      <c r="AG87" s="286"/>
      <c r="AH87" s="138">
        <f>COUNTIF(ParicipationMai1[[1]:[31]],Code1)</f>
        <v>0</v>
      </c>
      <c r="AI87" s="474">
        <f>COUNTIF(ParicipationMai1[[1]:[31]],code22)</f>
        <v>0</v>
      </c>
      <c r="AJ87" s="138">
        <f>COUNTIF(ParicipationMai1[[#This Row],[1]:[31]],Code2)</f>
        <v>0</v>
      </c>
      <c r="AK87" s="138">
        <f>COUNTIF(ParicipationMai1[[#This Row],[1]:[31]],Code3)</f>
        <v>0</v>
      </c>
      <c r="AL87" s="138">
        <f>COUNTIF(ParicipationMai1[[#This Row],[1]:[31]],Code4)</f>
        <v>0</v>
      </c>
      <c r="AM87" s="472">
        <f>COUNTIF(ParicipationMai1[[#This Row],[1]:[31]],Code5)</f>
        <v>0</v>
      </c>
      <c r="AN87" s="472">
        <f>COUNTIF(ParicipationMai1[[#This Row],[1]:[31]],Code23)</f>
        <v>0</v>
      </c>
      <c r="AO87" s="472">
        <f>COUNTIF(ParicipationMai1[[#This Row],[1]:[31]],Code6)</f>
        <v>0</v>
      </c>
      <c r="AP87" s="472">
        <f>COUNTIF(ParicipationMai1[[#This Row],[1]:[31]],Code7)</f>
        <v>0</v>
      </c>
      <c r="AQ87" s="472">
        <f>COUNTIF(ParicipationMai1[[#This Row],[1]:[31]],Code8)</f>
        <v>0</v>
      </c>
      <c r="AR87" s="472">
        <f>COUNTIF(ParicipationMai1[[#This Row],[1]:[31]],Code9)</f>
        <v>0</v>
      </c>
      <c r="AS87" s="472">
        <f>COUNTIF(ParicipationMai1[[#This Row],[1]:[31]],Code10)</f>
        <v>0</v>
      </c>
      <c r="AT87" s="472">
        <f>COUNTIF(ParicipationMai1[[#This Row],[1]:[31]],Code11)</f>
        <v>0</v>
      </c>
      <c r="AU87" s="472">
        <f>COUNTIF(ParicipationMai1[[#This Row],[1]:[31]],Code12)</f>
        <v>0</v>
      </c>
      <c r="AV87" s="472">
        <f>COUNTIF(ParicipationMai1[[#This Row],[1]:[31]],Code13)</f>
        <v>0</v>
      </c>
      <c r="AW87" s="472">
        <f>COUNTIF(ParicipationMai1[[#This Row],[1]:[31]],Code14)</f>
        <v>0</v>
      </c>
      <c r="AX87" s="472">
        <f>COUNTIF(ParicipationMai1[[#This Row],[1]:[31]],Code15)</f>
        <v>0</v>
      </c>
      <c r="AY87" s="472">
        <f>COUNTIF(ParicipationMai1[[#This Row],[1]:[31]],Code16)</f>
        <v>0</v>
      </c>
      <c r="AZ87" s="472">
        <f>COUNTIF(ParicipationMai1[[#This Row],[1]:[31]],Code17)</f>
        <v>0</v>
      </c>
      <c r="BA87" s="472">
        <f>COUNTIF(ParicipationMai1[[#This Row],[1]:[31]],Code25)</f>
        <v>0</v>
      </c>
      <c r="BB87" s="472">
        <f>COUNTIF(ParicipationMai1[[#This Row],[1]:[31]],Code26)</f>
        <v>0</v>
      </c>
      <c r="BC87" s="472">
        <f>COUNTIF(ParicipationMai1[[#This Row],[1]:[31]],Code27)</f>
        <v>0</v>
      </c>
      <c r="BD87" s="472">
        <f>COUNTIF(ParicipationMai1[[#This Row],[1]:[31]],Code28)</f>
        <v>0</v>
      </c>
      <c r="BE87" s="472">
        <f>COUNTIF(ParicipationMai1[[#This Row],[1]:[31]],code30)</f>
        <v>0</v>
      </c>
      <c r="BF87" s="472">
        <f>COUNTIF(ParicipationMai1[[#This Row],[1]:[31]],Code31)</f>
        <v>0</v>
      </c>
      <c r="BG87" s="472">
        <f>COUNTIF(ParicipationMai1[[#This Row],[1]:[31]],code21)</f>
        <v>0</v>
      </c>
      <c r="BH87" s="472">
        <f>COUNTIF(ParicipationMai1[[#This Row],[1]:[31]],Code24)</f>
        <v>0</v>
      </c>
      <c r="BI87" s="370">
        <f>COUNTIF(ParicipationMai1[[#This Row],[1]:[31]],code18)</f>
        <v>0</v>
      </c>
      <c r="BJ87" s="370">
        <f>COUNTIF(ParicipationMai1[[#This Row],[1]:[31]],code19)</f>
        <v>0</v>
      </c>
      <c r="BK87" s="370">
        <f>COUNTIF(ParicipationMai1[[#This Row],[1]:[31]],code20)</f>
        <v>0</v>
      </c>
      <c r="BL87" s="516">
        <f>COUNTIF(ParicipationMai1[[#This Row],[1]:[31]],code29)</f>
        <v>0</v>
      </c>
      <c r="BM87" s="297"/>
      <c r="BN87" s="297"/>
      <c r="BO87" s="297"/>
      <c r="BP87" s="297"/>
      <c r="BQ87" s="297"/>
      <c r="BR87" s="297"/>
      <c r="BS87" s="297"/>
      <c r="BT87" s="297"/>
      <c r="BU87" s="297"/>
      <c r="BV87" s="297"/>
      <c r="BW87" s="297"/>
      <c r="BX87" s="297"/>
      <c r="BY87" s="297"/>
      <c r="BZ87" s="297"/>
      <c r="CA87" s="297"/>
      <c r="CB87" s="297"/>
      <c r="CC87" s="297"/>
      <c r="CD87" s="297"/>
      <c r="CE87" s="297"/>
      <c r="CF87" s="297"/>
      <c r="CG87" s="297"/>
      <c r="CH87" s="297"/>
      <c r="CI87" s="297"/>
      <c r="CJ87" s="297"/>
      <c r="CK87" s="297"/>
      <c r="CL87" s="297"/>
      <c r="CM87" s="297"/>
      <c r="CN87" s="297"/>
      <c r="CO87" s="297"/>
      <c r="CP87" s="297"/>
      <c r="CQ87" s="297"/>
      <c r="CR87" s="297"/>
      <c r="CS87" s="297"/>
      <c r="CT87" s="472"/>
      <c r="CU87" s="300"/>
      <c r="CV87" s="589">
        <f t="shared" si="4"/>
        <v>0</v>
      </c>
      <c r="CW87" s="501">
        <f t="shared" si="5"/>
        <v>0</v>
      </c>
      <c r="CX87" s="472">
        <f t="shared" si="6"/>
        <v>0</v>
      </c>
      <c r="CY87" s="512">
        <f t="shared" si="7"/>
        <v>0</v>
      </c>
    </row>
    <row r="88" spans="1:103">
      <c r="A88" s="29" t="s">
        <v>429</v>
      </c>
      <c r="B88" s="162" t="str">
        <f>IFERROR(VLOOKUP(ParicipationMai1[[#This Row],[Référence]],ListeÉtudiants1[],18,FALSE),"")</f>
        <v>LALARDIE EMMANUELLE</v>
      </c>
      <c r="AG88" s="286"/>
      <c r="AH88" s="138">
        <f>COUNTIF(ParicipationMai1[[1]:[31]],Code1)</f>
        <v>0</v>
      </c>
      <c r="AI88" s="474">
        <f>COUNTIF(ParicipationMai1[[1]:[31]],code22)</f>
        <v>0</v>
      </c>
      <c r="AJ88" s="138">
        <f>COUNTIF(ParicipationMai1[[#This Row],[1]:[31]],Code2)</f>
        <v>0</v>
      </c>
      <c r="AK88" s="138">
        <f>COUNTIF(ParicipationMai1[[#This Row],[1]:[31]],Code3)</f>
        <v>0</v>
      </c>
      <c r="AL88" s="138">
        <f>COUNTIF(ParicipationMai1[[#This Row],[1]:[31]],Code4)</f>
        <v>0</v>
      </c>
      <c r="AM88" s="472">
        <f>COUNTIF(ParicipationMai1[[#This Row],[1]:[31]],Code5)</f>
        <v>0</v>
      </c>
      <c r="AN88" s="472">
        <f>COUNTIF(ParicipationMai1[[#This Row],[1]:[31]],Code23)</f>
        <v>0</v>
      </c>
      <c r="AO88" s="472">
        <f>COUNTIF(ParicipationMai1[[#This Row],[1]:[31]],Code6)</f>
        <v>0</v>
      </c>
      <c r="AP88" s="472">
        <f>COUNTIF(ParicipationMai1[[#This Row],[1]:[31]],Code7)</f>
        <v>0</v>
      </c>
      <c r="AQ88" s="472">
        <f>COUNTIF(ParicipationMai1[[#This Row],[1]:[31]],Code8)</f>
        <v>0</v>
      </c>
      <c r="AR88" s="472">
        <f>COUNTIF(ParicipationMai1[[#This Row],[1]:[31]],Code9)</f>
        <v>0</v>
      </c>
      <c r="AS88" s="472">
        <f>COUNTIF(ParicipationMai1[[#This Row],[1]:[31]],Code10)</f>
        <v>0</v>
      </c>
      <c r="AT88" s="472">
        <f>COUNTIF(ParicipationMai1[[#This Row],[1]:[31]],Code11)</f>
        <v>0</v>
      </c>
      <c r="AU88" s="472">
        <f>COUNTIF(ParicipationMai1[[#This Row],[1]:[31]],Code12)</f>
        <v>0</v>
      </c>
      <c r="AV88" s="472">
        <f>COUNTIF(ParicipationMai1[[#This Row],[1]:[31]],Code13)</f>
        <v>0</v>
      </c>
      <c r="AW88" s="472">
        <f>COUNTIF(ParicipationMai1[[#This Row],[1]:[31]],Code14)</f>
        <v>0</v>
      </c>
      <c r="AX88" s="472">
        <f>COUNTIF(ParicipationMai1[[#This Row],[1]:[31]],Code15)</f>
        <v>0</v>
      </c>
      <c r="AY88" s="472">
        <f>COUNTIF(ParicipationMai1[[#This Row],[1]:[31]],Code16)</f>
        <v>0</v>
      </c>
      <c r="AZ88" s="472">
        <f>COUNTIF(ParicipationMai1[[#This Row],[1]:[31]],Code17)</f>
        <v>0</v>
      </c>
      <c r="BA88" s="472">
        <f>COUNTIF(ParicipationMai1[[#This Row],[1]:[31]],Code25)</f>
        <v>0</v>
      </c>
      <c r="BB88" s="472">
        <f>COUNTIF(ParicipationMai1[[#This Row],[1]:[31]],Code26)</f>
        <v>0</v>
      </c>
      <c r="BC88" s="472">
        <f>COUNTIF(ParicipationMai1[[#This Row],[1]:[31]],Code27)</f>
        <v>0</v>
      </c>
      <c r="BD88" s="472">
        <f>COUNTIF(ParicipationMai1[[#This Row],[1]:[31]],Code28)</f>
        <v>0</v>
      </c>
      <c r="BE88" s="472">
        <f>COUNTIF(ParicipationMai1[[#This Row],[1]:[31]],code30)</f>
        <v>0</v>
      </c>
      <c r="BF88" s="472">
        <f>COUNTIF(ParicipationMai1[[#This Row],[1]:[31]],Code31)</f>
        <v>0</v>
      </c>
      <c r="BG88" s="472">
        <f>COUNTIF(ParicipationMai1[[#This Row],[1]:[31]],code21)</f>
        <v>0</v>
      </c>
      <c r="BH88" s="472">
        <f>COUNTIF(ParicipationMai1[[#This Row],[1]:[31]],Code24)</f>
        <v>0</v>
      </c>
      <c r="BI88" s="370">
        <f>COUNTIF(ParicipationMai1[[#This Row],[1]:[31]],code18)</f>
        <v>0</v>
      </c>
      <c r="BJ88" s="370">
        <f>COUNTIF(ParicipationMai1[[#This Row],[1]:[31]],code19)</f>
        <v>0</v>
      </c>
      <c r="BK88" s="370">
        <f>COUNTIF(ParicipationMai1[[#This Row],[1]:[31]],code20)</f>
        <v>0</v>
      </c>
      <c r="BL88" s="516">
        <f>COUNTIF(ParicipationMai1[[#This Row],[1]:[31]],code29)</f>
        <v>0</v>
      </c>
      <c r="BM88" s="297"/>
      <c r="BN88" s="297"/>
      <c r="BO88" s="297"/>
      <c r="BP88" s="297"/>
      <c r="BQ88" s="297"/>
      <c r="BR88" s="297"/>
      <c r="BS88" s="297"/>
      <c r="BT88" s="297"/>
      <c r="BU88" s="297"/>
      <c r="BV88" s="297"/>
      <c r="BW88" s="297"/>
      <c r="BX88" s="297"/>
      <c r="BY88" s="297"/>
      <c r="BZ88" s="297"/>
      <c r="CA88" s="297"/>
      <c r="CB88" s="297"/>
      <c r="CC88" s="297"/>
      <c r="CD88" s="297"/>
      <c r="CE88" s="297"/>
      <c r="CF88" s="297"/>
      <c r="CG88" s="297"/>
      <c r="CH88" s="297"/>
      <c r="CI88" s="297"/>
      <c r="CJ88" s="297"/>
      <c r="CK88" s="297"/>
      <c r="CL88" s="297"/>
      <c r="CM88" s="297"/>
      <c r="CN88" s="297"/>
      <c r="CO88" s="297"/>
      <c r="CP88" s="297"/>
      <c r="CQ88" s="297"/>
      <c r="CR88" s="297"/>
      <c r="CS88" s="297"/>
      <c r="CT88" s="472"/>
      <c r="CU88" s="300"/>
      <c r="CV88" s="589">
        <f t="shared" si="4"/>
        <v>0</v>
      </c>
      <c r="CW88" s="501">
        <f t="shared" si="5"/>
        <v>0</v>
      </c>
      <c r="CX88" s="472">
        <f t="shared" si="6"/>
        <v>0</v>
      </c>
      <c r="CY88" s="512">
        <f t="shared" si="7"/>
        <v>0</v>
      </c>
    </row>
    <row r="89" spans="1:103">
      <c r="A89" s="29" t="s">
        <v>430</v>
      </c>
      <c r="B89" s="162" t="str">
        <f>IFERROR(VLOOKUP(ParicipationMai1[[#This Row],[Référence]],ListeÉtudiants1[],18,FALSE),"")</f>
        <v/>
      </c>
      <c r="AG89" s="286"/>
      <c r="AH89" s="138">
        <f>COUNTIF(ParicipationMai1[[1]:[31]],Code1)</f>
        <v>0</v>
      </c>
      <c r="AI89" s="474">
        <f>COUNTIF(ParicipationMai1[[1]:[31]],code22)</f>
        <v>0</v>
      </c>
      <c r="AJ89" s="138">
        <f>COUNTIF(ParicipationMai1[[#This Row],[1]:[31]],Code2)</f>
        <v>0</v>
      </c>
      <c r="AK89" s="138">
        <f>COUNTIF(ParicipationMai1[[#This Row],[1]:[31]],Code3)</f>
        <v>0</v>
      </c>
      <c r="AL89" s="138">
        <f>COUNTIF(ParicipationMai1[[#This Row],[1]:[31]],Code4)</f>
        <v>0</v>
      </c>
      <c r="AM89" s="472">
        <f>COUNTIF(ParicipationMai1[[#This Row],[1]:[31]],Code5)</f>
        <v>0</v>
      </c>
      <c r="AN89" s="472">
        <f>COUNTIF(ParicipationMai1[[#This Row],[1]:[31]],Code23)</f>
        <v>0</v>
      </c>
      <c r="AO89" s="472">
        <f>COUNTIF(ParicipationMai1[[#This Row],[1]:[31]],Code6)</f>
        <v>0</v>
      </c>
      <c r="AP89" s="472">
        <f>COUNTIF(ParicipationMai1[[#This Row],[1]:[31]],Code7)</f>
        <v>0</v>
      </c>
      <c r="AQ89" s="472">
        <f>COUNTIF(ParicipationMai1[[#This Row],[1]:[31]],Code8)</f>
        <v>0</v>
      </c>
      <c r="AR89" s="472">
        <f>COUNTIF(ParicipationMai1[[#This Row],[1]:[31]],Code9)</f>
        <v>0</v>
      </c>
      <c r="AS89" s="472">
        <f>COUNTIF(ParicipationMai1[[#This Row],[1]:[31]],Code10)</f>
        <v>0</v>
      </c>
      <c r="AT89" s="472">
        <f>COUNTIF(ParicipationMai1[[#This Row],[1]:[31]],Code11)</f>
        <v>0</v>
      </c>
      <c r="AU89" s="472">
        <f>COUNTIF(ParicipationMai1[[#This Row],[1]:[31]],Code12)</f>
        <v>0</v>
      </c>
      <c r="AV89" s="472">
        <f>COUNTIF(ParicipationMai1[[#This Row],[1]:[31]],Code13)</f>
        <v>0</v>
      </c>
      <c r="AW89" s="472">
        <f>COUNTIF(ParicipationMai1[[#This Row],[1]:[31]],Code14)</f>
        <v>0</v>
      </c>
      <c r="AX89" s="472">
        <f>COUNTIF(ParicipationMai1[[#This Row],[1]:[31]],Code15)</f>
        <v>0</v>
      </c>
      <c r="AY89" s="472">
        <f>COUNTIF(ParicipationMai1[[#This Row],[1]:[31]],Code16)</f>
        <v>0</v>
      </c>
      <c r="AZ89" s="472">
        <f>COUNTIF(ParicipationMai1[[#This Row],[1]:[31]],Code17)</f>
        <v>0</v>
      </c>
      <c r="BA89" s="472">
        <f>COUNTIF(ParicipationMai1[[#This Row],[1]:[31]],Code25)</f>
        <v>0</v>
      </c>
      <c r="BB89" s="472">
        <f>COUNTIF(ParicipationMai1[[#This Row],[1]:[31]],Code26)</f>
        <v>0</v>
      </c>
      <c r="BC89" s="472">
        <f>COUNTIF(ParicipationMai1[[#This Row],[1]:[31]],Code27)</f>
        <v>0</v>
      </c>
      <c r="BD89" s="472">
        <f>COUNTIF(ParicipationMai1[[#This Row],[1]:[31]],Code28)</f>
        <v>0</v>
      </c>
      <c r="BE89" s="472">
        <f>COUNTIF(ParicipationMai1[[#This Row],[1]:[31]],code30)</f>
        <v>0</v>
      </c>
      <c r="BF89" s="472">
        <f>COUNTIF(ParicipationMai1[[#This Row],[1]:[31]],Code31)</f>
        <v>0</v>
      </c>
      <c r="BG89" s="472">
        <f>COUNTIF(ParicipationMai1[[#This Row],[1]:[31]],code21)</f>
        <v>0</v>
      </c>
      <c r="BH89" s="472">
        <f>COUNTIF(ParicipationMai1[[#This Row],[1]:[31]],Code24)</f>
        <v>0</v>
      </c>
      <c r="BI89" s="370">
        <f>COUNTIF(ParicipationMai1[[#This Row],[1]:[31]],code18)</f>
        <v>0</v>
      </c>
      <c r="BJ89" s="370">
        <f>COUNTIF(ParicipationMai1[[#This Row],[1]:[31]],code19)</f>
        <v>0</v>
      </c>
      <c r="BK89" s="370">
        <f>COUNTIF(ParicipationMai1[[#This Row],[1]:[31]],code20)</f>
        <v>0</v>
      </c>
      <c r="BL89" s="516">
        <f>COUNTIF(ParicipationMai1[[#This Row],[1]:[31]],code29)</f>
        <v>0</v>
      </c>
      <c r="BM89" s="297"/>
      <c r="BN89" s="297"/>
      <c r="BO89" s="297"/>
      <c r="BP89" s="297"/>
      <c r="BQ89" s="297"/>
      <c r="BR89" s="297"/>
      <c r="BS89" s="297"/>
      <c r="BT89" s="297"/>
      <c r="BU89" s="297"/>
      <c r="BV89" s="297"/>
      <c r="BW89" s="297"/>
      <c r="BX89" s="297"/>
      <c r="BY89" s="297"/>
      <c r="BZ89" s="297"/>
      <c r="CA89" s="297"/>
      <c r="CB89" s="297"/>
      <c r="CC89" s="297"/>
      <c r="CD89" s="297"/>
      <c r="CE89" s="297"/>
      <c r="CF89" s="297"/>
      <c r="CG89" s="297"/>
      <c r="CH89" s="297"/>
      <c r="CI89" s="297"/>
      <c r="CJ89" s="297"/>
      <c r="CK89" s="297"/>
      <c r="CL89" s="297"/>
      <c r="CM89" s="297"/>
      <c r="CN89" s="297"/>
      <c r="CO89" s="297"/>
      <c r="CP89" s="297"/>
      <c r="CQ89" s="297"/>
      <c r="CR89" s="297"/>
      <c r="CS89" s="297"/>
      <c r="CT89" s="472"/>
      <c r="CU89" s="300"/>
      <c r="CV89" s="589">
        <f t="shared" si="4"/>
        <v>0</v>
      </c>
      <c r="CW89" s="501">
        <f t="shared" si="5"/>
        <v>0</v>
      </c>
      <c r="CX89" s="472">
        <f t="shared" si="6"/>
        <v>0</v>
      </c>
      <c r="CY89" s="512">
        <f t="shared" si="7"/>
        <v>0</v>
      </c>
    </row>
    <row r="90" spans="1:103">
      <c r="A90" s="29" t="s">
        <v>431</v>
      </c>
      <c r="B90" s="162" t="str">
        <f>IFERROR(VLOOKUP(ParicipationMai1[[#This Row],[Référence]],ListeÉtudiants1[],18,FALSE),"")</f>
        <v>LAMETTE JENNYFER</v>
      </c>
      <c r="AG90" s="286"/>
      <c r="AH90" s="138">
        <f>COUNTIF(ParicipationMai1[[1]:[31]],Code1)</f>
        <v>0</v>
      </c>
      <c r="AI90" s="474">
        <f>COUNTIF(ParicipationMai1[[1]:[31]],code22)</f>
        <v>0</v>
      </c>
      <c r="AJ90" s="138">
        <f>COUNTIF(ParicipationMai1[[#This Row],[1]:[31]],Code2)</f>
        <v>0</v>
      </c>
      <c r="AK90" s="138">
        <f>COUNTIF(ParicipationMai1[[#This Row],[1]:[31]],Code3)</f>
        <v>0</v>
      </c>
      <c r="AL90" s="138">
        <f>COUNTIF(ParicipationMai1[[#This Row],[1]:[31]],Code4)</f>
        <v>0</v>
      </c>
      <c r="AM90" s="472">
        <f>COUNTIF(ParicipationMai1[[#This Row],[1]:[31]],Code5)</f>
        <v>0</v>
      </c>
      <c r="AN90" s="472">
        <f>COUNTIF(ParicipationMai1[[#This Row],[1]:[31]],Code23)</f>
        <v>0</v>
      </c>
      <c r="AO90" s="472">
        <f>COUNTIF(ParicipationMai1[[#This Row],[1]:[31]],Code6)</f>
        <v>0</v>
      </c>
      <c r="AP90" s="472">
        <f>COUNTIF(ParicipationMai1[[#This Row],[1]:[31]],Code7)</f>
        <v>0</v>
      </c>
      <c r="AQ90" s="472">
        <f>COUNTIF(ParicipationMai1[[#This Row],[1]:[31]],Code8)</f>
        <v>0</v>
      </c>
      <c r="AR90" s="472">
        <f>COUNTIF(ParicipationMai1[[#This Row],[1]:[31]],Code9)</f>
        <v>0</v>
      </c>
      <c r="AS90" s="472">
        <f>COUNTIF(ParicipationMai1[[#This Row],[1]:[31]],Code10)</f>
        <v>0</v>
      </c>
      <c r="AT90" s="472">
        <f>COUNTIF(ParicipationMai1[[#This Row],[1]:[31]],Code11)</f>
        <v>0</v>
      </c>
      <c r="AU90" s="472">
        <f>COUNTIF(ParicipationMai1[[#This Row],[1]:[31]],Code12)</f>
        <v>0</v>
      </c>
      <c r="AV90" s="472">
        <f>COUNTIF(ParicipationMai1[[#This Row],[1]:[31]],Code13)</f>
        <v>0</v>
      </c>
      <c r="AW90" s="472">
        <f>COUNTIF(ParicipationMai1[[#This Row],[1]:[31]],Code14)</f>
        <v>0</v>
      </c>
      <c r="AX90" s="472">
        <f>COUNTIF(ParicipationMai1[[#This Row],[1]:[31]],Code15)</f>
        <v>0</v>
      </c>
      <c r="AY90" s="472">
        <f>COUNTIF(ParicipationMai1[[#This Row],[1]:[31]],Code16)</f>
        <v>0</v>
      </c>
      <c r="AZ90" s="472">
        <f>COUNTIF(ParicipationMai1[[#This Row],[1]:[31]],Code17)</f>
        <v>0</v>
      </c>
      <c r="BA90" s="472">
        <f>COUNTIF(ParicipationMai1[[#This Row],[1]:[31]],Code25)</f>
        <v>0</v>
      </c>
      <c r="BB90" s="472">
        <f>COUNTIF(ParicipationMai1[[#This Row],[1]:[31]],Code26)</f>
        <v>0</v>
      </c>
      <c r="BC90" s="472">
        <f>COUNTIF(ParicipationMai1[[#This Row],[1]:[31]],Code27)</f>
        <v>0</v>
      </c>
      <c r="BD90" s="472">
        <f>COUNTIF(ParicipationMai1[[#This Row],[1]:[31]],Code28)</f>
        <v>0</v>
      </c>
      <c r="BE90" s="472">
        <f>COUNTIF(ParicipationMai1[[#This Row],[1]:[31]],code30)</f>
        <v>0</v>
      </c>
      <c r="BF90" s="472">
        <f>COUNTIF(ParicipationMai1[[#This Row],[1]:[31]],Code31)</f>
        <v>0</v>
      </c>
      <c r="BG90" s="472">
        <f>COUNTIF(ParicipationMai1[[#This Row],[1]:[31]],code21)</f>
        <v>0</v>
      </c>
      <c r="BH90" s="472">
        <f>COUNTIF(ParicipationMai1[[#This Row],[1]:[31]],Code24)</f>
        <v>0</v>
      </c>
      <c r="BI90" s="370">
        <f>COUNTIF(ParicipationMai1[[#This Row],[1]:[31]],code18)</f>
        <v>0</v>
      </c>
      <c r="BJ90" s="370">
        <f>COUNTIF(ParicipationMai1[[#This Row],[1]:[31]],code19)</f>
        <v>0</v>
      </c>
      <c r="BK90" s="370">
        <f>COUNTIF(ParicipationMai1[[#This Row],[1]:[31]],code20)</f>
        <v>0</v>
      </c>
      <c r="BL90" s="516">
        <f>COUNTIF(ParicipationMai1[[#This Row],[1]:[31]],code29)</f>
        <v>0</v>
      </c>
      <c r="BM90" s="297"/>
      <c r="BN90" s="297"/>
      <c r="BO90" s="297"/>
      <c r="BP90" s="297"/>
      <c r="BQ90" s="297"/>
      <c r="BR90" s="297"/>
      <c r="BS90" s="297"/>
      <c r="BT90" s="297"/>
      <c r="BU90" s="297"/>
      <c r="BV90" s="297"/>
      <c r="BW90" s="297"/>
      <c r="BX90" s="297"/>
      <c r="BY90" s="297"/>
      <c r="BZ90" s="297"/>
      <c r="CA90" s="297"/>
      <c r="CB90" s="297"/>
      <c r="CC90" s="297"/>
      <c r="CD90" s="297"/>
      <c r="CE90" s="297"/>
      <c r="CF90" s="297"/>
      <c r="CG90" s="297"/>
      <c r="CH90" s="297"/>
      <c r="CI90" s="297"/>
      <c r="CJ90" s="297"/>
      <c r="CK90" s="297"/>
      <c r="CL90" s="297"/>
      <c r="CM90" s="297"/>
      <c r="CN90" s="297"/>
      <c r="CO90" s="297"/>
      <c r="CP90" s="297"/>
      <c r="CQ90" s="297"/>
      <c r="CR90" s="297"/>
      <c r="CS90" s="297"/>
      <c r="CT90" s="472"/>
      <c r="CU90" s="300"/>
      <c r="CV90" s="589">
        <f t="shared" si="4"/>
        <v>0</v>
      </c>
      <c r="CW90" s="501">
        <f t="shared" si="5"/>
        <v>0</v>
      </c>
      <c r="CX90" s="472">
        <f t="shared" si="6"/>
        <v>0</v>
      </c>
      <c r="CY90" s="512">
        <f t="shared" si="7"/>
        <v>0</v>
      </c>
    </row>
    <row r="91" spans="1:103">
      <c r="A91" s="29" t="s">
        <v>432</v>
      </c>
      <c r="B91" s="162" t="str">
        <f>IFERROR(VLOOKUP(ParicipationMai1[[#This Row],[Référence]],ListeÉtudiants1[],18,FALSE),"")</f>
        <v>LAMGHARI / DAHAN BOUCHRA</v>
      </c>
      <c r="AG91" s="286"/>
      <c r="AH91" s="138">
        <f>COUNTIF(ParicipationMai1[[1]:[31]],Code1)</f>
        <v>0</v>
      </c>
      <c r="AI91" s="474">
        <f>COUNTIF(ParicipationMai1[[1]:[31]],code22)</f>
        <v>0</v>
      </c>
      <c r="AJ91" s="138">
        <f>COUNTIF(ParicipationMai1[[#This Row],[1]:[31]],Code2)</f>
        <v>0</v>
      </c>
      <c r="AK91" s="138">
        <f>COUNTIF(ParicipationMai1[[#This Row],[1]:[31]],Code3)</f>
        <v>0</v>
      </c>
      <c r="AL91" s="138">
        <f>COUNTIF(ParicipationMai1[[#This Row],[1]:[31]],Code4)</f>
        <v>0</v>
      </c>
      <c r="AM91" s="472">
        <f>COUNTIF(ParicipationMai1[[#This Row],[1]:[31]],Code5)</f>
        <v>0</v>
      </c>
      <c r="AN91" s="472">
        <f>COUNTIF(ParicipationMai1[[#This Row],[1]:[31]],Code23)</f>
        <v>0</v>
      </c>
      <c r="AO91" s="472">
        <f>COUNTIF(ParicipationMai1[[#This Row],[1]:[31]],Code6)</f>
        <v>0</v>
      </c>
      <c r="AP91" s="472">
        <f>COUNTIF(ParicipationMai1[[#This Row],[1]:[31]],Code7)</f>
        <v>0</v>
      </c>
      <c r="AQ91" s="472">
        <f>COUNTIF(ParicipationMai1[[#This Row],[1]:[31]],Code8)</f>
        <v>0</v>
      </c>
      <c r="AR91" s="472">
        <f>COUNTIF(ParicipationMai1[[#This Row],[1]:[31]],Code9)</f>
        <v>0</v>
      </c>
      <c r="AS91" s="472">
        <f>COUNTIF(ParicipationMai1[[#This Row],[1]:[31]],Code10)</f>
        <v>0</v>
      </c>
      <c r="AT91" s="472">
        <f>COUNTIF(ParicipationMai1[[#This Row],[1]:[31]],Code11)</f>
        <v>0</v>
      </c>
      <c r="AU91" s="472">
        <f>COUNTIF(ParicipationMai1[[#This Row],[1]:[31]],Code12)</f>
        <v>0</v>
      </c>
      <c r="AV91" s="472">
        <f>COUNTIF(ParicipationMai1[[#This Row],[1]:[31]],Code13)</f>
        <v>0</v>
      </c>
      <c r="AW91" s="472">
        <f>COUNTIF(ParicipationMai1[[#This Row],[1]:[31]],Code14)</f>
        <v>0</v>
      </c>
      <c r="AX91" s="472">
        <f>COUNTIF(ParicipationMai1[[#This Row],[1]:[31]],Code15)</f>
        <v>0</v>
      </c>
      <c r="AY91" s="472">
        <f>COUNTIF(ParicipationMai1[[#This Row],[1]:[31]],Code16)</f>
        <v>0</v>
      </c>
      <c r="AZ91" s="472">
        <f>COUNTIF(ParicipationMai1[[#This Row],[1]:[31]],Code17)</f>
        <v>0</v>
      </c>
      <c r="BA91" s="472">
        <f>COUNTIF(ParicipationMai1[[#This Row],[1]:[31]],Code25)</f>
        <v>0</v>
      </c>
      <c r="BB91" s="472">
        <f>COUNTIF(ParicipationMai1[[#This Row],[1]:[31]],Code26)</f>
        <v>0</v>
      </c>
      <c r="BC91" s="472">
        <f>COUNTIF(ParicipationMai1[[#This Row],[1]:[31]],Code27)</f>
        <v>0</v>
      </c>
      <c r="BD91" s="472">
        <f>COUNTIF(ParicipationMai1[[#This Row],[1]:[31]],Code28)</f>
        <v>0</v>
      </c>
      <c r="BE91" s="472">
        <f>COUNTIF(ParicipationMai1[[#This Row],[1]:[31]],code30)</f>
        <v>0</v>
      </c>
      <c r="BF91" s="472">
        <f>COUNTIF(ParicipationMai1[[#This Row],[1]:[31]],Code31)</f>
        <v>0</v>
      </c>
      <c r="BG91" s="472">
        <f>COUNTIF(ParicipationMai1[[#This Row],[1]:[31]],code21)</f>
        <v>0</v>
      </c>
      <c r="BH91" s="472">
        <f>COUNTIF(ParicipationMai1[[#This Row],[1]:[31]],Code24)</f>
        <v>0</v>
      </c>
      <c r="BI91" s="370">
        <f>COUNTIF(ParicipationMai1[[#This Row],[1]:[31]],code18)</f>
        <v>0</v>
      </c>
      <c r="BJ91" s="370">
        <f>COUNTIF(ParicipationMai1[[#This Row],[1]:[31]],code19)</f>
        <v>0</v>
      </c>
      <c r="BK91" s="370">
        <f>COUNTIF(ParicipationMai1[[#This Row],[1]:[31]],code20)</f>
        <v>0</v>
      </c>
      <c r="BL91" s="516">
        <f>COUNTIF(ParicipationMai1[[#This Row],[1]:[31]],code29)</f>
        <v>0</v>
      </c>
      <c r="BM91" s="297"/>
      <c r="BN91" s="297"/>
      <c r="BO91" s="297"/>
      <c r="BP91" s="297"/>
      <c r="BQ91" s="297"/>
      <c r="BR91" s="297"/>
      <c r="BS91" s="297"/>
      <c r="BT91" s="297"/>
      <c r="BU91" s="297"/>
      <c r="BV91" s="297"/>
      <c r="BW91" s="297"/>
      <c r="BX91" s="297"/>
      <c r="BY91" s="297"/>
      <c r="BZ91" s="297"/>
      <c r="CA91" s="297"/>
      <c r="CB91" s="297"/>
      <c r="CC91" s="297"/>
      <c r="CD91" s="297"/>
      <c r="CE91" s="297"/>
      <c r="CF91" s="297"/>
      <c r="CG91" s="297"/>
      <c r="CH91" s="297"/>
      <c r="CI91" s="297"/>
      <c r="CJ91" s="297"/>
      <c r="CK91" s="297"/>
      <c r="CL91" s="297"/>
      <c r="CM91" s="297"/>
      <c r="CN91" s="297"/>
      <c r="CO91" s="297"/>
      <c r="CP91" s="297"/>
      <c r="CQ91" s="297"/>
      <c r="CR91" s="297"/>
      <c r="CS91" s="297"/>
      <c r="CT91" s="472"/>
      <c r="CU91" s="300"/>
      <c r="CV91" s="589">
        <f t="shared" si="4"/>
        <v>0</v>
      </c>
      <c r="CW91" s="501">
        <f t="shared" si="5"/>
        <v>0</v>
      </c>
      <c r="CX91" s="472">
        <f t="shared" si="6"/>
        <v>0</v>
      </c>
      <c r="CY91" s="512">
        <f t="shared" si="7"/>
        <v>0</v>
      </c>
    </row>
    <row r="92" spans="1:103">
      <c r="A92" s="29" t="s">
        <v>433</v>
      </c>
      <c r="B92" s="162" t="str">
        <f>IFERROR(VLOOKUP(ParicipationMai1[[#This Row],[Référence]],ListeÉtudiants1[],18,FALSE),"")</f>
        <v>LAURENT GUILLAUME</v>
      </c>
      <c r="AG92" s="286"/>
      <c r="AH92" s="138">
        <f>COUNTIF(ParicipationMai1[[1]:[31]],Code1)</f>
        <v>0</v>
      </c>
      <c r="AI92" s="474">
        <f>COUNTIF(ParicipationMai1[[1]:[31]],code22)</f>
        <v>0</v>
      </c>
      <c r="AJ92" s="138">
        <f>COUNTIF(ParicipationMai1[[#This Row],[1]:[31]],Code2)</f>
        <v>0</v>
      </c>
      <c r="AK92" s="138">
        <f>COUNTIF(ParicipationMai1[[#This Row],[1]:[31]],Code3)</f>
        <v>0</v>
      </c>
      <c r="AL92" s="138">
        <f>COUNTIF(ParicipationMai1[[#This Row],[1]:[31]],Code4)</f>
        <v>0</v>
      </c>
      <c r="AM92" s="472">
        <f>COUNTIF(ParicipationMai1[[#This Row],[1]:[31]],Code5)</f>
        <v>0</v>
      </c>
      <c r="AN92" s="472">
        <f>COUNTIF(ParicipationMai1[[#This Row],[1]:[31]],Code23)</f>
        <v>0</v>
      </c>
      <c r="AO92" s="472">
        <f>COUNTIF(ParicipationMai1[[#This Row],[1]:[31]],Code6)</f>
        <v>0</v>
      </c>
      <c r="AP92" s="472">
        <f>COUNTIF(ParicipationMai1[[#This Row],[1]:[31]],Code7)</f>
        <v>0</v>
      </c>
      <c r="AQ92" s="472">
        <f>COUNTIF(ParicipationMai1[[#This Row],[1]:[31]],Code8)</f>
        <v>0</v>
      </c>
      <c r="AR92" s="472">
        <f>COUNTIF(ParicipationMai1[[#This Row],[1]:[31]],Code9)</f>
        <v>0</v>
      </c>
      <c r="AS92" s="472">
        <f>COUNTIF(ParicipationMai1[[#This Row],[1]:[31]],Code10)</f>
        <v>0</v>
      </c>
      <c r="AT92" s="472">
        <f>COUNTIF(ParicipationMai1[[#This Row],[1]:[31]],Code11)</f>
        <v>0</v>
      </c>
      <c r="AU92" s="472">
        <f>COUNTIF(ParicipationMai1[[#This Row],[1]:[31]],Code12)</f>
        <v>0</v>
      </c>
      <c r="AV92" s="472">
        <f>COUNTIF(ParicipationMai1[[#This Row],[1]:[31]],Code13)</f>
        <v>0</v>
      </c>
      <c r="AW92" s="472">
        <f>COUNTIF(ParicipationMai1[[#This Row],[1]:[31]],Code14)</f>
        <v>0</v>
      </c>
      <c r="AX92" s="472">
        <f>COUNTIF(ParicipationMai1[[#This Row],[1]:[31]],Code15)</f>
        <v>0</v>
      </c>
      <c r="AY92" s="472">
        <f>COUNTIF(ParicipationMai1[[#This Row],[1]:[31]],Code16)</f>
        <v>0</v>
      </c>
      <c r="AZ92" s="472">
        <f>COUNTIF(ParicipationMai1[[#This Row],[1]:[31]],Code17)</f>
        <v>0</v>
      </c>
      <c r="BA92" s="472">
        <f>COUNTIF(ParicipationMai1[[#This Row],[1]:[31]],Code25)</f>
        <v>0</v>
      </c>
      <c r="BB92" s="472">
        <f>COUNTIF(ParicipationMai1[[#This Row],[1]:[31]],Code26)</f>
        <v>0</v>
      </c>
      <c r="BC92" s="472">
        <f>COUNTIF(ParicipationMai1[[#This Row],[1]:[31]],Code27)</f>
        <v>0</v>
      </c>
      <c r="BD92" s="472">
        <f>COUNTIF(ParicipationMai1[[#This Row],[1]:[31]],Code28)</f>
        <v>0</v>
      </c>
      <c r="BE92" s="472">
        <f>COUNTIF(ParicipationMai1[[#This Row],[1]:[31]],code30)</f>
        <v>0</v>
      </c>
      <c r="BF92" s="472">
        <f>COUNTIF(ParicipationMai1[[#This Row],[1]:[31]],Code31)</f>
        <v>0</v>
      </c>
      <c r="BG92" s="472">
        <f>COUNTIF(ParicipationMai1[[#This Row],[1]:[31]],code21)</f>
        <v>0</v>
      </c>
      <c r="BH92" s="472">
        <f>COUNTIF(ParicipationMai1[[#This Row],[1]:[31]],Code24)</f>
        <v>0</v>
      </c>
      <c r="BI92" s="370">
        <f>COUNTIF(ParicipationMai1[[#This Row],[1]:[31]],code18)</f>
        <v>0</v>
      </c>
      <c r="BJ92" s="370">
        <f>COUNTIF(ParicipationMai1[[#This Row],[1]:[31]],code19)</f>
        <v>0</v>
      </c>
      <c r="BK92" s="370">
        <f>COUNTIF(ParicipationMai1[[#This Row],[1]:[31]],code20)</f>
        <v>0</v>
      </c>
      <c r="BL92" s="516">
        <f>COUNTIF(ParicipationMai1[[#This Row],[1]:[31]],code29)</f>
        <v>0</v>
      </c>
      <c r="BM92" s="297"/>
      <c r="BN92" s="297"/>
      <c r="BO92" s="297"/>
      <c r="BP92" s="297"/>
      <c r="BQ92" s="297"/>
      <c r="BR92" s="297"/>
      <c r="BS92" s="297"/>
      <c r="BT92" s="297"/>
      <c r="BU92" s="297"/>
      <c r="BV92" s="297"/>
      <c r="BW92" s="297"/>
      <c r="BX92" s="297"/>
      <c r="BY92" s="297"/>
      <c r="BZ92" s="297"/>
      <c r="CA92" s="297"/>
      <c r="CB92" s="297"/>
      <c r="CC92" s="297"/>
      <c r="CD92" s="297"/>
      <c r="CE92" s="297"/>
      <c r="CF92" s="297"/>
      <c r="CG92" s="297"/>
      <c r="CH92" s="297"/>
      <c r="CI92" s="297"/>
      <c r="CJ92" s="297"/>
      <c r="CK92" s="297"/>
      <c r="CL92" s="297"/>
      <c r="CM92" s="297"/>
      <c r="CN92" s="297"/>
      <c r="CO92" s="297"/>
      <c r="CP92" s="297"/>
      <c r="CQ92" s="297"/>
      <c r="CR92" s="297"/>
      <c r="CS92" s="297"/>
      <c r="CT92" s="472"/>
      <c r="CU92" s="300"/>
      <c r="CV92" s="589">
        <f t="shared" si="4"/>
        <v>0</v>
      </c>
      <c r="CW92" s="501">
        <f t="shared" si="5"/>
        <v>0</v>
      </c>
      <c r="CX92" s="472">
        <f t="shared" si="6"/>
        <v>0</v>
      </c>
      <c r="CY92" s="512">
        <f t="shared" si="7"/>
        <v>0</v>
      </c>
    </row>
    <row r="93" spans="1:103">
      <c r="A93" s="29" t="s">
        <v>434</v>
      </c>
      <c r="B93" s="162" t="str">
        <f>IFERROR(VLOOKUP(ParicipationMai1[[#This Row],[Référence]],ListeÉtudiants1[],18,FALSE),"")</f>
        <v>LEMAIRE SHANONE</v>
      </c>
      <c r="AG93" s="286"/>
      <c r="AH93" s="138">
        <f>COUNTIF(ParicipationMai1[[1]:[31]],Code1)</f>
        <v>0</v>
      </c>
      <c r="AI93" s="474">
        <f>COUNTIF(ParicipationMai1[[1]:[31]],code22)</f>
        <v>0</v>
      </c>
      <c r="AJ93" s="138">
        <f>COUNTIF(ParicipationMai1[[#This Row],[1]:[31]],Code2)</f>
        <v>0</v>
      </c>
      <c r="AK93" s="138">
        <f>COUNTIF(ParicipationMai1[[#This Row],[1]:[31]],Code3)</f>
        <v>0</v>
      </c>
      <c r="AL93" s="138">
        <f>COUNTIF(ParicipationMai1[[#This Row],[1]:[31]],Code4)</f>
        <v>0</v>
      </c>
      <c r="AM93" s="472">
        <f>COUNTIF(ParicipationMai1[[#This Row],[1]:[31]],Code5)</f>
        <v>0</v>
      </c>
      <c r="AN93" s="472">
        <f>COUNTIF(ParicipationMai1[[#This Row],[1]:[31]],Code23)</f>
        <v>0</v>
      </c>
      <c r="AO93" s="472">
        <f>COUNTIF(ParicipationMai1[[#This Row],[1]:[31]],Code6)</f>
        <v>0</v>
      </c>
      <c r="AP93" s="472">
        <f>COUNTIF(ParicipationMai1[[#This Row],[1]:[31]],Code7)</f>
        <v>0</v>
      </c>
      <c r="AQ93" s="472">
        <f>COUNTIF(ParicipationMai1[[#This Row],[1]:[31]],Code8)</f>
        <v>0</v>
      </c>
      <c r="AR93" s="472">
        <f>COUNTIF(ParicipationMai1[[#This Row],[1]:[31]],Code9)</f>
        <v>0</v>
      </c>
      <c r="AS93" s="472">
        <f>COUNTIF(ParicipationMai1[[#This Row],[1]:[31]],Code10)</f>
        <v>0</v>
      </c>
      <c r="AT93" s="472">
        <f>COUNTIF(ParicipationMai1[[#This Row],[1]:[31]],Code11)</f>
        <v>0</v>
      </c>
      <c r="AU93" s="472">
        <f>COUNTIF(ParicipationMai1[[#This Row],[1]:[31]],Code12)</f>
        <v>0</v>
      </c>
      <c r="AV93" s="472">
        <f>COUNTIF(ParicipationMai1[[#This Row],[1]:[31]],Code13)</f>
        <v>0</v>
      </c>
      <c r="AW93" s="472">
        <f>COUNTIF(ParicipationMai1[[#This Row],[1]:[31]],Code14)</f>
        <v>0</v>
      </c>
      <c r="AX93" s="472">
        <f>COUNTIF(ParicipationMai1[[#This Row],[1]:[31]],Code15)</f>
        <v>0</v>
      </c>
      <c r="AY93" s="472">
        <f>COUNTIF(ParicipationMai1[[#This Row],[1]:[31]],Code16)</f>
        <v>0</v>
      </c>
      <c r="AZ93" s="472">
        <f>COUNTIF(ParicipationMai1[[#This Row],[1]:[31]],Code17)</f>
        <v>0</v>
      </c>
      <c r="BA93" s="472">
        <f>COUNTIF(ParicipationMai1[[#This Row],[1]:[31]],Code25)</f>
        <v>0</v>
      </c>
      <c r="BB93" s="472">
        <f>COUNTIF(ParicipationMai1[[#This Row],[1]:[31]],Code26)</f>
        <v>0</v>
      </c>
      <c r="BC93" s="472">
        <f>COUNTIF(ParicipationMai1[[#This Row],[1]:[31]],Code27)</f>
        <v>0</v>
      </c>
      <c r="BD93" s="472">
        <f>COUNTIF(ParicipationMai1[[#This Row],[1]:[31]],Code28)</f>
        <v>0</v>
      </c>
      <c r="BE93" s="472">
        <f>COUNTIF(ParicipationMai1[[#This Row],[1]:[31]],code30)</f>
        <v>0</v>
      </c>
      <c r="BF93" s="472">
        <f>COUNTIF(ParicipationMai1[[#This Row],[1]:[31]],Code31)</f>
        <v>0</v>
      </c>
      <c r="BG93" s="472">
        <f>COUNTIF(ParicipationMai1[[#This Row],[1]:[31]],code21)</f>
        <v>0</v>
      </c>
      <c r="BH93" s="472">
        <f>COUNTIF(ParicipationMai1[[#This Row],[1]:[31]],Code24)</f>
        <v>0</v>
      </c>
      <c r="BI93" s="370">
        <f>COUNTIF(ParicipationMai1[[#This Row],[1]:[31]],code18)</f>
        <v>0</v>
      </c>
      <c r="BJ93" s="370">
        <f>COUNTIF(ParicipationMai1[[#This Row],[1]:[31]],code19)</f>
        <v>0</v>
      </c>
      <c r="BK93" s="370">
        <f>COUNTIF(ParicipationMai1[[#This Row],[1]:[31]],code20)</f>
        <v>0</v>
      </c>
      <c r="BL93" s="516">
        <f>COUNTIF(ParicipationMai1[[#This Row],[1]:[31]],code29)</f>
        <v>0</v>
      </c>
      <c r="BM93" s="297"/>
      <c r="BN93" s="297"/>
      <c r="BO93" s="297"/>
      <c r="BP93" s="297"/>
      <c r="BQ93" s="297"/>
      <c r="BR93" s="297"/>
      <c r="BS93" s="297"/>
      <c r="BT93" s="297"/>
      <c r="BU93" s="297"/>
      <c r="BV93" s="297"/>
      <c r="BW93" s="297"/>
      <c r="BX93" s="297"/>
      <c r="BY93" s="297"/>
      <c r="BZ93" s="297"/>
      <c r="CA93" s="297"/>
      <c r="CB93" s="297"/>
      <c r="CC93" s="297"/>
      <c r="CD93" s="297"/>
      <c r="CE93" s="297"/>
      <c r="CF93" s="297"/>
      <c r="CG93" s="297"/>
      <c r="CH93" s="297"/>
      <c r="CI93" s="297"/>
      <c r="CJ93" s="297"/>
      <c r="CK93" s="297"/>
      <c r="CL93" s="297"/>
      <c r="CM93" s="297"/>
      <c r="CN93" s="297"/>
      <c r="CO93" s="297"/>
      <c r="CP93" s="297"/>
      <c r="CQ93" s="297"/>
      <c r="CR93" s="297"/>
      <c r="CS93" s="297"/>
      <c r="CT93" s="472"/>
      <c r="CU93" s="300"/>
      <c r="CV93" s="589">
        <f t="shared" si="4"/>
        <v>0</v>
      </c>
      <c r="CW93" s="501">
        <f t="shared" si="5"/>
        <v>0</v>
      </c>
      <c r="CX93" s="472">
        <f t="shared" si="6"/>
        <v>0</v>
      </c>
      <c r="CY93" s="512">
        <f t="shared" si="7"/>
        <v>0</v>
      </c>
    </row>
    <row r="94" spans="1:103">
      <c r="A94" s="29" t="s">
        <v>435</v>
      </c>
      <c r="B94" s="162" t="str">
        <f>IFERROR(VLOOKUP(ParicipationMai1[[#This Row],[Référence]],ListeÉtudiants1[],18,FALSE),"")</f>
        <v>L'HERMITTE ROMAIN</v>
      </c>
      <c r="AG94" s="286"/>
      <c r="AH94" s="138">
        <f>COUNTIF(ParicipationMai1[[1]:[31]],Code1)</f>
        <v>0</v>
      </c>
      <c r="AI94" s="474">
        <f>COUNTIF(ParicipationMai1[[1]:[31]],code22)</f>
        <v>0</v>
      </c>
      <c r="AJ94" s="138">
        <f>COUNTIF(ParicipationMai1[[#This Row],[1]:[31]],Code2)</f>
        <v>0</v>
      </c>
      <c r="AK94" s="138">
        <f>COUNTIF(ParicipationMai1[[#This Row],[1]:[31]],Code3)</f>
        <v>0</v>
      </c>
      <c r="AL94" s="138">
        <f>COUNTIF(ParicipationMai1[[#This Row],[1]:[31]],Code4)</f>
        <v>0</v>
      </c>
      <c r="AM94" s="472">
        <f>COUNTIF(ParicipationMai1[[#This Row],[1]:[31]],Code5)</f>
        <v>0</v>
      </c>
      <c r="AN94" s="472">
        <f>COUNTIF(ParicipationMai1[[#This Row],[1]:[31]],Code23)</f>
        <v>0</v>
      </c>
      <c r="AO94" s="472">
        <f>COUNTIF(ParicipationMai1[[#This Row],[1]:[31]],Code6)</f>
        <v>0</v>
      </c>
      <c r="AP94" s="472">
        <f>COUNTIF(ParicipationMai1[[#This Row],[1]:[31]],Code7)</f>
        <v>0</v>
      </c>
      <c r="AQ94" s="472">
        <f>COUNTIF(ParicipationMai1[[#This Row],[1]:[31]],Code8)</f>
        <v>0</v>
      </c>
      <c r="AR94" s="472">
        <f>COUNTIF(ParicipationMai1[[#This Row],[1]:[31]],Code9)</f>
        <v>0</v>
      </c>
      <c r="AS94" s="472">
        <f>COUNTIF(ParicipationMai1[[#This Row],[1]:[31]],Code10)</f>
        <v>0</v>
      </c>
      <c r="AT94" s="472">
        <f>COUNTIF(ParicipationMai1[[#This Row],[1]:[31]],Code11)</f>
        <v>0</v>
      </c>
      <c r="AU94" s="472">
        <f>COUNTIF(ParicipationMai1[[#This Row],[1]:[31]],Code12)</f>
        <v>0</v>
      </c>
      <c r="AV94" s="472">
        <f>COUNTIF(ParicipationMai1[[#This Row],[1]:[31]],Code13)</f>
        <v>0</v>
      </c>
      <c r="AW94" s="472">
        <f>COUNTIF(ParicipationMai1[[#This Row],[1]:[31]],Code14)</f>
        <v>0</v>
      </c>
      <c r="AX94" s="472">
        <f>COUNTIF(ParicipationMai1[[#This Row],[1]:[31]],Code15)</f>
        <v>0</v>
      </c>
      <c r="AY94" s="472">
        <f>COUNTIF(ParicipationMai1[[#This Row],[1]:[31]],Code16)</f>
        <v>0</v>
      </c>
      <c r="AZ94" s="472">
        <f>COUNTIF(ParicipationMai1[[#This Row],[1]:[31]],Code17)</f>
        <v>0</v>
      </c>
      <c r="BA94" s="472">
        <f>COUNTIF(ParicipationMai1[[#This Row],[1]:[31]],Code25)</f>
        <v>0</v>
      </c>
      <c r="BB94" s="472">
        <f>COUNTIF(ParicipationMai1[[#This Row],[1]:[31]],Code26)</f>
        <v>0</v>
      </c>
      <c r="BC94" s="472">
        <f>COUNTIF(ParicipationMai1[[#This Row],[1]:[31]],Code27)</f>
        <v>0</v>
      </c>
      <c r="BD94" s="472">
        <f>COUNTIF(ParicipationMai1[[#This Row],[1]:[31]],Code28)</f>
        <v>0</v>
      </c>
      <c r="BE94" s="472">
        <f>COUNTIF(ParicipationMai1[[#This Row],[1]:[31]],code30)</f>
        <v>0</v>
      </c>
      <c r="BF94" s="472">
        <f>COUNTIF(ParicipationMai1[[#This Row],[1]:[31]],Code31)</f>
        <v>0</v>
      </c>
      <c r="BG94" s="472">
        <f>COUNTIF(ParicipationMai1[[#This Row],[1]:[31]],code21)</f>
        <v>0</v>
      </c>
      <c r="BH94" s="472">
        <f>COUNTIF(ParicipationMai1[[#This Row],[1]:[31]],Code24)</f>
        <v>0</v>
      </c>
      <c r="BI94" s="370">
        <f>COUNTIF(ParicipationMai1[[#This Row],[1]:[31]],code18)</f>
        <v>0</v>
      </c>
      <c r="BJ94" s="370">
        <f>COUNTIF(ParicipationMai1[[#This Row],[1]:[31]],code19)</f>
        <v>0</v>
      </c>
      <c r="BK94" s="370">
        <f>COUNTIF(ParicipationMai1[[#This Row],[1]:[31]],code20)</f>
        <v>0</v>
      </c>
      <c r="BL94" s="516">
        <f>COUNTIF(ParicipationMai1[[#This Row],[1]:[31]],code29)</f>
        <v>0</v>
      </c>
      <c r="BM94" s="297"/>
      <c r="BN94" s="297"/>
      <c r="BO94" s="297"/>
      <c r="BP94" s="297"/>
      <c r="BQ94" s="297"/>
      <c r="BR94" s="297"/>
      <c r="BS94" s="297"/>
      <c r="BT94" s="297"/>
      <c r="BU94" s="297"/>
      <c r="BV94" s="297"/>
      <c r="BW94" s="297"/>
      <c r="BX94" s="297"/>
      <c r="BY94" s="297"/>
      <c r="BZ94" s="297"/>
      <c r="CA94" s="297"/>
      <c r="CB94" s="297"/>
      <c r="CC94" s="297"/>
      <c r="CD94" s="297"/>
      <c r="CE94" s="297"/>
      <c r="CF94" s="297"/>
      <c r="CG94" s="297"/>
      <c r="CH94" s="297"/>
      <c r="CI94" s="297"/>
      <c r="CJ94" s="297"/>
      <c r="CK94" s="297"/>
      <c r="CL94" s="297"/>
      <c r="CM94" s="297"/>
      <c r="CN94" s="297"/>
      <c r="CO94" s="297"/>
      <c r="CP94" s="297"/>
      <c r="CQ94" s="297"/>
      <c r="CR94" s="297"/>
      <c r="CS94" s="297"/>
      <c r="CT94" s="472"/>
      <c r="CU94" s="300"/>
      <c r="CV94" s="589">
        <f t="shared" si="4"/>
        <v>0</v>
      </c>
      <c r="CW94" s="501">
        <f t="shared" si="5"/>
        <v>0</v>
      </c>
      <c r="CX94" s="472">
        <f t="shared" si="6"/>
        <v>0</v>
      </c>
      <c r="CY94" s="512">
        <f t="shared" si="7"/>
        <v>0</v>
      </c>
    </row>
    <row r="95" spans="1:103">
      <c r="A95" s="29" t="s">
        <v>436</v>
      </c>
      <c r="B95" s="162" t="str">
        <f>IFERROR(VLOOKUP(ParicipationMai1[[#This Row],[Référence]],ListeÉtudiants1[],18,FALSE),"")</f>
        <v>LIBON ADRIANA</v>
      </c>
      <c r="AG95" s="286"/>
      <c r="AH95" s="138">
        <f>COUNTIF(ParicipationMai1[[1]:[31]],Code1)</f>
        <v>0</v>
      </c>
      <c r="AI95" s="474">
        <f>COUNTIF(ParicipationMai1[[1]:[31]],code22)</f>
        <v>0</v>
      </c>
      <c r="AJ95" s="138">
        <f>COUNTIF(ParicipationMai1[[#This Row],[1]:[31]],Code2)</f>
        <v>0</v>
      </c>
      <c r="AK95" s="138">
        <f>COUNTIF(ParicipationMai1[[#This Row],[1]:[31]],Code3)</f>
        <v>0</v>
      </c>
      <c r="AL95" s="138">
        <f>COUNTIF(ParicipationMai1[[#This Row],[1]:[31]],Code4)</f>
        <v>0</v>
      </c>
      <c r="AM95" s="472">
        <f>COUNTIF(ParicipationMai1[[#This Row],[1]:[31]],Code5)</f>
        <v>0</v>
      </c>
      <c r="AN95" s="472">
        <f>COUNTIF(ParicipationMai1[[#This Row],[1]:[31]],Code23)</f>
        <v>0</v>
      </c>
      <c r="AO95" s="472">
        <f>COUNTIF(ParicipationMai1[[#This Row],[1]:[31]],Code6)</f>
        <v>0</v>
      </c>
      <c r="AP95" s="472">
        <f>COUNTIF(ParicipationMai1[[#This Row],[1]:[31]],Code7)</f>
        <v>0</v>
      </c>
      <c r="AQ95" s="472">
        <f>COUNTIF(ParicipationMai1[[#This Row],[1]:[31]],Code8)</f>
        <v>0</v>
      </c>
      <c r="AR95" s="472">
        <f>COUNTIF(ParicipationMai1[[#This Row],[1]:[31]],Code9)</f>
        <v>0</v>
      </c>
      <c r="AS95" s="472">
        <f>COUNTIF(ParicipationMai1[[#This Row],[1]:[31]],Code10)</f>
        <v>0</v>
      </c>
      <c r="AT95" s="472">
        <f>COUNTIF(ParicipationMai1[[#This Row],[1]:[31]],Code11)</f>
        <v>0</v>
      </c>
      <c r="AU95" s="472">
        <f>COUNTIF(ParicipationMai1[[#This Row],[1]:[31]],Code12)</f>
        <v>0</v>
      </c>
      <c r="AV95" s="472">
        <f>COUNTIF(ParicipationMai1[[#This Row],[1]:[31]],Code13)</f>
        <v>0</v>
      </c>
      <c r="AW95" s="472">
        <f>COUNTIF(ParicipationMai1[[#This Row],[1]:[31]],Code14)</f>
        <v>0</v>
      </c>
      <c r="AX95" s="472">
        <f>COUNTIF(ParicipationMai1[[#This Row],[1]:[31]],Code15)</f>
        <v>0</v>
      </c>
      <c r="AY95" s="472">
        <f>COUNTIF(ParicipationMai1[[#This Row],[1]:[31]],Code16)</f>
        <v>0</v>
      </c>
      <c r="AZ95" s="472">
        <f>COUNTIF(ParicipationMai1[[#This Row],[1]:[31]],Code17)</f>
        <v>0</v>
      </c>
      <c r="BA95" s="472">
        <f>COUNTIF(ParicipationMai1[[#This Row],[1]:[31]],Code25)</f>
        <v>0</v>
      </c>
      <c r="BB95" s="472">
        <f>COUNTIF(ParicipationMai1[[#This Row],[1]:[31]],Code26)</f>
        <v>0</v>
      </c>
      <c r="BC95" s="472">
        <f>COUNTIF(ParicipationMai1[[#This Row],[1]:[31]],Code27)</f>
        <v>0</v>
      </c>
      <c r="BD95" s="472">
        <f>COUNTIF(ParicipationMai1[[#This Row],[1]:[31]],Code28)</f>
        <v>0</v>
      </c>
      <c r="BE95" s="472">
        <f>COUNTIF(ParicipationMai1[[#This Row],[1]:[31]],code30)</f>
        <v>0</v>
      </c>
      <c r="BF95" s="472">
        <f>COUNTIF(ParicipationMai1[[#This Row],[1]:[31]],Code31)</f>
        <v>0</v>
      </c>
      <c r="BG95" s="472">
        <f>COUNTIF(ParicipationMai1[[#This Row],[1]:[31]],code21)</f>
        <v>0</v>
      </c>
      <c r="BH95" s="472">
        <f>COUNTIF(ParicipationMai1[[#This Row],[1]:[31]],Code24)</f>
        <v>0</v>
      </c>
      <c r="BI95" s="370">
        <f>COUNTIF(ParicipationMai1[[#This Row],[1]:[31]],code18)</f>
        <v>0</v>
      </c>
      <c r="BJ95" s="370">
        <f>COUNTIF(ParicipationMai1[[#This Row],[1]:[31]],code19)</f>
        <v>0</v>
      </c>
      <c r="BK95" s="370">
        <f>COUNTIF(ParicipationMai1[[#This Row],[1]:[31]],code20)</f>
        <v>0</v>
      </c>
      <c r="BL95" s="516">
        <f>COUNTIF(ParicipationMai1[[#This Row],[1]:[31]],code29)</f>
        <v>0</v>
      </c>
      <c r="BM95" s="297"/>
      <c r="BN95" s="297"/>
      <c r="BO95" s="297"/>
      <c r="BP95" s="297"/>
      <c r="BQ95" s="297"/>
      <c r="BR95" s="297"/>
      <c r="BS95" s="297"/>
      <c r="BT95" s="297"/>
      <c r="BU95" s="297"/>
      <c r="BV95" s="297"/>
      <c r="BW95" s="297"/>
      <c r="BX95" s="297"/>
      <c r="BY95" s="297"/>
      <c r="BZ95" s="297"/>
      <c r="CA95" s="297"/>
      <c r="CB95" s="297"/>
      <c r="CC95" s="297"/>
      <c r="CD95" s="297"/>
      <c r="CE95" s="297"/>
      <c r="CF95" s="297"/>
      <c r="CG95" s="297"/>
      <c r="CH95" s="297"/>
      <c r="CI95" s="297"/>
      <c r="CJ95" s="297"/>
      <c r="CK95" s="297"/>
      <c r="CL95" s="297"/>
      <c r="CM95" s="297"/>
      <c r="CN95" s="297"/>
      <c r="CO95" s="297"/>
      <c r="CP95" s="297"/>
      <c r="CQ95" s="297"/>
      <c r="CR95" s="297"/>
      <c r="CS95" s="297"/>
      <c r="CT95" s="472"/>
      <c r="CU95" s="300"/>
      <c r="CV95" s="589">
        <f t="shared" si="4"/>
        <v>0</v>
      </c>
      <c r="CW95" s="501">
        <f t="shared" si="5"/>
        <v>0</v>
      </c>
      <c r="CX95" s="472">
        <f t="shared" si="6"/>
        <v>0</v>
      </c>
      <c r="CY95" s="512">
        <f t="shared" si="7"/>
        <v>0</v>
      </c>
    </row>
    <row r="96" spans="1:103">
      <c r="A96" s="29" t="s">
        <v>437</v>
      </c>
      <c r="B96" s="162" t="str">
        <f>IFERROR(VLOOKUP(ParicipationMai1[[#This Row],[Référence]],ListeÉtudiants1[],18,FALSE),"")</f>
        <v>LIGER MARION</v>
      </c>
      <c r="AG96" s="286"/>
      <c r="AH96" s="138">
        <f>COUNTIF(ParicipationMai1[[1]:[31]],Code1)</f>
        <v>0</v>
      </c>
      <c r="AI96" s="474">
        <f>COUNTIF(ParicipationMai1[[1]:[31]],code22)</f>
        <v>0</v>
      </c>
      <c r="AJ96" s="138">
        <f>COUNTIF(ParicipationMai1[[#This Row],[1]:[31]],Code2)</f>
        <v>0</v>
      </c>
      <c r="AK96" s="138">
        <f>COUNTIF(ParicipationMai1[[#This Row],[1]:[31]],Code3)</f>
        <v>0</v>
      </c>
      <c r="AL96" s="138">
        <f>COUNTIF(ParicipationMai1[[#This Row],[1]:[31]],Code4)</f>
        <v>0</v>
      </c>
      <c r="AM96" s="472">
        <f>COUNTIF(ParicipationMai1[[#This Row],[1]:[31]],Code5)</f>
        <v>0</v>
      </c>
      <c r="AN96" s="472">
        <f>COUNTIF(ParicipationMai1[[#This Row],[1]:[31]],Code23)</f>
        <v>0</v>
      </c>
      <c r="AO96" s="472">
        <f>COUNTIF(ParicipationMai1[[#This Row],[1]:[31]],Code6)</f>
        <v>0</v>
      </c>
      <c r="AP96" s="472">
        <f>COUNTIF(ParicipationMai1[[#This Row],[1]:[31]],Code7)</f>
        <v>0</v>
      </c>
      <c r="AQ96" s="472">
        <f>COUNTIF(ParicipationMai1[[#This Row],[1]:[31]],Code8)</f>
        <v>0</v>
      </c>
      <c r="AR96" s="472">
        <f>COUNTIF(ParicipationMai1[[#This Row],[1]:[31]],Code9)</f>
        <v>0</v>
      </c>
      <c r="AS96" s="472">
        <f>COUNTIF(ParicipationMai1[[#This Row],[1]:[31]],Code10)</f>
        <v>0</v>
      </c>
      <c r="AT96" s="472">
        <f>COUNTIF(ParicipationMai1[[#This Row],[1]:[31]],Code11)</f>
        <v>0</v>
      </c>
      <c r="AU96" s="472">
        <f>COUNTIF(ParicipationMai1[[#This Row],[1]:[31]],Code12)</f>
        <v>0</v>
      </c>
      <c r="AV96" s="472">
        <f>COUNTIF(ParicipationMai1[[#This Row],[1]:[31]],Code13)</f>
        <v>0</v>
      </c>
      <c r="AW96" s="472">
        <f>COUNTIF(ParicipationMai1[[#This Row],[1]:[31]],Code14)</f>
        <v>0</v>
      </c>
      <c r="AX96" s="472">
        <f>COUNTIF(ParicipationMai1[[#This Row],[1]:[31]],Code15)</f>
        <v>0</v>
      </c>
      <c r="AY96" s="472">
        <f>COUNTIF(ParicipationMai1[[#This Row],[1]:[31]],Code16)</f>
        <v>0</v>
      </c>
      <c r="AZ96" s="472">
        <f>COUNTIF(ParicipationMai1[[#This Row],[1]:[31]],Code17)</f>
        <v>0</v>
      </c>
      <c r="BA96" s="472">
        <f>COUNTIF(ParicipationMai1[[#This Row],[1]:[31]],Code25)</f>
        <v>0</v>
      </c>
      <c r="BB96" s="472">
        <f>COUNTIF(ParicipationMai1[[#This Row],[1]:[31]],Code26)</f>
        <v>0</v>
      </c>
      <c r="BC96" s="472">
        <f>COUNTIF(ParicipationMai1[[#This Row],[1]:[31]],Code27)</f>
        <v>0</v>
      </c>
      <c r="BD96" s="472">
        <f>COUNTIF(ParicipationMai1[[#This Row],[1]:[31]],Code28)</f>
        <v>0</v>
      </c>
      <c r="BE96" s="472">
        <f>COUNTIF(ParicipationMai1[[#This Row],[1]:[31]],code30)</f>
        <v>0</v>
      </c>
      <c r="BF96" s="472">
        <f>COUNTIF(ParicipationMai1[[#This Row],[1]:[31]],Code31)</f>
        <v>0</v>
      </c>
      <c r="BG96" s="472">
        <f>COUNTIF(ParicipationMai1[[#This Row],[1]:[31]],code21)</f>
        <v>0</v>
      </c>
      <c r="BH96" s="472">
        <f>COUNTIF(ParicipationMai1[[#This Row],[1]:[31]],Code24)</f>
        <v>0</v>
      </c>
      <c r="BI96" s="370">
        <f>COUNTIF(ParicipationMai1[[#This Row],[1]:[31]],code18)</f>
        <v>0</v>
      </c>
      <c r="BJ96" s="370">
        <f>COUNTIF(ParicipationMai1[[#This Row],[1]:[31]],code19)</f>
        <v>0</v>
      </c>
      <c r="BK96" s="370">
        <f>COUNTIF(ParicipationMai1[[#This Row],[1]:[31]],code20)</f>
        <v>0</v>
      </c>
      <c r="BL96" s="516">
        <f>COUNTIF(ParicipationMai1[[#This Row],[1]:[31]],code29)</f>
        <v>0</v>
      </c>
      <c r="BM96" s="297"/>
      <c r="BN96" s="297"/>
      <c r="BO96" s="297"/>
      <c r="BP96" s="297"/>
      <c r="BQ96" s="297"/>
      <c r="BR96" s="297"/>
      <c r="BS96" s="297"/>
      <c r="BT96" s="297"/>
      <c r="BU96" s="297"/>
      <c r="BV96" s="297"/>
      <c r="BW96" s="297"/>
      <c r="BX96" s="297"/>
      <c r="BY96" s="297"/>
      <c r="BZ96" s="297"/>
      <c r="CA96" s="297"/>
      <c r="CB96" s="297"/>
      <c r="CC96" s="297"/>
      <c r="CD96" s="297"/>
      <c r="CE96" s="297"/>
      <c r="CF96" s="297"/>
      <c r="CG96" s="297"/>
      <c r="CH96" s="297"/>
      <c r="CI96" s="297"/>
      <c r="CJ96" s="297"/>
      <c r="CK96" s="297"/>
      <c r="CL96" s="297"/>
      <c r="CM96" s="297"/>
      <c r="CN96" s="297"/>
      <c r="CO96" s="297"/>
      <c r="CP96" s="297"/>
      <c r="CQ96" s="297"/>
      <c r="CR96" s="297"/>
      <c r="CS96" s="297"/>
      <c r="CT96" s="472"/>
      <c r="CU96" s="300"/>
      <c r="CV96" s="589">
        <f t="shared" si="4"/>
        <v>0</v>
      </c>
      <c r="CW96" s="501">
        <f t="shared" si="5"/>
        <v>0</v>
      </c>
      <c r="CX96" s="472">
        <f t="shared" si="6"/>
        <v>0</v>
      </c>
      <c r="CY96" s="512">
        <f t="shared" si="7"/>
        <v>0</v>
      </c>
    </row>
    <row r="97" spans="1:103">
      <c r="A97" s="29" t="s">
        <v>438</v>
      </c>
      <c r="B97" s="162" t="str">
        <f>IFERROR(VLOOKUP(ParicipationMai1[[#This Row],[Référence]],ListeÉtudiants1[],18,FALSE),"")</f>
        <v>MARCHAL RAPHAEL</v>
      </c>
      <c r="AG97" s="286"/>
      <c r="AH97" s="138">
        <f>COUNTIF(ParicipationMai1[[1]:[31]],Code1)</f>
        <v>0</v>
      </c>
      <c r="AI97" s="474">
        <f>COUNTIF(ParicipationMai1[[1]:[31]],code22)</f>
        <v>0</v>
      </c>
      <c r="AJ97" s="138">
        <f>COUNTIF(ParicipationMai1[[#This Row],[1]:[31]],Code2)</f>
        <v>0</v>
      </c>
      <c r="AK97" s="138">
        <f>COUNTIF(ParicipationMai1[[#This Row],[1]:[31]],Code3)</f>
        <v>0</v>
      </c>
      <c r="AL97" s="138">
        <f>COUNTIF(ParicipationMai1[[#This Row],[1]:[31]],Code4)</f>
        <v>0</v>
      </c>
      <c r="AM97" s="472">
        <f>COUNTIF(ParicipationMai1[[#This Row],[1]:[31]],Code5)</f>
        <v>0</v>
      </c>
      <c r="AN97" s="472">
        <f>COUNTIF(ParicipationMai1[[#This Row],[1]:[31]],Code23)</f>
        <v>0</v>
      </c>
      <c r="AO97" s="472">
        <f>COUNTIF(ParicipationMai1[[#This Row],[1]:[31]],Code6)</f>
        <v>0</v>
      </c>
      <c r="AP97" s="472">
        <f>COUNTIF(ParicipationMai1[[#This Row],[1]:[31]],Code7)</f>
        <v>0</v>
      </c>
      <c r="AQ97" s="472">
        <f>COUNTIF(ParicipationMai1[[#This Row],[1]:[31]],Code8)</f>
        <v>0</v>
      </c>
      <c r="AR97" s="472">
        <f>COUNTIF(ParicipationMai1[[#This Row],[1]:[31]],Code9)</f>
        <v>0</v>
      </c>
      <c r="AS97" s="472">
        <f>COUNTIF(ParicipationMai1[[#This Row],[1]:[31]],Code10)</f>
        <v>0</v>
      </c>
      <c r="AT97" s="472">
        <f>COUNTIF(ParicipationMai1[[#This Row],[1]:[31]],Code11)</f>
        <v>0</v>
      </c>
      <c r="AU97" s="472">
        <f>COUNTIF(ParicipationMai1[[#This Row],[1]:[31]],Code12)</f>
        <v>0</v>
      </c>
      <c r="AV97" s="472">
        <f>COUNTIF(ParicipationMai1[[#This Row],[1]:[31]],Code13)</f>
        <v>0</v>
      </c>
      <c r="AW97" s="472">
        <f>COUNTIF(ParicipationMai1[[#This Row],[1]:[31]],Code14)</f>
        <v>0</v>
      </c>
      <c r="AX97" s="472">
        <f>COUNTIF(ParicipationMai1[[#This Row],[1]:[31]],Code15)</f>
        <v>0</v>
      </c>
      <c r="AY97" s="472">
        <f>COUNTIF(ParicipationMai1[[#This Row],[1]:[31]],Code16)</f>
        <v>0</v>
      </c>
      <c r="AZ97" s="472">
        <f>COUNTIF(ParicipationMai1[[#This Row],[1]:[31]],Code17)</f>
        <v>0</v>
      </c>
      <c r="BA97" s="472">
        <f>COUNTIF(ParicipationMai1[[#This Row],[1]:[31]],Code25)</f>
        <v>0</v>
      </c>
      <c r="BB97" s="472">
        <f>COUNTIF(ParicipationMai1[[#This Row],[1]:[31]],Code26)</f>
        <v>0</v>
      </c>
      <c r="BC97" s="472">
        <f>COUNTIF(ParicipationMai1[[#This Row],[1]:[31]],Code27)</f>
        <v>0</v>
      </c>
      <c r="BD97" s="472">
        <f>COUNTIF(ParicipationMai1[[#This Row],[1]:[31]],Code28)</f>
        <v>0</v>
      </c>
      <c r="BE97" s="472">
        <f>COUNTIF(ParicipationMai1[[#This Row],[1]:[31]],code30)</f>
        <v>0</v>
      </c>
      <c r="BF97" s="472">
        <f>COUNTIF(ParicipationMai1[[#This Row],[1]:[31]],Code31)</f>
        <v>0</v>
      </c>
      <c r="BG97" s="472">
        <f>COUNTIF(ParicipationMai1[[#This Row],[1]:[31]],code21)</f>
        <v>0</v>
      </c>
      <c r="BH97" s="472">
        <f>COUNTIF(ParicipationMai1[[#This Row],[1]:[31]],Code24)</f>
        <v>0</v>
      </c>
      <c r="BI97" s="370">
        <f>COUNTIF(ParicipationMai1[[#This Row],[1]:[31]],code18)</f>
        <v>0</v>
      </c>
      <c r="BJ97" s="370">
        <f>COUNTIF(ParicipationMai1[[#This Row],[1]:[31]],code19)</f>
        <v>0</v>
      </c>
      <c r="BK97" s="370">
        <f>COUNTIF(ParicipationMai1[[#This Row],[1]:[31]],code20)</f>
        <v>0</v>
      </c>
      <c r="BL97" s="516">
        <f>COUNTIF(ParicipationMai1[[#This Row],[1]:[31]],code29)</f>
        <v>0</v>
      </c>
      <c r="BM97" s="297"/>
      <c r="BN97" s="297"/>
      <c r="BO97" s="297"/>
      <c r="BP97" s="297"/>
      <c r="BQ97" s="297"/>
      <c r="BR97" s="297"/>
      <c r="BS97" s="297"/>
      <c r="BT97" s="297"/>
      <c r="BU97" s="297"/>
      <c r="BV97" s="297"/>
      <c r="BW97" s="297"/>
      <c r="BX97" s="297"/>
      <c r="BY97" s="297"/>
      <c r="BZ97" s="297"/>
      <c r="CA97" s="297"/>
      <c r="CB97" s="297"/>
      <c r="CC97" s="297"/>
      <c r="CD97" s="297"/>
      <c r="CE97" s="297"/>
      <c r="CF97" s="297"/>
      <c r="CG97" s="297"/>
      <c r="CH97" s="297"/>
      <c r="CI97" s="297"/>
      <c r="CJ97" s="297"/>
      <c r="CK97" s="297"/>
      <c r="CL97" s="297"/>
      <c r="CM97" s="297"/>
      <c r="CN97" s="297"/>
      <c r="CO97" s="297"/>
      <c r="CP97" s="297"/>
      <c r="CQ97" s="297"/>
      <c r="CR97" s="297"/>
      <c r="CS97" s="297"/>
      <c r="CT97" s="472"/>
      <c r="CU97" s="300"/>
      <c r="CV97" s="589">
        <f t="shared" si="4"/>
        <v>0</v>
      </c>
      <c r="CW97" s="501">
        <f t="shared" si="5"/>
        <v>0</v>
      </c>
      <c r="CX97" s="472">
        <f t="shared" si="6"/>
        <v>0</v>
      </c>
      <c r="CY97" s="512">
        <f t="shared" si="7"/>
        <v>0</v>
      </c>
    </row>
    <row r="98" spans="1:103">
      <c r="A98" s="29" t="s">
        <v>439</v>
      </c>
      <c r="B98" s="162" t="str">
        <f>IFERROR(VLOOKUP(ParicipationMai1[[#This Row],[Référence]],ListeÉtudiants1[],18,FALSE),"")</f>
        <v>MARIE-ANAIS OLIVIER</v>
      </c>
      <c r="AG98" s="286"/>
      <c r="AH98" s="138">
        <f>COUNTIF(ParicipationMai1[[1]:[31]],Code1)</f>
        <v>0</v>
      </c>
      <c r="AI98" s="474">
        <f>COUNTIF(ParicipationMai1[[1]:[31]],code22)</f>
        <v>0</v>
      </c>
      <c r="AJ98" s="138">
        <f>COUNTIF(ParicipationMai1[[#This Row],[1]:[31]],Code2)</f>
        <v>0</v>
      </c>
      <c r="AK98" s="138">
        <f>COUNTIF(ParicipationMai1[[#This Row],[1]:[31]],Code3)</f>
        <v>0</v>
      </c>
      <c r="AL98" s="138">
        <f>COUNTIF(ParicipationMai1[[#This Row],[1]:[31]],Code4)</f>
        <v>0</v>
      </c>
      <c r="AM98" s="472">
        <f>COUNTIF(ParicipationMai1[[#This Row],[1]:[31]],Code5)</f>
        <v>0</v>
      </c>
      <c r="AN98" s="472">
        <f>COUNTIF(ParicipationMai1[[#This Row],[1]:[31]],Code23)</f>
        <v>0</v>
      </c>
      <c r="AO98" s="472">
        <f>COUNTIF(ParicipationMai1[[#This Row],[1]:[31]],Code6)</f>
        <v>0</v>
      </c>
      <c r="AP98" s="472">
        <f>COUNTIF(ParicipationMai1[[#This Row],[1]:[31]],Code7)</f>
        <v>0</v>
      </c>
      <c r="AQ98" s="472">
        <f>COUNTIF(ParicipationMai1[[#This Row],[1]:[31]],Code8)</f>
        <v>0</v>
      </c>
      <c r="AR98" s="472">
        <f>COUNTIF(ParicipationMai1[[#This Row],[1]:[31]],Code9)</f>
        <v>0</v>
      </c>
      <c r="AS98" s="472">
        <f>COUNTIF(ParicipationMai1[[#This Row],[1]:[31]],Code10)</f>
        <v>0</v>
      </c>
      <c r="AT98" s="472">
        <f>COUNTIF(ParicipationMai1[[#This Row],[1]:[31]],Code11)</f>
        <v>0</v>
      </c>
      <c r="AU98" s="472">
        <f>COUNTIF(ParicipationMai1[[#This Row],[1]:[31]],Code12)</f>
        <v>0</v>
      </c>
      <c r="AV98" s="472">
        <f>COUNTIF(ParicipationMai1[[#This Row],[1]:[31]],Code13)</f>
        <v>0</v>
      </c>
      <c r="AW98" s="472">
        <f>COUNTIF(ParicipationMai1[[#This Row],[1]:[31]],Code14)</f>
        <v>0</v>
      </c>
      <c r="AX98" s="472">
        <f>COUNTIF(ParicipationMai1[[#This Row],[1]:[31]],Code15)</f>
        <v>0</v>
      </c>
      <c r="AY98" s="472">
        <f>COUNTIF(ParicipationMai1[[#This Row],[1]:[31]],Code16)</f>
        <v>0</v>
      </c>
      <c r="AZ98" s="472">
        <f>COUNTIF(ParicipationMai1[[#This Row],[1]:[31]],Code17)</f>
        <v>0</v>
      </c>
      <c r="BA98" s="472">
        <f>COUNTIF(ParicipationMai1[[#This Row],[1]:[31]],Code25)</f>
        <v>0</v>
      </c>
      <c r="BB98" s="472">
        <f>COUNTIF(ParicipationMai1[[#This Row],[1]:[31]],Code26)</f>
        <v>0</v>
      </c>
      <c r="BC98" s="472">
        <f>COUNTIF(ParicipationMai1[[#This Row],[1]:[31]],Code27)</f>
        <v>0</v>
      </c>
      <c r="BD98" s="472">
        <f>COUNTIF(ParicipationMai1[[#This Row],[1]:[31]],Code28)</f>
        <v>0</v>
      </c>
      <c r="BE98" s="472">
        <f>COUNTIF(ParicipationMai1[[#This Row],[1]:[31]],code30)</f>
        <v>0</v>
      </c>
      <c r="BF98" s="472">
        <f>COUNTIF(ParicipationMai1[[#This Row],[1]:[31]],Code31)</f>
        <v>0</v>
      </c>
      <c r="BG98" s="472">
        <f>COUNTIF(ParicipationMai1[[#This Row],[1]:[31]],code21)</f>
        <v>0</v>
      </c>
      <c r="BH98" s="472">
        <f>COUNTIF(ParicipationMai1[[#This Row],[1]:[31]],Code24)</f>
        <v>0</v>
      </c>
      <c r="BI98" s="370">
        <f>COUNTIF(ParicipationMai1[[#This Row],[1]:[31]],code18)</f>
        <v>0</v>
      </c>
      <c r="BJ98" s="370">
        <f>COUNTIF(ParicipationMai1[[#This Row],[1]:[31]],code19)</f>
        <v>0</v>
      </c>
      <c r="BK98" s="370">
        <f>COUNTIF(ParicipationMai1[[#This Row],[1]:[31]],code20)</f>
        <v>0</v>
      </c>
      <c r="BL98" s="516">
        <f>COUNTIF(ParicipationMai1[[#This Row],[1]:[31]],code29)</f>
        <v>0</v>
      </c>
      <c r="BM98" s="297"/>
      <c r="BN98" s="297"/>
      <c r="BO98" s="297"/>
      <c r="BP98" s="297"/>
      <c r="BQ98" s="297"/>
      <c r="BR98" s="297"/>
      <c r="BS98" s="297"/>
      <c r="BT98" s="297"/>
      <c r="BU98" s="297"/>
      <c r="BV98" s="297"/>
      <c r="BW98" s="297"/>
      <c r="BX98" s="297"/>
      <c r="BY98" s="297"/>
      <c r="BZ98" s="297"/>
      <c r="CA98" s="297"/>
      <c r="CB98" s="297"/>
      <c r="CC98" s="297"/>
      <c r="CD98" s="297"/>
      <c r="CE98" s="297"/>
      <c r="CF98" s="297"/>
      <c r="CG98" s="297"/>
      <c r="CH98" s="297"/>
      <c r="CI98" s="297"/>
      <c r="CJ98" s="297"/>
      <c r="CK98" s="297"/>
      <c r="CL98" s="297"/>
      <c r="CM98" s="297"/>
      <c r="CN98" s="297"/>
      <c r="CO98" s="297"/>
      <c r="CP98" s="297"/>
      <c r="CQ98" s="297"/>
      <c r="CR98" s="297"/>
      <c r="CS98" s="297"/>
      <c r="CT98" s="472"/>
      <c r="CU98" s="300"/>
      <c r="CV98" s="589">
        <f t="shared" si="4"/>
        <v>0</v>
      </c>
      <c r="CW98" s="501">
        <f t="shared" si="5"/>
        <v>0</v>
      </c>
      <c r="CX98" s="472">
        <f t="shared" si="6"/>
        <v>0</v>
      </c>
      <c r="CY98" s="512">
        <f t="shared" si="7"/>
        <v>0</v>
      </c>
    </row>
    <row r="99" spans="1:103">
      <c r="A99" s="29" t="s">
        <v>440</v>
      </c>
      <c r="B99" s="162" t="str">
        <f>IFERROR(VLOOKUP(ParicipationMai1[[#This Row],[Référence]],ListeÉtudiants1[],18,FALSE),"")</f>
        <v>MATEUS ANDREA</v>
      </c>
      <c r="AG99" s="286"/>
      <c r="AH99" s="138">
        <f>COUNTIF(ParicipationMai1[[1]:[31]],Code1)</f>
        <v>0</v>
      </c>
      <c r="AI99" s="474">
        <f>COUNTIF(ParicipationMai1[[1]:[31]],code22)</f>
        <v>0</v>
      </c>
      <c r="AJ99" s="138">
        <f>COUNTIF(ParicipationMai1[[#This Row],[1]:[31]],Code2)</f>
        <v>0</v>
      </c>
      <c r="AK99" s="138">
        <f>COUNTIF(ParicipationMai1[[#This Row],[1]:[31]],Code3)</f>
        <v>0</v>
      </c>
      <c r="AL99" s="138">
        <f>COUNTIF(ParicipationMai1[[#This Row],[1]:[31]],Code4)</f>
        <v>0</v>
      </c>
      <c r="AM99" s="472">
        <f>COUNTIF(ParicipationMai1[[#This Row],[1]:[31]],Code5)</f>
        <v>0</v>
      </c>
      <c r="AN99" s="472">
        <f>COUNTIF(ParicipationMai1[[#This Row],[1]:[31]],Code23)</f>
        <v>0</v>
      </c>
      <c r="AO99" s="472">
        <f>COUNTIF(ParicipationMai1[[#This Row],[1]:[31]],Code6)</f>
        <v>0</v>
      </c>
      <c r="AP99" s="472">
        <f>COUNTIF(ParicipationMai1[[#This Row],[1]:[31]],Code7)</f>
        <v>0</v>
      </c>
      <c r="AQ99" s="472">
        <f>COUNTIF(ParicipationMai1[[#This Row],[1]:[31]],Code8)</f>
        <v>0</v>
      </c>
      <c r="AR99" s="472">
        <f>COUNTIF(ParicipationMai1[[#This Row],[1]:[31]],Code9)</f>
        <v>0</v>
      </c>
      <c r="AS99" s="472">
        <f>COUNTIF(ParicipationMai1[[#This Row],[1]:[31]],Code10)</f>
        <v>0</v>
      </c>
      <c r="AT99" s="472">
        <f>COUNTIF(ParicipationMai1[[#This Row],[1]:[31]],Code11)</f>
        <v>0</v>
      </c>
      <c r="AU99" s="472">
        <f>COUNTIF(ParicipationMai1[[#This Row],[1]:[31]],Code12)</f>
        <v>0</v>
      </c>
      <c r="AV99" s="472">
        <f>COUNTIF(ParicipationMai1[[#This Row],[1]:[31]],Code13)</f>
        <v>0</v>
      </c>
      <c r="AW99" s="472">
        <f>COUNTIF(ParicipationMai1[[#This Row],[1]:[31]],Code14)</f>
        <v>0</v>
      </c>
      <c r="AX99" s="472">
        <f>COUNTIF(ParicipationMai1[[#This Row],[1]:[31]],Code15)</f>
        <v>0</v>
      </c>
      <c r="AY99" s="472">
        <f>COUNTIF(ParicipationMai1[[#This Row],[1]:[31]],Code16)</f>
        <v>0</v>
      </c>
      <c r="AZ99" s="472">
        <f>COUNTIF(ParicipationMai1[[#This Row],[1]:[31]],Code17)</f>
        <v>0</v>
      </c>
      <c r="BA99" s="472">
        <f>COUNTIF(ParicipationMai1[[#This Row],[1]:[31]],Code25)</f>
        <v>0</v>
      </c>
      <c r="BB99" s="472">
        <f>COUNTIF(ParicipationMai1[[#This Row],[1]:[31]],Code26)</f>
        <v>0</v>
      </c>
      <c r="BC99" s="472">
        <f>COUNTIF(ParicipationMai1[[#This Row],[1]:[31]],Code27)</f>
        <v>0</v>
      </c>
      <c r="BD99" s="472">
        <f>COUNTIF(ParicipationMai1[[#This Row],[1]:[31]],Code28)</f>
        <v>0</v>
      </c>
      <c r="BE99" s="472">
        <f>COUNTIF(ParicipationMai1[[#This Row],[1]:[31]],code30)</f>
        <v>0</v>
      </c>
      <c r="BF99" s="472">
        <f>COUNTIF(ParicipationMai1[[#This Row],[1]:[31]],Code31)</f>
        <v>0</v>
      </c>
      <c r="BG99" s="472">
        <f>COUNTIF(ParicipationMai1[[#This Row],[1]:[31]],code21)</f>
        <v>0</v>
      </c>
      <c r="BH99" s="472">
        <f>COUNTIF(ParicipationMai1[[#This Row],[1]:[31]],Code24)</f>
        <v>0</v>
      </c>
      <c r="BI99" s="370">
        <f>COUNTIF(ParicipationMai1[[#This Row],[1]:[31]],code18)</f>
        <v>0</v>
      </c>
      <c r="BJ99" s="370">
        <f>COUNTIF(ParicipationMai1[[#This Row],[1]:[31]],code19)</f>
        <v>0</v>
      </c>
      <c r="BK99" s="370">
        <f>COUNTIF(ParicipationMai1[[#This Row],[1]:[31]],code20)</f>
        <v>0</v>
      </c>
      <c r="BL99" s="516">
        <f>COUNTIF(ParicipationMai1[[#This Row],[1]:[31]],code29)</f>
        <v>0</v>
      </c>
      <c r="BM99" s="297"/>
      <c r="BN99" s="297"/>
      <c r="BO99" s="297"/>
      <c r="BP99" s="297"/>
      <c r="BQ99" s="297"/>
      <c r="BR99" s="297"/>
      <c r="BS99" s="297"/>
      <c r="BT99" s="297"/>
      <c r="BU99" s="297"/>
      <c r="BV99" s="297"/>
      <c r="BW99" s="297"/>
      <c r="BX99" s="297"/>
      <c r="BY99" s="297"/>
      <c r="BZ99" s="297"/>
      <c r="CA99" s="297"/>
      <c r="CB99" s="297"/>
      <c r="CC99" s="297"/>
      <c r="CD99" s="297"/>
      <c r="CE99" s="297"/>
      <c r="CF99" s="297"/>
      <c r="CG99" s="297"/>
      <c r="CH99" s="297"/>
      <c r="CI99" s="297"/>
      <c r="CJ99" s="297"/>
      <c r="CK99" s="297"/>
      <c r="CL99" s="297"/>
      <c r="CM99" s="297"/>
      <c r="CN99" s="297"/>
      <c r="CO99" s="297"/>
      <c r="CP99" s="297"/>
      <c r="CQ99" s="297"/>
      <c r="CR99" s="297"/>
      <c r="CS99" s="297"/>
      <c r="CT99" s="472"/>
      <c r="CU99" s="300"/>
      <c r="CV99" s="589">
        <f t="shared" si="4"/>
        <v>0</v>
      </c>
      <c r="CW99" s="501">
        <f t="shared" si="5"/>
        <v>0</v>
      </c>
      <c r="CX99" s="472">
        <f t="shared" si="6"/>
        <v>0</v>
      </c>
      <c r="CY99" s="512">
        <f t="shared" si="7"/>
        <v>0</v>
      </c>
    </row>
    <row r="100" spans="1:103">
      <c r="A100" s="29" t="s">
        <v>441</v>
      </c>
      <c r="B100" s="162" t="str">
        <f>IFERROR(VLOOKUP(ParicipationMai1[[#This Row],[Référence]],ListeÉtudiants1[],18,FALSE),"")</f>
        <v>MAWETE  JESSICA</v>
      </c>
      <c r="AG100" s="286"/>
      <c r="AH100" s="138">
        <f>COUNTIF(ParicipationMai1[[1]:[31]],Code1)</f>
        <v>0</v>
      </c>
      <c r="AI100" s="474">
        <f>COUNTIF(ParicipationMai1[[1]:[31]],code22)</f>
        <v>0</v>
      </c>
      <c r="AJ100" s="138">
        <f>COUNTIF(ParicipationMai1[[#This Row],[1]:[31]],Code2)</f>
        <v>0</v>
      </c>
      <c r="AK100" s="138">
        <f>COUNTIF(ParicipationMai1[[#This Row],[1]:[31]],Code3)</f>
        <v>0</v>
      </c>
      <c r="AL100" s="138">
        <f>COUNTIF(ParicipationMai1[[#This Row],[1]:[31]],Code4)</f>
        <v>0</v>
      </c>
      <c r="AM100" s="472">
        <f>COUNTIF(ParicipationMai1[[#This Row],[1]:[31]],Code5)</f>
        <v>0</v>
      </c>
      <c r="AN100" s="472">
        <f>COUNTIF(ParicipationMai1[[#This Row],[1]:[31]],Code23)</f>
        <v>0</v>
      </c>
      <c r="AO100" s="472">
        <f>COUNTIF(ParicipationMai1[[#This Row],[1]:[31]],Code6)</f>
        <v>0</v>
      </c>
      <c r="AP100" s="472">
        <f>COUNTIF(ParicipationMai1[[#This Row],[1]:[31]],Code7)</f>
        <v>0</v>
      </c>
      <c r="AQ100" s="472">
        <f>COUNTIF(ParicipationMai1[[#This Row],[1]:[31]],Code8)</f>
        <v>0</v>
      </c>
      <c r="AR100" s="472">
        <f>COUNTIF(ParicipationMai1[[#This Row],[1]:[31]],Code9)</f>
        <v>0</v>
      </c>
      <c r="AS100" s="472">
        <f>COUNTIF(ParicipationMai1[[#This Row],[1]:[31]],Code10)</f>
        <v>0</v>
      </c>
      <c r="AT100" s="472">
        <f>COUNTIF(ParicipationMai1[[#This Row],[1]:[31]],Code11)</f>
        <v>0</v>
      </c>
      <c r="AU100" s="472">
        <f>COUNTIF(ParicipationMai1[[#This Row],[1]:[31]],Code12)</f>
        <v>0</v>
      </c>
      <c r="AV100" s="472">
        <f>COUNTIF(ParicipationMai1[[#This Row],[1]:[31]],Code13)</f>
        <v>0</v>
      </c>
      <c r="AW100" s="472">
        <f>COUNTIF(ParicipationMai1[[#This Row],[1]:[31]],Code14)</f>
        <v>0</v>
      </c>
      <c r="AX100" s="472">
        <f>COUNTIF(ParicipationMai1[[#This Row],[1]:[31]],Code15)</f>
        <v>0</v>
      </c>
      <c r="AY100" s="472">
        <f>COUNTIF(ParicipationMai1[[#This Row],[1]:[31]],Code16)</f>
        <v>0</v>
      </c>
      <c r="AZ100" s="472">
        <f>COUNTIF(ParicipationMai1[[#This Row],[1]:[31]],Code17)</f>
        <v>0</v>
      </c>
      <c r="BA100" s="472">
        <f>COUNTIF(ParicipationMai1[[#This Row],[1]:[31]],Code25)</f>
        <v>0</v>
      </c>
      <c r="BB100" s="472">
        <f>COUNTIF(ParicipationMai1[[#This Row],[1]:[31]],Code26)</f>
        <v>0</v>
      </c>
      <c r="BC100" s="472">
        <f>COUNTIF(ParicipationMai1[[#This Row],[1]:[31]],Code27)</f>
        <v>0</v>
      </c>
      <c r="BD100" s="472">
        <f>COUNTIF(ParicipationMai1[[#This Row],[1]:[31]],Code28)</f>
        <v>0</v>
      </c>
      <c r="BE100" s="472">
        <f>COUNTIF(ParicipationMai1[[#This Row],[1]:[31]],code30)</f>
        <v>0</v>
      </c>
      <c r="BF100" s="472">
        <f>COUNTIF(ParicipationMai1[[#This Row],[1]:[31]],Code31)</f>
        <v>0</v>
      </c>
      <c r="BG100" s="472">
        <f>COUNTIF(ParicipationMai1[[#This Row],[1]:[31]],code21)</f>
        <v>0</v>
      </c>
      <c r="BH100" s="472">
        <f>COUNTIF(ParicipationMai1[[#This Row],[1]:[31]],Code24)</f>
        <v>0</v>
      </c>
      <c r="BI100" s="370">
        <f>COUNTIF(ParicipationMai1[[#This Row],[1]:[31]],code18)</f>
        <v>0</v>
      </c>
      <c r="BJ100" s="370">
        <f>COUNTIF(ParicipationMai1[[#This Row],[1]:[31]],code19)</f>
        <v>0</v>
      </c>
      <c r="BK100" s="370">
        <f>COUNTIF(ParicipationMai1[[#This Row],[1]:[31]],code20)</f>
        <v>0</v>
      </c>
      <c r="BL100" s="516">
        <f>COUNTIF(ParicipationMai1[[#This Row],[1]:[31]],code29)</f>
        <v>0</v>
      </c>
      <c r="BM100" s="297"/>
      <c r="BN100" s="297"/>
      <c r="BO100" s="297"/>
      <c r="BP100" s="297"/>
      <c r="BQ100" s="297"/>
      <c r="BR100" s="297"/>
      <c r="BS100" s="297"/>
      <c r="BT100" s="297"/>
      <c r="BU100" s="297"/>
      <c r="BV100" s="297"/>
      <c r="BW100" s="297"/>
      <c r="BX100" s="297"/>
      <c r="BY100" s="297"/>
      <c r="BZ100" s="297"/>
      <c r="CA100" s="297"/>
      <c r="CB100" s="297"/>
      <c r="CC100" s="297"/>
      <c r="CD100" s="297"/>
      <c r="CE100" s="297"/>
      <c r="CF100" s="297"/>
      <c r="CG100" s="297"/>
      <c r="CH100" s="297"/>
      <c r="CI100" s="297"/>
      <c r="CJ100" s="297"/>
      <c r="CK100" s="297"/>
      <c r="CL100" s="297"/>
      <c r="CM100" s="297"/>
      <c r="CN100" s="297"/>
      <c r="CO100" s="297"/>
      <c r="CP100" s="297"/>
      <c r="CQ100" s="297"/>
      <c r="CR100" s="297"/>
      <c r="CS100" s="297"/>
      <c r="CT100" s="472"/>
      <c r="CU100" s="300"/>
      <c r="CV100" s="589">
        <f t="shared" si="4"/>
        <v>0</v>
      </c>
      <c r="CW100" s="501">
        <f t="shared" si="5"/>
        <v>0</v>
      </c>
      <c r="CX100" s="472">
        <f t="shared" si="6"/>
        <v>0</v>
      </c>
      <c r="CY100" s="512">
        <f t="shared" si="7"/>
        <v>0</v>
      </c>
    </row>
    <row r="101" spans="1:103">
      <c r="A101" s="29" t="s">
        <v>442</v>
      </c>
      <c r="B101" s="162" t="str">
        <f>IFERROR(VLOOKUP(ParicipationMai1[[#This Row],[Référence]],ListeÉtudiants1[],18,FALSE),"")</f>
        <v>MAZIERS LAURENCE</v>
      </c>
      <c r="AG101" s="286"/>
      <c r="AH101" s="138">
        <f>COUNTIF(ParicipationMai1[[1]:[31]],Code1)</f>
        <v>0</v>
      </c>
      <c r="AI101" s="474">
        <f>COUNTIF(ParicipationMai1[[1]:[31]],code22)</f>
        <v>0</v>
      </c>
      <c r="AJ101" s="138">
        <f>COUNTIF(ParicipationMai1[[#This Row],[1]:[31]],Code2)</f>
        <v>0</v>
      </c>
      <c r="AK101" s="138">
        <f>COUNTIF(ParicipationMai1[[#This Row],[1]:[31]],Code3)</f>
        <v>0</v>
      </c>
      <c r="AL101" s="138">
        <f>COUNTIF(ParicipationMai1[[#This Row],[1]:[31]],Code4)</f>
        <v>0</v>
      </c>
      <c r="AM101" s="472">
        <f>COUNTIF(ParicipationMai1[[#This Row],[1]:[31]],Code5)</f>
        <v>0</v>
      </c>
      <c r="AN101" s="472">
        <f>COUNTIF(ParicipationMai1[[#This Row],[1]:[31]],Code23)</f>
        <v>0</v>
      </c>
      <c r="AO101" s="472">
        <f>COUNTIF(ParicipationMai1[[#This Row],[1]:[31]],Code6)</f>
        <v>0</v>
      </c>
      <c r="AP101" s="472">
        <f>COUNTIF(ParicipationMai1[[#This Row],[1]:[31]],Code7)</f>
        <v>0</v>
      </c>
      <c r="AQ101" s="472">
        <f>COUNTIF(ParicipationMai1[[#This Row],[1]:[31]],Code8)</f>
        <v>0</v>
      </c>
      <c r="AR101" s="472">
        <f>COUNTIF(ParicipationMai1[[#This Row],[1]:[31]],Code9)</f>
        <v>0</v>
      </c>
      <c r="AS101" s="472">
        <f>COUNTIF(ParicipationMai1[[#This Row],[1]:[31]],Code10)</f>
        <v>0</v>
      </c>
      <c r="AT101" s="472">
        <f>COUNTIF(ParicipationMai1[[#This Row],[1]:[31]],Code11)</f>
        <v>0</v>
      </c>
      <c r="AU101" s="472">
        <f>COUNTIF(ParicipationMai1[[#This Row],[1]:[31]],Code12)</f>
        <v>0</v>
      </c>
      <c r="AV101" s="472">
        <f>COUNTIF(ParicipationMai1[[#This Row],[1]:[31]],Code13)</f>
        <v>0</v>
      </c>
      <c r="AW101" s="472">
        <f>COUNTIF(ParicipationMai1[[#This Row],[1]:[31]],Code14)</f>
        <v>0</v>
      </c>
      <c r="AX101" s="472">
        <f>COUNTIF(ParicipationMai1[[#This Row],[1]:[31]],Code15)</f>
        <v>0</v>
      </c>
      <c r="AY101" s="472">
        <f>COUNTIF(ParicipationMai1[[#This Row],[1]:[31]],Code16)</f>
        <v>0</v>
      </c>
      <c r="AZ101" s="472">
        <f>COUNTIF(ParicipationMai1[[#This Row],[1]:[31]],Code17)</f>
        <v>0</v>
      </c>
      <c r="BA101" s="472">
        <f>COUNTIF(ParicipationMai1[[#This Row],[1]:[31]],Code25)</f>
        <v>0</v>
      </c>
      <c r="BB101" s="472">
        <f>COUNTIF(ParicipationMai1[[#This Row],[1]:[31]],Code26)</f>
        <v>0</v>
      </c>
      <c r="BC101" s="472">
        <f>COUNTIF(ParicipationMai1[[#This Row],[1]:[31]],Code27)</f>
        <v>0</v>
      </c>
      <c r="BD101" s="472">
        <f>COUNTIF(ParicipationMai1[[#This Row],[1]:[31]],Code28)</f>
        <v>0</v>
      </c>
      <c r="BE101" s="472">
        <f>COUNTIF(ParicipationMai1[[#This Row],[1]:[31]],code30)</f>
        <v>0</v>
      </c>
      <c r="BF101" s="472">
        <f>COUNTIF(ParicipationMai1[[#This Row],[1]:[31]],Code31)</f>
        <v>0</v>
      </c>
      <c r="BG101" s="472">
        <f>COUNTIF(ParicipationMai1[[#This Row],[1]:[31]],code21)</f>
        <v>0</v>
      </c>
      <c r="BH101" s="472">
        <f>COUNTIF(ParicipationMai1[[#This Row],[1]:[31]],Code24)</f>
        <v>0</v>
      </c>
      <c r="BI101" s="370">
        <f>COUNTIF(ParicipationMai1[[#This Row],[1]:[31]],code18)</f>
        <v>0</v>
      </c>
      <c r="BJ101" s="370">
        <f>COUNTIF(ParicipationMai1[[#This Row],[1]:[31]],code19)</f>
        <v>0</v>
      </c>
      <c r="BK101" s="370">
        <f>COUNTIF(ParicipationMai1[[#This Row],[1]:[31]],code20)</f>
        <v>0</v>
      </c>
      <c r="BL101" s="516">
        <f>COUNTIF(ParicipationMai1[[#This Row],[1]:[31]],code29)</f>
        <v>0</v>
      </c>
      <c r="BM101" s="297"/>
      <c r="BN101" s="297"/>
      <c r="BO101" s="297"/>
      <c r="BP101" s="297"/>
      <c r="BQ101" s="297"/>
      <c r="BR101" s="297"/>
      <c r="BS101" s="297"/>
      <c r="BT101" s="297"/>
      <c r="BU101" s="297"/>
      <c r="BV101" s="297"/>
      <c r="BW101" s="297"/>
      <c r="BX101" s="297"/>
      <c r="BY101" s="297"/>
      <c r="BZ101" s="297"/>
      <c r="CA101" s="297"/>
      <c r="CB101" s="297"/>
      <c r="CC101" s="297"/>
      <c r="CD101" s="297"/>
      <c r="CE101" s="297"/>
      <c r="CF101" s="297"/>
      <c r="CG101" s="297"/>
      <c r="CH101" s="297"/>
      <c r="CI101" s="297"/>
      <c r="CJ101" s="297"/>
      <c r="CK101" s="297"/>
      <c r="CL101" s="297"/>
      <c r="CM101" s="297"/>
      <c r="CN101" s="297"/>
      <c r="CO101" s="297"/>
      <c r="CP101" s="297"/>
      <c r="CQ101" s="297"/>
      <c r="CR101" s="297"/>
      <c r="CS101" s="297"/>
      <c r="CT101" s="472"/>
      <c r="CU101" s="300"/>
      <c r="CV101" s="589">
        <f t="shared" si="4"/>
        <v>0</v>
      </c>
      <c r="CW101" s="501">
        <f t="shared" si="5"/>
        <v>0</v>
      </c>
      <c r="CX101" s="472">
        <f t="shared" si="6"/>
        <v>0</v>
      </c>
      <c r="CY101" s="512">
        <f t="shared" si="7"/>
        <v>0</v>
      </c>
    </row>
    <row r="102" spans="1:103">
      <c r="A102" s="29" t="s">
        <v>443</v>
      </c>
      <c r="B102" s="162" t="str">
        <f>IFERROR(VLOOKUP(ParicipationMai1[[#This Row],[Référence]],ListeÉtudiants1[],18,FALSE),"")</f>
        <v>MENDES CORREIA GLADYS</v>
      </c>
      <c r="AG102" s="286"/>
      <c r="AH102" s="138">
        <f>COUNTIF(ParicipationMai1[[1]:[31]],Code1)</f>
        <v>0</v>
      </c>
      <c r="AI102" s="474">
        <f>COUNTIF(ParicipationMai1[[1]:[31]],code22)</f>
        <v>0</v>
      </c>
      <c r="AJ102" s="138">
        <f>COUNTIF(ParicipationMai1[[#This Row],[1]:[31]],Code2)</f>
        <v>0</v>
      </c>
      <c r="AK102" s="138">
        <f>COUNTIF(ParicipationMai1[[#This Row],[1]:[31]],Code3)</f>
        <v>0</v>
      </c>
      <c r="AL102" s="138">
        <f>COUNTIF(ParicipationMai1[[#This Row],[1]:[31]],Code4)</f>
        <v>0</v>
      </c>
      <c r="AM102" s="472">
        <f>COUNTIF(ParicipationMai1[[#This Row],[1]:[31]],Code5)</f>
        <v>0</v>
      </c>
      <c r="AN102" s="472">
        <f>COUNTIF(ParicipationMai1[[#This Row],[1]:[31]],Code23)</f>
        <v>0</v>
      </c>
      <c r="AO102" s="472">
        <f>COUNTIF(ParicipationMai1[[#This Row],[1]:[31]],Code6)</f>
        <v>0</v>
      </c>
      <c r="AP102" s="472">
        <f>COUNTIF(ParicipationMai1[[#This Row],[1]:[31]],Code7)</f>
        <v>0</v>
      </c>
      <c r="AQ102" s="472">
        <f>COUNTIF(ParicipationMai1[[#This Row],[1]:[31]],Code8)</f>
        <v>0</v>
      </c>
      <c r="AR102" s="472">
        <f>COUNTIF(ParicipationMai1[[#This Row],[1]:[31]],Code9)</f>
        <v>0</v>
      </c>
      <c r="AS102" s="472">
        <f>COUNTIF(ParicipationMai1[[#This Row],[1]:[31]],Code10)</f>
        <v>0</v>
      </c>
      <c r="AT102" s="472">
        <f>COUNTIF(ParicipationMai1[[#This Row],[1]:[31]],Code11)</f>
        <v>0</v>
      </c>
      <c r="AU102" s="472">
        <f>COUNTIF(ParicipationMai1[[#This Row],[1]:[31]],Code12)</f>
        <v>0</v>
      </c>
      <c r="AV102" s="472">
        <f>COUNTIF(ParicipationMai1[[#This Row],[1]:[31]],Code13)</f>
        <v>0</v>
      </c>
      <c r="AW102" s="472">
        <f>COUNTIF(ParicipationMai1[[#This Row],[1]:[31]],Code14)</f>
        <v>0</v>
      </c>
      <c r="AX102" s="472">
        <f>COUNTIF(ParicipationMai1[[#This Row],[1]:[31]],Code15)</f>
        <v>0</v>
      </c>
      <c r="AY102" s="472">
        <f>COUNTIF(ParicipationMai1[[#This Row],[1]:[31]],Code16)</f>
        <v>0</v>
      </c>
      <c r="AZ102" s="472">
        <f>COUNTIF(ParicipationMai1[[#This Row],[1]:[31]],Code17)</f>
        <v>0</v>
      </c>
      <c r="BA102" s="472">
        <f>COUNTIF(ParicipationMai1[[#This Row],[1]:[31]],Code25)</f>
        <v>0</v>
      </c>
      <c r="BB102" s="472">
        <f>COUNTIF(ParicipationMai1[[#This Row],[1]:[31]],Code26)</f>
        <v>0</v>
      </c>
      <c r="BC102" s="472">
        <f>COUNTIF(ParicipationMai1[[#This Row],[1]:[31]],Code27)</f>
        <v>0</v>
      </c>
      <c r="BD102" s="472">
        <f>COUNTIF(ParicipationMai1[[#This Row],[1]:[31]],Code28)</f>
        <v>0</v>
      </c>
      <c r="BE102" s="472">
        <f>COUNTIF(ParicipationMai1[[#This Row],[1]:[31]],code30)</f>
        <v>0</v>
      </c>
      <c r="BF102" s="472">
        <f>COUNTIF(ParicipationMai1[[#This Row],[1]:[31]],Code31)</f>
        <v>0</v>
      </c>
      <c r="BG102" s="472">
        <f>COUNTIF(ParicipationMai1[[#This Row],[1]:[31]],code21)</f>
        <v>0</v>
      </c>
      <c r="BH102" s="472">
        <f>COUNTIF(ParicipationMai1[[#This Row],[1]:[31]],Code24)</f>
        <v>0</v>
      </c>
      <c r="BI102" s="370">
        <f>COUNTIF(ParicipationMai1[[#This Row],[1]:[31]],code18)</f>
        <v>0</v>
      </c>
      <c r="BJ102" s="370">
        <f>COUNTIF(ParicipationMai1[[#This Row],[1]:[31]],code19)</f>
        <v>0</v>
      </c>
      <c r="BK102" s="370">
        <f>COUNTIF(ParicipationMai1[[#This Row],[1]:[31]],code20)</f>
        <v>0</v>
      </c>
      <c r="BL102" s="516">
        <f>COUNTIF(ParicipationMai1[[#This Row],[1]:[31]],code29)</f>
        <v>0</v>
      </c>
      <c r="BM102" s="297"/>
      <c r="BN102" s="297"/>
      <c r="BO102" s="297"/>
      <c r="BP102" s="297"/>
      <c r="BQ102" s="297"/>
      <c r="BR102" s="297"/>
      <c r="BS102" s="297"/>
      <c r="BT102" s="297"/>
      <c r="BU102" s="297"/>
      <c r="BV102" s="297"/>
      <c r="BW102" s="297"/>
      <c r="BX102" s="297"/>
      <c r="BY102" s="297"/>
      <c r="BZ102" s="297"/>
      <c r="CA102" s="297"/>
      <c r="CB102" s="297"/>
      <c r="CC102" s="297"/>
      <c r="CD102" s="297"/>
      <c r="CE102" s="297"/>
      <c r="CF102" s="297"/>
      <c r="CG102" s="297"/>
      <c r="CH102" s="297"/>
      <c r="CI102" s="297"/>
      <c r="CJ102" s="297"/>
      <c r="CK102" s="297"/>
      <c r="CL102" s="297"/>
      <c r="CM102" s="297"/>
      <c r="CN102" s="297"/>
      <c r="CO102" s="297"/>
      <c r="CP102" s="297"/>
      <c r="CQ102" s="297"/>
      <c r="CR102" s="297"/>
      <c r="CS102" s="297"/>
      <c r="CT102" s="472"/>
      <c r="CU102" s="300"/>
      <c r="CV102" s="589">
        <f t="shared" si="4"/>
        <v>0</v>
      </c>
      <c r="CW102" s="501">
        <f t="shared" si="5"/>
        <v>0</v>
      </c>
      <c r="CX102" s="472">
        <f t="shared" si="6"/>
        <v>0</v>
      </c>
      <c r="CY102" s="512">
        <f t="shared" si="7"/>
        <v>0</v>
      </c>
    </row>
    <row r="103" spans="1:103">
      <c r="A103" s="29" t="s">
        <v>444</v>
      </c>
      <c r="B103" s="162" t="str">
        <f>IFERROR(VLOOKUP(ParicipationMai1[[#This Row],[Référence]],ListeÉtudiants1[],18,FALSE),"")</f>
        <v>MITRAN IONELA</v>
      </c>
      <c r="AG103" s="286"/>
      <c r="AH103" s="138">
        <f>COUNTIF(ParicipationMai1[[1]:[31]],Code1)</f>
        <v>0</v>
      </c>
      <c r="AI103" s="474">
        <f>COUNTIF(ParicipationMai1[[1]:[31]],code22)</f>
        <v>0</v>
      </c>
      <c r="AJ103" s="138">
        <f>COUNTIF(ParicipationMai1[[#This Row],[1]:[31]],Code2)</f>
        <v>0</v>
      </c>
      <c r="AK103" s="138">
        <f>COUNTIF(ParicipationMai1[[#This Row],[1]:[31]],Code3)</f>
        <v>0</v>
      </c>
      <c r="AL103" s="138">
        <f>COUNTIF(ParicipationMai1[[#This Row],[1]:[31]],Code4)</f>
        <v>0</v>
      </c>
      <c r="AM103" s="472">
        <f>COUNTIF(ParicipationMai1[[#This Row],[1]:[31]],Code5)</f>
        <v>0</v>
      </c>
      <c r="AN103" s="472">
        <f>COUNTIF(ParicipationMai1[[#This Row],[1]:[31]],Code23)</f>
        <v>0</v>
      </c>
      <c r="AO103" s="472">
        <f>COUNTIF(ParicipationMai1[[#This Row],[1]:[31]],Code6)</f>
        <v>0</v>
      </c>
      <c r="AP103" s="472">
        <f>COUNTIF(ParicipationMai1[[#This Row],[1]:[31]],Code7)</f>
        <v>0</v>
      </c>
      <c r="AQ103" s="472">
        <f>COUNTIF(ParicipationMai1[[#This Row],[1]:[31]],Code8)</f>
        <v>0</v>
      </c>
      <c r="AR103" s="472">
        <f>COUNTIF(ParicipationMai1[[#This Row],[1]:[31]],Code9)</f>
        <v>0</v>
      </c>
      <c r="AS103" s="472">
        <f>COUNTIF(ParicipationMai1[[#This Row],[1]:[31]],Code10)</f>
        <v>0</v>
      </c>
      <c r="AT103" s="472">
        <f>COUNTIF(ParicipationMai1[[#This Row],[1]:[31]],Code11)</f>
        <v>0</v>
      </c>
      <c r="AU103" s="472">
        <f>COUNTIF(ParicipationMai1[[#This Row],[1]:[31]],Code12)</f>
        <v>0</v>
      </c>
      <c r="AV103" s="472">
        <f>COUNTIF(ParicipationMai1[[#This Row],[1]:[31]],Code13)</f>
        <v>0</v>
      </c>
      <c r="AW103" s="472">
        <f>COUNTIF(ParicipationMai1[[#This Row],[1]:[31]],Code14)</f>
        <v>0</v>
      </c>
      <c r="AX103" s="472">
        <f>COUNTIF(ParicipationMai1[[#This Row],[1]:[31]],Code15)</f>
        <v>0</v>
      </c>
      <c r="AY103" s="472">
        <f>COUNTIF(ParicipationMai1[[#This Row],[1]:[31]],Code16)</f>
        <v>0</v>
      </c>
      <c r="AZ103" s="472">
        <f>COUNTIF(ParicipationMai1[[#This Row],[1]:[31]],Code17)</f>
        <v>0</v>
      </c>
      <c r="BA103" s="472">
        <f>COUNTIF(ParicipationMai1[[#This Row],[1]:[31]],Code25)</f>
        <v>0</v>
      </c>
      <c r="BB103" s="472">
        <f>COUNTIF(ParicipationMai1[[#This Row],[1]:[31]],Code26)</f>
        <v>0</v>
      </c>
      <c r="BC103" s="472">
        <f>COUNTIF(ParicipationMai1[[#This Row],[1]:[31]],Code27)</f>
        <v>0</v>
      </c>
      <c r="BD103" s="472">
        <f>COUNTIF(ParicipationMai1[[#This Row],[1]:[31]],Code28)</f>
        <v>0</v>
      </c>
      <c r="BE103" s="472">
        <f>COUNTIF(ParicipationMai1[[#This Row],[1]:[31]],code30)</f>
        <v>0</v>
      </c>
      <c r="BF103" s="472">
        <f>COUNTIF(ParicipationMai1[[#This Row],[1]:[31]],Code31)</f>
        <v>0</v>
      </c>
      <c r="BG103" s="472">
        <f>COUNTIF(ParicipationMai1[[#This Row],[1]:[31]],code21)</f>
        <v>0</v>
      </c>
      <c r="BH103" s="472">
        <f>COUNTIF(ParicipationMai1[[#This Row],[1]:[31]],Code24)</f>
        <v>0</v>
      </c>
      <c r="BI103" s="370">
        <f>COUNTIF(ParicipationMai1[[#This Row],[1]:[31]],code18)</f>
        <v>0</v>
      </c>
      <c r="BJ103" s="370">
        <f>COUNTIF(ParicipationMai1[[#This Row],[1]:[31]],code19)</f>
        <v>0</v>
      </c>
      <c r="BK103" s="370">
        <f>COUNTIF(ParicipationMai1[[#This Row],[1]:[31]],code20)</f>
        <v>0</v>
      </c>
      <c r="BL103" s="516">
        <f>COUNTIF(ParicipationMai1[[#This Row],[1]:[31]],code29)</f>
        <v>0</v>
      </c>
      <c r="BM103" s="297"/>
      <c r="BN103" s="297"/>
      <c r="BO103" s="297"/>
      <c r="BP103" s="297"/>
      <c r="BQ103" s="297"/>
      <c r="BR103" s="297"/>
      <c r="BS103" s="297"/>
      <c r="BT103" s="297"/>
      <c r="BU103" s="297"/>
      <c r="BV103" s="297"/>
      <c r="BW103" s="297"/>
      <c r="BX103" s="297"/>
      <c r="BY103" s="297"/>
      <c r="BZ103" s="297"/>
      <c r="CA103" s="297"/>
      <c r="CB103" s="297"/>
      <c r="CC103" s="297"/>
      <c r="CD103" s="297"/>
      <c r="CE103" s="297"/>
      <c r="CF103" s="297"/>
      <c r="CG103" s="297"/>
      <c r="CH103" s="297"/>
      <c r="CI103" s="297"/>
      <c r="CJ103" s="297"/>
      <c r="CK103" s="297"/>
      <c r="CL103" s="297"/>
      <c r="CM103" s="297"/>
      <c r="CN103" s="297"/>
      <c r="CO103" s="297"/>
      <c r="CP103" s="297"/>
      <c r="CQ103" s="297"/>
      <c r="CR103" s="297"/>
      <c r="CS103" s="297"/>
      <c r="CT103" s="472"/>
      <c r="CU103" s="300"/>
      <c r="CV103" s="589">
        <f t="shared" si="4"/>
        <v>0</v>
      </c>
      <c r="CW103" s="501">
        <f t="shared" si="5"/>
        <v>0</v>
      </c>
      <c r="CX103" s="472">
        <f t="shared" si="6"/>
        <v>0</v>
      </c>
      <c r="CY103" s="512">
        <f t="shared" si="7"/>
        <v>0</v>
      </c>
    </row>
    <row r="104" spans="1:103">
      <c r="A104" s="29" t="s">
        <v>445</v>
      </c>
      <c r="B104" s="162" t="str">
        <f>IFERROR(VLOOKUP(ParicipationMai1[[#This Row],[Référence]],ListeÉtudiants1[],18,FALSE),"")</f>
        <v>MOREAU NOEMIE</v>
      </c>
      <c r="AG104" s="286"/>
      <c r="AH104" s="138">
        <f>COUNTIF(ParicipationMai1[[1]:[31]],Code1)</f>
        <v>0</v>
      </c>
      <c r="AI104" s="474">
        <f>COUNTIF(ParicipationMai1[[1]:[31]],code22)</f>
        <v>0</v>
      </c>
      <c r="AJ104" s="138">
        <f>COUNTIF(ParicipationMai1[[#This Row],[1]:[31]],Code2)</f>
        <v>0</v>
      </c>
      <c r="AK104" s="138">
        <f>COUNTIF(ParicipationMai1[[#This Row],[1]:[31]],Code3)</f>
        <v>0</v>
      </c>
      <c r="AL104" s="138">
        <f>COUNTIF(ParicipationMai1[[#This Row],[1]:[31]],Code4)</f>
        <v>0</v>
      </c>
      <c r="AM104" s="472">
        <f>COUNTIF(ParicipationMai1[[#This Row],[1]:[31]],Code5)</f>
        <v>0</v>
      </c>
      <c r="AN104" s="472">
        <f>COUNTIF(ParicipationMai1[[#This Row],[1]:[31]],Code23)</f>
        <v>0</v>
      </c>
      <c r="AO104" s="472">
        <f>COUNTIF(ParicipationMai1[[#This Row],[1]:[31]],Code6)</f>
        <v>0</v>
      </c>
      <c r="AP104" s="472">
        <f>COUNTIF(ParicipationMai1[[#This Row],[1]:[31]],Code7)</f>
        <v>0</v>
      </c>
      <c r="AQ104" s="472">
        <f>COUNTIF(ParicipationMai1[[#This Row],[1]:[31]],Code8)</f>
        <v>0</v>
      </c>
      <c r="AR104" s="472">
        <f>COUNTIF(ParicipationMai1[[#This Row],[1]:[31]],Code9)</f>
        <v>0</v>
      </c>
      <c r="AS104" s="472">
        <f>COUNTIF(ParicipationMai1[[#This Row],[1]:[31]],Code10)</f>
        <v>0</v>
      </c>
      <c r="AT104" s="472">
        <f>COUNTIF(ParicipationMai1[[#This Row],[1]:[31]],Code11)</f>
        <v>0</v>
      </c>
      <c r="AU104" s="472">
        <f>COUNTIF(ParicipationMai1[[#This Row],[1]:[31]],Code12)</f>
        <v>0</v>
      </c>
      <c r="AV104" s="472">
        <f>COUNTIF(ParicipationMai1[[#This Row],[1]:[31]],Code13)</f>
        <v>0</v>
      </c>
      <c r="AW104" s="472">
        <f>COUNTIF(ParicipationMai1[[#This Row],[1]:[31]],Code14)</f>
        <v>0</v>
      </c>
      <c r="AX104" s="472">
        <f>COUNTIF(ParicipationMai1[[#This Row],[1]:[31]],Code15)</f>
        <v>0</v>
      </c>
      <c r="AY104" s="472">
        <f>COUNTIF(ParicipationMai1[[#This Row],[1]:[31]],Code16)</f>
        <v>0</v>
      </c>
      <c r="AZ104" s="472">
        <f>COUNTIF(ParicipationMai1[[#This Row],[1]:[31]],Code17)</f>
        <v>0</v>
      </c>
      <c r="BA104" s="472">
        <f>COUNTIF(ParicipationMai1[[#This Row],[1]:[31]],Code25)</f>
        <v>0</v>
      </c>
      <c r="BB104" s="472">
        <f>COUNTIF(ParicipationMai1[[#This Row],[1]:[31]],Code26)</f>
        <v>0</v>
      </c>
      <c r="BC104" s="472">
        <f>COUNTIF(ParicipationMai1[[#This Row],[1]:[31]],Code27)</f>
        <v>0</v>
      </c>
      <c r="BD104" s="472">
        <f>COUNTIF(ParicipationMai1[[#This Row],[1]:[31]],Code28)</f>
        <v>0</v>
      </c>
      <c r="BE104" s="472">
        <f>COUNTIF(ParicipationMai1[[#This Row],[1]:[31]],code30)</f>
        <v>0</v>
      </c>
      <c r="BF104" s="472">
        <f>COUNTIF(ParicipationMai1[[#This Row],[1]:[31]],Code31)</f>
        <v>0</v>
      </c>
      <c r="BG104" s="472">
        <f>COUNTIF(ParicipationMai1[[#This Row],[1]:[31]],code21)</f>
        <v>0</v>
      </c>
      <c r="BH104" s="472">
        <f>COUNTIF(ParicipationMai1[[#This Row],[1]:[31]],Code24)</f>
        <v>0</v>
      </c>
      <c r="BI104" s="370">
        <f>COUNTIF(ParicipationMai1[[#This Row],[1]:[31]],code18)</f>
        <v>0</v>
      </c>
      <c r="BJ104" s="370">
        <f>COUNTIF(ParicipationMai1[[#This Row],[1]:[31]],code19)</f>
        <v>0</v>
      </c>
      <c r="BK104" s="370">
        <f>COUNTIF(ParicipationMai1[[#This Row],[1]:[31]],code20)</f>
        <v>0</v>
      </c>
      <c r="BL104" s="516">
        <f>COUNTIF(ParicipationMai1[[#This Row],[1]:[31]],code29)</f>
        <v>0</v>
      </c>
      <c r="BM104" s="297"/>
      <c r="BN104" s="297"/>
      <c r="BO104" s="297"/>
      <c r="BP104" s="297"/>
      <c r="BQ104" s="297"/>
      <c r="BR104" s="297"/>
      <c r="BS104" s="297"/>
      <c r="BT104" s="297"/>
      <c r="BU104" s="297"/>
      <c r="BV104" s="297"/>
      <c r="BW104" s="297"/>
      <c r="BX104" s="297"/>
      <c r="BY104" s="297"/>
      <c r="BZ104" s="297"/>
      <c r="CA104" s="297"/>
      <c r="CB104" s="297"/>
      <c r="CC104" s="297"/>
      <c r="CD104" s="297"/>
      <c r="CE104" s="297"/>
      <c r="CF104" s="297"/>
      <c r="CG104" s="297"/>
      <c r="CH104" s="297"/>
      <c r="CI104" s="297"/>
      <c r="CJ104" s="297"/>
      <c r="CK104" s="297"/>
      <c r="CL104" s="297"/>
      <c r="CM104" s="297"/>
      <c r="CN104" s="297"/>
      <c r="CO104" s="297"/>
      <c r="CP104" s="297"/>
      <c r="CQ104" s="297"/>
      <c r="CR104" s="297"/>
      <c r="CS104" s="297"/>
      <c r="CT104" s="472"/>
      <c r="CU104" s="300"/>
      <c r="CV104" s="589">
        <f t="shared" si="4"/>
        <v>0</v>
      </c>
      <c r="CW104" s="501">
        <f t="shared" si="5"/>
        <v>0</v>
      </c>
      <c r="CX104" s="472">
        <f t="shared" si="6"/>
        <v>0</v>
      </c>
      <c r="CY104" s="512">
        <f t="shared" si="7"/>
        <v>0</v>
      </c>
    </row>
    <row r="105" spans="1:103">
      <c r="A105" s="29" t="s">
        <v>446</v>
      </c>
      <c r="B105" s="162" t="str">
        <f>IFERROR(VLOOKUP(ParicipationMai1[[#This Row],[Référence]],ListeÉtudiants1[],18,FALSE),"")</f>
        <v>MOUNIER JEANNE</v>
      </c>
      <c r="AG105" s="286"/>
      <c r="AH105" s="138">
        <f>COUNTIF(ParicipationMai1[[1]:[31]],Code1)</f>
        <v>0</v>
      </c>
      <c r="AI105" s="474">
        <f>COUNTIF(ParicipationMai1[[1]:[31]],code22)</f>
        <v>0</v>
      </c>
      <c r="AJ105" s="138">
        <f>COUNTIF(ParicipationMai1[[#This Row],[1]:[31]],Code2)</f>
        <v>0</v>
      </c>
      <c r="AK105" s="138">
        <f>COUNTIF(ParicipationMai1[[#This Row],[1]:[31]],Code3)</f>
        <v>0</v>
      </c>
      <c r="AL105" s="138">
        <f>COUNTIF(ParicipationMai1[[#This Row],[1]:[31]],Code4)</f>
        <v>0</v>
      </c>
      <c r="AM105" s="472">
        <f>COUNTIF(ParicipationMai1[[#This Row],[1]:[31]],Code5)</f>
        <v>0</v>
      </c>
      <c r="AN105" s="472">
        <f>COUNTIF(ParicipationMai1[[#This Row],[1]:[31]],Code23)</f>
        <v>0</v>
      </c>
      <c r="AO105" s="472">
        <f>COUNTIF(ParicipationMai1[[#This Row],[1]:[31]],Code6)</f>
        <v>0</v>
      </c>
      <c r="AP105" s="472">
        <f>COUNTIF(ParicipationMai1[[#This Row],[1]:[31]],Code7)</f>
        <v>0</v>
      </c>
      <c r="AQ105" s="472">
        <f>COUNTIF(ParicipationMai1[[#This Row],[1]:[31]],Code8)</f>
        <v>0</v>
      </c>
      <c r="AR105" s="472">
        <f>COUNTIF(ParicipationMai1[[#This Row],[1]:[31]],Code9)</f>
        <v>0</v>
      </c>
      <c r="AS105" s="472">
        <f>COUNTIF(ParicipationMai1[[#This Row],[1]:[31]],Code10)</f>
        <v>0</v>
      </c>
      <c r="AT105" s="472">
        <f>COUNTIF(ParicipationMai1[[#This Row],[1]:[31]],Code11)</f>
        <v>0</v>
      </c>
      <c r="AU105" s="472">
        <f>COUNTIF(ParicipationMai1[[#This Row],[1]:[31]],Code12)</f>
        <v>0</v>
      </c>
      <c r="AV105" s="472">
        <f>COUNTIF(ParicipationMai1[[#This Row],[1]:[31]],Code13)</f>
        <v>0</v>
      </c>
      <c r="AW105" s="472">
        <f>COUNTIF(ParicipationMai1[[#This Row],[1]:[31]],Code14)</f>
        <v>0</v>
      </c>
      <c r="AX105" s="472">
        <f>COUNTIF(ParicipationMai1[[#This Row],[1]:[31]],Code15)</f>
        <v>0</v>
      </c>
      <c r="AY105" s="472">
        <f>COUNTIF(ParicipationMai1[[#This Row],[1]:[31]],Code16)</f>
        <v>0</v>
      </c>
      <c r="AZ105" s="472">
        <f>COUNTIF(ParicipationMai1[[#This Row],[1]:[31]],Code17)</f>
        <v>0</v>
      </c>
      <c r="BA105" s="472">
        <f>COUNTIF(ParicipationMai1[[#This Row],[1]:[31]],Code25)</f>
        <v>0</v>
      </c>
      <c r="BB105" s="472">
        <f>COUNTIF(ParicipationMai1[[#This Row],[1]:[31]],Code26)</f>
        <v>0</v>
      </c>
      <c r="BC105" s="472">
        <f>COUNTIF(ParicipationMai1[[#This Row],[1]:[31]],Code27)</f>
        <v>0</v>
      </c>
      <c r="BD105" s="472">
        <f>COUNTIF(ParicipationMai1[[#This Row],[1]:[31]],Code28)</f>
        <v>0</v>
      </c>
      <c r="BE105" s="472">
        <f>COUNTIF(ParicipationMai1[[#This Row],[1]:[31]],code30)</f>
        <v>0</v>
      </c>
      <c r="BF105" s="472">
        <f>COUNTIF(ParicipationMai1[[#This Row],[1]:[31]],Code31)</f>
        <v>0</v>
      </c>
      <c r="BG105" s="472">
        <f>COUNTIF(ParicipationMai1[[#This Row],[1]:[31]],code21)</f>
        <v>0</v>
      </c>
      <c r="BH105" s="472">
        <f>COUNTIF(ParicipationMai1[[#This Row],[1]:[31]],Code24)</f>
        <v>0</v>
      </c>
      <c r="BI105" s="370">
        <f>COUNTIF(ParicipationMai1[[#This Row],[1]:[31]],code18)</f>
        <v>0</v>
      </c>
      <c r="BJ105" s="370">
        <f>COUNTIF(ParicipationMai1[[#This Row],[1]:[31]],code19)</f>
        <v>0</v>
      </c>
      <c r="BK105" s="370">
        <f>COUNTIF(ParicipationMai1[[#This Row],[1]:[31]],code20)</f>
        <v>0</v>
      </c>
      <c r="BL105" s="516">
        <f>COUNTIF(ParicipationMai1[[#This Row],[1]:[31]],code29)</f>
        <v>0</v>
      </c>
      <c r="BM105" s="297"/>
      <c r="BN105" s="297"/>
      <c r="BO105" s="297"/>
      <c r="BP105" s="297"/>
      <c r="BQ105" s="297"/>
      <c r="BR105" s="297"/>
      <c r="BS105" s="297"/>
      <c r="BT105" s="297"/>
      <c r="BU105" s="297"/>
      <c r="BV105" s="297"/>
      <c r="BW105" s="297"/>
      <c r="BX105" s="297"/>
      <c r="BY105" s="297"/>
      <c r="BZ105" s="297"/>
      <c r="CA105" s="297"/>
      <c r="CB105" s="297"/>
      <c r="CC105" s="297"/>
      <c r="CD105" s="297"/>
      <c r="CE105" s="297"/>
      <c r="CF105" s="297"/>
      <c r="CG105" s="297"/>
      <c r="CH105" s="297"/>
      <c r="CI105" s="297"/>
      <c r="CJ105" s="297"/>
      <c r="CK105" s="297"/>
      <c r="CL105" s="297"/>
      <c r="CM105" s="297"/>
      <c r="CN105" s="297"/>
      <c r="CO105" s="297"/>
      <c r="CP105" s="297"/>
      <c r="CQ105" s="297"/>
      <c r="CR105" s="297"/>
      <c r="CS105" s="297"/>
      <c r="CT105" s="472"/>
      <c r="CU105" s="300"/>
      <c r="CV105" s="589">
        <f t="shared" si="4"/>
        <v>0</v>
      </c>
      <c r="CW105" s="501">
        <f t="shared" si="5"/>
        <v>0</v>
      </c>
      <c r="CX105" s="472">
        <f t="shared" si="6"/>
        <v>0</v>
      </c>
      <c r="CY105" s="512">
        <f t="shared" si="7"/>
        <v>0</v>
      </c>
    </row>
    <row r="106" spans="1:103">
      <c r="A106" s="29" t="s">
        <v>447</v>
      </c>
      <c r="B106" s="162" t="str">
        <f>IFERROR(VLOOKUP(ParicipationMai1[[#This Row],[Référence]],ListeÉtudiants1[],18,FALSE),"")</f>
        <v>NGAMFULANGOMA ALEXANDRINE</v>
      </c>
      <c r="AG106" s="286"/>
      <c r="AH106" s="138">
        <f>COUNTIF(ParicipationMai1[[1]:[31]],Code1)</f>
        <v>0</v>
      </c>
      <c r="AI106" s="474">
        <f>COUNTIF(ParicipationMai1[[1]:[31]],code22)</f>
        <v>0</v>
      </c>
      <c r="AJ106" s="138">
        <f>COUNTIF(ParicipationMai1[[#This Row],[1]:[31]],Code2)</f>
        <v>0</v>
      </c>
      <c r="AK106" s="138">
        <f>COUNTIF(ParicipationMai1[[#This Row],[1]:[31]],Code3)</f>
        <v>0</v>
      </c>
      <c r="AL106" s="138">
        <f>COUNTIF(ParicipationMai1[[#This Row],[1]:[31]],Code4)</f>
        <v>0</v>
      </c>
      <c r="AM106" s="472">
        <f>COUNTIF(ParicipationMai1[[#This Row],[1]:[31]],Code5)</f>
        <v>0</v>
      </c>
      <c r="AN106" s="472">
        <f>COUNTIF(ParicipationMai1[[#This Row],[1]:[31]],Code23)</f>
        <v>0</v>
      </c>
      <c r="AO106" s="472">
        <f>COUNTIF(ParicipationMai1[[#This Row],[1]:[31]],Code6)</f>
        <v>0</v>
      </c>
      <c r="AP106" s="472">
        <f>COUNTIF(ParicipationMai1[[#This Row],[1]:[31]],Code7)</f>
        <v>0</v>
      </c>
      <c r="AQ106" s="472">
        <f>COUNTIF(ParicipationMai1[[#This Row],[1]:[31]],Code8)</f>
        <v>0</v>
      </c>
      <c r="AR106" s="472">
        <f>COUNTIF(ParicipationMai1[[#This Row],[1]:[31]],Code9)</f>
        <v>0</v>
      </c>
      <c r="AS106" s="472">
        <f>COUNTIF(ParicipationMai1[[#This Row],[1]:[31]],Code10)</f>
        <v>0</v>
      </c>
      <c r="AT106" s="472">
        <f>COUNTIF(ParicipationMai1[[#This Row],[1]:[31]],Code11)</f>
        <v>0</v>
      </c>
      <c r="AU106" s="472">
        <f>COUNTIF(ParicipationMai1[[#This Row],[1]:[31]],Code12)</f>
        <v>0</v>
      </c>
      <c r="AV106" s="472">
        <f>COUNTIF(ParicipationMai1[[#This Row],[1]:[31]],Code13)</f>
        <v>0</v>
      </c>
      <c r="AW106" s="472">
        <f>COUNTIF(ParicipationMai1[[#This Row],[1]:[31]],Code14)</f>
        <v>0</v>
      </c>
      <c r="AX106" s="472">
        <f>COUNTIF(ParicipationMai1[[#This Row],[1]:[31]],Code15)</f>
        <v>0</v>
      </c>
      <c r="AY106" s="472">
        <f>COUNTIF(ParicipationMai1[[#This Row],[1]:[31]],Code16)</f>
        <v>0</v>
      </c>
      <c r="AZ106" s="472">
        <f>COUNTIF(ParicipationMai1[[#This Row],[1]:[31]],Code17)</f>
        <v>0</v>
      </c>
      <c r="BA106" s="472">
        <f>COUNTIF(ParicipationMai1[[#This Row],[1]:[31]],Code25)</f>
        <v>0</v>
      </c>
      <c r="BB106" s="472">
        <f>COUNTIF(ParicipationMai1[[#This Row],[1]:[31]],Code26)</f>
        <v>0</v>
      </c>
      <c r="BC106" s="472">
        <f>COUNTIF(ParicipationMai1[[#This Row],[1]:[31]],Code27)</f>
        <v>0</v>
      </c>
      <c r="BD106" s="472">
        <f>COUNTIF(ParicipationMai1[[#This Row],[1]:[31]],Code28)</f>
        <v>0</v>
      </c>
      <c r="BE106" s="472">
        <f>COUNTIF(ParicipationMai1[[#This Row],[1]:[31]],code30)</f>
        <v>0</v>
      </c>
      <c r="BF106" s="472">
        <f>COUNTIF(ParicipationMai1[[#This Row],[1]:[31]],Code31)</f>
        <v>0</v>
      </c>
      <c r="BG106" s="472">
        <f>COUNTIF(ParicipationMai1[[#This Row],[1]:[31]],code21)</f>
        <v>0</v>
      </c>
      <c r="BH106" s="472">
        <f>COUNTIF(ParicipationMai1[[#This Row],[1]:[31]],Code24)</f>
        <v>0</v>
      </c>
      <c r="BI106" s="370">
        <f>COUNTIF(ParicipationMai1[[#This Row],[1]:[31]],code18)</f>
        <v>0</v>
      </c>
      <c r="BJ106" s="370">
        <f>COUNTIF(ParicipationMai1[[#This Row],[1]:[31]],code19)</f>
        <v>0</v>
      </c>
      <c r="BK106" s="370">
        <f>COUNTIF(ParicipationMai1[[#This Row],[1]:[31]],code20)</f>
        <v>0</v>
      </c>
      <c r="BL106" s="516">
        <f>COUNTIF(ParicipationMai1[[#This Row],[1]:[31]],code29)</f>
        <v>0</v>
      </c>
      <c r="BM106" s="297"/>
      <c r="BN106" s="297"/>
      <c r="BO106" s="297"/>
      <c r="BP106" s="297"/>
      <c r="BQ106" s="297"/>
      <c r="BR106" s="297"/>
      <c r="BS106" s="297"/>
      <c r="BT106" s="297"/>
      <c r="BU106" s="297"/>
      <c r="BV106" s="297"/>
      <c r="BW106" s="297"/>
      <c r="BX106" s="297"/>
      <c r="BY106" s="297"/>
      <c r="BZ106" s="297"/>
      <c r="CA106" s="297"/>
      <c r="CB106" s="297"/>
      <c r="CC106" s="297"/>
      <c r="CD106" s="297"/>
      <c r="CE106" s="297"/>
      <c r="CF106" s="297"/>
      <c r="CG106" s="297"/>
      <c r="CH106" s="297"/>
      <c r="CI106" s="297"/>
      <c r="CJ106" s="297"/>
      <c r="CK106" s="297"/>
      <c r="CL106" s="297"/>
      <c r="CM106" s="297"/>
      <c r="CN106" s="297"/>
      <c r="CO106" s="297"/>
      <c r="CP106" s="297"/>
      <c r="CQ106" s="297"/>
      <c r="CR106" s="297"/>
      <c r="CS106" s="297"/>
      <c r="CT106" s="472"/>
      <c r="CU106" s="300"/>
      <c r="CV106" s="589">
        <f t="shared" si="4"/>
        <v>0</v>
      </c>
      <c r="CW106" s="501">
        <f t="shared" si="5"/>
        <v>0</v>
      </c>
      <c r="CX106" s="472">
        <f t="shared" si="6"/>
        <v>0</v>
      </c>
      <c r="CY106" s="512">
        <f t="shared" si="7"/>
        <v>0</v>
      </c>
    </row>
    <row r="107" spans="1:103">
      <c r="A107" s="29" t="s">
        <v>448</v>
      </c>
      <c r="B107" s="162" t="str">
        <f>IFERROR(VLOOKUP(ParicipationMai1[[#This Row],[Référence]],ListeÉtudiants1[],18,FALSE),"")</f>
        <v>NGO BONJE ERNESTINE</v>
      </c>
      <c r="AG107" s="286"/>
      <c r="AH107" s="138">
        <f>COUNTIF(ParicipationMai1[[1]:[31]],Code1)</f>
        <v>0</v>
      </c>
      <c r="AI107" s="474">
        <f>COUNTIF(ParicipationMai1[[1]:[31]],code22)</f>
        <v>0</v>
      </c>
      <c r="AJ107" s="138">
        <f>COUNTIF(ParicipationMai1[[#This Row],[1]:[31]],Code2)</f>
        <v>0</v>
      </c>
      <c r="AK107" s="138">
        <f>COUNTIF(ParicipationMai1[[#This Row],[1]:[31]],Code3)</f>
        <v>0</v>
      </c>
      <c r="AL107" s="138">
        <f>COUNTIF(ParicipationMai1[[#This Row],[1]:[31]],Code4)</f>
        <v>0</v>
      </c>
      <c r="AM107" s="472">
        <f>COUNTIF(ParicipationMai1[[#This Row],[1]:[31]],Code5)</f>
        <v>0</v>
      </c>
      <c r="AN107" s="472">
        <f>COUNTIF(ParicipationMai1[[#This Row],[1]:[31]],Code23)</f>
        <v>0</v>
      </c>
      <c r="AO107" s="472">
        <f>COUNTIF(ParicipationMai1[[#This Row],[1]:[31]],Code6)</f>
        <v>0</v>
      </c>
      <c r="AP107" s="472">
        <f>COUNTIF(ParicipationMai1[[#This Row],[1]:[31]],Code7)</f>
        <v>0</v>
      </c>
      <c r="AQ107" s="472">
        <f>COUNTIF(ParicipationMai1[[#This Row],[1]:[31]],Code8)</f>
        <v>0</v>
      </c>
      <c r="AR107" s="472">
        <f>COUNTIF(ParicipationMai1[[#This Row],[1]:[31]],Code9)</f>
        <v>0</v>
      </c>
      <c r="AS107" s="472">
        <f>COUNTIF(ParicipationMai1[[#This Row],[1]:[31]],Code10)</f>
        <v>0</v>
      </c>
      <c r="AT107" s="472">
        <f>COUNTIF(ParicipationMai1[[#This Row],[1]:[31]],Code11)</f>
        <v>0</v>
      </c>
      <c r="AU107" s="472">
        <f>COUNTIF(ParicipationMai1[[#This Row],[1]:[31]],Code12)</f>
        <v>0</v>
      </c>
      <c r="AV107" s="472">
        <f>COUNTIF(ParicipationMai1[[#This Row],[1]:[31]],Code13)</f>
        <v>0</v>
      </c>
      <c r="AW107" s="472">
        <f>COUNTIF(ParicipationMai1[[#This Row],[1]:[31]],Code14)</f>
        <v>0</v>
      </c>
      <c r="AX107" s="472">
        <f>COUNTIF(ParicipationMai1[[#This Row],[1]:[31]],Code15)</f>
        <v>0</v>
      </c>
      <c r="AY107" s="472">
        <f>COUNTIF(ParicipationMai1[[#This Row],[1]:[31]],Code16)</f>
        <v>0</v>
      </c>
      <c r="AZ107" s="472">
        <f>COUNTIF(ParicipationMai1[[#This Row],[1]:[31]],Code17)</f>
        <v>0</v>
      </c>
      <c r="BA107" s="472">
        <f>COUNTIF(ParicipationMai1[[#This Row],[1]:[31]],Code25)</f>
        <v>0</v>
      </c>
      <c r="BB107" s="472">
        <f>COUNTIF(ParicipationMai1[[#This Row],[1]:[31]],Code26)</f>
        <v>0</v>
      </c>
      <c r="BC107" s="472">
        <f>COUNTIF(ParicipationMai1[[#This Row],[1]:[31]],Code27)</f>
        <v>0</v>
      </c>
      <c r="BD107" s="472">
        <f>COUNTIF(ParicipationMai1[[#This Row],[1]:[31]],Code28)</f>
        <v>0</v>
      </c>
      <c r="BE107" s="472">
        <f>COUNTIF(ParicipationMai1[[#This Row],[1]:[31]],code30)</f>
        <v>0</v>
      </c>
      <c r="BF107" s="472">
        <f>COUNTIF(ParicipationMai1[[#This Row],[1]:[31]],Code31)</f>
        <v>0</v>
      </c>
      <c r="BG107" s="472">
        <f>COUNTIF(ParicipationMai1[[#This Row],[1]:[31]],code21)</f>
        <v>0</v>
      </c>
      <c r="BH107" s="472">
        <f>COUNTIF(ParicipationMai1[[#This Row],[1]:[31]],Code24)</f>
        <v>0</v>
      </c>
      <c r="BI107" s="370">
        <f>COUNTIF(ParicipationMai1[[#This Row],[1]:[31]],code18)</f>
        <v>0</v>
      </c>
      <c r="BJ107" s="370">
        <f>COUNTIF(ParicipationMai1[[#This Row],[1]:[31]],code19)</f>
        <v>0</v>
      </c>
      <c r="BK107" s="370">
        <f>COUNTIF(ParicipationMai1[[#This Row],[1]:[31]],code20)</f>
        <v>0</v>
      </c>
      <c r="BL107" s="516">
        <f>COUNTIF(ParicipationMai1[[#This Row],[1]:[31]],code29)</f>
        <v>0</v>
      </c>
      <c r="BM107" s="297"/>
      <c r="BN107" s="297"/>
      <c r="BO107" s="297"/>
      <c r="BP107" s="297"/>
      <c r="BQ107" s="297"/>
      <c r="BR107" s="297"/>
      <c r="BS107" s="297"/>
      <c r="BT107" s="297"/>
      <c r="BU107" s="297"/>
      <c r="BV107" s="297"/>
      <c r="BW107" s="297"/>
      <c r="BX107" s="297"/>
      <c r="BY107" s="297"/>
      <c r="BZ107" s="297"/>
      <c r="CA107" s="297"/>
      <c r="CB107" s="297"/>
      <c r="CC107" s="297"/>
      <c r="CD107" s="297"/>
      <c r="CE107" s="297"/>
      <c r="CF107" s="297"/>
      <c r="CG107" s="297"/>
      <c r="CH107" s="297"/>
      <c r="CI107" s="297"/>
      <c r="CJ107" s="297"/>
      <c r="CK107" s="297"/>
      <c r="CL107" s="297"/>
      <c r="CM107" s="297"/>
      <c r="CN107" s="297"/>
      <c r="CO107" s="297"/>
      <c r="CP107" s="297"/>
      <c r="CQ107" s="297"/>
      <c r="CR107" s="297"/>
      <c r="CS107" s="297"/>
      <c r="CT107" s="472"/>
      <c r="CU107" s="300"/>
      <c r="CV107" s="589">
        <f t="shared" si="4"/>
        <v>0</v>
      </c>
      <c r="CW107" s="501">
        <f t="shared" si="5"/>
        <v>0</v>
      </c>
      <c r="CX107" s="472">
        <f t="shared" si="6"/>
        <v>0</v>
      </c>
      <c r="CY107" s="512">
        <f t="shared" si="7"/>
        <v>0</v>
      </c>
    </row>
    <row r="108" spans="1:103">
      <c r="A108" s="29" t="s">
        <v>449</v>
      </c>
      <c r="B108" s="162" t="str">
        <f>IFERROR(VLOOKUP(ParicipationMai1[[#This Row],[Référence]],ListeÉtudiants1[],18,FALSE),"")</f>
        <v>NIRDE NICOLAS</v>
      </c>
      <c r="AG108" s="286"/>
      <c r="AH108" s="138">
        <f>COUNTIF(ParicipationMai1[[1]:[31]],Code1)</f>
        <v>0</v>
      </c>
      <c r="AI108" s="474">
        <f>COUNTIF(ParicipationMai1[[1]:[31]],code22)</f>
        <v>0</v>
      </c>
      <c r="AJ108" s="138">
        <f>COUNTIF(ParicipationMai1[[#This Row],[1]:[31]],Code2)</f>
        <v>0</v>
      </c>
      <c r="AK108" s="138">
        <f>COUNTIF(ParicipationMai1[[#This Row],[1]:[31]],Code3)</f>
        <v>0</v>
      </c>
      <c r="AL108" s="138">
        <f>COUNTIF(ParicipationMai1[[#This Row],[1]:[31]],Code4)</f>
        <v>0</v>
      </c>
      <c r="AM108" s="472">
        <f>COUNTIF(ParicipationMai1[[#This Row],[1]:[31]],Code5)</f>
        <v>0</v>
      </c>
      <c r="AN108" s="472">
        <f>COUNTIF(ParicipationMai1[[#This Row],[1]:[31]],Code23)</f>
        <v>0</v>
      </c>
      <c r="AO108" s="472">
        <f>COUNTIF(ParicipationMai1[[#This Row],[1]:[31]],Code6)</f>
        <v>0</v>
      </c>
      <c r="AP108" s="472">
        <f>COUNTIF(ParicipationMai1[[#This Row],[1]:[31]],Code7)</f>
        <v>0</v>
      </c>
      <c r="AQ108" s="472">
        <f>COUNTIF(ParicipationMai1[[#This Row],[1]:[31]],Code8)</f>
        <v>0</v>
      </c>
      <c r="AR108" s="472">
        <f>COUNTIF(ParicipationMai1[[#This Row],[1]:[31]],Code9)</f>
        <v>0</v>
      </c>
      <c r="AS108" s="472">
        <f>COUNTIF(ParicipationMai1[[#This Row],[1]:[31]],Code10)</f>
        <v>0</v>
      </c>
      <c r="AT108" s="472">
        <f>COUNTIF(ParicipationMai1[[#This Row],[1]:[31]],Code11)</f>
        <v>0</v>
      </c>
      <c r="AU108" s="472">
        <f>COUNTIF(ParicipationMai1[[#This Row],[1]:[31]],Code12)</f>
        <v>0</v>
      </c>
      <c r="AV108" s="472">
        <f>COUNTIF(ParicipationMai1[[#This Row],[1]:[31]],Code13)</f>
        <v>0</v>
      </c>
      <c r="AW108" s="472">
        <f>COUNTIF(ParicipationMai1[[#This Row],[1]:[31]],Code14)</f>
        <v>0</v>
      </c>
      <c r="AX108" s="472">
        <f>COUNTIF(ParicipationMai1[[#This Row],[1]:[31]],Code15)</f>
        <v>0</v>
      </c>
      <c r="AY108" s="472">
        <f>COUNTIF(ParicipationMai1[[#This Row],[1]:[31]],Code16)</f>
        <v>0</v>
      </c>
      <c r="AZ108" s="472">
        <f>COUNTIF(ParicipationMai1[[#This Row],[1]:[31]],Code17)</f>
        <v>0</v>
      </c>
      <c r="BA108" s="472">
        <f>COUNTIF(ParicipationMai1[[#This Row],[1]:[31]],Code25)</f>
        <v>0</v>
      </c>
      <c r="BB108" s="472">
        <f>COUNTIF(ParicipationMai1[[#This Row],[1]:[31]],Code26)</f>
        <v>0</v>
      </c>
      <c r="BC108" s="472">
        <f>COUNTIF(ParicipationMai1[[#This Row],[1]:[31]],Code27)</f>
        <v>0</v>
      </c>
      <c r="BD108" s="472">
        <f>COUNTIF(ParicipationMai1[[#This Row],[1]:[31]],Code28)</f>
        <v>0</v>
      </c>
      <c r="BE108" s="472">
        <f>COUNTIF(ParicipationMai1[[#This Row],[1]:[31]],code30)</f>
        <v>0</v>
      </c>
      <c r="BF108" s="472">
        <f>COUNTIF(ParicipationMai1[[#This Row],[1]:[31]],Code31)</f>
        <v>0</v>
      </c>
      <c r="BG108" s="472">
        <f>COUNTIF(ParicipationMai1[[#This Row],[1]:[31]],code21)</f>
        <v>0</v>
      </c>
      <c r="BH108" s="472">
        <f>COUNTIF(ParicipationMai1[[#This Row],[1]:[31]],Code24)</f>
        <v>0</v>
      </c>
      <c r="BI108" s="370">
        <f>COUNTIF(ParicipationMai1[[#This Row],[1]:[31]],code18)</f>
        <v>0</v>
      </c>
      <c r="BJ108" s="370">
        <f>COUNTIF(ParicipationMai1[[#This Row],[1]:[31]],code19)</f>
        <v>0</v>
      </c>
      <c r="BK108" s="370">
        <f>COUNTIF(ParicipationMai1[[#This Row],[1]:[31]],code20)</f>
        <v>0</v>
      </c>
      <c r="BL108" s="516">
        <f>COUNTIF(ParicipationMai1[[#This Row],[1]:[31]],code29)</f>
        <v>0</v>
      </c>
      <c r="BM108" s="297"/>
      <c r="BN108" s="297"/>
      <c r="BO108" s="297"/>
      <c r="BP108" s="297"/>
      <c r="BQ108" s="297"/>
      <c r="BR108" s="297"/>
      <c r="BS108" s="297"/>
      <c r="BT108" s="297"/>
      <c r="BU108" s="297"/>
      <c r="BV108" s="297"/>
      <c r="BW108" s="297"/>
      <c r="BX108" s="297"/>
      <c r="BY108" s="297"/>
      <c r="BZ108" s="297"/>
      <c r="CA108" s="297"/>
      <c r="CB108" s="297"/>
      <c r="CC108" s="297"/>
      <c r="CD108" s="297"/>
      <c r="CE108" s="297"/>
      <c r="CF108" s="297"/>
      <c r="CG108" s="297"/>
      <c r="CH108" s="297"/>
      <c r="CI108" s="297"/>
      <c r="CJ108" s="297"/>
      <c r="CK108" s="297"/>
      <c r="CL108" s="297"/>
      <c r="CM108" s="297"/>
      <c r="CN108" s="297"/>
      <c r="CO108" s="297"/>
      <c r="CP108" s="297"/>
      <c r="CQ108" s="297"/>
      <c r="CR108" s="297"/>
      <c r="CS108" s="297"/>
      <c r="CT108" s="472"/>
      <c r="CU108" s="300"/>
      <c r="CV108" s="589">
        <f t="shared" si="4"/>
        <v>0</v>
      </c>
      <c r="CW108" s="501">
        <f t="shared" si="5"/>
        <v>0</v>
      </c>
      <c r="CX108" s="472">
        <f t="shared" si="6"/>
        <v>0</v>
      </c>
      <c r="CY108" s="512">
        <f t="shared" si="7"/>
        <v>0</v>
      </c>
    </row>
    <row r="109" spans="1:103">
      <c r="A109" s="29" t="s">
        <v>450</v>
      </c>
      <c r="B109" s="162" t="str">
        <f>IFERROR(VLOOKUP(ParicipationMai1[[#This Row],[Référence]],ListeÉtudiants1[],18,FALSE),"")</f>
        <v>NOBIAL FABIENNE</v>
      </c>
      <c r="AG109" s="286"/>
      <c r="AH109" s="138">
        <f>COUNTIF(ParicipationMai1[[1]:[31]],Code1)</f>
        <v>0</v>
      </c>
      <c r="AI109" s="474">
        <f>COUNTIF(ParicipationMai1[[1]:[31]],code22)</f>
        <v>0</v>
      </c>
      <c r="AJ109" s="138">
        <f>COUNTIF(ParicipationMai1[[#This Row],[1]:[31]],Code2)</f>
        <v>0</v>
      </c>
      <c r="AK109" s="138">
        <f>COUNTIF(ParicipationMai1[[#This Row],[1]:[31]],Code3)</f>
        <v>0</v>
      </c>
      <c r="AL109" s="138">
        <f>COUNTIF(ParicipationMai1[[#This Row],[1]:[31]],Code4)</f>
        <v>0</v>
      </c>
      <c r="AM109" s="472">
        <f>COUNTIF(ParicipationMai1[[#This Row],[1]:[31]],Code5)</f>
        <v>0</v>
      </c>
      <c r="AN109" s="472">
        <f>COUNTIF(ParicipationMai1[[#This Row],[1]:[31]],Code23)</f>
        <v>0</v>
      </c>
      <c r="AO109" s="472">
        <f>COUNTIF(ParicipationMai1[[#This Row],[1]:[31]],Code6)</f>
        <v>0</v>
      </c>
      <c r="AP109" s="472">
        <f>COUNTIF(ParicipationMai1[[#This Row],[1]:[31]],Code7)</f>
        <v>0</v>
      </c>
      <c r="AQ109" s="472">
        <f>COUNTIF(ParicipationMai1[[#This Row],[1]:[31]],Code8)</f>
        <v>0</v>
      </c>
      <c r="AR109" s="472">
        <f>COUNTIF(ParicipationMai1[[#This Row],[1]:[31]],Code9)</f>
        <v>0</v>
      </c>
      <c r="AS109" s="472">
        <f>COUNTIF(ParicipationMai1[[#This Row],[1]:[31]],Code10)</f>
        <v>0</v>
      </c>
      <c r="AT109" s="472">
        <f>COUNTIF(ParicipationMai1[[#This Row],[1]:[31]],Code11)</f>
        <v>0</v>
      </c>
      <c r="AU109" s="472">
        <f>COUNTIF(ParicipationMai1[[#This Row],[1]:[31]],Code12)</f>
        <v>0</v>
      </c>
      <c r="AV109" s="472">
        <f>COUNTIF(ParicipationMai1[[#This Row],[1]:[31]],Code13)</f>
        <v>0</v>
      </c>
      <c r="AW109" s="472">
        <f>COUNTIF(ParicipationMai1[[#This Row],[1]:[31]],Code14)</f>
        <v>0</v>
      </c>
      <c r="AX109" s="472">
        <f>COUNTIF(ParicipationMai1[[#This Row],[1]:[31]],Code15)</f>
        <v>0</v>
      </c>
      <c r="AY109" s="472">
        <f>COUNTIF(ParicipationMai1[[#This Row],[1]:[31]],Code16)</f>
        <v>0</v>
      </c>
      <c r="AZ109" s="472">
        <f>COUNTIF(ParicipationMai1[[#This Row],[1]:[31]],Code17)</f>
        <v>0</v>
      </c>
      <c r="BA109" s="472">
        <f>COUNTIF(ParicipationMai1[[#This Row],[1]:[31]],Code25)</f>
        <v>0</v>
      </c>
      <c r="BB109" s="472">
        <f>COUNTIF(ParicipationMai1[[#This Row],[1]:[31]],Code26)</f>
        <v>0</v>
      </c>
      <c r="BC109" s="472">
        <f>COUNTIF(ParicipationMai1[[#This Row],[1]:[31]],Code27)</f>
        <v>0</v>
      </c>
      <c r="BD109" s="472">
        <f>COUNTIF(ParicipationMai1[[#This Row],[1]:[31]],Code28)</f>
        <v>0</v>
      </c>
      <c r="BE109" s="472">
        <f>COUNTIF(ParicipationMai1[[#This Row],[1]:[31]],code30)</f>
        <v>0</v>
      </c>
      <c r="BF109" s="472">
        <f>COUNTIF(ParicipationMai1[[#This Row],[1]:[31]],Code31)</f>
        <v>0</v>
      </c>
      <c r="BG109" s="472">
        <f>COUNTIF(ParicipationMai1[[#This Row],[1]:[31]],code21)</f>
        <v>0</v>
      </c>
      <c r="BH109" s="472">
        <f>COUNTIF(ParicipationMai1[[#This Row],[1]:[31]],Code24)</f>
        <v>0</v>
      </c>
      <c r="BI109" s="370">
        <f>COUNTIF(ParicipationMai1[[#This Row],[1]:[31]],code18)</f>
        <v>0</v>
      </c>
      <c r="BJ109" s="370">
        <f>COUNTIF(ParicipationMai1[[#This Row],[1]:[31]],code19)</f>
        <v>0</v>
      </c>
      <c r="BK109" s="370">
        <f>COUNTIF(ParicipationMai1[[#This Row],[1]:[31]],code20)</f>
        <v>0</v>
      </c>
      <c r="BL109" s="516">
        <f>COUNTIF(ParicipationMai1[[#This Row],[1]:[31]],code29)</f>
        <v>0</v>
      </c>
      <c r="BM109" s="297"/>
      <c r="BN109" s="297"/>
      <c r="BO109" s="297"/>
      <c r="BP109" s="297"/>
      <c r="BQ109" s="297"/>
      <c r="BR109" s="297"/>
      <c r="BS109" s="297"/>
      <c r="BT109" s="297"/>
      <c r="BU109" s="297"/>
      <c r="BV109" s="297"/>
      <c r="BW109" s="297"/>
      <c r="BX109" s="297"/>
      <c r="BY109" s="297"/>
      <c r="BZ109" s="297"/>
      <c r="CA109" s="297"/>
      <c r="CB109" s="297"/>
      <c r="CC109" s="297"/>
      <c r="CD109" s="297"/>
      <c r="CE109" s="297"/>
      <c r="CF109" s="297"/>
      <c r="CG109" s="297"/>
      <c r="CH109" s="297"/>
      <c r="CI109" s="297"/>
      <c r="CJ109" s="297"/>
      <c r="CK109" s="297"/>
      <c r="CL109" s="297"/>
      <c r="CM109" s="297"/>
      <c r="CN109" s="297"/>
      <c r="CO109" s="297"/>
      <c r="CP109" s="297"/>
      <c r="CQ109" s="297"/>
      <c r="CR109" s="297"/>
      <c r="CS109" s="297"/>
      <c r="CT109" s="472"/>
      <c r="CU109" s="300"/>
      <c r="CV109" s="589">
        <f t="shared" si="4"/>
        <v>0</v>
      </c>
      <c r="CW109" s="501">
        <f t="shared" si="5"/>
        <v>0</v>
      </c>
      <c r="CX109" s="472">
        <f t="shared" si="6"/>
        <v>0</v>
      </c>
      <c r="CY109" s="512">
        <f t="shared" si="7"/>
        <v>0</v>
      </c>
    </row>
    <row r="110" spans="1:103">
      <c r="A110" s="29" t="s">
        <v>451</v>
      </c>
      <c r="B110" s="162" t="str">
        <f>IFERROR(VLOOKUP(ParicipationMai1[[#This Row],[Référence]],ListeÉtudiants1[],18,FALSE),"")</f>
        <v>OUSSENI-COMBO ROMINAH</v>
      </c>
      <c r="AG110" s="286"/>
      <c r="AH110" s="138">
        <f>COUNTIF(ParicipationMai1[[1]:[31]],Code1)</f>
        <v>0</v>
      </c>
      <c r="AI110" s="474">
        <f>COUNTIF(ParicipationMai1[[1]:[31]],code22)</f>
        <v>0</v>
      </c>
      <c r="AJ110" s="138">
        <f>COUNTIF(ParicipationMai1[[#This Row],[1]:[31]],Code2)</f>
        <v>0</v>
      </c>
      <c r="AK110" s="138">
        <f>COUNTIF(ParicipationMai1[[#This Row],[1]:[31]],Code3)</f>
        <v>0</v>
      </c>
      <c r="AL110" s="138">
        <f>COUNTIF(ParicipationMai1[[#This Row],[1]:[31]],Code4)</f>
        <v>0</v>
      </c>
      <c r="AM110" s="472">
        <f>COUNTIF(ParicipationMai1[[#This Row],[1]:[31]],Code5)</f>
        <v>0</v>
      </c>
      <c r="AN110" s="472">
        <f>COUNTIF(ParicipationMai1[[#This Row],[1]:[31]],Code23)</f>
        <v>0</v>
      </c>
      <c r="AO110" s="472">
        <f>COUNTIF(ParicipationMai1[[#This Row],[1]:[31]],Code6)</f>
        <v>0</v>
      </c>
      <c r="AP110" s="472">
        <f>COUNTIF(ParicipationMai1[[#This Row],[1]:[31]],Code7)</f>
        <v>0</v>
      </c>
      <c r="AQ110" s="472">
        <f>COUNTIF(ParicipationMai1[[#This Row],[1]:[31]],Code8)</f>
        <v>0</v>
      </c>
      <c r="AR110" s="472">
        <f>COUNTIF(ParicipationMai1[[#This Row],[1]:[31]],Code9)</f>
        <v>0</v>
      </c>
      <c r="AS110" s="472">
        <f>COUNTIF(ParicipationMai1[[#This Row],[1]:[31]],Code10)</f>
        <v>0</v>
      </c>
      <c r="AT110" s="472">
        <f>COUNTIF(ParicipationMai1[[#This Row],[1]:[31]],Code11)</f>
        <v>0</v>
      </c>
      <c r="AU110" s="472">
        <f>COUNTIF(ParicipationMai1[[#This Row],[1]:[31]],Code12)</f>
        <v>0</v>
      </c>
      <c r="AV110" s="472">
        <f>COUNTIF(ParicipationMai1[[#This Row],[1]:[31]],Code13)</f>
        <v>0</v>
      </c>
      <c r="AW110" s="472">
        <f>COUNTIF(ParicipationMai1[[#This Row],[1]:[31]],Code14)</f>
        <v>0</v>
      </c>
      <c r="AX110" s="472">
        <f>COUNTIF(ParicipationMai1[[#This Row],[1]:[31]],Code15)</f>
        <v>0</v>
      </c>
      <c r="AY110" s="472">
        <f>COUNTIF(ParicipationMai1[[#This Row],[1]:[31]],Code16)</f>
        <v>0</v>
      </c>
      <c r="AZ110" s="472">
        <f>COUNTIF(ParicipationMai1[[#This Row],[1]:[31]],Code17)</f>
        <v>0</v>
      </c>
      <c r="BA110" s="472">
        <f>COUNTIF(ParicipationMai1[[#This Row],[1]:[31]],Code25)</f>
        <v>0</v>
      </c>
      <c r="BB110" s="472">
        <f>COUNTIF(ParicipationMai1[[#This Row],[1]:[31]],Code26)</f>
        <v>0</v>
      </c>
      <c r="BC110" s="472">
        <f>COUNTIF(ParicipationMai1[[#This Row],[1]:[31]],Code27)</f>
        <v>0</v>
      </c>
      <c r="BD110" s="472">
        <f>COUNTIF(ParicipationMai1[[#This Row],[1]:[31]],Code28)</f>
        <v>0</v>
      </c>
      <c r="BE110" s="472">
        <f>COUNTIF(ParicipationMai1[[#This Row],[1]:[31]],code30)</f>
        <v>0</v>
      </c>
      <c r="BF110" s="472">
        <f>COUNTIF(ParicipationMai1[[#This Row],[1]:[31]],Code31)</f>
        <v>0</v>
      </c>
      <c r="BG110" s="472">
        <f>COUNTIF(ParicipationMai1[[#This Row],[1]:[31]],code21)</f>
        <v>0</v>
      </c>
      <c r="BH110" s="472">
        <f>COUNTIF(ParicipationMai1[[#This Row],[1]:[31]],Code24)</f>
        <v>0</v>
      </c>
      <c r="BI110" s="370">
        <f>COUNTIF(ParicipationMai1[[#This Row],[1]:[31]],code18)</f>
        <v>0</v>
      </c>
      <c r="BJ110" s="370">
        <f>COUNTIF(ParicipationMai1[[#This Row],[1]:[31]],code19)</f>
        <v>0</v>
      </c>
      <c r="BK110" s="370">
        <f>COUNTIF(ParicipationMai1[[#This Row],[1]:[31]],code20)</f>
        <v>0</v>
      </c>
      <c r="BL110" s="516">
        <f>COUNTIF(ParicipationMai1[[#This Row],[1]:[31]],code29)</f>
        <v>0</v>
      </c>
      <c r="BM110" s="297"/>
      <c r="BN110" s="297"/>
      <c r="BO110" s="297"/>
      <c r="BP110" s="297"/>
      <c r="BQ110" s="297"/>
      <c r="BR110" s="297"/>
      <c r="BS110" s="297"/>
      <c r="BT110" s="297"/>
      <c r="BU110" s="297"/>
      <c r="BV110" s="297"/>
      <c r="BW110" s="297"/>
      <c r="BX110" s="297"/>
      <c r="BY110" s="297"/>
      <c r="BZ110" s="297"/>
      <c r="CA110" s="297"/>
      <c r="CB110" s="297"/>
      <c r="CC110" s="297"/>
      <c r="CD110" s="297"/>
      <c r="CE110" s="297"/>
      <c r="CF110" s="297"/>
      <c r="CG110" s="297"/>
      <c r="CH110" s="297"/>
      <c r="CI110" s="297"/>
      <c r="CJ110" s="297"/>
      <c r="CK110" s="297"/>
      <c r="CL110" s="297"/>
      <c r="CM110" s="297"/>
      <c r="CN110" s="297"/>
      <c r="CO110" s="297"/>
      <c r="CP110" s="297"/>
      <c r="CQ110" s="297"/>
      <c r="CR110" s="297"/>
      <c r="CS110" s="297"/>
      <c r="CT110" s="472"/>
      <c r="CU110" s="300"/>
      <c r="CV110" s="589">
        <f t="shared" si="4"/>
        <v>0</v>
      </c>
      <c r="CW110" s="501">
        <f t="shared" si="5"/>
        <v>0</v>
      </c>
      <c r="CX110" s="472">
        <f t="shared" si="6"/>
        <v>0</v>
      </c>
      <c r="CY110" s="512">
        <f t="shared" si="7"/>
        <v>0</v>
      </c>
    </row>
    <row r="111" spans="1:103">
      <c r="A111" s="29" t="s">
        <v>452</v>
      </c>
      <c r="B111" s="162" t="str">
        <f>IFERROR(VLOOKUP(ParicipationMai1[[#This Row],[Référence]],ListeÉtudiants1[],18,FALSE),"")</f>
        <v>PAPAIL SIMON</v>
      </c>
      <c r="AG111" s="286"/>
      <c r="AH111" s="138">
        <f>COUNTIF(ParicipationMai1[[1]:[31]],Code1)</f>
        <v>0</v>
      </c>
      <c r="AI111" s="474">
        <f>COUNTIF(ParicipationMai1[[1]:[31]],code22)</f>
        <v>0</v>
      </c>
      <c r="AJ111" s="138">
        <f>COUNTIF(ParicipationMai1[[#This Row],[1]:[31]],Code2)</f>
        <v>0</v>
      </c>
      <c r="AK111" s="138">
        <f>COUNTIF(ParicipationMai1[[#This Row],[1]:[31]],Code3)</f>
        <v>0</v>
      </c>
      <c r="AL111" s="138">
        <f>COUNTIF(ParicipationMai1[[#This Row],[1]:[31]],Code4)</f>
        <v>0</v>
      </c>
      <c r="AM111" s="472">
        <f>COUNTIF(ParicipationMai1[[#This Row],[1]:[31]],Code5)</f>
        <v>0</v>
      </c>
      <c r="AN111" s="472">
        <f>COUNTIF(ParicipationMai1[[#This Row],[1]:[31]],Code23)</f>
        <v>0</v>
      </c>
      <c r="AO111" s="472">
        <f>COUNTIF(ParicipationMai1[[#This Row],[1]:[31]],Code6)</f>
        <v>0</v>
      </c>
      <c r="AP111" s="472">
        <f>COUNTIF(ParicipationMai1[[#This Row],[1]:[31]],Code7)</f>
        <v>0</v>
      </c>
      <c r="AQ111" s="472">
        <f>COUNTIF(ParicipationMai1[[#This Row],[1]:[31]],Code8)</f>
        <v>0</v>
      </c>
      <c r="AR111" s="472">
        <f>COUNTIF(ParicipationMai1[[#This Row],[1]:[31]],Code9)</f>
        <v>0</v>
      </c>
      <c r="AS111" s="472">
        <f>COUNTIF(ParicipationMai1[[#This Row],[1]:[31]],Code10)</f>
        <v>0</v>
      </c>
      <c r="AT111" s="472">
        <f>COUNTIF(ParicipationMai1[[#This Row],[1]:[31]],Code11)</f>
        <v>0</v>
      </c>
      <c r="AU111" s="472">
        <f>COUNTIF(ParicipationMai1[[#This Row],[1]:[31]],Code12)</f>
        <v>0</v>
      </c>
      <c r="AV111" s="472">
        <f>COUNTIF(ParicipationMai1[[#This Row],[1]:[31]],Code13)</f>
        <v>0</v>
      </c>
      <c r="AW111" s="472">
        <f>COUNTIF(ParicipationMai1[[#This Row],[1]:[31]],Code14)</f>
        <v>0</v>
      </c>
      <c r="AX111" s="472">
        <f>COUNTIF(ParicipationMai1[[#This Row],[1]:[31]],Code15)</f>
        <v>0</v>
      </c>
      <c r="AY111" s="472">
        <f>COUNTIF(ParicipationMai1[[#This Row],[1]:[31]],Code16)</f>
        <v>0</v>
      </c>
      <c r="AZ111" s="472">
        <f>COUNTIF(ParicipationMai1[[#This Row],[1]:[31]],Code17)</f>
        <v>0</v>
      </c>
      <c r="BA111" s="472">
        <f>COUNTIF(ParicipationMai1[[#This Row],[1]:[31]],Code25)</f>
        <v>0</v>
      </c>
      <c r="BB111" s="472">
        <f>COUNTIF(ParicipationMai1[[#This Row],[1]:[31]],Code26)</f>
        <v>0</v>
      </c>
      <c r="BC111" s="472">
        <f>COUNTIF(ParicipationMai1[[#This Row],[1]:[31]],Code27)</f>
        <v>0</v>
      </c>
      <c r="BD111" s="472">
        <f>COUNTIF(ParicipationMai1[[#This Row],[1]:[31]],Code28)</f>
        <v>0</v>
      </c>
      <c r="BE111" s="472">
        <f>COUNTIF(ParicipationMai1[[#This Row],[1]:[31]],code30)</f>
        <v>0</v>
      </c>
      <c r="BF111" s="472">
        <f>COUNTIF(ParicipationMai1[[#This Row],[1]:[31]],Code31)</f>
        <v>0</v>
      </c>
      <c r="BG111" s="472">
        <f>COUNTIF(ParicipationMai1[[#This Row],[1]:[31]],code21)</f>
        <v>0</v>
      </c>
      <c r="BH111" s="472">
        <f>COUNTIF(ParicipationMai1[[#This Row],[1]:[31]],Code24)</f>
        <v>0</v>
      </c>
      <c r="BI111" s="370">
        <f>COUNTIF(ParicipationMai1[[#This Row],[1]:[31]],code18)</f>
        <v>0</v>
      </c>
      <c r="BJ111" s="370">
        <f>COUNTIF(ParicipationMai1[[#This Row],[1]:[31]],code19)</f>
        <v>0</v>
      </c>
      <c r="BK111" s="370">
        <f>COUNTIF(ParicipationMai1[[#This Row],[1]:[31]],code20)</f>
        <v>0</v>
      </c>
      <c r="BL111" s="516">
        <f>COUNTIF(ParicipationMai1[[#This Row],[1]:[31]],code29)</f>
        <v>0</v>
      </c>
      <c r="BM111" s="297"/>
      <c r="BN111" s="297"/>
      <c r="BO111" s="297"/>
      <c r="BP111" s="297"/>
      <c r="BQ111" s="297"/>
      <c r="BR111" s="297"/>
      <c r="BS111" s="297"/>
      <c r="BT111" s="297"/>
      <c r="BU111" s="297"/>
      <c r="BV111" s="297"/>
      <c r="BW111" s="297"/>
      <c r="BX111" s="297"/>
      <c r="BY111" s="297"/>
      <c r="BZ111" s="297"/>
      <c r="CA111" s="297"/>
      <c r="CB111" s="297"/>
      <c r="CC111" s="297"/>
      <c r="CD111" s="297"/>
      <c r="CE111" s="297"/>
      <c r="CF111" s="297"/>
      <c r="CG111" s="297"/>
      <c r="CH111" s="297"/>
      <c r="CI111" s="297"/>
      <c r="CJ111" s="297"/>
      <c r="CK111" s="297"/>
      <c r="CL111" s="297"/>
      <c r="CM111" s="297"/>
      <c r="CN111" s="297"/>
      <c r="CO111" s="297"/>
      <c r="CP111" s="297"/>
      <c r="CQ111" s="297"/>
      <c r="CR111" s="297"/>
      <c r="CS111" s="297"/>
      <c r="CT111" s="472"/>
      <c r="CU111" s="300"/>
      <c r="CV111" s="589">
        <f t="shared" si="4"/>
        <v>0</v>
      </c>
      <c r="CW111" s="501">
        <f t="shared" si="5"/>
        <v>0</v>
      </c>
      <c r="CX111" s="472">
        <f t="shared" si="6"/>
        <v>0</v>
      </c>
      <c r="CY111" s="512">
        <f t="shared" si="7"/>
        <v>0</v>
      </c>
    </row>
    <row r="112" spans="1:103">
      <c r="A112" s="29" t="s">
        <v>453</v>
      </c>
      <c r="B112" s="162" t="str">
        <f>IFERROR(VLOOKUP(ParicipationMai1[[#This Row],[Référence]],ListeÉtudiants1[],18,FALSE),"")</f>
        <v>PICARDET LISSANNDRA</v>
      </c>
      <c r="AG112" s="286"/>
      <c r="AH112" s="138">
        <f>COUNTIF(ParicipationMai1[[1]:[31]],Code1)</f>
        <v>0</v>
      </c>
      <c r="AI112" s="474">
        <f>COUNTIF(ParicipationMai1[[1]:[31]],code22)</f>
        <v>0</v>
      </c>
      <c r="AJ112" s="138">
        <f>COUNTIF(ParicipationMai1[[#This Row],[1]:[31]],Code2)</f>
        <v>0</v>
      </c>
      <c r="AK112" s="138">
        <f>COUNTIF(ParicipationMai1[[#This Row],[1]:[31]],Code3)</f>
        <v>0</v>
      </c>
      <c r="AL112" s="138">
        <f>COUNTIF(ParicipationMai1[[#This Row],[1]:[31]],Code4)</f>
        <v>0</v>
      </c>
      <c r="AM112" s="472">
        <f>COUNTIF(ParicipationMai1[[#This Row],[1]:[31]],Code5)</f>
        <v>0</v>
      </c>
      <c r="AN112" s="472">
        <f>COUNTIF(ParicipationMai1[[#This Row],[1]:[31]],Code23)</f>
        <v>0</v>
      </c>
      <c r="AO112" s="472">
        <f>COUNTIF(ParicipationMai1[[#This Row],[1]:[31]],Code6)</f>
        <v>0</v>
      </c>
      <c r="AP112" s="472">
        <f>COUNTIF(ParicipationMai1[[#This Row],[1]:[31]],Code7)</f>
        <v>0</v>
      </c>
      <c r="AQ112" s="472">
        <f>COUNTIF(ParicipationMai1[[#This Row],[1]:[31]],Code8)</f>
        <v>0</v>
      </c>
      <c r="AR112" s="472">
        <f>COUNTIF(ParicipationMai1[[#This Row],[1]:[31]],Code9)</f>
        <v>0</v>
      </c>
      <c r="AS112" s="472">
        <f>COUNTIF(ParicipationMai1[[#This Row],[1]:[31]],Code10)</f>
        <v>0</v>
      </c>
      <c r="AT112" s="472">
        <f>COUNTIF(ParicipationMai1[[#This Row],[1]:[31]],Code11)</f>
        <v>0</v>
      </c>
      <c r="AU112" s="472">
        <f>COUNTIF(ParicipationMai1[[#This Row],[1]:[31]],Code12)</f>
        <v>0</v>
      </c>
      <c r="AV112" s="472">
        <f>COUNTIF(ParicipationMai1[[#This Row],[1]:[31]],Code13)</f>
        <v>0</v>
      </c>
      <c r="AW112" s="472">
        <f>COUNTIF(ParicipationMai1[[#This Row],[1]:[31]],Code14)</f>
        <v>0</v>
      </c>
      <c r="AX112" s="472">
        <f>COUNTIF(ParicipationMai1[[#This Row],[1]:[31]],Code15)</f>
        <v>0</v>
      </c>
      <c r="AY112" s="472">
        <f>COUNTIF(ParicipationMai1[[#This Row],[1]:[31]],Code16)</f>
        <v>0</v>
      </c>
      <c r="AZ112" s="472">
        <f>COUNTIF(ParicipationMai1[[#This Row],[1]:[31]],Code17)</f>
        <v>0</v>
      </c>
      <c r="BA112" s="472">
        <f>COUNTIF(ParicipationMai1[[#This Row],[1]:[31]],Code25)</f>
        <v>0</v>
      </c>
      <c r="BB112" s="472">
        <f>COUNTIF(ParicipationMai1[[#This Row],[1]:[31]],Code26)</f>
        <v>0</v>
      </c>
      <c r="BC112" s="472">
        <f>COUNTIF(ParicipationMai1[[#This Row],[1]:[31]],Code27)</f>
        <v>0</v>
      </c>
      <c r="BD112" s="472">
        <f>COUNTIF(ParicipationMai1[[#This Row],[1]:[31]],Code28)</f>
        <v>0</v>
      </c>
      <c r="BE112" s="472">
        <f>COUNTIF(ParicipationMai1[[#This Row],[1]:[31]],code30)</f>
        <v>0</v>
      </c>
      <c r="BF112" s="472">
        <f>COUNTIF(ParicipationMai1[[#This Row],[1]:[31]],Code31)</f>
        <v>0</v>
      </c>
      <c r="BG112" s="472">
        <f>COUNTIF(ParicipationMai1[[#This Row],[1]:[31]],code21)</f>
        <v>0</v>
      </c>
      <c r="BH112" s="472">
        <f>COUNTIF(ParicipationMai1[[#This Row],[1]:[31]],Code24)</f>
        <v>0</v>
      </c>
      <c r="BI112" s="370">
        <f>COUNTIF(ParicipationMai1[[#This Row],[1]:[31]],code18)</f>
        <v>0</v>
      </c>
      <c r="BJ112" s="370">
        <f>COUNTIF(ParicipationMai1[[#This Row],[1]:[31]],code19)</f>
        <v>0</v>
      </c>
      <c r="BK112" s="370">
        <f>COUNTIF(ParicipationMai1[[#This Row],[1]:[31]],code20)</f>
        <v>0</v>
      </c>
      <c r="BL112" s="516">
        <f>COUNTIF(ParicipationMai1[[#This Row],[1]:[31]],code29)</f>
        <v>0</v>
      </c>
      <c r="BM112" s="297"/>
      <c r="BN112" s="297"/>
      <c r="BO112" s="297"/>
      <c r="BP112" s="297"/>
      <c r="BQ112" s="297"/>
      <c r="BR112" s="297"/>
      <c r="BS112" s="297"/>
      <c r="BT112" s="297"/>
      <c r="BU112" s="297"/>
      <c r="BV112" s="297"/>
      <c r="BW112" s="297"/>
      <c r="BX112" s="297"/>
      <c r="BY112" s="297"/>
      <c r="BZ112" s="297"/>
      <c r="CA112" s="297"/>
      <c r="CB112" s="297"/>
      <c r="CC112" s="297"/>
      <c r="CD112" s="297"/>
      <c r="CE112" s="297"/>
      <c r="CF112" s="297"/>
      <c r="CG112" s="297"/>
      <c r="CH112" s="297"/>
      <c r="CI112" s="297"/>
      <c r="CJ112" s="297"/>
      <c r="CK112" s="297"/>
      <c r="CL112" s="297"/>
      <c r="CM112" s="297"/>
      <c r="CN112" s="297"/>
      <c r="CO112" s="297"/>
      <c r="CP112" s="297"/>
      <c r="CQ112" s="297"/>
      <c r="CR112" s="297"/>
      <c r="CS112" s="297"/>
      <c r="CT112" s="472"/>
      <c r="CU112" s="300"/>
      <c r="CV112" s="589">
        <f t="shared" si="4"/>
        <v>0</v>
      </c>
      <c r="CW112" s="501">
        <f t="shared" si="5"/>
        <v>0</v>
      </c>
      <c r="CX112" s="472">
        <f t="shared" si="6"/>
        <v>0</v>
      </c>
      <c r="CY112" s="512">
        <f t="shared" si="7"/>
        <v>0</v>
      </c>
    </row>
    <row r="113" spans="1:103">
      <c r="A113" s="29" t="s">
        <v>454</v>
      </c>
      <c r="B113" s="162" t="str">
        <f>IFERROR(VLOOKUP(ParicipationMai1[[#This Row],[Référence]],ListeÉtudiants1[],18,FALSE),"")</f>
        <v>PIRES KEVIN</v>
      </c>
      <c r="AG113" s="286"/>
      <c r="AH113" s="138">
        <f>COUNTIF(ParicipationMai1[[1]:[31]],Code1)</f>
        <v>0</v>
      </c>
      <c r="AI113" s="474">
        <f>COUNTIF(ParicipationMai1[[1]:[31]],code22)</f>
        <v>0</v>
      </c>
      <c r="AJ113" s="138">
        <f>COUNTIF(ParicipationMai1[[#This Row],[1]:[31]],Code2)</f>
        <v>0</v>
      </c>
      <c r="AK113" s="138">
        <f>COUNTIF(ParicipationMai1[[#This Row],[1]:[31]],Code3)</f>
        <v>0</v>
      </c>
      <c r="AL113" s="138">
        <f>COUNTIF(ParicipationMai1[[#This Row],[1]:[31]],Code4)</f>
        <v>0</v>
      </c>
      <c r="AM113" s="472">
        <f>COUNTIF(ParicipationMai1[[#This Row],[1]:[31]],Code5)</f>
        <v>0</v>
      </c>
      <c r="AN113" s="472">
        <f>COUNTIF(ParicipationMai1[[#This Row],[1]:[31]],Code23)</f>
        <v>0</v>
      </c>
      <c r="AO113" s="472">
        <f>COUNTIF(ParicipationMai1[[#This Row],[1]:[31]],Code6)</f>
        <v>0</v>
      </c>
      <c r="AP113" s="472">
        <f>COUNTIF(ParicipationMai1[[#This Row],[1]:[31]],Code7)</f>
        <v>0</v>
      </c>
      <c r="AQ113" s="472">
        <f>COUNTIF(ParicipationMai1[[#This Row],[1]:[31]],Code8)</f>
        <v>0</v>
      </c>
      <c r="AR113" s="472">
        <f>COUNTIF(ParicipationMai1[[#This Row],[1]:[31]],Code9)</f>
        <v>0</v>
      </c>
      <c r="AS113" s="472">
        <f>COUNTIF(ParicipationMai1[[#This Row],[1]:[31]],Code10)</f>
        <v>0</v>
      </c>
      <c r="AT113" s="472">
        <f>COUNTIF(ParicipationMai1[[#This Row],[1]:[31]],Code11)</f>
        <v>0</v>
      </c>
      <c r="AU113" s="472">
        <f>COUNTIF(ParicipationMai1[[#This Row],[1]:[31]],Code12)</f>
        <v>0</v>
      </c>
      <c r="AV113" s="472">
        <f>COUNTIF(ParicipationMai1[[#This Row],[1]:[31]],Code13)</f>
        <v>0</v>
      </c>
      <c r="AW113" s="472">
        <f>COUNTIF(ParicipationMai1[[#This Row],[1]:[31]],Code14)</f>
        <v>0</v>
      </c>
      <c r="AX113" s="472">
        <f>COUNTIF(ParicipationMai1[[#This Row],[1]:[31]],Code15)</f>
        <v>0</v>
      </c>
      <c r="AY113" s="472">
        <f>COUNTIF(ParicipationMai1[[#This Row],[1]:[31]],Code16)</f>
        <v>0</v>
      </c>
      <c r="AZ113" s="472">
        <f>COUNTIF(ParicipationMai1[[#This Row],[1]:[31]],Code17)</f>
        <v>0</v>
      </c>
      <c r="BA113" s="472">
        <f>COUNTIF(ParicipationMai1[[#This Row],[1]:[31]],Code25)</f>
        <v>0</v>
      </c>
      <c r="BB113" s="472">
        <f>COUNTIF(ParicipationMai1[[#This Row],[1]:[31]],Code26)</f>
        <v>0</v>
      </c>
      <c r="BC113" s="472">
        <f>COUNTIF(ParicipationMai1[[#This Row],[1]:[31]],Code27)</f>
        <v>0</v>
      </c>
      <c r="BD113" s="472">
        <f>COUNTIF(ParicipationMai1[[#This Row],[1]:[31]],Code28)</f>
        <v>0</v>
      </c>
      <c r="BE113" s="472">
        <f>COUNTIF(ParicipationMai1[[#This Row],[1]:[31]],code30)</f>
        <v>0</v>
      </c>
      <c r="BF113" s="472">
        <f>COUNTIF(ParicipationMai1[[#This Row],[1]:[31]],Code31)</f>
        <v>0</v>
      </c>
      <c r="BG113" s="472">
        <f>COUNTIF(ParicipationMai1[[#This Row],[1]:[31]],code21)</f>
        <v>0</v>
      </c>
      <c r="BH113" s="472">
        <f>COUNTIF(ParicipationMai1[[#This Row],[1]:[31]],Code24)</f>
        <v>0</v>
      </c>
      <c r="BI113" s="370">
        <f>COUNTIF(ParicipationMai1[[#This Row],[1]:[31]],code18)</f>
        <v>0</v>
      </c>
      <c r="BJ113" s="370">
        <f>COUNTIF(ParicipationMai1[[#This Row],[1]:[31]],code19)</f>
        <v>0</v>
      </c>
      <c r="BK113" s="370">
        <f>COUNTIF(ParicipationMai1[[#This Row],[1]:[31]],code20)</f>
        <v>0</v>
      </c>
      <c r="BL113" s="516">
        <f>COUNTIF(ParicipationMai1[[#This Row],[1]:[31]],code29)</f>
        <v>0</v>
      </c>
      <c r="BM113" s="297"/>
      <c r="BN113" s="297"/>
      <c r="BO113" s="297"/>
      <c r="BP113" s="297"/>
      <c r="BQ113" s="297"/>
      <c r="BR113" s="297"/>
      <c r="BS113" s="297"/>
      <c r="BT113" s="297"/>
      <c r="BU113" s="297"/>
      <c r="BV113" s="297"/>
      <c r="BW113" s="297"/>
      <c r="BX113" s="297"/>
      <c r="BY113" s="297"/>
      <c r="BZ113" s="297"/>
      <c r="CA113" s="297"/>
      <c r="CB113" s="297"/>
      <c r="CC113" s="297"/>
      <c r="CD113" s="297"/>
      <c r="CE113" s="297"/>
      <c r="CF113" s="297"/>
      <c r="CG113" s="297"/>
      <c r="CH113" s="297"/>
      <c r="CI113" s="297"/>
      <c r="CJ113" s="297"/>
      <c r="CK113" s="297"/>
      <c r="CL113" s="297"/>
      <c r="CM113" s="297"/>
      <c r="CN113" s="297"/>
      <c r="CO113" s="297"/>
      <c r="CP113" s="297"/>
      <c r="CQ113" s="297"/>
      <c r="CR113" s="297"/>
      <c r="CS113" s="297"/>
      <c r="CT113" s="472"/>
      <c r="CU113" s="300"/>
      <c r="CV113" s="589">
        <f t="shared" si="4"/>
        <v>0</v>
      </c>
      <c r="CW113" s="501">
        <f t="shared" si="5"/>
        <v>0</v>
      </c>
      <c r="CX113" s="472">
        <f t="shared" si="6"/>
        <v>0</v>
      </c>
      <c r="CY113" s="512">
        <f t="shared" si="7"/>
        <v>0</v>
      </c>
    </row>
    <row r="114" spans="1:103">
      <c r="A114" s="29" t="s">
        <v>455</v>
      </c>
      <c r="B114" s="162" t="str">
        <f>IFERROR(VLOOKUP(ParicipationMai1[[#This Row],[Référence]],ListeÉtudiants1[],18,FALSE),"")</f>
        <v>PITKIAYE MPOUTOU JESSICA</v>
      </c>
      <c r="AG114" s="286"/>
      <c r="AH114" s="138">
        <f>COUNTIF(ParicipationMai1[[1]:[31]],Code1)</f>
        <v>0</v>
      </c>
      <c r="AI114" s="474">
        <f>COUNTIF(ParicipationMai1[[1]:[31]],code22)</f>
        <v>0</v>
      </c>
      <c r="AJ114" s="138">
        <f>COUNTIF(ParicipationMai1[[#This Row],[1]:[31]],Code2)</f>
        <v>0</v>
      </c>
      <c r="AK114" s="138">
        <f>COUNTIF(ParicipationMai1[[#This Row],[1]:[31]],Code3)</f>
        <v>0</v>
      </c>
      <c r="AL114" s="138">
        <f>COUNTIF(ParicipationMai1[[#This Row],[1]:[31]],Code4)</f>
        <v>0</v>
      </c>
      <c r="AM114" s="472">
        <f>COUNTIF(ParicipationMai1[[#This Row],[1]:[31]],Code5)</f>
        <v>0</v>
      </c>
      <c r="AN114" s="472">
        <f>COUNTIF(ParicipationMai1[[#This Row],[1]:[31]],Code23)</f>
        <v>0</v>
      </c>
      <c r="AO114" s="472">
        <f>COUNTIF(ParicipationMai1[[#This Row],[1]:[31]],Code6)</f>
        <v>0</v>
      </c>
      <c r="AP114" s="472">
        <f>COUNTIF(ParicipationMai1[[#This Row],[1]:[31]],Code7)</f>
        <v>0</v>
      </c>
      <c r="AQ114" s="472">
        <f>COUNTIF(ParicipationMai1[[#This Row],[1]:[31]],Code8)</f>
        <v>0</v>
      </c>
      <c r="AR114" s="472">
        <f>COUNTIF(ParicipationMai1[[#This Row],[1]:[31]],Code9)</f>
        <v>0</v>
      </c>
      <c r="AS114" s="472">
        <f>COUNTIF(ParicipationMai1[[#This Row],[1]:[31]],Code10)</f>
        <v>0</v>
      </c>
      <c r="AT114" s="472">
        <f>COUNTIF(ParicipationMai1[[#This Row],[1]:[31]],Code11)</f>
        <v>0</v>
      </c>
      <c r="AU114" s="472">
        <f>COUNTIF(ParicipationMai1[[#This Row],[1]:[31]],Code12)</f>
        <v>0</v>
      </c>
      <c r="AV114" s="472">
        <f>COUNTIF(ParicipationMai1[[#This Row],[1]:[31]],Code13)</f>
        <v>0</v>
      </c>
      <c r="AW114" s="472">
        <f>COUNTIF(ParicipationMai1[[#This Row],[1]:[31]],Code14)</f>
        <v>0</v>
      </c>
      <c r="AX114" s="472">
        <f>COUNTIF(ParicipationMai1[[#This Row],[1]:[31]],Code15)</f>
        <v>0</v>
      </c>
      <c r="AY114" s="472">
        <f>COUNTIF(ParicipationMai1[[#This Row],[1]:[31]],Code16)</f>
        <v>0</v>
      </c>
      <c r="AZ114" s="472">
        <f>COUNTIF(ParicipationMai1[[#This Row],[1]:[31]],Code17)</f>
        <v>0</v>
      </c>
      <c r="BA114" s="472">
        <f>COUNTIF(ParicipationMai1[[#This Row],[1]:[31]],Code25)</f>
        <v>0</v>
      </c>
      <c r="BB114" s="472">
        <f>COUNTIF(ParicipationMai1[[#This Row],[1]:[31]],Code26)</f>
        <v>0</v>
      </c>
      <c r="BC114" s="472">
        <f>COUNTIF(ParicipationMai1[[#This Row],[1]:[31]],Code27)</f>
        <v>0</v>
      </c>
      <c r="BD114" s="472">
        <f>COUNTIF(ParicipationMai1[[#This Row],[1]:[31]],Code28)</f>
        <v>0</v>
      </c>
      <c r="BE114" s="472">
        <f>COUNTIF(ParicipationMai1[[#This Row],[1]:[31]],code30)</f>
        <v>0</v>
      </c>
      <c r="BF114" s="472">
        <f>COUNTIF(ParicipationMai1[[#This Row],[1]:[31]],Code31)</f>
        <v>0</v>
      </c>
      <c r="BG114" s="472">
        <f>COUNTIF(ParicipationMai1[[#This Row],[1]:[31]],code21)</f>
        <v>0</v>
      </c>
      <c r="BH114" s="472">
        <f>COUNTIF(ParicipationMai1[[#This Row],[1]:[31]],Code24)</f>
        <v>0</v>
      </c>
      <c r="BI114" s="370">
        <f>COUNTIF(ParicipationMai1[[#This Row],[1]:[31]],code18)</f>
        <v>0</v>
      </c>
      <c r="BJ114" s="370">
        <f>COUNTIF(ParicipationMai1[[#This Row],[1]:[31]],code19)</f>
        <v>0</v>
      </c>
      <c r="BK114" s="370">
        <f>COUNTIF(ParicipationMai1[[#This Row],[1]:[31]],code20)</f>
        <v>0</v>
      </c>
      <c r="BL114" s="516">
        <f>COUNTIF(ParicipationMai1[[#This Row],[1]:[31]],code29)</f>
        <v>0</v>
      </c>
      <c r="BM114" s="297"/>
      <c r="BN114" s="297"/>
      <c r="BO114" s="297"/>
      <c r="BP114" s="297"/>
      <c r="BQ114" s="297"/>
      <c r="BR114" s="297"/>
      <c r="BS114" s="297"/>
      <c r="BT114" s="297"/>
      <c r="BU114" s="297"/>
      <c r="BV114" s="297"/>
      <c r="BW114" s="297"/>
      <c r="BX114" s="297"/>
      <c r="BY114" s="297"/>
      <c r="BZ114" s="297"/>
      <c r="CA114" s="297"/>
      <c r="CB114" s="297"/>
      <c r="CC114" s="297"/>
      <c r="CD114" s="297"/>
      <c r="CE114" s="297"/>
      <c r="CF114" s="297"/>
      <c r="CG114" s="297"/>
      <c r="CH114" s="297"/>
      <c r="CI114" s="297"/>
      <c r="CJ114" s="297"/>
      <c r="CK114" s="297"/>
      <c r="CL114" s="297"/>
      <c r="CM114" s="297"/>
      <c r="CN114" s="297"/>
      <c r="CO114" s="297"/>
      <c r="CP114" s="297"/>
      <c r="CQ114" s="297"/>
      <c r="CR114" s="297"/>
      <c r="CS114" s="297"/>
      <c r="CT114" s="472"/>
      <c r="CU114" s="300"/>
      <c r="CV114" s="589">
        <f t="shared" si="4"/>
        <v>0</v>
      </c>
      <c r="CW114" s="501">
        <f t="shared" si="5"/>
        <v>0</v>
      </c>
      <c r="CX114" s="472">
        <f t="shared" si="6"/>
        <v>0</v>
      </c>
      <c r="CY114" s="512">
        <f t="shared" si="7"/>
        <v>0</v>
      </c>
    </row>
    <row r="115" spans="1:103">
      <c r="A115" s="29" t="s">
        <v>456</v>
      </c>
      <c r="B115" s="162" t="str">
        <f>IFERROR(VLOOKUP(ParicipationMai1[[#This Row],[Référence]],ListeÉtudiants1[],18,FALSE),"")</f>
        <v>QUINTAIS ALEXANDRE</v>
      </c>
      <c r="AG115" s="286"/>
      <c r="AH115" s="138">
        <f>COUNTIF(ParicipationMai1[[1]:[31]],Code1)</f>
        <v>0</v>
      </c>
      <c r="AI115" s="474">
        <f>COUNTIF(ParicipationMai1[[1]:[31]],code22)</f>
        <v>0</v>
      </c>
      <c r="AJ115" s="138">
        <f>COUNTIF(ParicipationMai1[[#This Row],[1]:[31]],Code2)</f>
        <v>0</v>
      </c>
      <c r="AK115" s="138">
        <f>COUNTIF(ParicipationMai1[[#This Row],[1]:[31]],Code3)</f>
        <v>0</v>
      </c>
      <c r="AL115" s="138">
        <f>COUNTIF(ParicipationMai1[[#This Row],[1]:[31]],Code4)</f>
        <v>0</v>
      </c>
      <c r="AM115" s="472">
        <f>COUNTIF(ParicipationMai1[[#This Row],[1]:[31]],Code5)</f>
        <v>0</v>
      </c>
      <c r="AN115" s="472">
        <f>COUNTIF(ParicipationMai1[[#This Row],[1]:[31]],Code23)</f>
        <v>0</v>
      </c>
      <c r="AO115" s="472">
        <f>COUNTIF(ParicipationMai1[[#This Row],[1]:[31]],Code6)</f>
        <v>0</v>
      </c>
      <c r="AP115" s="472">
        <f>COUNTIF(ParicipationMai1[[#This Row],[1]:[31]],Code7)</f>
        <v>0</v>
      </c>
      <c r="AQ115" s="472">
        <f>COUNTIF(ParicipationMai1[[#This Row],[1]:[31]],Code8)</f>
        <v>0</v>
      </c>
      <c r="AR115" s="472">
        <f>COUNTIF(ParicipationMai1[[#This Row],[1]:[31]],Code9)</f>
        <v>0</v>
      </c>
      <c r="AS115" s="472">
        <f>COUNTIF(ParicipationMai1[[#This Row],[1]:[31]],Code10)</f>
        <v>0</v>
      </c>
      <c r="AT115" s="472">
        <f>COUNTIF(ParicipationMai1[[#This Row],[1]:[31]],Code11)</f>
        <v>0</v>
      </c>
      <c r="AU115" s="472">
        <f>COUNTIF(ParicipationMai1[[#This Row],[1]:[31]],Code12)</f>
        <v>0</v>
      </c>
      <c r="AV115" s="472">
        <f>COUNTIF(ParicipationMai1[[#This Row],[1]:[31]],Code13)</f>
        <v>0</v>
      </c>
      <c r="AW115" s="472">
        <f>COUNTIF(ParicipationMai1[[#This Row],[1]:[31]],Code14)</f>
        <v>0</v>
      </c>
      <c r="AX115" s="472">
        <f>COUNTIF(ParicipationMai1[[#This Row],[1]:[31]],Code15)</f>
        <v>0</v>
      </c>
      <c r="AY115" s="472">
        <f>COUNTIF(ParicipationMai1[[#This Row],[1]:[31]],Code16)</f>
        <v>0</v>
      </c>
      <c r="AZ115" s="472">
        <f>COUNTIF(ParicipationMai1[[#This Row],[1]:[31]],Code17)</f>
        <v>0</v>
      </c>
      <c r="BA115" s="472">
        <f>COUNTIF(ParicipationMai1[[#This Row],[1]:[31]],Code25)</f>
        <v>0</v>
      </c>
      <c r="BB115" s="472">
        <f>COUNTIF(ParicipationMai1[[#This Row],[1]:[31]],Code26)</f>
        <v>0</v>
      </c>
      <c r="BC115" s="472">
        <f>COUNTIF(ParicipationMai1[[#This Row],[1]:[31]],Code27)</f>
        <v>0</v>
      </c>
      <c r="BD115" s="472">
        <f>COUNTIF(ParicipationMai1[[#This Row],[1]:[31]],Code28)</f>
        <v>0</v>
      </c>
      <c r="BE115" s="472">
        <f>COUNTIF(ParicipationMai1[[#This Row],[1]:[31]],code30)</f>
        <v>0</v>
      </c>
      <c r="BF115" s="472">
        <f>COUNTIF(ParicipationMai1[[#This Row],[1]:[31]],Code31)</f>
        <v>0</v>
      </c>
      <c r="BG115" s="472">
        <f>COUNTIF(ParicipationMai1[[#This Row],[1]:[31]],code21)</f>
        <v>0</v>
      </c>
      <c r="BH115" s="472">
        <f>COUNTIF(ParicipationMai1[[#This Row],[1]:[31]],Code24)</f>
        <v>0</v>
      </c>
      <c r="BI115" s="370">
        <f>COUNTIF(ParicipationMai1[[#This Row],[1]:[31]],code18)</f>
        <v>0</v>
      </c>
      <c r="BJ115" s="370">
        <f>COUNTIF(ParicipationMai1[[#This Row],[1]:[31]],code19)</f>
        <v>0</v>
      </c>
      <c r="BK115" s="370">
        <f>COUNTIF(ParicipationMai1[[#This Row],[1]:[31]],code20)</f>
        <v>0</v>
      </c>
      <c r="BL115" s="516">
        <f>COUNTIF(ParicipationMai1[[#This Row],[1]:[31]],code29)</f>
        <v>0</v>
      </c>
      <c r="BM115" s="297"/>
      <c r="BN115" s="297"/>
      <c r="BO115" s="297"/>
      <c r="BP115" s="297"/>
      <c r="BQ115" s="297"/>
      <c r="BR115" s="297"/>
      <c r="BS115" s="297"/>
      <c r="BT115" s="297"/>
      <c r="BU115" s="297"/>
      <c r="BV115" s="297"/>
      <c r="BW115" s="297"/>
      <c r="BX115" s="297"/>
      <c r="BY115" s="297"/>
      <c r="BZ115" s="297"/>
      <c r="CA115" s="297"/>
      <c r="CB115" s="297"/>
      <c r="CC115" s="297"/>
      <c r="CD115" s="297"/>
      <c r="CE115" s="297"/>
      <c r="CF115" s="297"/>
      <c r="CG115" s="297"/>
      <c r="CH115" s="297"/>
      <c r="CI115" s="297"/>
      <c r="CJ115" s="297"/>
      <c r="CK115" s="297"/>
      <c r="CL115" s="297"/>
      <c r="CM115" s="297"/>
      <c r="CN115" s="297"/>
      <c r="CO115" s="297"/>
      <c r="CP115" s="297"/>
      <c r="CQ115" s="297"/>
      <c r="CR115" s="297"/>
      <c r="CS115" s="297"/>
      <c r="CT115" s="472"/>
      <c r="CU115" s="300"/>
      <c r="CV115" s="589">
        <f t="shared" si="4"/>
        <v>0</v>
      </c>
      <c r="CW115" s="501">
        <f t="shared" si="5"/>
        <v>0</v>
      </c>
      <c r="CX115" s="472">
        <f t="shared" si="6"/>
        <v>0</v>
      </c>
      <c r="CY115" s="512">
        <f t="shared" si="7"/>
        <v>0</v>
      </c>
    </row>
    <row r="116" spans="1:103">
      <c r="A116" s="29" t="s">
        <v>457</v>
      </c>
      <c r="B116" s="162" t="str">
        <f>IFERROR(VLOOKUP(ParicipationMai1[[#This Row],[Référence]],ListeÉtudiants1[],18,FALSE),"")</f>
        <v>RAMOS MARION</v>
      </c>
      <c r="AG116" s="286"/>
      <c r="AH116" s="138">
        <f>COUNTIF(ParicipationMai1[[1]:[31]],Code1)</f>
        <v>0</v>
      </c>
      <c r="AI116" s="474">
        <f>COUNTIF(ParicipationMai1[[1]:[31]],code22)</f>
        <v>0</v>
      </c>
      <c r="AJ116" s="138">
        <f>COUNTIF(ParicipationMai1[[#This Row],[1]:[31]],Code2)</f>
        <v>0</v>
      </c>
      <c r="AK116" s="138">
        <f>COUNTIF(ParicipationMai1[[#This Row],[1]:[31]],Code3)</f>
        <v>0</v>
      </c>
      <c r="AL116" s="138">
        <f>COUNTIF(ParicipationMai1[[#This Row],[1]:[31]],Code4)</f>
        <v>0</v>
      </c>
      <c r="AM116" s="472">
        <f>COUNTIF(ParicipationMai1[[#This Row],[1]:[31]],Code5)</f>
        <v>0</v>
      </c>
      <c r="AN116" s="472">
        <f>COUNTIF(ParicipationMai1[[#This Row],[1]:[31]],Code23)</f>
        <v>0</v>
      </c>
      <c r="AO116" s="472">
        <f>COUNTIF(ParicipationMai1[[#This Row],[1]:[31]],Code6)</f>
        <v>0</v>
      </c>
      <c r="AP116" s="472">
        <f>COUNTIF(ParicipationMai1[[#This Row],[1]:[31]],Code7)</f>
        <v>0</v>
      </c>
      <c r="AQ116" s="472">
        <f>COUNTIF(ParicipationMai1[[#This Row],[1]:[31]],Code8)</f>
        <v>0</v>
      </c>
      <c r="AR116" s="472">
        <f>COUNTIF(ParicipationMai1[[#This Row],[1]:[31]],Code9)</f>
        <v>0</v>
      </c>
      <c r="AS116" s="472">
        <f>COUNTIF(ParicipationMai1[[#This Row],[1]:[31]],Code10)</f>
        <v>0</v>
      </c>
      <c r="AT116" s="472">
        <f>COUNTIF(ParicipationMai1[[#This Row],[1]:[31]],Code11)</f>
        <v>0</v>
      </c>
      <c r="AU116" s="472">
        <f>COUNTIF(ParicipationMai1[[#This Row],[1]:[31]],Code12)</f>
        <v>0</v>
      </c>
      <c r="AV116" s="472">
        <f>COUNTIF(ParicipationMai1[[#This Row],[1]:[31]],Code13)</f>
        <v>0</v>
      </c>
      <c r="AW116" s="472">
        <f>COUNTIF(ParicipationMai1[[#This Row],[1]:[31]],Code14)</f>
        <v>0</v>
      </c>
      <c r="AX116" s="472">
        <f>COUNTIF(ParicipationMai1[[#This Row],[1]:[31]],Code15)</f>
        <v>0</v>
      </c>
      <c r="AY116" s="472">
        <f>COUNTIF(ParicipationMai1[[#This Row],[1]:[31]],Code16)</f>
        <v>0</v>
      </c>
      <c r="AZ116" s="472">
        <f>COUNTIF(ParicipationMai1[[#This Row],[1]:[31]],Code17)</f>
        <v>0</v>
      </c>
      <c r="BA116" s="472">
        <f>COUNTIF(ParicipationMai1[[#This Row],[1]:[31]],Code25)</f>
        <v>0</v>
      </c>
      <c r="BB116" s="472">
        <f>COUNTIF(ParicipationMai1[[#This Row],[1]:[31]],Code26)</f>
        <v>0</v>
      </c>
      <c r="BC116" s="472">
        <f>COUNTIF(ParicipationMai1[[#This Row],[1]:[31]],Code27)</f>
        <v>0</v>
      </c>
      <c r="BD116" s="472">
        <f>COUNTIF(ParicipationMai1[[#This Row],[1]:[31]],Code28)</f>
        <v>0</v>
      </c>
      <c r="BE116" s="472">
        <f>COUNTIF(ParicipationMai1[[#This Row],[1]:[31]],code30)</f>
        <v>0</v>
      </c>
      <c r="BF116" s="472">
        <f>COUNTIF(ParicipationMai1[[#This Row],[1]:[31]],Code31)</f>
        <v>0</v>
      </c>
      <c r="BG116" s="472">
        <f>COUNTIF(ParicipationMai1[[#This Row],[1]:[31]],code21)</f>
        <v>0</v>
      </c>
      <c r="BH116" s="472">
        <f>COUNTIF(ParicipationMai1[[#This Row],[1]:[31]],Code24)</f>
        <v>0</v>
      </c>
      <c r="BI116" s="370">
        <f>COUNTIF(ParicipationMai1[[#This Row],[1]:[31]],code18)</f>
        <v>0</v>
      </c>
      <c r="BJ116" s="370">
        <f>COUNTIF(ParicipationMai1[[#This Row],[1]:[31]],code19)</f>
        <v>0</v>
      </c>
      <c r="BK116" s="370">
        <f>COUNTIF(ParicipationMai1[[#This Row],[1]:[31]],code20)</f>
        <v>0</v>
      </c>
      <c r="BL116" s="516">
        <f>COUNTIF(ParicipationMai1[[#This Row],[1]:[31]],code29)</f>
        <v>0</v>
      </c>
      <c r="BM116" s="297"/>
      <c r="BN116" s="297"/>
      <c r="BO116" s="297"/>
      <c r="BP116" s="297"/>
      <c r="BQ116" s="297"/>
      <c r="BR116" s="297"/>
      <c r="BS116" s="297"/>
      <c r="BT116" s="297"/>
      <c r="BU116" s="297"/>
      <c r="BV116" s="297"/>
      <c r="BW116" s="297"/>
      <c r="BX116" s="297"/>
      <c r="BY116" s="297"/>
      <c r="BZ116" s="297"/>
      <c r="CA116" s="297"/>
      <c r="CB116" s="297"/>
      <c r="CC116" s="297"/>
      <c r="CD116" s="297"/>
      <c r="CE116" s="297"/>
      <c r="CF116" s="297"/>
      <c r="CG116" s="297"/>
      <c r="CH116" s="297"/>
      <c r="CI116" s="297"/>
      <c r="CJ116" s="297"/>
      <c r="CK116" s="297"/>
      <c r="CL116" s="297"/>
      <c r="CM116" s="297"/>
      <c r="CN116" s="297"/>
      <c r="CO116" s="297"/>
      <c r="CP116" s="297"/>
      <c r="CQ116" s="297"/>
      <c r="CR116" s="297"/>
      <c r="CS116" s="297"/>
      <c r="CT116" s="472"/>
      <c r="CU116" s="300"/>
      <c r="CV116" s="589">
        <f t="shared" si="4"/>
        <v>0</v>
      </c>
      <c r="CW116" s="501">
        <f t="shared" si="5"/>
        <v>0</v>
      </c>
      <c r="CX116" s="472">
        <f t="shared" si="6"/>
        <v>0</v>
      </c>
      <c r="CY116" s="512">
        <f t="shared" si="7"/>
        <v>0</v>
      </c>
    </row>
    <row r="117" spans="1:103">
      <c r="A117" s="29" t="s">
        <v>458</v>
      </c>
      <c r="B117" s="162" t="str">
        <f>IFERROR(VLOOKUP(ParicipationMai1[[#This Row],[Référence]],ListeÉtudiants1[],18,FALSE),"")</f>
        <v>REMIR REBECCA</v>
      </c>
      <c r="AG117" s="286"/>
      <c r="AH117" s="138">
        <f>COUNTIF(ParicipationMai1[[1]:[31]],Code1)</f>
        <v>0</v>
      </c>
      <c r="AI117" s="474">
        <f>COUNTIF(ParicipationMai1[[1]:[31]],code22)</f>
        <v>0</v>
      </c>
      <c r="AJ117" s="138">
        <f>COUNTIF(ParicipationMai1[[#This Row],[1]:[31]],Code2)</f>
        <v>0</v>
      </c>
      <c r="AK117" s="138">
        <f>COUNTIF(ParicipationMai1[[#This Row],[1]:[31]],Code3)</f>
        <v>0</v>
      </c>
      <c r="AL117" s="138">
        <f>COUNTIF(ParicipationMai1[[#This Row],[1]:[31]],Code4)</f>
        <v>0</v>
      </c>
      <c r="AM117" s="472">
        <f>COUNTIF(ParicipationMai1[[#This Row],[1]:[31]],Code5)</f>
        <v>0</v>
      </c>
      <c r="AN117" s="472">
        <f>COUNTIF(ParicipationMai1[[#This Row],[1]:[31]],Code23)</f>
        <v>0</v>
      </c>
      <c r="AO117" s="472">
        <f>COUNTIF(ParicipationMai1[[#This Row],[1]:[31]],Code6)</f>
        <v>0</v>
      </c>
      <c r="AP117" s="472">
        <f>COUNTIF(ParicipationMai1[[#This Row],[1]:[31]],Code7)</f>
        <v>0</v>
      </c>
      <c r="AQ117" s="472">
        <f>COUNTIF(ParicipationMai1[[#This Row],[1]:[31]],Code8)</f>
        <v>0</v>
      </c>
      <c r="AR117" s="472">
        <f>COUNTIF(ParicipationMai1[[#This Row],[1]:[31]],Code9)</f>
        <v>0</v>
      </c>
      <c r="AS117" s="472">
        <f>COUNTIF(ParicipationMai1[[#This Row],[1]:[31]],Code10)</f>
        <v>0</v>
      </c>
      <c r="AT117" s="472">
        <f>COUNTIF(ParicipationMai1[[#This Row],[1]:[31]],Code11)</f>
        <v>0</v>
      </c>
      <c r="AU117" s="472">
        <f>COUNTIF(ParicipationMai1[[#This Row],[1]:[31]],Code12)</f>
        <v>0</v>
      </c>
      <c r="AV117" s="472">
        <f>COUNTIF(ParicipationMai1[[#This Row],[1]:[31]],Code13)</f>
        <v>0</v>
      </c>
      <c r="AW117" s="472">
        <f>COUNTIF(ParicipationMai1[[#This Row],[1]:[31]],Code14)</f>
        <v>0</v>
      </c>
      <c r="AX117" s="472">
        <f>COUNTIF(ParicipationMai1[[#This Row],[1]:[31]],Code15)</f>
        <v>0</v>
      </c>
      <c r="AY117" s="472">
        <f>COUNTIF(ParicipationMai1[[#This Row],[1]:[31]],Code16)</f>
        <v>0</v>
      </c>
      <c r="AZ117" s="472">
        <f>COUNTIF(ParicipationMai1[[#This Row],[1]:[31]],Code17)</f>
        <v>0</v>
      </c>
      <c r="BA117" s="472">
        <f>COUNTIF(ParicipationMai1[[#This Row],[1]:[31]],Code25)</f>
        <v>0</v>
      </c>
      <c r="BB117" s="472">
        <f>COUNTIF(ParicipationMai1[[#This Row],[1]:[31]],Code26)</f>
        <v>0</v>
      </c>
      <c r="BC117" s="472">
        <f>COUNTIF(ParicipationMai1[[#This Row],[1]:[31]],Code27)</f>
        <v>0</v>
      </c>
      <c r="BD117" s="472">
        <f>COUNTIF(ParicipationMai1[[#This Row],[1]:[31]],Code28)</f>
        <v>0</v>
      </c>
      <c r="BE117" s="472">
        <f>COUNTIF(ParicipationMai1[[#This Row],[1]:[31]],code30)</f>
        <v>0</v>
      </c>
      <c r="BF117" s="472">
        <f>COUNTIF(ParicipationMai1[[#This Row],[1]:[31]],Code31)</f>
        <v>0</v>
      </c>
      <c r="BG117" s="472">
        <f>COUNTIF(ParicipationMai1[[#This Row],[1]:[31]],code21)</f>
        <v>0</v>
      </c>
      <c r="BH117" s="472">
        <f>COUNTIF(ParicipationMai1[[#This Row],[1]:[31]],Code24)</f>
        <v>0</v>
      </c>
      <c r="BI117" s="370">
        <f>COUNTIF(ParicipationMai1[[#This Row],[1]:[31]],code18)</f>
        <v>0</v>
      </c>
      <c r="BJ117" s="370">
        <f>COUNTIF(ParicipationMai1[[#This Row],[1]:[31]],code19)</f>
        <v>0</v>
      </c>
      <c r="BK117" s="370">
        <f>COUNTIF(ParicipationMai1[[#This Row],[1]:[31]],code20)</f>
        <v>0</v>
      </c>
      <c r="BL117" s="516">
        <f>COUNTIF(ParicipationMai1[[#This Row],[1]:[31]],code29)</f>
        <v>0</v>
      </c>
      <c r="BM117" s="297"/>
      <c r="BN117" s="297"/>
      <c r="BO117" s="297"/>
      <c r="BP117" s="297"/>
      <c r="BQ117" s="297"/>
      <c r="BR117" s="297"/>
      <c r="BS117" s="297"/>
      <c r="BT117" s="297"/>
      <c r="BU117" s="297"/>
      <c r="BV117" s="297"/>
      <c r="BW117" s="297"/>
      <c r="BX117" s="297"/>
      <c r="BY117" s="297"/>
      <c r="BZ117" s="297"/>
      <c r="CA117" s="297"/>
      <c r="CB117" s="297"/>
      <c r="CC117" s="297"/>
      <c r="CD117" s="297"/>
      <c r="CE117" s="297"/>
      <c r="CF117" s="297"/>
      <c r="CG117" s="297"/>
      <c r="CH117" s="297"/>
      <c r="CI117" s="297"/>
      <c r="CJ117" s="297"/>
      <c r="CK117" s="297"/>
      <c r="CL117" s="297"/>
      <c r="CM117" s="297"/>
      <c r="CN117" s="297"/>
      <c r="CO117" s="297"/>
      <c r="CP117" s="297"/>
      <c r="CQ117" s="297"/>
      <c r="CR117" s="297"/>
      <c r="CS117" s="297"/>
      <c r="CT117" s="472"/>
      <c r="CU117" s="300"/>
      <c r="CV117" s="589">
        <f t="shared" si="4"/>
        <v>0</v>
      </c>
      <c r="CW117" s="501">
        <f t="shared" si="5"/>
        <v>0</v>
      </c>
      <c r="CX117" s="472">
        <f t="shared" si="6"/>
        <v>0</v>
      </c>
      <c r="CY117" s="512">
        <f t="shared" si="7"/>
        <v>0</v>
      </c>
    </row>
    <row r="118" spans="1:103">
      <c r="A118" s="29" t="s">
        <v>459</v>
      </c>
      <c r="B118" s="162" t="str">
        <f>IFERROR(VLOOKUP(ParicipationMai1[[#This Row],[Référence]],ListeÉtudiants1[],18,FALSE),"")</f>
        <v>RODRIGUES AFONSO CHARLOTTE</v>
      </c>
      <c r="AG118" s="286"/>
      <c r="AH118" s="138">
        <f>COUNTIF(ParicipationMai1[[1]:[31]],Code1)</f>
        <v>0</v>
      </c>
      <c r="AI118" s="474">
        <f>COUNTIF(ParicipationMai1[[1]:[31]],code22)</f>
        <v>0</v>
      </c>
      <c r="AJ118" s="138">
        <f>COUNTIF(ParicipationMai1[[#This Row],[1]:[31]],Code2)</f>
        <v>0</v>
      </c>
      <c r="AK118" s="138">
        <f>COUNTIF(ParicipationMai1[[#This Row],[1]:[31]],Code3)</f>
        <v>0</v>
      </c>
      <c r="AL118" s="138">
        <f>COUNTIF(ParicipationMai1[[#This Row],[1]:[31]],Code4)</f>
        <v>0</v>
      </c>
      <c r="AM118" s="472">
        <f>COUNTIF(ParicipationMai1[[#This Row],[1]:[31]],Code5)</f>
        <v>0</v>
      </c>
      <c r="AN118" s="472">
        <f>COUNTIF(ParicipationMai1[[#This Row],[1]:[31]],Code23)</f>
        <v>0</v>
      </c>
      <c r="AO118" s="472">
        <f>COUNTIF(ParicipationMai1[[#This Row],[1]:[31]],Code6)</f>
        <v>0</v>
      </c>
      <c r="AP118" s="472">
        <f>COUNTIF(ParicipationMai1[[#This Row],[1]:[31]],Code7)</f>
        <v>0</v>
      </c>
      <c r="AQ118" s="472">
        <f>COUNTIF(ParicipationMai1[[#This Row],[1]:[31]],Code8)</f>
        <v>0</v>
      </c>
      <c r="AR118" s="472">
        <f>COUNTIF(ParicipationMai1[[#This Row],[1]:[31]],Code9)</f>
        <v>0</v>
      </c>
      <c r="AS118" s="472">
        <f>COUNTIF(ParicipationMai1[[#This Row],[1]:[31]],Code10)</f>
        <v>0</v>
      </c>
      <c r="AT118" s="472">
        <f>COUNTIF(ParicipationMai1[[#This Row],[1]:[31]],Code11)</f>
        <v>0</v>
      </c>
      <c r="AU118" s="472">
        <f>COUNTIF(ParicipationMai1[[#This Row],[1]:[31]],Code12)</f>
        <v>0</v>
      </c>
      <c r="AV118" s="472">
        <f>COUNTIF(ParicipationMai1[[#This Row],[1]:[31]],Code13)</f>
        <v>0</v>
      </c>
      <c r="AW118" s="472">
        <f>COUNTIF(ParicipationMai1[[#This Row],[1]:[31]],Code14)</f>
        <v>0</v>
      </c>
      <c r="AX118" s="472">
        <f>COUNTIF(ParicipationMai1[[#This Row],[1]:[31]],Code15)</f>
        <v>0</v>
      </c>
      <c r="AY118" s="472">
        <f>COUNTIF(ParicipationMai1[[#This Row],[1]:[31]],Code16)</f>
        <v>0</v>
      </c>
      <c r="AZ118" s="472">
        <f>COUNTIF(ParicipationMai1[[#This Row],[1]:[31]],Code17)</f>
        <v>0</v>
      </c>
      <c r="BA118" s="472">
        <f>COUNTIF(ParicipationMai1[[#This Row],[1]:[31]],Code25)</f>
        <v>0</v>
      </c>
      <c r="BB118" s="472">
        <f>COUNTIF(ParicipationMai1[[#This Row],[1]:[31]],Code26)</f>
        <v>0</v>
      </c>
      <c r="BC118" s="472">
        <f>COUNTIF(ParicipationMai1[[#This Row],[1]:[31]],Code27)</f>
        <v>0</v>
      </c>
      <c r="BD118" s="472">
        <f>COUNTIF(ParicipationMai1[[#This Row],[1]:[31]],Code28)</f>
        <v>0</v>
      </c>
      <c r="BE118" s="472">
        <f>COUNTIF(ParicipationMai1[[#This Row],[1]:[31]],code30)</f>
        <v>0</v>
      </c>
      <c r="BF118" s="472">
        <f>COUNTIF(ParicipationMai1[[#This Row],[1]:[31]],Code31)</f>
        <v>0</v>
      </c>
      <c r="BG118" s="472">
        <f>COUNTIF(ParicipationMai1[[#This Row],[1]:[31]],code21)</f>
        <v>0</v>
      </c>
      <c r="BH118" s="472">
        <f>COUNTIF(ParicipationMai1[[#This Row],[1]:[31]],Code24)</f>
        <v>0</v>
      </c>
      <c r="BI118" s="370">
        <f>COUNTIF(ParicipationMai1[[#This Row],[1]:[31]],code18)</f>
        <v>0</v>
      </c>
      <c r="BJ118" s="370">
        <f>COUNTIF(ParicipationMai1[[#This Row],[1]:[31]],code19)</f>
        <v>0</v>
      </c>
      <c r="BK118" s="370">
        <f>COUNTIF(ParicipationMai1[[#This Row],[1]:[31]],code20)</f>
        <v>0</v>
      </c>
      <c r="BL118" s="516">
        <f>COUNTIF(ParicipationMai1[[#This Row],[1]:[31]],code29)</f>
        <v>0</v>
      </c>
      <c r="BM118" s="297"/>
      <c r="BN118" s="297"/>
      <c r="BO118" s="297"/>
      <c r="BP118" s="297"/>
      <c r="BQ118" s="297"/>
      <c r="BR118" s="297"/>
      <c r="BS118" s="297"/>
      <c r="BT118" s="297"/>
      <c r="BU118" s="297"/>
      <c r="BV118" s="297"/>
      <c r="BW118" s="297"/>
      <c r="BX118" s="297"/>
      <c r="BY118" s="297"/>
      <c r="BZ118" s="297"/>
      <c r="CA118" s="297"/>
      <c r="CB118" s="297"/>
      <c r="CC118" s="297"/>
      <c r="CD118" s="297"/>
      <c r="CE118" s="297"/>
      <c r="CF118" s="297"/>
      <c r="CG118" s="297"/>
      <c r="CH118" s="297"/>
      <c r="CI118" s="297"/>
      <c r="CJ118" s="297"/>
      <c r="CK118" s="297"/>
      <c r="CL118" s="297"/>
      <c r="CM118" s="297"/>
      <c r="CN118" s="297"/>
      <c r="CO118" s="297"/>
      <c r="CP118" s="297"/>
      <c r="CQ118" s="297"/>
      <c r="CR118" s="297"/>
      <c r="CS118" s="297"/>
      <c r="CT118" s="472"/>
      <c r="CU118" s="300"/>
      <c r="CV118" s="589">
        <f t="shared" si="4"/>
        <v>0</v>
      </c>
      <c r="CW118" s="501">
        <f t="shared" si="5"/>
        <v>0</v>
      </c>
      <c r="CX118" s="472">
        <f t="shared" si="6"/>
        <v>0</v>
      </c>
      <c r="CY118" s="512">
        <f t="shared" si="7"/>
        <v>0</v>
      </c>
    </row>
    <row r="119" spans="1:103">
      <c r="A119" s="29" t="s">
        <v>460</v>
      </c>
      <c r="B119" s="162" t="str">
        <f>IFERROR(VLOOKUP(ParicipationMai1[[#This Row],[Référence]],ListeÉtudiants1[],18,FALSE),"")</f>
        <v>SARAOUI KATIA</v>
      </c>
      <c r="AG119" s="286"/>
      <c r="AH119" s="138">
        <f>COUNTIF(ParicipationMai1[[1]:[31]],Code1)</f>
        <v>0</v>
      </c>
      <c r="AI119" s="474">
        <f>COUNTIF(ParicipationMai1[[1]:[31]],code22)</f>
        <v>0</v>
      </c>
      <c r="AJ119" s="138">
        <f>COUNTIF(ParicipationMai1[[#This Row],[1]:[31]],Code2)</f>
        <v>0</v>
      </c>
      <c r="AK119" s="138">
        <f>COUNTIF(ParicipationMai1[[#This Row],[1]:[31]],Code3)</f>
        <v>0</v>
      </c>
      <c r="AL119" s="138">
        <f>COUNTIF(ParicipationMai1[[#This Row],[1]:[31]],Code4)</f>
        <v>0</v>
      </c>
      <c r="AM119" s="472">
        <f>COUNTIF(ParicipationMai1[[#This Row],[1]:[31]],Code5)</f>
        <v>0</v>
      </c>
      <c r="AN119" s="472">
        <f>COUNTIF(ParicipationMai1[[#This Row],[1]:[31]],Code23)</f>
        <v>0</v>
      </c>
      <c r="AO119" s="472">
        <f>COUNTIF(ParicipationMai1[[#This Row],[1]:[31]],Code6)</f>
        <v>0</v>
      </c>
      <c r="AP119" s="472">
        <f>COUNTIF(ParicipationMai1[[#This Row],[1]:[31]],Code7)</f>
        <v>0</v>
      </c>
      <c r="AQ119" s="472">
        <f>COUNTIF(ParicipationMai1[[#This Row],[1]:[31]],Code8)</f>
        <v>0</v>
      </c>
      <c r="AR119" s="472">
        <f>COUNTIF(ParicipationMai1[[#This Row],[1]:[31]],Code9)</f>
        <v>0</v>
      </c>
      <c r="AS119" s="472">
        <f>COUNTIF(ParicipationMai1[[#This Row],[1]:[31]],Code10)</f>
        <v>0</v>
      </c>
      <c r="AT119" s="472">
        <f>COUNTIF(ParicipationMai1[[#This Row],[1]:[31]],Code11)</f>
        <v>0</v>
      </c>
      <c r="AU119" s="472">
        <f>COUNTIF(ParicipationMai1[[#This Row],[1]:[31]],Code12)</f>
        <v>0</v>
      </c>
      <c r="AV119" s="472">
        <f>COUNTIF(ParicipationMai1[[#This Row],[1]:[31]],Code13)</f>
        <v>0</v>
      </c>
      <c r="AW119" s="472">
        <f>COUNTIF(ParicipationMai1[[#This Row],[1]:[31]],Code14)</f>
        <v>0</v>
      </c>
      <c r="AX119" s="472">
        <f>COUNTIF(ParicipationMai1[[#This Row],[1]:[31]],Code15)</f>
        <v>0</v>
      </c>
      <c r="AY119" s="472">
        <f>COUNTIF(ParicipationMai1[[#This Row],[1]:[31]],Code16)</f>
        <v>0</v>
      </c>
      <c r="AZ119" s="472">
        <f>COUNTIF(ParicipationMai1[[#This Row],[1]:[31]],Code17)</f>
        <v>0</v>
      </c>
      <c r="BA119" s="472">
        <f>COUNTIF(ParicipationMai1[[#This Row],[1]:[31]],Code25)</f>
        <v>0</v>
      </c>
      <c r="BB119" s="472">
        <f>COUNTIF(ParicipationMai1[[#This Row],[1]:[31]],Code26)</f>
        <v>0</v>
      </c>
      <c r="BC119" s="472">
        <f>COUNTIF(ParicipationMai1[[#This Row],[1]:[31]],Code27)</f>
        <v>0</v>
      </c>
      <c r="BD119" s="472">
        <f>COUNTIF(ParicipationMai1[[#This Row],[1]:[31]],Code28)</f>
        <v>0</v>
      </c>
      <c r="BE119" s="472">
        <f>COUNTIF(ParicipationMai1[[#This Row],[1]:[31]],code30)</f>
        <v>0</v>
      </c>
      <c r="BF119" s="472">
        <f>COUNTIF(ParicipationMai1[[#This Row],[1]:[31]],Code31)</f>
        <v>0</v>
      </c>
      <c r="BG119" s="472">
        <f>COUNTIF(ParicipationMai1[[#This Row],[1]:[31]],code21)</f>
        <v>0</v>
      </c>
      <c r="BH119" s="472">
        <f>COUNTIF(ParicipationMai1[[#This Row],[1]:[31]],Code24)</f>
        <v>0</v>
      </c>
      <c r="BI119" s="370">
        <f>COUNTIF(ParicipationMai1[[#This Row],[1]:[31]],code18)</f>
        <v>0</v>
      </c>
      <c r="BJ119" s="370">
        <f>COUNTIF(ParicipationMai1[[#This Row],[1]:[31]],code19)</f>
        <v>0</v>
      </c>
      <c r="BK119" s="370">
        <f>COUNTIF(ParicipationMai1[[#This Row],[1]:[31]],code20)</f>
        <v>0</v>
      </c>
      <c r="BL119" s="516">
        <f>COUNTIF(ParicipationMai1[[#This Row],[1]:[31]],code29)</f>
        <v>0</v>
      </c>
      <c r="BM119" s="297"/>
      <c r="BN119" s="297"/>
      <c r="BO119" s="297"/>
      <c r="BP119" s="297"/>
      <c r="BQ119" s="297"/>
      <c r="BR119" s="297"/>
      <c r="BS119" s="297"/>
      <c r="BT119" s="297"/>
      <c r="BU119" s="297"/>
      <c r="BV119" s="297"/>
      <c r="BW119" s="297"/>
      <c r="BX119" s="297"/>
      <c r="BY119" s="297"/>
      <c r="BZ119" s="297"/>
      <c r="CA119" s="297"/>
      <c r="CB119" s="297"/>
      <c r="CC119" s="297"/>
      <c r="CD119" s="297"/>
      <c r="CE119" s="297"/>
      <c r="CF119" s="297"/>
      <c r="CG119" s="297"/>
      <c r="CH119" s="297"/>
      <c r="CI119" s="297"/>
      <c r="CJ119" s="297"/>
      <c r="CK119" s="297"/>
      <c r="CL119" s="297"/>
      <c r="CM119" s="297"/>
      <c r="CN119" s="297"/>
      <c r="CO119" s="297"/>
      <c r="CP119" s="297"/>
      <c r="CQ119" s="297"/>
      <c r="CR119" s="297"/>
      <c r="CS119" s="297"/>
      <c r="CT119" s="472"/>
      <c r="CU119" s="300"/>
      <c r="CV119" s="589">
        <f t="shared" si="4"/>
        <v>0</v>
      </c>
      <c r="CW119" s="501">
        <f t="shared" si="5"/>
        <v>0</v>
      </c>
      <c r="CX119" s="472">
        <f t="shared" si="6"/>
        <v>0</v>
      </c>
      <c r="CY119" s="512">
        <f t="shared" si="7"/>
        <v>0</v>
      </c>
    </row>
    <row r="120" spans="1:103">
      <c r="A120" s="29" t="s">
        <v>461</v>
      </c>
      <c r="B120" s="162" t="str">
        <f>IFERROR(VLOOKUP(ParicipationMai1[[#This Row],[Référence]],ListeÉtudiants1[],18,FALSE),"")</f>
        <v>SAUBER SEBASTIEN</v>
      </c>
      <c r="AG120" s="286"/>
      <c r="AH120" s="138">
        <f>COUNTIF(ParicipationMai1[[1]:[31]],Code1)</f>
        <v>0</v>
      </c>
      <c r="AI120" s="474">
        <f>COUNTIF(ParicipationMai1[[1]:[31]],code22)</f>
        <v>0</v>
      </c>
      <c r="AJ120" s="138">
        <f>COUNTIF(ParicipationMai1[[#This Row],[1]:[31]],Code2)</f>
        <v>0</v>
      </c>
      <c r="AK120" s="138">
        <f>COUNTIF(ParicipationMai1[[#This Row],[1]:[31]],Code3)</f>
        <v>0</v>
      </c>
      <c r="AL120" s="138">
        <f>COUNTIF(ParicipationMai1[[#This Row],[1]:[31]],Code4)</f>
        <v>0</v>
      </c>
      <c r="AM120" s="472">
        <f>COUNTIF(ParicipationMai1[[#This Row],[1]:[31]],Code5)</f>
        <v>0</v>
      </c>
      <c r="AN120" s="472">
        <f>COUNTIF(ParicipationMai1[[#This Row],[1]:[31]],Code23)</f>
        <v>0</v>
      </c>
      <c r="AO120" s="472">
        <f>COUNTIF(ParicipationMai1[[#This Row],[1]:[31]],Code6)</f>
        <v>0</v>
      </c>
      <c r="AP120" s="472">
        <f>COUNTIF(ParicipationMai1[[#This Row],[1]:[31]],Code7)</f>
        <v>0</v>
      </c>
      <c r="AQ120" s="472">
        <f>COUNTIF(ParicipationMai1[[#This Row],[1]:[31]],Code8)</f>
        <v>0</v>
      </c>
      <c r="AR120" s="472">
        <f>COUNTIF(ParicipationMai1[[#This Row],[1]:[31]],Code9)</f>
        <v>0</v>
      </c>
      <c r="AS120" s="472">
        <f>COUNTIF(ParicipationMai1[[#This Row],[1]:[31]],Code10)</f>
        <v>0</v>
      </c>
      <c r="AT120" s="472">
        <f>COUNTIF(ParicipationMai1[[#This Row],[1]:[31]],Code11)</f>
        <v>0</v>
      </c>
      <c r="AU120" s="472">
        <f>COUNTIF(ParicipationMai1[[#This Row],[1]:[31]],Code12)</f>
        <v>0</v>
      </c>
      <c r="AV120" s="472">
        <f>COUNTIF(ParicipationMai1[[#This Row],[1]:[31]],Code13)</f>
        <v>0</v>
      </c>
      <c r="AW120" s="472">
        <f>COUNTIF(ParicipationMai1[[#This Row],[1]:[31]],Code14)</f>
        <v>0</v>
      </c>
      <c r="AX120" s="472">
        <f>COUNTIF(ParicipationMai1[[#This Row],[1]:[31]],Code15)</f>
        <v>0</v>
      </c>
      <c r="AY120" s="472">
        <f>COUNTIF(ParicipationMai1[[#This Row],[1]:[31]],Code16)</f>
        <v>0</v>
      </c>
      <c r="AZ120" s="472">
        <f>COUNTIF(ParicipationMai1[[#This Row],[1]:[31]],Code17)</f>
        <v>0</v>
      </c>
      <c r="BA120" s="472">
        <f>COUNTIF(ParicipationMai1[[#This Row],[1]:[31]],Code25)</f>
        <v>0</v>
      </c>
      <c r="BB120" s="472">
        <f>COUNTIF(ParicipationMai1[[#This Row],[1]:[31]],Code26)</f>
        <v>0</v>
      </c>
      <c r="BC120" s="472">
        <f>COUNTIF(ParicipationMai1[[#This Row],[1]:[31]],Code27)</f>
        <v>0</v>
      </c>
      <c r="BD120" s="472">
        <f>COUNTIF(ParicipationMai1[[#This Row],[1]:[31]],Code28)</f>
        <v>0</v>
      </c>
      <c r="BE120" s="472">
        <f>COUNTIF(ParicipationMai1[[#This Row],[1]:[31]],code30)</f>
        <v>0</v>
      </c>
      <c r="BF120" s="472">
        <f>COUNTIF(ParicipationMai1[[#This Row],[1]:[31]],Code31)</f>
        <v>0</v>
      </c>
      <c r="BG120" s="472">
        <f>COUNTIF(ParicipationMai1[[#This Row],[1]:[31]],code21)</f>
        <v>0</v>
      </c>
      <c r="BH120" s="472">
        <f>COUNTIF(ParicipationMai1[[#This Row],[1]:[31]],Code24)</f>
        <v>0</v>
      </c>
      <c r="BI120" s="370">
        <f>COUNTIF(ParicipationMai1[[#This Row],[1]:[31]],code18)</f>
        <v>0</v>
      </c>
      <c r="BJ120" s="370">
        <f>COUNTIF(ParicipationMai1[[#This Row],[1]:[31]],code19)</f>
        <v>0</v>
      </c>
      <c r="BK120" s="370">
        <f>COUNTIF(ParicipationMai1[[#This Row],[1]:[31]],code20)</f>
        <v>0</v>
      </c>
      <c r="BL120" s="516">
        <f>COUNTIF(ParicipationMai1[[#This Row],[1]:[31]],code29)</f>
        <v>0</v>
      </c>
      <c r="BM120" s="297"/>
      <c r="BN120" s="297"/>
      <c r="BO120" s="297"/>
      <c r="BP120" s="297"/>
      <c r="BQ120" s="297"/>
      <c r="BR120" s="297"/>
      <c r="BS120" s="297"/>
      <c r="BT120" s="297"/>
      <c r="BU120" s="297"/>
      <c r="BV120" s="297"/>
      <c r="BW120" s="297"/>
      <c r="BX120" s="297"/>
      <c r="BY120" s="297"/>
      <c r="BZ120" s="297"/>
      <c r="CA120" s="297"/>
      <c r="CB120" s="297"/>
      <c r="CC120" s="297"/>
      <c r="CD120" s="297"/>
      <c r="CE120" s="297"/>
      <c r="CF120" s="297"/>
      <c r="CG120" s="297"/>
      <c r="CH120" s="297"/>
      <c r="CI120" s="297"/>
      <c r="CJ120" s="297"/>
      <c r="CK120" s="297"/>
      <c r="CL120" s="297"/>
      <c r="CM120" s="297"/>
      <c r="CN120" s="297"/>
      <c r="CO120" s="297"/>
      <c r="CP120" s="297"/>
      <c r="CQ120" s="297"/>
      <c r="CR120" s="297"/>
      <c r="CS120" s="297"/>
      <c r="CT120" s="472"/>
      <c r="CU120" s="300"/>
      <c r="CV120" s="589">
        <f t="shared" si="4"/>
        <v>0</v>
      </c>
      <c r="CW120" s="501">
        <f t="shared" si="5"/>
        <v>0</v>
      </c>
      <c r="CX120" s="472">
        <f t="shared" si="6"/>
        <v>0</v>
      </c>
      <c r="CY120" s="512">
        <f t="shared" si="7"/>
        <v>0</v>
      </c>
    </row>
    <row r="121" spans="1:103">
      <c r="A121" s="29" t="s">
        <v>462</v>
      </c>
      <c r="B121" s="162" t="str">
        <f>IFERROR(VLOOKUP(ParicipationMai1[[#This Row],[Référence]],ListeÉtudiants1[],18,FALSE),"")</f>
        <v>SCHUTZ LAURA</v>
      </c>
      <c r="AG121" s="286"/>
      <c r="AH121" s="138">
        <f>COUNTIF(ParicipationMai1[[1]:[31]],Code1)</f>
        <v>0</v>
      </c>
      <c r="AI121" s="474">
        <f>COUNTIF(ParicipationMai1[[1]:[31]],code22)</f>
        <v>0</v>
      </c>
      <c r="AJ121" s="138">
        <f>COUNTIF(ParicipationMai1[[#This Row],[1]:[31]],Code2)</f>
        <v>0</v>
      </c>
      <c r="AK121" s="138">
        <f>COUNTIF(ParicipationMai1[[#This Row],[1]:[31]],Code3)</f>
        <v>0</v>
      </c>
      <c r="AL121" s="138">
        <f>COUNTIF(ParicipationMai1[[#This Row],[1]:[31]],Code4)</f>
        <v>0</v>
      </c>
      <c r="AM121" s="472">
        <f>COUNTIF(ParicipationMai1[[#This Row],[1]:[31]],Code5)</f>
        <v>0</v>
      </c>
      <c r="AN121" s="472">
        <f>COUNTIF(ParicipationMai1[[#This Row],[1]:[31]],Code23)</f>
        <v>0</v>
      </c>
      <c r="AO121" s="472">
        <f>COUNTIF(ParicipationMai1[[#This Row],[1]:[31]],Code6)</f>
        <v>0</v>
      </c>
      <c r="AP121" s="472">
        <f>COUNTIF(ParicipationMai1[[#This Row],[1]:[31]],Code7)</f>
        <v>0</v>
      </c>
      <c r="AQ121" s="472">
        <f>COUNTIF(ParicipationMai1[[#This Row],[1]:[31]],Code8)</f>
        <v>0</v>
      </c>
      <c r="AR121" s="472">
        <f>COUNTIF(ParicipationMai1[[#This Row],[1]:[31]],Code9)</f>
        <v>0</v>
      </c>
      <c r="AS121" s="472">
        <f>COUNTIF(ParicipationMai1[[#This Row],[1]:[31]],Code10)</f>
        <v>0</v>
      </c>
      <c r="AT121" s="472">
        <f>COUNTIF(ParicipationMai1[[#This Row],[1]:[31]],Code11)</f>
        <v>0</v>
      </c>
      <c r="AU121" s="472">
        <f>COUNTIF(ParicipationMai1[[#This Row],[1]:[31]],Code12)</f>
        <v>0</v>
      </c>
      <c r="AV121" s="472">
        <f>COUNTIF(ParicipationMai1[[#This Row],[1]:[31]],Code13)</f>
        <v>0</v>
      </c>
      <c r="AW121" s="472">
        <f>COUNTIF(ParicipationMai1[[#This Row],[1]:[31]],Code14)</f>
        <v>0</v>
      </c>
      <c r="AX121" s="472">
        <f>COUNTIF(ParicipationMai1[[#This Row],[1]:[31]],Code15)</f>
        <v>0</v>
      </c>
      <c r="AY121" s="472">
        <f>COUNTIF(ParicipationMai1[[#This Row],[1]:[31]],Code16)</f>
        <v>0</v>
      </c>
      <c r="AZ121" s="472">
        <f>COUNTIF(ParicipationMai1[[#This Row],[1]:[31]],Code17)</f>
        <v>0</v>
      </c>
      <c r="BA121" s="472">
        <f>COUNTIF(ParicipationMai1[[#This Row],[1]:[31]],Code25)</f>
        <v>0</v>
      </c>
      <c r="BB121" s="472">
        <f>COUNTIF(ParicipationMai1[[#This Row],[1]:[31]],Code26)</f>
        <v>0</v>
      </c>
      <c r="BC121" s="472">
        <f>COUNTIF(ParicipationMai1[[#This Row],[1]:[31]],Code27)</f>
        <v>0</v>
      </c>
      <c r="BD121" s="472">
        <f>COUNTIF(ParicipationMai1[[#This Row],[1]:[31]],Code28)</f>
        <v>0</v>
      </c>
      <c r="BE121" s="472">
        <f>COUNTIF(ParicipationMai1[[#This Row],[1]:[31]],code30)</f>
        <v>0</v>
      </c>
      <c r="BF121" s="472">
        <f>COUNTIF(ParicipationMai1[[#This Row],[1]:[31]],Code31)</f>
        <v>0</v>
      </c>
      <c r="BG121" s="472">
        <f>COUNTIF(ParicipationMai1[[#This Row],[1]:[31]],code21)</f>
        <v>0</v>
      </c>
      <c r="BH121" s="472">
        <f>COUNTIF(ParicipationMai1[[#This Row],[1]:[31]],Code24)</f>
        <v>0</v>
      </c>
      <c r="BI121" s="370">
        <f>COUNTIF(ParicipationMai1[[#This Row],[1]:[31]],code18)</f>
        <v>0</v>
      </c>
      <c r="BJ121" s="370">
        <f>COUNTIF(ParicipationMai1[[#This Row],[1]:[31]],code19)</f>
        <v>0</v>
      </c>
      <c r="BK121" s="370">
        <f>COUNTIF(ParicipationMai1[[#This Row],[1]:[31]],code20)</f>
        <v>0</v>
      </c>
      <c r="BL121" s="516">
        <f>COUNTIF(ParicipationMai1[[#This Row],[1]:[31]],code29)</f>
        <v>0</v>
      </c>
      <c r="BM121" s="297"/>
      <c r="BN121" s="297"/>
      <c r="BO121" s="297"/>
      <c r="BP121" s="297"/>
      <c r="BQ121" s="297"/>
      <c r="BR121" s="297"/>
      <c r="BS121" s="297"/>
      <c r="BT121" s="297"/>
      <c r="BU121" s="297"/>
      <c r="BV121" s="297"/>
      <c r="BW121" s="297"/>
      <c r="BX121" s="297"/>
      <c r="BY121" s="297"/>
      <c r="BZ121" s="297"/>
      <c r="CA121" s="297"/>
      <c r="CB121" s="297"/>
      <c r="CC121" s="297"/>
      <c r="CD121" s="297"/>
      <c r="CE121" s="297"/>
      <c r="CF121" s="297"/>
      <c r="CG121" s="297"/>
      <c r="CH121" s="297"/>
      <c r="CI121" s="297"/>
      <c r="CJ121" s="297"/>
      <c r="CK121" s="297"/>
      <c r="CL121" s="297"/>
      <c r="CM121" s="297"/>
      <c r="CN121" s="297"/>
      <c r="CO121" s="297"/>
      <c r="CP121" s="297"/>
      <c r="CQ121" s="297"/>
      <c r="CR121" s="297"/>
      <c r="CS121" s="297"/>
      <c r="CT121" s="472"/>
      <c r="CU121" s="300"/>
      <c r="CV121" s="589">
        <f t="shared" si="4"/>
        <v>0</v>
      </c>
      <c r="CW121" s="501">
        <f t="shared" si="5"/>
        <v>0</v>
      </c>
      <c r="CX121" s="472">
        <f t="shared" si="6"/>
        <v>0</v>
      </c>
      <c r="CY121" s="512">
        <f t="shared" si="7"/>
        <v>0</v>
      </c>
    </row>
    <row r="122" spans="1:103">
      <c r="A122" s="29" t="s">
        <v>463</v>
      </c>
      <c r="B122" s="162" t="str">
        <f>IFERROR(VLOOKUP(ParicipationMai1[[#This Row],[Référence]],ListeÉtudiants1[],18,FALSE),"")</f>
        <v>SEHIMI  INES</v>
      </c>
      <c r="AG122" s="286"/>
      <c r="AH122" s="138">
        <f>COUNTIF(ParicipationMai1[[1]:[31]],Code1)</f>
        <v>0</v>
      </c>
      <c r="AI122" s="474">
        <f>COUNTIF(ParicipationMai1[[1]:[31]],code22)</f>
        <v>0</v>
      </c>
      <c r="AJ122" s="138">
        <f>COUNTIF(ParicipationMai1[[#This Row],[1]:[31]],Code2)</f>
        <v>0</v>
      </c>
      <c r="AK122" s="138">
        <f>COUNTIF(ParicipationMai1[[#This Row],[1]:[31]],Code3)</f>
        <v>0</v>
      </c>
      <c r="AL122" s="138">
        <f>COUNTIF(ParicipationMai1[[#This Row],[1]:[31]],Code4)</f>
        <v>0</v>
      </c>
      <c r="AM122" s="472">
        <f>COUNTIF(ParicipationMai1[[#This Row],[1]:[31]],Code5)</f>
        <v>0</v>
      </c>
      <c r="AN122" s="472">
        <f>COUNTIF(ParicipationMai1[[#This Row],[1]:[31]],Code23)</f>
        <v>0</v>
      </c>
      <c r="AO122" s="472">
        <f>COUNTIF(ParicipationMai1[[#This Row],[1]:[31]],Code6)</f>
        <v>0</v>
      </c>
      <c r="AP122" s="472">
        <f>COUNTIF(ParicipationMai1[[#This Row],[1]:[31]],Code7)</f>
        <v>0</v>
      </c>
      <c r="AQ122" s="472">
        <f>COUNTIF(ParicipationMai1[[#This Row],[1]:[31]],Code8)</f>
        <v>0</v>
      </c>
      <c r="AR122" s="472">
        <f>COUNTIF(ParicipationMai1[[#This Row],[1]:[31]],Code9)</f>
        <v>0</v>
      </c>
      <c r="AS122" s="472">
        <f>COUNTIF(ParicipationMai1[[#This Row],[1]:[31]],Code10)</f>
        <v>0</v>
      </c>
      <c r="AT122" s="472">
        <f>COUNTIF(ParicipationMai1[[#This Row],[1]:[31]],Code11)</f>
        <v>0</v>
      </c>
      <c r="AU122" s="472">
        <f>COUNTIF(ParicipationMai1[[#This Row],[1]:[31]],Code12)</f>
        <v>0</v>
      </c>
      <c r="AV122" s="472">
        <f>COUNTIF(ParicipationMai1[[#This Row],[1]:[31]],Code13)</f>
        <v>0</v>
      </c>
      <c r="AW122" s="472">
        <f>COUNTIF(ParicipationMai1[[#This Row],[1]:[31]],Code14)</f>
        <v>0</v>
      </c>
      <c r="AX122" s="472">
        <f>COUNTIF(ParicipationMai1[[#This Row],[1]:[31]],Code15)</f>
        <v>0</v>
      </c>
      <c r="AY122" s="472">
        <f>COUNTIF(ParicipationMai1[[#This Row],[1]:[31]],Code16)</f>
        <v>0</v>
      </c>
      <c r="AZ122" s="472">
        <f>COUNTIF(ParicipationMai1[[#This Row],[1]:[31]],Code17)</f>
        <v>0</v>
      </c>
      <c r="BA122" s="472">
        <f>COUNTIF(ParicipationMai1[[#This Row],[1]:[31]],Code25)</f>
        <v>0</v>
      </c>
      <c r="BB122" s="472">
        <f>COUNTIF(ParicipationMai1[[#This Row],[1]:[31]],Code26)</f>
        <v>0</v>
      </c>
      <c r="BC122" s="472">
        <f>COUNTIF(ParicipationMai1[[#This Row],[1]:[31]],Code27)</f>
        <v>0</v>
      </c>
      <c r="BD122" s="472">
        <f>COUNTIF(ParicipationMai1[[#This Row],[1]:[31]],Code28)</f>
        <v>0</v>
      </c>
      <c r="BE122" s="472">
        <f>COUNTIF(ParicipationMai1[[#This Row],[1]:[31]],code30)</f>
        <v>0</v>
      </c>
      <c r="BF122" s="472">
        <f>COUNTIF(ParicipationMai1[[#This Row],[1]:[31]],Code31)</f>
        <v>0</v>
      </c>
      <c r="BG122" s="472">
        <f>COUNTIF(ParicipationMai1[[#This Row],[1]:[31]],code21)</f>
        <v>0</v>
      </c>
      <c r="BH122" s="472">
        <f>COUNTIF(ParicipationMai1[[#This Row],[1]:[31]],Code24)</f>
        <v>0</v>
      </c>
      <c r="BI122" s="370">
        <f>COUNTIF(ParicipationMai1[[#This Row],[1]:[31]],code18)</f>
        <v>0</v>
      </c>
      <c r="BJ122" s="370">
        <f>COUNTIF(ParicipationMai1[[#This Row],[1]:[31]],code19)</f>
        <v>0</v>
      </c>
      <c r="BK122" s="370">
        <f>COUNTIF(ParicipationMai1[[#This Row],[1]:[31]],code20)</f>
        <v>0</v>
      </c>
      <c r="BL122" s="516">
        <f>COUNTIF(ParicipationMai1[[#This Row],[1]:[31]],code29)</f>
        <v>0</v>
      </c>
      <c r="BM122" s="297"/>
      <c r="BN122" s="297"/>
      <c r="BO122" s="297"/>
      <c r="BP122" s="297"/>
      <c r="BQ122" s="297"/>
      <c r="BR122" s="297"/>
      <c r="BS122" s="297"/>
      <c r="BT122" s="297"/>
      <c r="BU122" s="297"/>
      <c r="BV122" s="297"/>
      <c r="BW122" s="297"/>
      <c r="BX122" s="297"/>
      <c r="BY122" s="297"/>
      <c r="BZ122" s="297"/>
      <c r="CA122" s="297"/>
      <c r="CB122" s="297"/>
      <c r="CC122" s="297"/>
      <c r="CD122" s="297"/>
      <c r="CE122" s="297"/>
      <c r="CF122" s="297"/>
      <c r="CG122" s="297"/>
      <c r="CH122" s="297"/>
      <c r="CI122" s="297"/>
      <c r="CJ122" s="297"/>
      <c r="CK122" s="297"/>
      <c r="CL122" s="297"/>
      <c r="CM122" s="297"/>
      <c r="CN122" s="297"/>
      <c r="CO122" s="297"/>
      <c r="CP122" s="297"/>
      <c r="CQ122" s="297"/>
      <c r="CR122" s="297"/>
      <c r="CS122" s="297"/>
      <c r="CT122" s="472"/>
      <c r="CU122" s="300"/>
      <c r="CV122" s="589">
        <f t="shared" si="4"/>
        <v>0</v>
      </c>
      <c r="CW122" s="501">
        <f t="shared" si="5"/>
        <v>0</v>
      </c>
      <c r="CX122" s="472">
        <f t="shared" si="6"/>
        <v>0</v>
      </c>
      <c r="CY122" s="512">
        <f t="shared" si="7"/>
        <v>0</v>
      </c>
    </row>
    <row r="123" spans="1:103">
      <c r="A123" s="29" t="s">
        <v>464</v>
      </c>
      <c r="B123" s="162" t="str">
        <f>IFERROR(VLOOKUP(ParicipationMai1[[#This Row],[Référence]],ListeÉtudiants1[],18,FALSE),"")</f>
        <v>SEINGUERLET CONSTANCE</v>
      </c>
      <c r="AG123" s="286"/>
      <c r="AH123" s="138">
        <f>COUNTIF(ParicipationMai1[[1]:[31]],Code1)</f>
        <v>0</v>
      </c>
      <c r="AI123" s="474">
        <f>COUNTIF(ParicipationMai1[[1]:[31]],code22)</f>
        <v>0</v>
      </c>
      <c r="AJ123" s="138">
        <f>COUNTIF(ParicipationMai1[[#This Row],[1]:[31]],Code2)</f>
        <v>0</v>
      </c>
      <c r="AK123" s="138">
        <f>COUNTIF(ParicipationMai1[[#This Row],[1]:[31]],Code3)</f>
        <v>0</v>
      </c>
      <c r="AL123" s="138">
        <f>COUNTIF(ParicipationMai1[[#This Row],[1]:[31]],Code4)</f>
        <v>0</v>
      </c>
      <c r="AM123" s="472">
        <f>COUNTIF(ParicipationMai1[[#This Row],[1]:[31]],Code5)</f>
        <v>0</v>
      </c>
      <c r="AN123" s="472">
        <f>COUNTIF(ParicipationMai1[[#This Row],[1]:[31]],Code23)</f>
        <v>0</v>
      </c>
      <c r="AO123" s="472">
        <f>COUNTIF(ParicipationMai1[[#This Row],[1]:[31]],Code6)</f>
        <v>0</v>
      </c>
      <c r="AP123" s="472">
        <f>COUNTIF(ParicipationMai1[[#This Row],[1]:[31]],Code7)</f>
        <v>0</v>
      </c>
      <c r="AQ123" s="472">
        <f>COUNTIF(ParicipationMai1[[#This Row],[1]:[31]],Code8)</f>
        <v>0</v>
      </c>
      <c r="AR123" s="472">
        <f>COUNTIF(ParicipationMai1[[#This Row],[1]:[31]],Code9)</f>
        <v>0</v>
      </c>
      <c r="AS123" s="472">
        <f>COUNTIF(ParicipationMai1[[#This Row],[1]:[31]],Code10)</f>
        <v>0</v>
      </c>
      <c r="AT123" s="472">
        <f>COUNTIF(ParicipationMai1[[#This Row],[1]:[31]],Code11)</f>
        <v>0</v>
      </c>
      <c r="AU123" s="472">
        <f>COUNTIF(ParicipationMai1[[#This Row],[1]:[31]],Code12)</f>
        <v>0</v>
      </c>
      <c r="AV123" s="472">
        <f>COUNTIF(ParicipationMai1[[#This Row],[1]:[31]],Code13)</f>
        <v>0</v>
      </c>
      <c r="AW123" s="472">
        <f>COUNTIF(ParicipationMai1[[#This Row],[1]:[31]],Code14)</f>
        <v>0</v>
      </c>
      <c r="AX123" s="472">
        <f>COUNTIF(ParicipationMai1[[#This Row],[1]:[31]],Code15)</f>
        <v>0</v>
      </c>
      <c r="AY123" s="472">
        <f>COUNTIF(ParicipationMai1[[#This Row],[1]:[31]],Code16)</f>
        <v>0</v>
      </c>
      <c r="AZ123" s="472">
        <f>COUNTIF(ParicipationMai1[[#This Row],[1]:[31]],Code17)</f>
        <v>0</v>
      </c>
      <c r="BA123" s="472">
        <f>COUNTIF(ParicipationMai1[[#This Row],[1]:[31]],Code25)</f>
        <v>0</v>
      </c>
      <c r="BB123" s="472">
        <f>COUNTIF(ParicipationMai1[[#This Row],[1]:[31]],Code26)</f>
        <v>0</v>
      </c>
      <c r="BC123" s="472">
        <f>COUNTIF(ParicipationMai1[[#This Row],[1]:[31]],Code27)</f>
        <v>0</v>
      </c>
      <c r="BD123" s="472">
        <f>COUNTIF(ParicipationMai1[[#This Row],[1]:[31]],Code28)</f>
        <v>0</v>
      </c>
      <c r="BE123" s="472">
        <f>COUNTIF(ParicipationMai1[[#This Row],[1]:[31]],code30)</f>
        <v>0</v>
      </c>
      <c r="BF123" s="472">
        <f>COUNTIF(ParicipationMai1[[#This Row],[1]:[31]],Code31)</f>
        <v>0</v>
      </c>
      <c r="BG123" s="472">
        <f>COUNTIF(ParicipationMai1[[#This Row],[1]:[31]],code21)</f>
        <v>0</v>
      </c>
      <c r="BH123" s="472">
        <f>COUNTIF(ParicipationMai1[[#This Row],[1]:[31]],Code24)</f>
        <v>0</v>
      </c>
      <c r="BI123" s="370">
        <f>COUNTIF(ParicipationMai1[[#This Row],[1]:[31]],code18)</f>
        <v>0</v>
      </c>
      <c r="BJ123" s="370">
        <f>COUNTIF(ParicipationMai1[[#This Row],[1]:[31]],code19)</f>
        <v>0</v>
      </c>
      <c r="BK123" s="370">
        <f>COUNTIF(ParicipationMai1[[#This Row],[1]:[31]],code20)</f>
        <v>0</v>
      </c>
      <c r="BL123" s="516">
        <f>COUNTIF(ParicipationMai1[[#This Row],[1]:[31]],code29)</f>
        <v>0</v>
      </c>
      <c r="BM123" s="297"/>
      <c r="BN123" s="297"/>
      <c r="BO123" s="297"/>
      <c r="BP123" s="297"/>
      <c r="BQ123" s="297"/>
      <c r="BR123" s="297"/>
      <c r="BS123" s="297"/>
      <c r="BT123" s="297"/>
      <c r="BU123" s="297"/>
      <c r="BV123" s="297"/>
      <c r="BW123" s="297"/>
      <c r="BX123" s="297"/>
      <c r="BY123" s="297"/>
      <c r="BZ123" s="297"/>
      <c r="CA123" s="297"/>
      <c r="CB123" s="297"/>
      <c r="CC123" s="297"/>
      <c r="CD123" s="297"/>
      <c r="CE123" s="297"/>
      <c r="CF123" s="297"/>
      <c r="CG123" s="297"/>
      <c r="CH123" s="297"/>
      <c r="CI123" s="297"/>
      <c r="CJ123" s="297"/>
      <c r="CK123" s="297"/>
      <c r="CL123" s="297"/>
      <c r="CM123" s="297"/>
      <c r="CN123" s="297"/>
      <c r="CO123" s="297"/>
      <c r="CP123" s="297"/>
      <c r="CQ123" s="297"/>
      <c r="CR123" s="297"/>
      <c r="CS123" s="297"/>
      <c r="CT123" s="472"/>
      <c r="CU123" s="300"/>
      <c r="CV123" s="589">
        <f t="shared" si="4"/>
        <v>0</v>
      </c>
      <c r="CW123" s="501">
        <f t="shared" si="5"/>
        <v>0</v>
      </c>
      <c r="CX123" s="472">
        <f t="shared" si="6"/>
        <v>0</v>
      </c>
      <c r="CY123" s="512">
        <f t="shared" si="7"/>
        <v>0</v>
      </c>
    </row>
    <row r="124" spans="1:103">
      <c r="A124" s="29" t="s">
        <v>465</v>
      </c>
      <c r="B124" s="162" t="str">
        <f>IFERROR(VLOOKUP(ParicipationMai1[[#This Row],[Référence]],ListeÉtudiants1[],18,FALSE),"")</f>
        <v>SERVENT MARION</v>
      </c>
      <c r="AG124" s="286"/>
      <c r="AH124" s="138">
        <f>COUNTIF(ParicipationMai1[[1]:[31]],Code1)</f>
        <v>0</v>
      </c>
      <c r="AI124" s="474">
        <f>COUNTIF(ParicipationMai1[[1]:[31]],code22)</f>
        <v>0</v>
      </c>
      <c r="AJ124" s="138">
        <f>COUNTIF(ParicipationMai1[[#This Row],[1]:[31]],Code2)</f>
        <v>0</v>
      </c>
      <c r="AK124" s="138">
        <f>COUNTIF(ParicipationMai1[[#This Row],[1]:[31]],Code3)</f>
        <v>0</v>
      </c>
      <c r="AL124" s="138">
        <f>COUNTIF(ParicipationMai1[[#This Row],[1]:[31]],Code4)</f>
        <v>0</v>
      </c>
      <c r="AM124" s="472">
        <f>COUNTIF(ParicipationMai1[[#This Row],[1]:[31]],Code5)</f>
        <v>0</v>
      </c>
      <c r="AN124" s="472">
        <f>COUNTIF(ParicipationMai1[[#This Row],[1]:[31]],Code23)</f>
        <v>0</v>
      </c>
      <c r="AO124" s="472">
        <f>COUNTIF(ParicipationMai1[[#This Row],[1]:[31]],Code6)</f>
        <v>0</v>
      </c>
      <c r="AP124" s="472">
        <f>COUNTIF(ParicipationMai1[[#This Row],[1]:[31]],Code7)</f>
        <v>0</v>
      </c>
      <c r="AQ124" s="472">
        <f>COUNTIF(ParicipationMai1[[#This Row],[1]:[31]],Code8)</f>
        <v>0</v>
      </c>
      <c r="AR124" s="472">
        <f>COUNTIF(ParicipationMai1[[#This Row],[1]:[31]],Code9)</f>
        <v>0</v>
      </c>
      <c r="AS124" s="472">
        <f>COUNTIF(ParicipationMai1[[#This Row],[1]:[31]],Code10)</f>
        <v>0</v>
      </c>
      <c r="AT124" s="472">
        <f>COUNTIF(ParicipationMai1[[#This Row],[1]:[31]],Code11)</f>
        <v>0</v>
      </c>
      <c r="AU124" s="472">
        <f>COUNTIF(ParicipationMai1[[#This Row],[1]:[31]],Code12)</f>
        <v>0</v>
      </c>
      <c r="AV124" s="472">
        <f>COUNTIF(ParicipationMai1[[#This Row],[1]:[31]],Code13)</f>
        <v>0</v>
      </c>
      <c r="AW124" s="472">
        <f>COUNTIF(ParicipationMai1[[#This Row],[1]:[31]],Code14)</f>
        <v>0</v>
      </c>
      <c r="AX124" s="472">
        <f>COUNTIF(ParicipationMai1[[#This Row],[1]:[31]],Code15)</f>
        <v>0</v>
      </c>
      <c r="AY124" s="472">
        <f>COUNTIF(ParicipationMai1[[#This Row],[1]:[31]],Code16)</f>
        <v>0</v>
      </c>
      <c r="AZ124" s="472">
        <f>COUNTIF(ParicipationMai1[[#This Row],[1]:[31]],Code17)</f>
        <v>0</v>
      </c>
      <c r="BA124" s="472">
        <f>COUNTIF(ParicipationMai1[[#This Row],[1]:[31]],Code25)</f>
        <v>0</v>
      </c>
      <c r="BB124" s="472">
        <f>COUNTIF(ParicipationMai1[[#This Row],[1]:[31]],Code26)</f>
        <v>0</v>
      </c>
      <c r="BC124" s="472">
        <f>COUNTIF(ParicipationMai1[[#This Row],[1]:[31]],Code27)</f>
        <v>0</v>
      </c>
      <c r="BD124" s="472">
        <f>COUNTIF(ParicipationMai1[[#This Row],[1]:[31]],Code28)</f>
        <v>0</v>
      </c>
      <c r="BE124" s="472">
        <f>COUNTIF(ParicipationMai1[[#This Row],[1]:[31]],code30)</f>
        <v>0</v>
      </c>
      <c r="BF124" s="472">
        <f>COUNTIF(ParicipationMai1[[#This Row],[1]:[31]],Code31)</f>
        <v>0</v>
      </c>
      <c r="BG124" s="472">
        <f>COUNTIF(ParicipationMai1[[#This Row],[1]:[31]],code21)</f>
        <v>0</v>
      </c>
      <c r="BH124" s="472">
        <f>COUNTIF(ParicipationMai1[[#This Row],[1]:[31]],Code24)</f>
        <v>0</v>
      </c>
      <c r="BI124" s="370">
        <f>COUNTIF(ParicipationMai1[[#This Row],[1]:[31]],code18)</f>
        <v>0</v>
      </c>
      <c r="BJ124" s="370">
        <f>COUNTIF(ParicipationMai1[[#This Row],[1]:[31]],code19)</f>
        <v>0</v>
      </c>
      <c r="BK124" s="370">
        <f>COUNTIF(ParicipationMai1[[#This Row],[1]:[31]],code20)</f>
        <v>0</v>
      </c>
      <c r="BL124" s="516">
        <f>COUNTIF(ParicipationMai1[[#This Row],[1]:[31]],code29)</f>
        <v>0</v>
      </c>
      <c r="BM124" s="297"/>
      <c r="BN124" s="297"/>
      <c r="BO124" s="297"/>
      <c r="BP124" s="297"/>
      <c r="BQ124" s="297"/>
      <c r="BR124" s="297"/>
      <c r="BS124" s="297"/>
      <c r="BT124" s="297"/>
      <c r="BU124" s="297"/>
      <c r="BV124" s="297"/>
      <c r="BW124" s="297"/>
      <c r="BX124" s="297"/>
      <c r="BY124" s="297"/>
      <c r="BZ124" s="297"/>
      <c r="CA124" s="297"/>
      <c r="CB124" s="297"/>
      <c r="CC124" s="297"/>
      <c r="CD124" s="297"/>
      <c r="CE124" s="297"/>
      <c r="CF124" s="297"/>
      <c r="CG124" s="297"/>
      <c r="CH124" s="297"/>
      <c r="CI124" s="297"/>
      <c r="CJ124" s="297"/>
      <c r="CK124" s="297"/>
      <c r="CL124" s="297"/>
      <c r="CM124" s="297"/>
      <c r="CN124" s="297"/>
      <c r="CO124" s="297"/>
      <c r="CP124" s="297"/>
      <c r="CQ124" s="297"/>
      <c r="CR124" s="297"/>
      <c r="CS124" s="297"/>
      <c r="CT124" s="472"/>
      <c r="CU124" s="300"/>
      <c r="CV124" s="589">
        <f t="shared" si="4"/>
        <v>0</v>
      </c>
      <c r="CW124" s="501">
        <f t="shared" si="5"/>
        <v>0</v>
      </c>
      <c r="CX124" s="472">
        <f t="shared" si="6"/>
        <v>0</v>
      </c>
      <c r="CY124" s="512">
        <f t="shared" si="7"/>
        <v>0</v>
      </c>
    </row>
    <row r="125" spans="1:103">
      <c r="A125" s="29" t="s">
        <v>466</v>
      </c>
      <c r="B125" s="162" t="str">
        <f>IFERROR(VLOOKUP(ParicipationMai1[[#This Row],[Référence]],ListeÉtudiants1[],18,FALSE),"")</f>
        <v>SHEIKBOUDOU MACILIA</v>
      </c>
      <c r="AG125" s="286"/>
      <c r="AH125" s="138">
        <f>COUNTIF(ParicipationMai1[[1]:[31]],Code1)</f>
        <v>0</v>
      </c>
      <c r="AI125" s="474">
        <f>COUNTIF(ParicipationMai1[[1]:[31]],code22)</f>
        <v>0</v>
      </c>
      <c r="AJ125" s="138">
        <f>COUNTIF(ParicipationMai1[[#This Row],[1]:[31]],Code2)</f>
        <v>0</v>
      </c>
      <c r="AK125" s="138">
        <f>COUNTIF(ParicipationMai1[[#This Row],[1]:[31]],Code3)</f>
        <v>0</v>
      </c>
      <c r="AL125" s="138">
        <f>COUNTIF(ParicipationMai1[[#This Row],[1]:[31]],Code4)</f>
        <v>0</v>
      </c>
      <c r="AM125" s="472">
        <f>COUNTIF(ParicipationMai1[[#This Row],[1]:[31]],Code5)</f>
        <v>0</v>
      </c>
      <c r="AN125" s="472">
        <f>COUNTIF(ParicipationMai1[[#This Row],[1]:[31]],Code23)</f>
        <v>0</v>
      </c>
      <c r="AO125" s="472">
        <f>COUNTIF(ParicipationMai1[[#This Row],[1]:[31]],Code6)</f>
        <v>0</v>
      </c>
      <c r="AP125" s="472">
        <f>COUNTIF(ParicipationMai1[[#This Row],[1]:[31]],Code7)</f>
        <v>0</v>
      </c>
      <c r="AQ125" s="472">
        <f>COUNTIF(ParicipationMai1[[#This Row],[1]:[31]],Code8)</f>
        <v>0</v>
      </c>
      <c r="AR125" s="472">
        <f>COUNTIF(ParicipationMai1[[#This Row],[1]:[31]],Code9)</f>
        <v>0</v>
      </c>
      <c r="AS125" s="472">
        <f>COUNTIF(ParicipationMai1[[#This Row],[1]:[31]],Code10)</f>
        <v>0</v>
      </c>
      <c r="AT125" s="472">
        <f>COUNTIF(ParicipationMai1[[#This Row],[1]:[31]],Code11)</f>
        <v>0</v>
      </c>
      <c r="AU125" s="472">
        <f>COUNTIF(ParicipationMai1[[#This Row],[1]:[31]],Code12)</f>
        <v>0</v>
      </c>
      <c r="AV125" s="472">
        <f>COUNTIF(ParicipationMai1[[#This Row],[1]:[31]],Code13)</f>
        <v>0</v>
      </c>
      <c r="AW125" s="472">
        <f>COUNTIF(ParicipationMai1[[#This Row],[1]:[31]],Code14)</f>
        <v>0</v>
      </c>
      <c r="AX125" s="472">
        <f>COUNTIF(ParicipationMai1[[#This Row],[1]:[31]],Code15)</f>
        <v>0</v>
      </c>
      <c r="AY125" s="472">
        <f>COUNTIF(ParicipationMai1[[#This Row],[1]:[31]],Code16)</f>
        <v>0</v>
      </c>
      <c r="AZ125" s="472">
        <f>COUNTIF(ParicipationMai1[[#This Row],[1]:[31]],Code17)</f>
        <v>0</v>
      </c>
      <c r="BA125" s="472">
        <f>COUNTIF(ParicipationMai1[[#This Row],[1]:[31]],Code25)</f>
        <v>0</v>
      </c>
      <c r="BB125" s="472">
        <f>COUNTIF(ParicipationMai1[[#This Row],[1]:[31]],Code26)</f>
        <v>0</v>
      </c>
      <c r="BC125" s="472">
        <f>COUNTIF(ParicipationMai1[[#This Row],[1]:[31]],Code27)</f>
        <v>0</v>
      </c>
      <c r="BD125" s="472">
        <f>COUNTIF(ParicipationMai1[[#This Row],[1]:[31]],Code28)</f>
        <v>0</v>
      </c>
      <c r="BE125" s="472">
        <f>COUNTIF(ParicipationMai1[[#This Row],[1]:[31]],code30)</f>
        <v>0</v>
      </c>
      <c r="BF125" s="472">
        <f>COUNTIF(ParicipationMai1[[#This Row],[1]:[31]],Code31)</f>
        <v>0</v>
      </c>
      <c r="BG125" s="472">
        <f>COUNTIF(ParicipationMai1[[#This Row],[1]:[31]],code21)</f>
        <v>0</v>
      </c>
      <c r="BH125" s="472">
        <f>COUNTIF(ParicipationMai1[[#This Row],[1]:[31]],Code24)</f>
        <v>0</v>
      </c>
      <c r="BI125" s="370">
        <f>COUNTIF(ParicipationMai1[[#This Row],[1]:[31]],code18)</f>
        <v>0</v>
      </c>
      <c r="BJ125" s="370">
        <f>COUNTIF(ParicipationMai1[[#This Row],[1]:[31]],code19)</f>
        <v>0</v>
      </c>
      <c r="BK125" s="370">
        <f>COUNTIF(ParicipationMai1[[#This Row],[1]:[31]],code20)</f>
        <v>0</v>
      </c>
      <c r="BL125" s="516">
        <f>COUNTIF(ParicipationMai1[[#This Row],[1]:[31]],code29)</f>
        <v>0</v>
      </c>
      <c r="BM125" s="297"/>
      <c r="BN125" s="297"/>
      <c r="BO125" s="297"/>
      <c r="BP125" s="297"/>
      <c r="BQ125" s="297"/>
      <c r="BR125" s="297"/>
      <c r="BS125" s="297"/>
      <c r="BT125" s="297"/>
      <c r="BU125" s="297"/>
      <c r="BV125" s="297"/>
      <c r="BW125" s="297"/>
      <c r="BX125" s="297"/>
      <c r="BY125" s="297"/>
      <c r="BZ125" s="297"/>
      <c r="CA125" s="297"/>
      <c r="CB125" s="297"/>
      <c r="CC125" s="297"/>
      <c r="CD125" s="297"/>
      <c r="CE125" s="297"/>
      <c r="CF125" s="297"/>
      <c r="CG125" s="297"/>
      <c r="CH125" s="297"/>
      <c r="CI125" s="297"/>
      <c r="CJ125" s="297"/>
      <c r="CK125" s="297"/>
      <c r="CL125" s="297"/>
      <c r="CM125" s="297"/>
      <c r="CN125" s="297"/>
      <c r="CO125" s="297"/>
      <c r="CP125" s="297"/>
      <c r="CQ125" s="297"/>
      <c r="CR125" s="297"/>
      <c r="CS125" s="297"/>
      <c r="CT125" s="472"/>
      <c r="CU125" s="300"/>
      <c r="CV125" s="589">
        <f t="shared" si="4"/>
        <v>0</v>
      </c>
      <c r="CW125" s="501">
        <f t="shared" si="5"/>
        <v>0</v>
      </c>
      <c r="CX125" s="472">
        <f t="shared" si="6"/>
        <v>0</v>
      </c>
      <c r="CY125" s="512">
        <f t="shared" si="7"/>
        <v>0</v>
      </c>
    </row>
    <row r="126" spans="1:103">
      <c r="A126" s="29" t="s">
        <v>467</v>
      </c>
      <c r="B126" s="162" t="str">
        <f>IFERROR(VLOOKUP(ParicipationMai1[[#This Row],[Référence]],ListeÉtudiants1[],18,FALSE),"")</f>
        <v>SILVERE SHERLEY</v>
      </c>
      <c r="AG126" s="286"/>
      <c r="AH126" s="138">
        <f>COUNTIF(ParicipationMai1[[1]:[31]],Code1)</f>
        <v>0</v>
      </c>
      <c r="AI126" s="474">
        <f>COUNTIF(ParicipationMai1[[1]:[31]],code22)</f>
        <v>0</v>
      </c>
      <c r="AJ126" s="138">
        <f>COUNTIF(ParicipationMai1[[#This Row],[1]:[31]],Code2)</f>
        <v>0</v>
      </c>
      <c r="AK126" s="138">
        <f>COUNTIF(ParicipationMai1[[#This Row],[1]:[31]],Code3)</f>
        <v>0</v>
      </c>
      <c r="AL126" s="138">
        <f>COUNTIF(ParicipationMai1[[#This Row],[1]:[31]],Code4)</f>
        <v>0</v>
      </c>
      <c r="AM126" s="472">
        <f>COUNTIF(ParicipationMai1[[#This Row],[1]:[31]],Code5)</f>
        <v>0</v>
      </c>
      <c r="AN126" s="472">
        <f>COUNTIF(ParicipationMai1[[#This Row],[1]:[31]],Code23)</f>
        <v>0</v>
      </c>
      <c r="AO126" s="472">
        <f>COUNTIF(ParicipationMai1[[#This Row],[1]:[31]],Code6)</f>
        <v>0</v>
      </c>
      <c r="AP126" s="472">
        <f>COUNTIF(ParicipationMai1[[#This Row],[1]:[31]],Code7)</f>
        <v>0</v>
      </c>
      <c r="AQ126" s="472">
        <f>COUNTIF(ParicipationMai1[[#This Row],[1]:[31]],Code8)</f>
        <v>0</v>
      </c>
      <c r="AR126" s="472">
        <f>COUNTIF(ParicipationMai1[[#This Row],[1]:[31]],Code9)</f>
        <v>0</v>
      </c>
      <c r="AS126" s="472">
        <f>COUNTIF(ParicipationMai1[[#This Row],[1]:[31]],Code10)</f>
        <v>0</v>
      </c>
      <c r="AT126" s="472">
        <f>COUNTIF(ParicipationMai1[[#This Row],[1]:[31]],Code11)</f>
        <v>0</v>
      </c>
      <c r="AU126" s="472">
        <f>COUNTIF(ParicipationMai1[[#This Row],[1]:[31]],Code12)</f>
        <v>0</v>
      </c>
      <c r="AV126" s="472">
        <f>COUNTIF(ParicipationMai1[[#This Row],[1]:[31]],Code13)</f>
        <v>0</v>
      </c>
      <c r="AW126" s="472">
        <f>COUNTIF(ParicipationMai1[[#This Row],[1]:[31]],Code14)</f>
        <v>0</v>
      </c>
      <c r="AX126" s="472">
        <f>COUNTIF(ParicipationMai1[[#This Row],[1]:[31]],Code15)</f>
        <v>0</v>
      </c>
      <c r="AY126" s="472">
        <f>COUNTIF(ParicipationMai1[[#This Row],[1]:[31]],Code16)</f>
        <v>0</v>
      </c>
      <c r="AZ126" s="472">
        <f>COUNTIF(ParicipationMai1[[#This Row],[1]:[31]],Code17)</f>
        <v>0</v>
      </c>
      <c r="BA126" s="472">
        <f>COUNTIF(ParicipationMai1[[#This Row],[1]:[31]],Code25)</f>
        <v>0</v>
      </c>
      <c r="BB126" s="472">
        <f>COUNTIF(ParicipationMai1[[#This Row],[1]:[31]],Code26)</f>
        <v>0</v>
      </c>
      <c r="BC126" s="472">
        <f>COUNTIF(ParicipationMai1[[#This Row],[1]:[31]],Code27)</f>
        <v>0</v>
      </c>
      <c r="BD126" s="472">
        <f>COUNTIF(ParicipationMai1[[#This Row],[1]:[31]],Code28)</f>
        <v>0</v>
      </c>
      <c r="BE126" s="472">
        <f>COUNTIF(ParicipationMai1[[#This Row],[1]:[31]],code30)</f>
        <v>0</v>
      </c>
      <c r="BF126" s="472">
        <f>COUNTIF(ParicipationMai1[[#This Row],[1]:[31]],Code31)</f>
        <v>0</v>
      </c>
      <c r="BG126" s="472">
        <f>COUNTIF(ParicipationMai1[[#This Row],[1]:[31]],code21)</f>
        <v>0</v>
      </c>
      <c r="BH126" s="472">
        <f>COUNTIF(ParicipationMai1[[#This Row],[1]:[31]],Code24)</f>
        <v>0</v>
      </c>
      <c r="BI126" s="370">
        <f>COUNTIF(ParicipationMai1[[#This Row],[1]:[31]],code18)</f>
        <v>0</v>
      </c>
      <c r="BJ126" s="370">
        <f>COUNTIF(ParicipationMai1[[#This Row],[1]:[31]],code19)</f>
        <v>0</v>
      </c>
      <c r="BK126" s="370">
        <f>COUNTIF(ParicipationMai1[[#This Row],[1]:[31]],code20)</f>
        <v>0</v>
      </c>
      <c r="BL126" s="516">
        <f>COUNTIF(ParicipationMai1[[#This Row],[1]:[31]],code29)</f>
        <v>0</v>
      </c>
      <c r="BM126" s="297"/>
      <c r="BN126" s="297"/>
      <c r="BO126" s="297"/>
      <c r="BP126" s="297"/>
      <c r="BQ126" s="297"/>
      <c r="BR126" s="297"/>
      <c r="BS126" s="297"/>
      <c r="BT126" s="297"/>
      <c r="BU126" s="297"/>
      <c r="BV126" s="297"/>
      <c r="BW126" s="297"/>
      <c r="BX126" s="297"/>
      <c r="BY126" s="297"/>
      <c r="BZ126" s="297"/>
      <c r="CA126" s="297"/>
      <c r="CB126" s="297"/>
      <c r="CC126" s="297"/>
      <c r="CD126" s="297"/>
      <c r="CE126" s="297"/>
      <c r="CF126" s="297"/>
      <c r="CG126" s="297"/>
      <c r="CH126" s="297"/>
      <c r="CI126" s="297"/>
      <c r="CJ126" s="297"/>
      <c r="CK126" s="297"/>
      <c r="CL126" s="297"/>
      <c r="CM126" s="297"/>
      <c r="CN126" s="297"/>
      <c r="CO126" s="297"/>
      <c r="CP126" s="297"/>
      <c r="CQ126" s="297"/>
      <c r="CR126" s="297"/>
      <c r="CS126" s="297"/>
      <c r="CT126" s="472"/>
      <c r="CU126" s="300"/>
      <c r="CV126" s="589">
        <f t="shared" si="4"/>
        <v>0</v>
      </c>
      <c r="CW126" s="501">
        <f t="shared" si="5"/>
        <v>0</v>
      </c>
      <c r="CX126" s="472">
        <f t="shared" si="6"/>
        <v>0</v>
      </c>
      <c r="CY126" s="512">
        <f t="shared" si="7"/>
        <v>0</v>
      </c>
    </row>
    <row r="127" spans="1:103">
      <c r="A127" s="29" t="s">
        <v>468</v>
      </c>
      <c r="B127" s="162" t="str">
        <f>IFERROR(VLOOKUP(ParicipationMai1[[#This Row],[Référence]],ListeÉtudiants1[],18,FALSE),"")</f>
        <v>SOUQUERE LAURANA</v>
      </c>
      <c r="AG127" s="286"/>
      <c r="AH127" s="138">
        <f>COUNTIF(ParicipationMai1[[1]:[31]],Code1)</f>
        <v>0</v>
      </c>
      <c r="AI127" s="474">
        <f>COUNTIF(ParicipationMai1[[1]:[31]],code22)</f>
        <v>0</v>
      </c>
      <c r="AJ127" s="138">
        <f>COUNTIF(ParicipationMai1[[#This Row],[1]:[31]],Code2)</f>
        <v>0</v>
      </c>
      <c r="AK127" s="138">
        <f>COUNTIF(ParicipationMai1[[#This Row],[1]:[31]],Code3)</f>
        <v>0</v>
      </c>
      <c r="AL127" s="138">
        <f>COUNTIF(ParicipationMai1[[#This Row],[1]:[31]],Code4)</f>
        <v>0</v>
      </c>
      <c r="AM127" s="472">
        <f>COUNTIF(ParicipationMai1[[#This Row],[1]:[31]],Code5)</f>
        <v>0</v>
      </c>
      <c r="AN127" s="472">
        <f>COUNTIF(ParicipationMai1[[#This Row],[1]:[31]],Code23)</f>
        <v>0</v>
      </c>
      <c r="AO127" s="472">
        <f>COUNTIF(ParicipationMai1[[#This Row],[1]:[31]],Code6)</f>
        <v>0</v>
      </c>
      <c r="AP127" s="472">
        <f>COUNTIF(ParicipationMai1[[#This Row],[1]:[31]],Code7)</f>
        <v>0</v>
      </c>
      <c r="AQ127" s="472">
        <f>COUNTIF(ParicipationMai1[[#This Row],[1]:[31]],Code8)</f>
        <v>0</v>
      </c>
      <c r="AR127" s="472">
        <f>COUNTIF(ParicipationMai1[[#This Row],[1]:[31]],Code9)</f>
        <v>0</v>
      </c>
      <c r="AS127" s="472">
        <f>COUNTIF(ParicipationMai1[[#This Row],[1]:[31]],Code10)</f>
        <v>0</v>
      </c>
      <c r="AT127" s="472">
        <f>COUNTIF(ParicipationMai1[[#This Row],[1]:[31]],Code11)</f>
        <v>0</v>
      </c>
      <c r="AU127" s="472">
        <f>COUNTIF(ParicipationMai1[[#This Row],[1]:[31]],Code12)</f>
        <v>0</v>
      </c>
      <c r="AV127" s="472">
        <f>COUNTIF(ParicipationMai1[[#This Row],[1]:[31]],Code13)</f>
        <v>0</v>
      </c>
      <c r="AW127" s="472">
        <f>COUNTIF(ParicipationMai1[[#This Row],[1]:[31]],Code14)</f>
        <v>0</v>
      </c>
      <c r="AX127" s="472">
        <f>COUNTIF(ParicipationMai1[[#This Row],[1]:[31]],Code15)</f>
        <v>0</v>
      </c>
      <c r="AY127" s="472">
        <f>COUNTIF(ParicipationMai1[[#This Row],[1]:[31]],Code16)</f>
        <v>0</v>
      </c>
      <c r="AZ127" s="472">
        <f>COUNTIF(ParicipationMai1[[#This Row],[1]:[31]],Code17)</f>
        <v>0</v>
      </c>
      <c r="BA127" s="472">
        <f>COUNTIF(ParicipationMai1[[#This Row],[1]:[31]],Code25)</f>
        <v>0</v>
      </c>
      <c r="BB127" s="472">
        <f>COUNTIF(ParicipationMai1[[#This Row],[1]:[31]],Code26)</f>
        <v>0</v>
      </c>
      <c r="BC127" s="472">
        <f>COUNTIF(ParicipationMai1[[#This Row],[1]:[31]],Code27)</f>
        <v>0</v>
      </c>
      <c r="BD127" s="472">
        <f>COUNTIF(ParicipationMai1[[#This Row],[1]:[31]],Code28)</f>
        <v>0</v>
      </c>
      <c r="BE127" s="472">
        <f>COUNTIF(ParicipationMai1[[#This Row],[1]:[31]],code30)</f>
        <v>0</v>
      </c>
      <c r="BF127" s="472">
        <f>COUNTIF(ParicipationMai1[[#This Row],[1]:[31]],Code31)</f>
        <v>0</v>
      </c>
      <c r="BG127" s="472">
        <f>COUNTIF(ParicipationMai1[[#This Row],[1]:[31]],code21)</f>
        <v>0</v>
      </c>
      <c r="BH127" s="472">
        <f>COUNTIF(ParicipationMai1[[#This Row],[1]:[31]],Code24)</f>
        <v>0</v>
      </c>
      <c r="BI127" s="370">
        <f>COUNTIF(ParicipationMai1[[#This Row],[1]:[31]],code18)</f>
        <v>0</v>
      </c>
      <c r="BJ127" s="370">
        <f>COUNTIF(ParicipationMai1[[#This Row],[1]:[31]],code19)</f>
        <v>0</v>
      </c>
      <c r="BK127" s="370">
        <f>COUNTIF(ParicipationMai1[[#This Row],[1]:[31]],code20)</f>
        <v>0</v>
      </c>
      <c r="BL127" s="516">
        <f>COUNTIF(ParicipationMai1[[#This Row],[1]:[31]],code29)</f>
        <v>0</v>
      </c>
      <c r="BM127" s="297"/>
      <c r="BN127" s="297"/>
      <c r="BO127" s="297"/>
      <c r="BP127" s="297"/>
      <c r="BQ127" s="297"/>
      <c r="BR127" s="297"/>
      <c r="BS127" s="297"/>
      <c r="BT127" s="297"/>
      <c r="BU127" s="297"/>
      <c r="BV127" s="297"/>
      <c r="BW127" s="297"/>
      <c r="BX127" s="297"/>
      <c r="BY127" s="297"/>
      <c r="BZ127" s="297"/>
      <c r="CA127" s="297"/>
      <c r="CB127" s="297"/>
      <c r="CC127" s="297"/>
      <c r="CD127" s="297"/>
      <c r="CE127" s="297"/>
      <c r="CF127" s="297"/>
      <c r="CG127" s="297"/>
      <c r="CH127" s="297"/>
      <c r="CI127" s="297"/>
      <c r="CJ127" s="297"/>
      <c r="CK127" s="297"/>
      <c r="CL127" s="297"/>
      <c r="CM127" s="297"/>
      <c r="CN127" s="297"/>
      <c r="CO127" s="297"/>
      <c r="CP127" s="297"/>
      <c r="CQ127" s="297"/>
      <c r="CR127" s="297"/>
      <c r="CS127" s="297"/>
      <c r="CT127" s="472"/>
      <c r="CU127" s="300"/>
      <c r="CV127" s="589">
        <f t="shared" si="4"/>
        <v>0</v>
      </c>
      <c r="CW127" s="501">
        <f t="shared" si="5"/>
        <v>0</v>
      </c>
      <c r="CX127" s="472">
        <f t="shared" si="6"/>
        <v>0</v>
      </c>
      <c r="CY127" s="512">
        <f t="shared" si="7"/>
        <v>0</v>
      </c>
    </row>
    <row r="128" spans="1:103">
      <c r="A128" s="29" t="s">
        <v>469</v>
      </c>
      <c r="B128" s="162" t="str">
        <f>IFERROR(VLOOKUP(ParicipationMai1[[#This Row],[Référence]],ListeÉtudiants1[],18,FALSE),"")</f>
        <v>TABUDI DARLENE</v>
      </c>
      <c r="AG128" s="286"/>
      <c r="AH128" s="138">
        <f>COUNTIF(ParicipationMai1[[1]:[31]],Code1)</f>
        <v>0</v>
      </c>
      <c r="AI128" s="474">
        <f>COUNTIF(ParicipationMai1[[1]:[31]],code22)</f>
        <v>0</v>
      </c>
      <c r="AJ128" s="138">
        <f>COUNTIF(ParicipationMai1[[#This Row],[1]:[31]],Code2)</f>
        <v>0</v>
      </c>
      <c r="AK128" s="138">
        <f>COUNTIF(ParicipationMai1[[#This Row],[1]:[31]],Code3)</f>
        <v>0</v>
      </c>
      <c r="AL128" s="138">
        <f>COUNTIF(ParicipationMai1[[#This Row],[1]:[31]],Code4)</f>
        <v>0</v>
      </c>
      <c r="AM128" s="472">
        <f>COUNTIF(ParicipationMai1[[#This Row],[1]:[31]],Code5)</f>
        <v>0</v>
      </c>
      <c r="AN128" s="472">
        <f>COUNTIF(ParicipationMai1[[#This Row],[1]:[31]],Code23)</f>
        <v>0</v>
      </c>
      <c r="AO128" s="472">
        <f>COUNTIF(ParicipationMai1[[#This Row],[1]:[31]],Code6)</f>
        <v>0</v>
      </c>
      <c r="AP128" s="472">
        <f>COUNTIF(ParicipationMai1[[#This Row],[1]:[31]],Code7)</f>
        <v>0</v>
      </c>
      <c r="AQ128" s="472">
        <f>COUNTIF(ParicipationMai1[[#This Row],[1]:[31]],Code8)</f>
        <v>0</v>
      </c>
      <c r="AR128" s="472">
        <f>COUNTIF(ParicipationMai1[[#This Row],[1]:[31]],Code9)</f>
        <v>0</v>
      </c>
      <c r="AS128" s="472">
        <f>COUNTIF(ParicipationMai1[[#This Row],[1]:[31]],Code10)</f>
        <v>0</v>
      </c>
      <c r="AT128" s="472">
        <f>COUNTIF(ParicipationMai1[[#This Row],[1]:[31]],Code11)</f>
        <v>0</v>
      </c>
      <c r="AU128" s="472">
        <f>COUNTIF(ParicipationMai1[[#This Row],[1]:[31]],Code12)</f>
        <v>0</v>
      </c>
      <c r="AV128" s="472">
        <f>COUNTIF(ParicipationMai1[[#This Row],[1]:[31]],Code13)</f>
        <v>0</v>
      </c>
      <c r="AW128" s="472">
        <f>COUNTIF(ParicipationMai1[[#This Row],[1]:[31]],Code14)</f>
        <v>0</v>
      </c>
      <c r="AX128" s="472">
        <f>COUNTIF(ParicipationMai1[[#This Row],[1]:[31]],Code15)</f>
        <v>0</v>
      </c>
      <c r="AY128" s="472">
        <f>COUNTIF(ParicipationMai1[[#This Row],[1]:[31]],Code16)</f>
        <v>0</v>
      </c>
      <c r="AZ128" s="472">
        <f>COUNTIF(ParicipationMai1[[#This Row],[1]:[31]],Code17)</f>
        <v>0</v>
      </c>
      <c r="BA128" s="472">
        <f>COUNTIF(ParicipationMai1[[#This Row],[1]:[31]],Code25)</f>
        <v>0</v>
      </c>
      <c r="BB128" s="472">
        <f>COUNTIF(ParicipationMai1[[#This Row],[1]:[31]],Code26)</f>
        <v>0</v>
      </c>
      <c r="BC128" s="472">
        <f>COUNTIF(ParicipationMai1[[#This Row],[1]:[31]],Code27)</f>
        <v>0</v>
      </c>
      <c r="BD128" s="472">
        <f>COUNTIF(ParicipationMai1[[#This Row],[1]:[31]],Code28)</f>
        <v>0</v>
      </c>
      <c r="BE128" s="472">
        <f>COUNTIF(ParicipationMai1[[#This Row],[1]:[31]],code30)</f>
        <v>0</v>
      </c>
      <c r="BF128" s="472">
        <f>COUNTIF(ParicipationMai1[[#This Row],[1]:[31]],Code31)</f>
        <v>0</v>
      </c>
      <c r="BG128" s="472">
        <f>COUNTIF(ParicipationMai1[[#This Row],[1]:[31]],code21)</f>
        <v>0</v>
      </c>
      <c r="BH128" s="472">
        <f>COUNTIF(ParicipationMai1[[#This Row],[1]:[31]],Code24)</f>
        <v>0</v>
      </c>
      <c r="BI128" s="370">
        <f>COUNTIF(ParicipationMai1[[#This Row],[1]:[31]],code18)</f>
        <v>0</v>
      </c>
      <c r="BJ128" s="370">
        <f>COUNTIF(ParicipationMai1[[#This Row],[1]:[31]],code19)</f>
        <v>0</v>
      </c>
      <c r="BK128" s="370">
        <f>COUNTIF(ParicipationMai1[[#This Row],[1]:[31]],code20)</f>
        <v>0</v>
      </c>
      <c r="BL128" s="516">
        <f>COUNTIF(ParicipationMai1[[#This Row],[1]:[31]],code29)</f>
        <v>0</v>
      </c>
      <c r="BM128" s="297"/>
      <c r="BN128" s="297"/>
      <c r="BO128" s="297"/>
      <c r="BP128" s="297"/>
      <c r="BQ128" s="297"/>
      <c r="BR128" s="297"/>
      <c r="BS128" s="297"/>
      <c r="BT128" s="297"/>
      <c r="BU128" s="297"/>
      <c r="BV128" s="297"/>
      <c r="BW128" s="297"/>
      <c r="BX128" s="297"/>
      <c r="BY128" s="297"/>
      <c r="BZ128" s="297"/>
      <c r="CA128" s="297"/>
      <c r="CB128" s="297"/>
      <c r="CC128" s="297"/>
      <c r="CD128" s="297"/>
      <c r="CE128" s="297"/>
      <c r="CF128" s="297"/>
      <c r="CG128" s="297"/>
      <c r="CH128" s="297"/>
      <c r="CI128" s="297"/>
      <c r="CJ128" s="297"/>
      <c r="CK128" s="297"/>
      <c r="CL128" s="297"/>
      <c r="CM128" s="297"/>
      <c r="CN128" s="297"/>
      <c r="CO128" s="297"/>
      <c r="CP128" s="297"/>
      <c r="CQ128" s="297"/>
      <c r="CR128" s="297"/>
      <c r="CS128" s="297"/>
      <c r="CT128" s="472"/>
      <c r="CU128" s="300"/>
      <c r="CV128" s="589">
        <f t="shared" si="4"/>
        <v>0</v>
      </c>
      <c r="CW128" s="501">
        <f t="shared" si="5"/>
        <v>0</v>
      </c>
      <c r="CX128" s="472">
        <f t="shared" si="6"/>
        <v>0</v>
      </c>
      <c r="CY128" s="512">
        <f t="shared" si="7"/>
        <v>0</v>
      </c>
    </row>
    <row r="129" spans="1:103">
      <c r="A129" s="29" t="s">
        <v>470</v>
      </c>
      <c r="B129" s="162" t="str">
        <f>IFERROR(VLOOKUP(ParicipationMai1[[#This Row],[Référence]],ListeÉtudiants1[],18,FALSE),"")</f>
        <v>TAKERKART SIRINE</v>
      </c>
      <c r="AG129" s="286"/>
      <c r="AH129" s="138">
        <f>COUNTIF(ParicipationMai1[[1]:[31]],Code1)</f>
        <v>0</v>
      </c>
      <c r="AI129" s="474">
        <f>COUNTIF(ParicipationMai1[[1]:[31]],code22)</f>
        <v>0</v>
      </c>
      <c r="AJ129" s="138">
        <f>COUNTIF(ParicipationMai1[[#This Row],[1]:[31]],Code2)</f>
        <v>0</v>
      </c>
      <c r="AK129" s="138">
        <f>COUNTIF(ParicipationMai1[[#This Row],[1]:[31]],Code3)</f>
        <v>0</v>
      </c>
      <c r="AL129" s="138">
        <f>COUNTIF(ParicipationMai1[[#This Row],[1]:[31]],Code4)</f>
        <v>0</v>
      </c>
      <c r="AM129" s="472">
        <f>COUNTIF(ParicipationMai1[[#This Row],[1]:[31]],Code5)</f>
        <v>0</v>
      </c>
      <c r="AN129" s="472">
        <f>COUNTIF(ParicipationMai1[[#This Row],[1]:[31]],Code23)</f>
        <v>0</v>
      </c>
      <c r="AO129" s="472">
        <f>COUNTIF(ParicipationMai1[[#This Row],[1]:[31]],Code6)</f>
        <v>0</v>
      </c>
      <c r="AP129" s="472">
        <f>COUNTIF(ParicipationMai1[[#This Row],[1]:[31]],Code7)</f>
        <v>0</v>
      </c>
      <c r="AQ129" s="472">
        <f>COUNTIF(ParicipationMai1[[#This Row],[1]:[31]],Code8)</f>
        <v>0</v>
      </c>
      <c r="AR129" s="472">
        <f>COUNTIF(ParicipationMai1[[#This Row],[1]:[31]],Code9)</f>
        <v>0</v>
      </c>
      <c r="AS129" s="472">
        <f>COUNTIF(ParicipationMai1[[#This Row],[1]:[31]],Code10)</f>
        <v>0</v>
      </c>
      <c r="AT129" s="472">
        <f>COUNTIF(ParicipationMai1[[#This Row],[1]:[31]],Code11)</f>
        <v>0</v>
      </c>
      <c r="AU129" s="472">
        <f>COUNTIF(ParicipationMai1[[#This Row],[1]:[31]],Code12)</f>
        <v>0</v>
      </c>
      <c r="AV129" s="472">
        <f>COUNTIF(ParicipationMai1[[#This Row],[1]:[31]],Code13)</f>
        <v>0</v>
      </c>
      <c r="AW129" s="472">
        <f>COUNTIF(ParicipationMai1[[#This Row],[1]:[31]],Code14)</f>
        <v>0</v>
      </c>
      <c r="AX129" s="472">
        <f>COUNTIF(ParicipationMai1[[#This Row],[1]:[31]],Code15)</f>
        <v>0</v>
      </c>
      <c r="AY129" s="472">
        <f>COUNTIF(ParicipationMai1[[#This Row],[1]:[31]],Code16)</f>
        <v>0</v>
      </c>
      <c r="AZ129" s="472">
        <f>COUNTIF(ParicipationMai1[[#This Row],[1]:[31]],Code17)</f>
        <v>0</v>
      </c>
      <c r="BA129" s="472">
        <f>COUNTIF(ParicipationMai1[[#This Row],[1]:[31]],Code25)</f>
        <v>0</v>
      </c>
      <c r="BB129" s="472">
        <f>COUNTIF(ParicipationMai1[[#This Row],[1]:[31]],Code26)</f>
        <v>0</v>
      </c>
      <c r="BC129" s="472">
        <f>COUNTIF(ParicipationMai1[[#This Row],[1]:[31]],Code27)</f>
        <v>0</v>
      </c>
      <c r="BD129" s="472">
        <f>COUNTIF(ParicipationMai1[[#This Row],[1]:[31]],Code28)</f>
        <v>0</v>
      </c>
      <c r="BE129" s="472">
        <f>COUNTIF(ParicipationMai1[[#This Row],[1]:[31]],code30)</f>
        <v>0</v>
      </c>
      <c r="BF129" s="472">
        <f>COUNTIF(ParicipationMai1[[#This Row],[1]:[31]],Code31)</f>
        <v>0</v>
      </c>
      <c r="BG129" s="472">
        <f>COUNTIF(ParicipationMai1[[#This Row],[1]:[31]],code21)</f>
        <v>0</v>
      </c>
      <c r="BH129" s="472">
        <f>COUNTIF(ParicipationMai1[[#This Row],[1]:[31]],Code24)</f>
        <v>0</v>
      </c>
      <c r="BI129" s="370">
        <f>COUNTIF(ParicipationMai1[[#This Row],[1]:[31]],code18)</f>
        <v>0</v>
      </c>
      <c r="BJ129" s="370">
        <f>COUNTIF(ParicipationMai1[[#This Row],[1]:[31]],code19)</f>
        <v>0</v>
      </c>
      <c r="BK129" s="370">
        <f>COUNTIF(ParicipationMai1[[#This Row],[1]:[31]],code20)</f>
        <v>0</v>
      </c>
      <c r="BL129" s="516">
        <f>COUNTIF(ParicipationMai1[[#This Row],[1]:[31]],code29)</f>
        <v>0</v>
      </c>
      <c r="BM129" s="297"/>
      <c r="BN129" s="297"/>
      <c r="BO129" s="297"/>
      <c r="BP129" s="297"/>
      <c r="BQ129" s="297"/>
      <c r="BR129" s="297"/>
      <c r="BS129" s="297"/>
      <c r="BT129" s="297"/>
      <c r="BU129" s="297"/>
      <c r="BV129" s="297"/>
      <c r="BW129" s="297"/>
      <c r="BX129" s="297"/>
      <c r="BY129" s="297"/>
      <c r="BZ129" s="297"/>
      <c r="CA129" s="297"/>
      <c r="CB129" s="297"/>
      <c r="CC129" s="297"/>
      <c r="CD129" s="297"/>
      <c r="CE129" s="297"/>
      <c r="CF129" s="297"/>
      <c r="CG129" s="297"/>
      <c r="CH129" s="297"/>
      <c r="CI129" s="297"/>
      <c r="CJ129" s="297"/>
      <c r="CK129" s="297"/>
      <c r="CL129" s="297"/>
      <c r="CM129" s="297"/>
      <c r="CN129" s="297"/>
      <c r="CO129" s="297"/>
      <c r="CP129" s="297"/>
      <c r="CQ129" s="297"/>
      <c r="CR129" s="297"/>
      <c r="CS129" s="297"/>
      <c r="CT129" s="472"/>
      <c r="CU129" s="300"/>
      <c r="CV129" s="589">
        <f t="shared" si="4"/>
        <v>0</v>
      </c>
      <c r="CW129" s="501">
        <f t="shared" si="5"/>
        <v>0</v>
      </c>
      <c r="CX129" s="472">
        <f t="shared" si="6"/>
        <v>0</v>
      </c>
      <c r="CY129" s="512">
        <f t="shared" si="7"/>
        <v>0</v>
      </c>
    </row>
    <row r="130" spans="1:103">
      <c r="A130" s="29" t="s">
        <v>471</v>
      </c>
      <c r="B130" s="162" t="str">
        <f>IFERROR(VLOOKUP(ParicipationMai1[[#This Row],[Référence]],ListeÉtudiants1[],18,FALSE),"")</f>
        <v>THENARD FLORENCE</v>
      </c>
      <c r="AG130" s="286"/>
      <c r="AH130" s="138">
        <f>COUNTIF(ParicipationMai1[[1]:[31]],Code1)</f>
        <v>0</v>
      </c>
      <c r="AI130" s="474">
        <f>COUNTIF(ParicipationMai1[[1]:[31]],code22)</f>
        <v>0</v>
      </c>
      <c r="AJ130" s="138">
        <f>COUNTIF(ParicipationMai1[[#This Row],[1]:[31]],Code2)</f>
        <v>0</v>
      </c>
      <c r="AK130" s="138">
        <f>COUNTIF(ParicipationMai1[[#This Row],[1]:[31]],Code3)</f>
        <v>0</v>
      </c>
      <c r="AL130" s="138">
        <f>COUNTIF(ParicipationMai1[[#This Row],[1]:[31]],Code4)</f>
        <v>0</v>
      </c>
      <c r="AM130" s="472">
        <f>COUNTIF(ParicipationMai1[[#This Row],[1]:[31]],Code5)</f>
        <v>0</v>
      </c>
      <c r="AN130" s="472">
        <f>COUNTIF(ParicipationMai1[[#This Row],[1]:[31]],Code23)</f>
        <v>0</v>
      </c>
      <c r="AO130" s="472">
        <f>COUNTIF(ParicipationMai1[[#This Row],[1]:[31]],Code6)</f>
        <v>0</v>
      </c>
      <c r="AP130" s="472">
        <f>COUNTIF(ParicipationMai1[[#This Row],[1]:[31]],Code7)</f>
        <v>0</v>
      </c>
      <c r="AQ130" s="472">
        <f>COUNTIF(ParicipationMai1[[#This Row],[1]:[31]],Code8)</f>
        <v>0</v>
      </c>
      <c r="AR130" s="472">
        <f>COUNTIF(ParicipationMai1[[#This Row],[1]:[31]],Code9)</f>
        <v>0</v>
      </c>
      <c r="AS130" s="472">
        <f>COUNTIF(ParicipationMai1[[#This Row],[1]:[31]],Code10)</f>
        <v>0</v>
      </c>
      <c r="AT130" s="472">
        <f>COUNTIF(ParicipationMai1[[#This Row],[1]:[31]],Code11)</f>
        <v>0</v>
      </c>
      <c r="AU130" s="472">
        <f>COUNTIF(ParicipationMai1[[#This Row],[1]:[31]],Code12)</f>
        <v>0</v>
      </c>
      <c r="AV130" s="472">
        <f>COUNTIF(ParicipationMai1[[#This Row],[1]:[31]],Code13)</f>
        <v>0</v>
      </c>
      <c r="AW130" s="472">
        <f>COUNTIF(ParicipationMai1[[#This Row],[1]:[31]],Code14)</f>
        <v>0</v>
      </c>
      <c r="AX130" s="472">
        <f>COUNTIF(ParicipationMai1[[#This Row],[1]:[31]],Code15)</f>
        <v>0</v>
      </c>
      <c r="AY130" s="472">
        <f>COUNTIF(ParicipationMai1[[#This Row],[1]:[31]],Code16)</f>
        <v>0</v>
      </c>
      <c r="AZ130" s="472">
        <f>COUNTIF(ParicipationMai1[[#This Row],[1]:[31]],Code17)</f>
        <v>0</v>
      </c>
      <c r="BA130" s="472">
        <f>COUNTIF(ParicipationMai1[[#This Row],[1]:[31]],Code25)</f>
        <v>0</v>
      </c>
      <c r="BB130" s="472">
        <f>COUNTIF(ParicipationMai1[[#This Row],[1]:[31]],Code26)</f>
        <v>0</v>
      </c>
      <c r="BC130" s="472">
        <f>COUNTIF(ParicipationMai1[[#This Row],[1]:[31]],Code27)</f>
        <v>0</v>
      </c>
      <c r="BD130" s="472">
        <f>COUNTIF(ParicipationMai1[[#This Row],[1]:[31]],Code28)</f>
        <v>0</v>
      </c>
      <c r="BE130" s="472">
        <f>COUNTIF(ParicipationMai1[[#This Row],[1]:[31]],code30)</f>
        <v>0</v>
      </c>
      <c r="BF130" s="472">
        <f>COUNTIF(ParicipationMai1[[#This Row],[1]:[31]],Code31)</f>
        <v>0</v>
      </c>
      <c r="BG130" s="472">
        <f>COUNTIF(ParicipationMai1[[#This Row],[1]:[31]],code21)</f>
        <v>0</v>
      </c>
      <c r="BH130" s="472">
        <f>COUNTIF(ParicipationMai1[[#This Row],[1]:[31]],Code24)</f>
        <v>0</v>
      </c>
      <c r="BI130" s="370">
        <f>COUNTIF(ParicipationMai1[[#This Row],[1]:[31]],code18)</f>
        <v>0</v>
      </c>
      <c r="BJ130" s="370">
        <f>COUNTIF(ParicipationMai1[[#This Row],[1]:[31]],code19)</f>
        <v>0</v>
      </c>
      <c r="BK130" s="370">
        <f>COUNTIF(ParicipationMai1[[#This Row],[1]:[31]],code20)</f>
        <v>0</v>
      </c>
      <c r="BL130" s="516">
        <f>COUNTIF(ParicipationMai1[[#This Row],[1]:[31]],code29)</f>
        <v>0</v>
      </c>
      <c r="BM130" s="297"/>
      <c r="BN130" s="297"/>
      <c r="BO130" s="297"/>
      <c r="BP130" s="297"/>
      <c r="BQ130" s="297"/>
      <c r="BR130" s="297"/>
      <c r="BS130" s="297"/>
      <c r="BT130" s="297"/>
      <c r="BU130" s="297"/>
      <c r="BV130" s="297"/>
      <c r="BW130" s="297"/>
      <c r="BX130" s="297"/>
      <c r="BY130" s="297"/>
      <c r="BZ130" s="297"/>
      <c r="CA130" s="297"/>
      <c r="CB130" s="297"/>
      <c r="CC130" s="297"/>
      <c r="CD130" s="297"/>
      <c r="CE130" s="297"/>
      <c r="CF130" s="297"/>
      <c r="CG130" s="297"/>
      <c r="CH130" s="297"/>
      <c r="CI130" s="297"/>
      <c r="CJ130" s="297"/>
      <c r="CK130" s="297"/>
      <c r="CL130" s="297"/>
      <c r="CM130" s="297"/>
      <c r="CN130" s="297"/>
      <c r="CO130" s="297"/>
      <c r="CP130" s="297"/>
      <c r="CQ130" s="297"/>
      <c r="CR130" s="297"/>
      <c r="CS130" s="297"/>
      <c r="CT130" s="472"/>
      <c r="CU130" s="300"/>
      <c r="CV130" s="589">
        <f t="shared" si="4"/>
        <v>0</v>
      </c>
      <c r="CW130" s="501">
        <f t="shared" si="5"/>
        <v>0</v>
      </c>
      <c r="CX130" s="472">
        <f t="shared" si="6"/>
        <v>0</v>
      </c>
      <c r="CY130" s="512">
        <f t="shared" si="7"/>
        <v>0</v>
      </c>
    </row>
    <row r="131" spans="1:103">
      <c r="A131" s="29" t="s">
        <v>472</v>
      </c>
      <c r="B131" s="162" t="str">
        <f>IFERROR(VLOOKUP(ParicipationMai1[[#This Row],[Référence]],ListeÉtudiants1[],18,FALSE),"")</f>
        <v>TOTO SANDY</v>
      </c>
      <c r="AG131" s="286"/>
      <c r="AH131" s="138">
        <f>COUNTIF(ParicipationMai1[[1]:[31]],Code1)</f>
        <v>0</v>
      </c>
      <c r="AI131" s="474">
        <f>COUNTIF(ParicipationMai1[[1]:[31]],code22)</f>
        <v>0</v>
      </c>
      <c r="AJ131" s="138">
        <f>COUNTIF(ParicipationMai1[[#This Row],[1]:[31]],Code2)</f>
        <v>0</v>
      </c>
      <c r="AK131" s="138">
        <f>COUNTIF(ParicipationMai1[[#This Row],[1]:[31]],Code3)</f>
        <v>0</v>
      </c>
      <c r="AL131" s="138">
        <f>COUNTIF(ParicipationMai1[[#This Row],[1]:[31]],Code4)</f>
        <v>0</v>
      </c>
      <c r="AM131" s="472">
        <f>COUNTIF(ParicipationMai1[[#This Row],[1]:[31]],Code5)</f>
        <v>0</v>
      </c>
      <c r="AN131" s="472">
        <f>COUNTIF(ParicipationMai1[[#This Row],[1]:[31]],Code23)</f>
        <v>0</v>
      </c>
      <c r="AO131" s="472">
        <f>COUNTIF(ParicipationMai1[[#This Row],[1]:[31]],Code6)</f>
        <v>0</v>
      </c>
      <c r="AP131" s="472">
        <f>COUNTIF(ParicipationMai1[[#This Row],[1]:[31]],Code7)</f>
        <v>0</v>
      </c>
      <c r="AQ131" s="472">
        <f>COUNTIF(ParicipationMai1[[#This Row],[1]:[31]],Code8)</f>
        <v>0</v>
      </c>
      <c r="AR131" s="472">
        <f>COUNTIF(ParicipationMai1[[#This Row],[1]:[31]],Code9)</f>
        <v>0</v>
      </c>
      <c r="AS131" s="472">
        <f>COUNTIF(ParicipationMai1[[#This Row],[1]:[31]],Code10)</f>
        <v>0</v>
      </c>
      <c r="AT131" s="472">
        <f>COUNTIF(ParicipationMai1[[#This Row],[1]:[31]],Code11)</f>
        <v>0</v>
      </c>
      <c r="AU131" s="472">
        <f>COUNTIF(ParicipationMai1[[#This Row],[1]:[31]],Code12)</f>
        <v>0</v>
      </c>
      <c r="AV131" s="472">
        <f>COUNTIF(ParicipationMai1[[#This Row],[1]:[31]],Code13)</f>
        <v>0</v>
      </c>
      <c r="AW131" s="472">
        <f>COUNTIF(ParicipationMai1[[#This Row],[1]:[31]],Code14)</f>
        <v>0</v>
      </c>
      <c r="AX131" s="472">
        <f>COUNTIF(ParicipationMai1[[#This Row],[1]:[31]],Code15)</f>
        <v>0</v>
      </c>
      <c r="AY131" s="472">
        <f>COUNTIF(ParicipationMai1[[#This Row],[1]:[31]],Code16)</f>
        <v>0</v>
      </c>
      <c r="AZ131" s="472">
        <f>COUNTIF(ParicipationMai1[[#This Row],[1]:[31]],Code17)</f>
        <v>0</v>
      </c>
      <c r="BA131" s="472">
        <f>COUNTIF(ParicipationMai1[[#This Row],[1]:[31]],Code25)</f>
        <v>0</v>
      </c>
      <c r="BB131" s="472">
        <f>COUNTIF(ParicipationMai1[[#This Row],[1]:[31]],Code26)</f>
        <v>0</v>
      </c>
      <c r="BC131" s="472">
        <f>COUNTIF(ParicipationMai1[[#This Row],[1]:[31]],Code27)</f>
        <v>0</v>
      </c>
      <c r="BD131" s="472">
        <f>COUNTIF(ParicipationMai1[[#This Row],[1]:[31]],Code28)</f>
        <v>0</v>
      </c>
      <c r="BE131" s="472">
        <f>COUNTIF(ParicipationMai1[[#This Row],[1]:[31]],code30)</f>
        <v>0</v>
      </c>
      <c r="BF131" s="472">
        <f>COUNTIF(ParicipationMai1[[#This Row],[1]:[31]],Code31)</f>
        <v>0</v>
      </c>
      <c r="BG131" s="472">
        <f>COUNTIF(ParicipationMai1[[#This Row],[1]:[31]],code21)</f>
        <v>0</v>
      </c>
      <c r="BH131" s="472">
        <f>COUNTIF(ParicipationMai1[[#This Row],[1]:[31]],Code24)</f>
        <v>0</v>
      </c>
      <c r="BI131" s="370">
        <f>COUNTIF(ParicipationMai1[[#This Row],[1]:[31]],code18)</f>
        <v>0</v>
      </c>
      <c r="BJ131" s="370">
        <f>COUNTIF(ParicipationMai1[[#This Row],[1]:[31]],code19)</f>
        <v>0</v>
      </c>
      <c r="BK131" s="370">
        <f>COUNTIF(ParicipationMai1[[#This Row],[1]:[31]],code20)</f>
        <v>0</v>
      </c>
      <c r="BL131" s="516">
        <f>COUNTIF(ParicipationMai1[[#This Row],[1]:[31]],code29)</f>
        <v>0</v>
      </c>
      <c r="BM131" s="297"/>
      <c r="BN131" s="297"/>
      <c r="BO131" s="297"/>
      <c r="BP131" s="297"/>
      <c r="BQ131" s="297"/>
      <c r="BR131" s="297"/>
      <c r="BS131" s="297"/>
      <c r="BT131" s="297"/>
      <c r="BU131" s="297"/>
      <c r="BV131" s="297"/>
      <c r="BW131" s="297"/>
      <c r="BX131" s="297"/>
      <c r="BY131" s="297"/>
      <c r="BZ131" s="297"/>
      <c r="CA131" s="297"/>
      <c r="CB131" s="297"/>
      <c r="CC131" s="297"/>
      <c r="CD131" s="297"/>
      <c r="CE131" s="297"/>
      <c r="CF131" s="297"/>
      <c r="CG131" s="297"/>
      <c r="CH131" s="297"/>
      <c r="CI131" s="297"/>
      <c r="CJ131" s="297"/>
      <c r="CK131" s="297"/>
      <c r="CL131" s="297"/>
      <c r="CM131" s="297"/>
      <c r="CN131" s="297"/>
      <c r="CO131" s="297"/>
      <c r="CP131" s="297"/>
      <c r="CQ131" s="297"/>
      <c r="CR131" s="297"/>
      <c r="CS131" s="297"/>
      <c r="CT131" s="472"/>
      <c r="CU131" s="300"/>
      <c r="CV131" s="589">
        <f t="shared" si="4"/>
        <v>0</v>
      </c>
      <c r="CW131" s="501">
        <f t="shared" si="5"/>
        <v>0</v>
      </c>
      <c r="CX131" s="472">
        <f t="shared" si="6"/>
        <v>0</v>
      </c>
      <c r="CY131" s="512">
        <f t="shared" si="7"/>
        <v>0</v>
      </c>
    </row>
    <row r="132" spans="1:103">
      <c r="A132" s="29" t="s">
        <v>473</v>
      </c>
      <c r="B132" s="162" t="str">
        <f>IFERROR(VLOOKUP(ParicipationMai1[[#This Row],[Référence]],ListeÉtudiants1[],18,FALSE),"")</f>
        <v>TOUAZI EMMA</v>
      </c>
      <c r="AG132" s="286"/>
      <c r="AH132" s="138">
        <f>COUNTIF(ParicipationMai1[[1]:[31]],Code1)</f>
        <v>0</v>
      </c>
      <c r="AI132" s="474">
        <f>COUNTIF(ParicipationMai1[[1]:[31]],code22)</f>
        <v>0</v>
      </c>
      <c r="AJ132" s="138">
        <f>COUNTIF(ParicipationMai1[[#This Row],[1]:[31]],Code2)</f>
        <v>0</v>
      </c>
      <c r="AK132" s="138">
        <f>COUNTIF(ParicipationMai1[[#This Row],[1]:[31]],Code3)</f>
        <v>0</v>
      </c>
      <c r="AL132" s="138">
        <f>COUNTIF(ParicipationMai1[[#This Row],[1]:[31]],Code4)</f>
        <v>0</v>
      </c>
      <c r="AM132" s="472">
        <f>COUNTIF(ParicipationMai1[[#This Row],[1]:[31]],Code5)</f>
        <v>0</v>
      </c>
      <c r="AN132" s="472">
        <f>COUNTIF(ParicipationMai1[[#This Row],[1]:[31]],Code23)</f>
        <v>0</v>
      </c>
      <c r="AO132" s="472">
        <f>COUNTIF(ParicipationMai1[[#This Row],[1]:[31]],Code6)</f>
        <v>0</v>
      </c>
      <c r="AP132" s="472">
        <f>COUNTIF(ParicipationMai1[[#This Row],[1]:[31]],Code7)</f>
        <v>0</v>
      </c>
      <c r="AQ132" s="472">
        <f>COUNTIF(ParicipationMai1[[#This Row],[1]:[31]],Code8)</f>
        <v>0</v>
      </c>
      <c r="AR132" s="472">
        <f>COUNTIF(ParicipationMai1[[#This Row],[1]:[31]],Code9)</f>
        <v>0</v>
      </c>
      <c r="AS132" s="472">
        <f>COUNTIF(ParicipationMai1[[#This Row],[1]:[31]],Code10)</f>
        <v>0</v>
      </c>
      <c r="AT132" s="472">
        <f>COUNTIF(ParicipationMai1[[#This Row],[1]:[31]],Code11)</f>
        <v>0</v>
      </c>
      <c r="AU132" s="472">
        <f>COUNTIF(ParicipationMai1[[#This Row],[1]:[31]],Code12)</f>
        <v>0</v>
      </c>
      <c r="AV132" s="472">
        <f>COUNTIF(ParicipationMai1[[#This Row],[1]:[31]],Code13)</f>
        <v>0</v>
      </c>
      <c r="AW132" s="472">
        <f>COUNTIF(ParicipationMai1[[#This Row],[1]:[31]],Code14)</f>
        <v>0</v>
      </c>
      <c r="AX132" s="472">
        <f>COUNTIF(ParicipationMai1[[#This Row],[1]:[31]],Code15)</f>
        <v>0</v>
      </c>
      <c r="AY132" s="472">
        <f>COUNTIF(ParicipationMai1[[#This Row],[1]:[31]],Code16)</f>
        <v>0</v>
      </c>
      <c r="AZ132" s="472">
        <f>COUNTIF(ParicipationMai1[[#This Row],[1]:[31]],Code17)</f>
        <v>0</v>
      </c>
      <c r="BA132" s="472">
        <f>COUNTIF(ParicipationMai1[[#This Row],[1]:[31]],Code25)</f>
        <v>0</v>
      </c>
      <c r="BB132" s="472">
        <f>COUNTIF(ParicipationMai1[[#This Row],[1]:[31]],Code26)</f>
        <v>0</v>
      </c>
      <c r="BC132" s="472">
        <f>COUNTIF(ParicipationMai1[[#This Row],[1]:[31]],Code27)</f>
        <v>0</v>
      </c>
      <c r="BD132" s="472">
        <f>COUNTIF(ParicipationMai1[[#This Row],[1]:[31]],Code28)</f>
        <v>0</v>
      </c>
      <c r="BE132" s="472">
        <f>COUNTIF(ParicipationMai1[[#This Row],[1]:[31]],code30)</f>
        <v>0</v>
      </c>
      <c r="BF132" s="472">
        <f>COUNTIF(ParicipationMai1[[#This Row],[1]:[31]],Code31)</f>
        <v>0</v>
      </c>
      <c r="BG132" s="472">
        <f>COUNTIF(ParicipationMai1[[#This Row],[1]:[31]],code21)</f>
        <v>0</v>
      </c>
      <c r="BH132" s="472">
        <f>COUNTIF(ParicipationMai1[[#This Row],[1]:[31]],Code24)</f>
        <v>0</v>
      </c>
      <c r="BI132" s="370">
        <f>COUNTIF(ParicipationMai1[[#This Row],[1]:[31]],code18)</f>
        <v>0</v>
      </c>
      <c r="BJ132" s="370">
        <f>COUNTIF(ParicipationMai1[[#This Row],[1]:[31]],code19)</f>
        <v>0</v>
      </c>
      <c r="BK132" s="370">
        <f>COUNTIF(ParicipationMai1[[#This Row],[1]:[31]],code20)</f>
        <v>0</v>
      </c>
      <c r="BL132" s="516">
        <f>COUNTIF(ParicipationMai1[[#This Row],[1]:[31]],code29)</f>
        <v>0</v>
      </c>
      <c r="BM132" s="297"/>
      <c r="BN132" s="297"/>
      <c r="BO132" s="297"/>
      <c r="BP132" s="297"/>
      <c r="BQ132" s="297"/>
      <c r="BR132" s="297"/>
      <c r="BS132" s="297"/>
      <c r="BT132" s="297"/>
      <c r="BU132" s="297"/>
      <c r="BV132" s="297"/>
      <c r="BW132" s="297"/>
      <c r="BX132" s="297"/>
      <c r="BY132" s="297"/>
      <c r="BZ132" s="297"/>
      <c r="CA132" s="297"/>
      <c r="CB132" s="297"/>
      <c r="CC132" s="297"/>
      <c r="CD132" s="297"/>
      <c r="CE132" s="297"/>
      <c r="CF132" s="297"/>
      <c r="CG132" s="297"/>
      <c r="CH132" s="297"/>
      <c r="CI132" s="297"/>
      <c r="CJ132" s="297"/>
      <c r="CK132" s="297"/>
      <c r="CL132" s="297"/>
      <c r="CM132" s="297"/>
      <c r="CN132" s="297"/>
      <c r="CO132" s="297"/>
      <c r="CP132" s="297"/>
      <c r="CQ132" s="297"/>
      <c r="CR132" s="297"/>
      <c r="CS132" s="297"/>
      <c r="CT132" s="472"/>
      <c r="CU132" s="300"/>
      <c r="CV132" s="589">
        <f t="shared" si="4"/>
        <v>0</v>
      </c>
      <c r="CW132" s="501">
        <f t="shared" si="5"/>
        <v>0</v>
      </c>
      <c r="CX132" s="472">
        <f t="shared" si="6"/>
        <v>0</v>
      </c>
      <c r="CY132" s="512">
        <f t="shared" si="7"/>
        <v>0</v>
      </c>
    </row>
    <row r="133" spans="1:103">
      <c r="A133" s="29" t="s">
        <v>474</v>
      </c>
      <c r="B133" s="162" t="str">
        <f>IFERROR(VLOOKUP(ParicipationMai1[[#This Row],[Référence]],ListeÉtudiants1[],18,FALSE),"")</f>
        <v>TOUIDJINE VICTORIA</v>
      </c>
      <c r="AG133" s="286"/>
      <c r="AH133" s="138">
        <f>COUNTIF(ParicipationMai1[[1]:[31]],Code1)</f>
        <v>0</v>
      </c>
      <c r="AI133" s="474">
        <f>COUNTIF(ParicipationMai1[[1]:[31]],code22)</f>
        <v>0</v>
      </c>
      <c r="AJ133" s="138">
        <f>COUNTIF(ParicipationMai1[[#This Row],[1]:[31]],Code2)</f>
        <v>0</v>
      </c>
      <c r="AK133" s="138">
        <f>COUNTIF(ParicipationMai1[[#This Row],[1]:[31]],Code3)</f>
        <v>0</v>
      </c>
      <c r="AL133" s="138">
        <f>COUNTIF(ParicipationMai1[[#This Row],[1]:[31]],Code4)</f>
        <v>0</v>
      </c>
      <c r="AM133" s="472">
        <f>COUNTIF(ParicipationMai1[[#This Row],[1]:[31]],Code5)</f>
        <v>0</v>
      </c>
      <c r="AN133" s="472">
        <f>COUNTIF(ParicipationMai1[[#This Row],[1]:[31]],Code23)</f>
        <v>0</v>
      </c>
      <c r="AO133" s="472">
        <f>COUNTIF(ParicipationMai1[[#This Row],[1]:[31]],Code6)</f>
        <v>0</v>
      </c>
      <c r="AP133" s="472">
        <f>COUNTIF(ParicipationMai1[[#This Row],[1]:[31]],Code7)</f>
        <v>0</v>
      </c>
      <c r="AQ133" s="472">
        <f>COUNTIF(ParicipationMai1[[#This Row],[1]:[31]],Code8)</f>
        <v>0</v>
      </c>
      <c r="AR133" s="472">
        <f>COUNTIF(ParicipationMai1[[#This Row],[1]:[31]],Code9)</f>
        <v>0</v>
      </c>
      <c r="AS133" s="472">
        <f>COUNTIF(ParicipationMai1[[#This Row],[1]:[31]],Code10)</f>
        <v>0</v>
      </c>
      <c r="AT133" s="472">
        <f>COUNTIF(ParicipationMai1[[#This Row],[1]:[31]],Code11)</f>
        <v>0</v>
      </c>
      <c r="AU133" s="472">
        <f>COUNTIF(ParicipationMai1[[#This Row],[1]:[31]],Code12)</f>
        <v>0</v>
      </c>
      <c r="AV133" s="472">
        <f>COUNTIF(ParicipationMai1[[#This Row],[1]:[31]],Code13)</f>
        <v>0</v>
      </c>
      <c r="AW133" s="472">
        <f>COUNTIF(ParicipationMai1[[#This Row],[1]:[31]],Code14)</f>
        <v>0</v>
      </c>
      <c r="AX133" s="472">
        <f>COUNTIF(ParicipationMai1[[#This Row],[1]:[31]],Code15)</f>
        <v>0</v>
      </c>
      <c r="AY133" s="472">
        <f>COUNTIF(ParicipationMai1[[#This Row],[1]:[31]],Code16)</f>
        <v>0</v>
      </c>
      <c r="AZ133" s="472">
        <f>COUNTIF(ParicipationMai1[[#This Row],[1]:[31]],Code17)</f>
        <v>0</v>
      </c>
      <c r="BA133" s="472">
        <f>COUNTIF(ParicipationMai1[[#This Row],[1]:[31]],Code25)</f>
        <v>0</v>
      </c>
      <c r="BB133" s="472">
        <f>COUNTIF(ParicipationMai1[[#This Row],[1]:[31]],Code26)</f>
        <v>0</v>
      </c>
      <c r="BC133" s="472">
        <f>COUNTIF(ParicipationMai1[[#This Row],[1]:[31]],Code27)</f>
        <v>0</v>
      </c>
      <c r="BD133" s="472">
        <f>COUNTIF(ParicipationMai1[[#This Row],[1]:[31]],Code28)</f>
        <v>0</v>
      </c>
      <c r="BE133" s="472">
        <f>COUNTIF(ParicipationMai1[[#This Row],[1]:[31]],code30)</f>
        <v>0</v>
      </c>
      <c r="BF133" s="472">
        <f>COUNTIF(ParicipationMai1[[#This Row],[1]:[31]],Code31)</f>
        <v>0</v>
      </c>
      <c r="BG133" s="472">
        <f>COUNTIF(ParicipationMai1[[#This Row],[1]:[31]],code21)</f>
        <v>0</v>
      </c>
      <c r="BH133" s="472">
        <f>COUNTIF(ParicipationMai1[[#This Row],[1]:[31]],Code24)</f>
        <v>0</v>
      </c>
      <c r="BI133" s="370">
        <f>COUNTIF(ParicipationMai1[[#This Row],[1]:[31]],code18)</f>
        <v>0</v>
      </c>
      <c r="BJ133" s="370">
        <f>COUNTIF(ParicipationMai1[[#This Row],[1]:[31]],code19)</f>
        <v>0</v>
      </c>
      <c r="BK133" s="370">
        <f>COUNTIF(ParicipationMai1[[#This Row],[1]:[31]],code20)</f>
        <v>0</v>
      </c>
      <c r="BL133" s="516">
        <f>COUNTIF(ParicipationMai1[[#This Row],[1]:[31]],code29)</f>
        <v>0</v>
      </c>
      <c r="BM133" s="297"/>
      <c r="BN133" s="297"/>
      <c r="BO133" s="297"/>
      <c r="BP133" s="297"/>
      <c r="BQ133" s="297"/>
      <c r="BR133" s="297"/>
      <c r="BS133" s="297"/>
      <c r="BT133" s="297"/>
      <c r="BU133" s="297"/>
      <c r="BV133" s="297"/>
      <c r="BW133" s="297"/>
      <c r="BX133" s="297"/>
      <c r="BY133" s="297"/>
      <c r="BZ133" s="297"/>
      <c r="CA133" s="297"/>
      <c r="CB133" s="297"/>
      <c r="CC133" s="297"/>
      <c r="CD133" s="297"/>
      <c r="CE133" s="297"/>
      <c r="CF133" s="297"/>
      <c r="CG133" s="297"/>
      <c r="CH133" s="297"/>
      <c r="CI133" s="297"/>
      <c r="CJ133" s="297"/>
      <c r="CK133" s="297"/>
      <c r="CL133" s="297"/>
      <c r="CM133" s="297"/>
      <c r="CN133" s="297"/>
      <c r="CO133" s="297"/>
      <c r="CP133" s="297"/>
      <c r="CQ133" s="297"/>
      <c r="CR133" s="297"/>
      <c r="CS133" s="297"/>
      <c r="CT133" s="472"/>
      <c r="CU133" s="300"/>
      <c r="CV133" s="589">
        <f t="shared" si="4"/>
        <v>0</v>
      </c>
      <c r="CW133" s="501">
        <f t="shared" si="5"/>
        <v>0</v>
      </c>
      <c r="CX133" s="472">
        <f t="shared" si="6"/>
        <v>0</v>
      </c>
      <c r="CY133" s="512">
        <f t="shared" si="7"/>
        <v>0</v>
      </c>
    </row>
    <row r="134" spans="1:103">
      <c r="A134" s="29" t="s">
        <v>475</v>
      </c>
      <c r="B134" s="162" t="str">
        <f>IFERROR(VLOOKUP(ParicipationMai1[[#This Row],[Référence]],ListeÉtudiants1[],18,FALSE),"")</f>
        <v>TOURE SIPA</v>
      </c>
      <c r="AG134" s="286"/>
      <c r="AH134" s="138">
        <f>COUNTIF(ParicipationMai1[[1]:[31]],Code1)</f>
        <v>0</v>
      </c>
      <c r="AI134" s="474">
        <f>COUNTIF(ParicipationMai1[[1]:[31]],code22)</f>
        <v>0</v>
      </c>
      <c r="AJ134" s="138">
        <f>COUNTIF(ParicipationMai1[[#This Row],[1]:[31]],Code2)</f>
        <v>0</v>
      </c>
      <c r="AK134" s="138">
        <f>COUNTIF(ParicipationMai1[[#This Row],[1]:[31]],Code3)</f>
        <v>0</v>
      </c>
      <c r="AL134" s="138">
        <f>COUNTIF(ParicipationMai1[[#This Row],[1]:[31]],Code4)</f>
        <v>0</v>
      </c>
      <c r="AM134" s="472">
        <f>COUNTIF(ParicipationMai1[[#This Row],[1]:[31]],Code5)</f>
        <v>0</v>
      </c>
      <c r="AN134" s="472">
        <f>COUNTIF(ParicipationMai1[[#This Row],[1]:[31]],Code23)</f>
        <v>0</v>
      </c>
      <c r="AO134" s="472">
        <f>COUNTIF(ParicipationMai1[[#This Row],[1]:[31]],Code6)</f>
        <v>0</v>
      </c>
      <c r="AP134" s="472">
        <f>COUNTIF(ParicipationMai1[[#This Row],[1]:[31]],Code7)</f>
        <v>0</v>
      </c>
      <c r="AQ134" s="472">
        <f>COUNTIF(ParicipationMai1[[#This Row],[1]:[31]],Code8)</f>
        <v>0</v>
      </c>
      <c r="AR134" s="472">
        <f>COUNTIF(ParicipationMai1[[#This Row],[1]:[31]],Code9)</f>
        <v>0</v>
      </c>
      <c r="AS134" s="472">
        <f>COUNTIF(ParicipationMai1[[#This Row],[1]:[31]],Code10)</f>
        <v>0</v>
      </c>
      <c r="AT134" s="472">
        <f>COUNTIF(ParicipationMai1[[#This Row],[1]:[31]],Code11)</f>
        <v>0</v>
      </c>
      <c r="AU134" s="472">
        <f>COUNTIF(ParicipationMai1[[#This Row],[1]:[31]],Code12)</f>
        <v>0</v>
      </c>
      <c r="AV134" s="472">
        <f>COUNTIF(ParicipationMai1[[#This Row],[1]:[31]],Code13)</f>
        <v>0</v>
      </c>
      <c r="AW134" s="472">
        <f>COUNTIF(ParicipationMai1[[#This Row],[1]:[31]],Code14)</f>
        <v>0</v>
      </c>
      <c r="AX134" s="472">
        <f>COUNTIF(ParicipationMai1[[#This Row],[1]:[31]],Code15)</f>
        <v>0</v>
      </c>
      <c r="AY134" s="472">
        <f>COUNTIF(ParicipationMai1[[#This Row],[1]:[31]],Code16)</f>
        <v>0</v>
      </c>
      <c r="AZ134" s="472">
        <f>COUNTIF(ParicipationMai1[[#This Row],[1]:[31]],Code17)</f>
        <v>0</v>
      </c>
      <c r="BA134" s="472">
        <f>COUNTIF(ParicipationMai1[[#This Row],[1]:[31]],Code25)</f>
        <v>0</v>
      </c>
      <c r="BB134" s="472">
        <f>COUNTIF(ParicipationMai1[[#This Row],[1]:[31]],Code26)</f>
        <v>0</v>
      </c>
      <c r="BC134" s="472">
        <f>COUNTIF(ParicipationMai1[[#This Row],[1]:[31]],Code27)</f>
        <v>0</v>
      </c>
      <c r="BD134" s="472">
        <f>COUNTIF(ParicipationMai1[[#This Row],[1]:[31]],Code28)</f>
        <v>0</v>
      </c>
      <c r="BE134" s="472">
        <f>COUNTIF(ParicipationMai1[[#This Row],[1]:[31]],code30)</f>
        <v>0</v>
      </c>
      <c r="BF134" s="472">
        <f>COUNTIF(ParicipationMai1[[#This Row],[1]:[31]],Code31)</f>
        <v>0</v>
      </c>
      <c r="BG134" s="472">
        <f>COUNTIF(ParicipationMai1[[#This Row],[1]:[31]],code21)</f>
        <v>0</v>
      </c>
      <c r="BH134" s="472">
        <f>COUNTIF(ParicipationMai1[[#This Row],[1]:[31]],Code24)</f>
        <v>0</v>
      </c>
      <c r="BI134" s="370">
        <f>COUNTIF(ParicipationMai1[[#This Row],[1]:[31]],code18)</f>
        <v>0</v>
      </c>
      <c r="BJ134" s="370">
        <f>COUNTIF(ParicipationMai1[[#This Row],[1]:[31]],code19)</f>
        <v>0</v>
      </c>
      <c r="BK134" s="370">
        <f>COUNTIF(ParicipationMai1[[#This Row],[1]:[31]],code20)</f>
        <v>0</v>
      </c>
      <c r="BL134" s="516">
        <f>COUNTIF(ParicipationMai1[[#This Row],[1]:[31]],code29)</f>
        <v>0</v>
      </c>
      <c r="BM134" s="297"/>
      <c r="BN134" s="297"/>
      <c r="BO134" s="297"/>
      <c r="BP134" s="297"/>
      <c r="BQ134" s="297"/>
      <c r="BR134" s="297"/>
      <c r="BS134" s="297"/>
      <c r="BT134" s="297"/>
      <c r="BU134" s="297"/>
      <c r="BV134" s="297"/>
      <c r="BW134" s="297"/>
      <c r="BX134" s="297"/>
      <c r="BY134" s="297"/>
      <c r="BZ134" s="297"/>
      <c r="CA134" s="297"/>
      <c r="CB134" s="297"/>
      <c r="CC134" s="297"/>
      <c r="CD134" s="297"/>
      <c r="CE134" s="297"/>
      <c r="CF134" s="297"/>
      <c r="CG134" s="297"/>
      <c r="CH134" s="297"/>
      <c r="CI134" s="297"/>
      <c r="CJ134" s="297"/>
      <c r="CK134" s="297"/>
      <c r="CL134" s="297"/>
      <c r="CM134" s="297"/>
      <c r="CN134" s="297"/>
      <c r="CO134" s="297"/>
      <c r="CP134" s="297"/>
      <c r="CQ134" s="297"/>
      <c r="CR134" s="297"/>
      <c r="CS134" s="297"/>
      <c r="CT134" s="472"/>
      <c r="CU134" s="300"/>
      <c r="CV134" s="589">
        <f t="shared" si="4"/>
        <v>0</v>
      </c>
      <c r="CW134" s="501">
        <f t="shared" si="5"/>
        <v>0</v>
      </c>
      <c r="CX134" s="472">
        <f t="shared" si="6"/>
        <v>0</v>
      </c>
      <c r="CY134" s="512">
        <f t="shared" si="7"/>
        <v>0</v>
      </c>
    </row>
    <row r="135" spans="1:103">
      <c r="A135" s="29" t="s">
        <v>476</v>
      </c>
      <c r="B135" s="162" t="str">
        <f>IFERROR(VLOOKUP(ParicipationMai1[[#This Row],[Référence]],ListeÉtudiants1[],18,FALSE),"")</f>
        <v>TRIPET AMANDINE</v>
      </c>
      <c r="AG135" s="286"/>
      <c r="AH135" s="138">
        <f>COUNTIF(ParicipationMai1[[1]:[31]],Code1)</f>
        <v>0</v>
      </c>
      <c r="AI135" s="474">
        <f>COUNTIF(ParicipationMai1[[1]:[31]],code22)</f>
        <v>0</v>
      </c>
      <c r="AJ135" s="138">
        <f>COUNTIF(ParicipationMai1[[#This Row],[1]:[31]],Code2)</f>
        <v>0</v>
      </c>
      <c r="AK135" s="138">
        <f>COUNTIF(ParicipationMai1[[#This Row],[1]:[31]],Code3)</f>
        <v>0</v>
      </c>
      <c r="AL135" s="138">
        <f>COUNTIF(ParicipationMai1[[#This Row],[1]:[31]],Code4)</f>
        <v>0</v>
      </c>
      <c r="AM135" s="472">
        <f>COUNTIF(ParicipationMai1[[#This Row],[1]:[31]],Code5)</f>
        <v>0</v>
      </c>
      <c r="AN135" s="472">
        <f>COUNTIF(ParicipationMai1[[#This Row],[1]:[31]],Code23)</f>
        <v>0</v>
      </c>
      <c r="AO135" s="472">
        <f>COUNTIF(ParicipationMai1[[#This Row],[1]:[31]],Code6)</f>
        <v>0</v>
      </c>
      <c r="AP135" s="472">
        <f>COUNTIF(ParicipationMai1[[#This Row],[1]:[31]],Code7)</f>
        <v>0</v>
      </c>
      <c r="AQ135" s="472">
        <f>COUNTIF(ParicipationMai1[[#This Row],[1]:[31]],Code8)</f>
        <v>0</v>
      </c>
      <c r="AR135" s="472">
        <f>COUNTIF(ParicipationMai1[[#This Row],[1]:[31]],Code9)</f>
        <v>0</v>
      </c>
      <c r="AS135" s="472">
        <f>COUNTIF(ParicipationMai1[[#This Row],[1]:[31]],Code10)</f>
        <v>0</v>
      </c>
      <c r="AT135" s="472">
        <f>COUNTIF(ParicipationMai1[[#This Row],[1]:[31]],Code11)</f>
        <v>0</v>
      </c>
      <c r="AU135" s="472">
        <f>COUNTIF(ParicipationMai1[[#This Row],[1]:[31]],Code12)</f>
        <v>0</v>
      </c>
      <c r="AV135" s="472">
        <f>COUNTIF(ParicipationMai1[[#This Row],[1]:[31]],Code13)</f>
        <v>0</v>
      </c>
      <c r="AW135" s="472">
        <f>COUNTIF(ParicipationMai1[[#This Row],[1]:[31]],Code14)</f>
        <v>0</v>
      </c>
      <c r="AX135" s="472">
        <f>COUNTIF(ParicipationMai1[[#This Row],[1]:[31]],Code15)</f>
        <v>0</v>
      </c>
      <c r="AY135" s="472">
        <f>COUNTIF(ParicipationMai1[[#This Row],[1]:[31]],Code16)</f>
        <v>0</v>
      </c>
      <c r="AZ135" s="472">
        <f>COUNTIF(ParicipationMai1[[#This Row],[1]:[31]],Code17)</f>
        <v>0</v>
      </c>
      <c r="BA135" s="472">
        <f>COUNTIF(ParicipationMai1[[#This Row],[1]:[31]],Code25)</f>
        <v>0</v>
      </c>
      <c r="BB135" s="472">
        <f>COUNTIF(ParicipationMai1[[#This Row],[1]:[31]],Code26)</f>
        <v>0</v>
      </c>
      <c r="BC135" s="472">
        <f>COUNTIF(ParicipationMai1[[#This Row],[1]:[31]],Code27)</f>
        <v>0</v>
      </c>
      <c r="BD135" s="472">
        <f>COUNTIF(ParicipationMai1[[#This Row],[1]:[31]],Code28)</f>
        <v>0</v>
      </c>
      <c r="BE135" s="472">
        <f>COUNTIF(ParicipationMai1[[#This Row],[1]:[31]],code30)</f>
        <v>0</v>
      </c>
      <c r="BF135" s="472">
        <f>COUNTIF(ParicipationMai1[[#This Row],[1]:[31]],Code31)</f>
        <v>0</v>
      </c>
      <c r="BG135" s="472">
        <f>COUNTIF(ParicipationMai1[[#This Row],[1]:[31]],code21)</f>
        <v>0</v>
      </c>
      <c r="BH135" s="472">
        <f>COUNTIF(ParicipationMai1[[#This Row],[1]:[31]],Code24)</f>
        <v>0</v>
      </c>
      <c r="BI135" s="370">
        <f>COUNTIF(ParicipationMai1[[#This Row],[1]:[31]],code18)</f>
        <v>0</v>
      </c>
      <c r="BJ135" s="370">
        <f>COUNTIF(ParicipationMai1[[#This Row],[1]:[31]],code19)</f>
        <v>0</v>
      </c>
      <c r="BK135" s="370">
        <f>COUNTIF(ParicipationMai1[[#This Row],[1]:[31]],code20)</f>
        <v>0</v>
      </c>
      <c r="BL135" s="516">
        <f>COUNTIF(ParicipationMai1[[#This Row],[1]:[31]],code29)</f>
        <v>0</v>
      </c>
      <c r="BM135" s="297"/>
      <c r="BN135" s="297"/>
      <c r="BO135" s="297"/>
      <c r="BP135" s="297"/>
      <c r="BQ135" s="297"/>
      <c r="BR135" s="297"/>
      <c r="BS135" s="297"/>
      <c r="BT135" s="297"/>
      <c r="BU135" s="297"/>
      <c r="BV135" s="297"/>
      <c r="BW135" s="297"/>
      <c r="BX135" s="297"/>
      <c r="BY135" s="297"/>
      <c r="BZ135" s="297"/>
      <c r="CA135" s="297"/>
      <c r="CB135" s="297"/>
      <c r="CC135" s="297"/>
      <c r="CD135" s="297"/>
      <c r="CE135" s="297"/>
      <c r="CF135" s="297"/>
      <c r="CG135" s="297"/>
      <c r="CH135" s="297"/>
      <c r="CI135" s="297"/>
      <c r="CJ135" s="297"/>
      <c r="CK135" s="297"/>
      <c r="CL135" s="297"/>
      <c r="CM135" s="297"/>
      <c r="CN135" s="297"/>
      <c r="CO135" s="297"/>
      <c r="CP135" s="297"/>
      <c r="CQ135" s="297"/>
      <c r="CR135" s="297"/>
      <c r="CS135" s="297"/>
      <c r="CT135" s="472"/>
      <c r="CU135" s="300"/>
      <c r="CV135" s="589">
        <f t="shared" si="4"/>
        <v>0</v>
      </c>
      <c r="CW135" s="501">
        <f t="shared" si="5"/>
        <v>0</v>
      </c>
      <c r="CX135" s="472">
        <f t="shared" si="6"/>
        <v>0</v>
      </c>
      <c r="CY135" s="512">
        <f t="shared" si="7"/>
        <v>0</v>
      </c>
    </row>
    <row r="136" spans="1:103">
      <c r="A136" s="29" t="s">
        <v>477</v>
      </c>
      <c r="B136" s="162" t="str">
        <f>IFERROR(VLOOKUP(ParicipationMai1[[#This Row],[Référence]],ListeÉtudiants1[],18,FALSE),"")</f>
        <v>UGOLIN MARIE-ROSE</v>
      </c>
      <c r="AG136" s="286"/>
      <c r="AH136" s="138">
        <f>COUNTIF(ParicipationMai1[[1]:[31]],Code1)</f>
        <v>0</v>
      </c>
      <c r="AI136" s="474">
        <f>COUNTIF(ParicipationMai1[[1]:[31]],code22)</f>
        <v>0</v>
      </c>
      <c r="AJ136" s="138">
        <f>COUNTIF(ParicipationMai1[[#This Row],[1]:[31]],Code2)</f>
        <v>0</v>
      </c>
      <c r="AK136" s="138">
        <f>COUNTIF(ParicipationMai1[[#This Row],[1]:[31]],Code3)</f>
        <v>0</v>
      </c>
      <c r="AL136" s="138">
        <f>COUNTIF(ParicipationMai1[[#This Row],[1]:[31]],Code4)</f>
        <v>0</v>
      </c>
      <c r="AM136" s="472">
        <f>COUNTIF(ParicipationMai1[[#This Row],[1]:[31]],Code5)</f>
        <v>0</v>
      </c>
      <c r="AN136" s="472">
        <f>COUNTIF(ParicipationMai1[[#This Row],[1]:[31]],Code23)</f>
        <v>0</v>
      </c>
      <c r="AO136" s="472">
        <f>COUNTIF(ParicipationMai1[[#This Row],[1]:[31]],Code6)</f>
        <v>0</v>
      </c>
      <c r="AP136" s="472">
        <f>COUNTIF(ParicipationMai1[[#This Row],[1]:[31]],Code7)</f>
        <v>0</v>
      </c>
      <c r="AQ136" s="472">
        <f>COUNTIF(ParicipationMai1[[#This Row],[1]:[31]],Code8)</f>
        <v>0</v>
      </c>
      <c r="AR136" s="472">
        <f>COUNTIF(ParicipationMai1[[#This Row],[1]:[31]],Code9)</f>
        <v>0</v>
      </c>
      <c r="AS136" s="472">
        <f>COUNTIF(ParicipationMai1[[#This Row],[1]:[31]],Code10)</f>
        <v>0</v>
      </c>
      <c r="AT136" s="472">
        <f>COUNTIF(ParicipationMai1[[#This Row],[1]:[31]],Code11)</f>
        <v>0</v>
      </c>
      <c r="AU136" s="472">
        <f>COUNTIF(ParicipationMai1[[#This Row],[1]:[31]],Code12)</f>
        <v>0</v>
      </c>
      <c r="AV136" s="472">
        <f>COUNTIF(ParicipationMai1[[#This Row],[1]:[31]],Code13)</f>
        <v>0</v>
      </c>
      <c r="AW136" s="472">
        <f>COUNTIF(ParicipationMai1[[#This Row],[1]:[31]],Code14)</f>
        <v>0</v>
      </c>
      <c r="AX136" s="472">
        <f>COUNTIF(ParicipationMai1[[#This Row],[1]:[31]],Code15)</f>
        <v>0</v>
      </c>
      <c r="AY136" s="472">
        <f>COUNTIF(ParicipationMai1[[#This Row],[1]:[31]],Code16)</f>
        <v>0</v>
      </c>
      <c r="AZ136" s="472">
        <f>COUNTIF(ParicipationMai1[[#This Row],[1]:[31]],Code17)</f>
        <v>0</v>
      </c>
      <c r="BA136" s="472">
        <f>COUNTIF(ParicipationMai1[[#This Row],[1]:[31]],Code25)</f>
        <v>0</v>
      </c>
      <c r="BB136" s="472">
        <f>COUNTIF(ParicipationMai1[[#This Row],[1]:[31]],Code26)</f>
        <v>0</v>
      </c>
      <c r="BC136" s="472">
        <f>COUNTIF(ParicipationMai1[[#This Row],[1]:[31]],Code27)</f>
        <v>0</v>
      </c>
      <c r="BD136" s="472">
        <f>COUNTIF(ParicipationMai1[[#This Row],[1]:[31]],Code28)</f>
        <v>0</v>
      </c>
      <c r="BE136" s="472">
        <f>COUNTIF(ParicipationMai1[[#This Row],[1]:[31]],code30)</f>
        <v>0</v>
      </c>
      <c r="BF136" s="472">
        <f>COUNTIF(ParicipationMai1[[#This Row],[1]:[31]],Code31)</f>
        <v>0</v>
      </c>
      <c r="BG136" s="472">
        <f>COUNTIF(ParicipationMai1[[#This Row],[1]:[31]],code21)</f>
        <v>0</v>
      </c>
      <c r="BH136" s="472">
        <f>COUNTIF(ParicipationMai1[[#This Row],[1]:[31]],Code24)</f>
        <v>0</v>
      </c>
      <c r="BI136" s="370">
        <f>COUNTIF(ParicipationMai1[[#This Row],[1]:[31]],code18)</f>
        <v>0</v>
      </c>
      <c r="BJ136" s="370">
        <f>COUNTIF(ParicipationMai1[[#This Row],[1]:[31]],code19)</f>
        <v>0</v>
      </c>
      <c r="BK136" s="370">
        <f>COUNTIF(ParicipationMai1[[#This Row],[1]:[31]],code20)</f>
        <v>0</v>
      </c>
      <c r="BL136" s="516">
        <f>COUNTIF(ParicipationMai1[[#This Row],[1]:[31]],code29)</f>
        <v>0</v>
      </c>
      <c r="BM136" s="297"/>
      <c r="BN136" s="297"/>
      <c r="BO136" s="297"/>
      <c r="BP136" s="297"/>
      <c r="BQ136" s="297"/>
      <c r="BR136" s="297"/>
      <c r="BS136" s="297"/>
      <c r="BT136" s="297"/>
      <c r="BU136" s="297"/>
      <c r="BV136" s="297"/>
      <c r="BW136" s="297"/>
      <c r="BX136" s="297"/>
      <c r="BY136" s="297"/>
      <c r="BZ136" s="297"/>
      <c r="CA136" s="297"/>
      <c r="CB136" s="297"/>
      <c r="CC136" s="297"/>
      <c r="CD136" s="297"/>
      <c r="CE136" s="297"/>
      <c r="CF136" s="297"/>
      <c r="CG136" s="297"/>
      <c r="CH136" s="297"/>
      <c r="CI136" s="297"/>
      <c r="CJ136" s="297"/>
      <c r="CK136" s="297"/>
      <c r="CL136" s="297"/>
      <c r="CM136" s="297"/>
      <c r="CN136" s="297"/>
      <c r="CO136" s="297"/>
      <c r="CP136" s="297"/>
      <c r="CQ136" s="297"/>
      <c r="CR136" s="297"/>
      <c r="CS136" s="297"/>
      <c r="CT136" s="472"/>
      <c r="CU136" s="300"/>
      <c r="CV136" s="589">
        <f t="shared" si="4"/>
        <v>0</v>
      </c>
      <c r="CW136" s="501">
        <f t="shared" si="5"/>
        <v>0</v>
      </c>
      <c r="CX136" s="472">
        <f t="shared" si="6"/>
        <v>0</v>
      </c>
      <c r="CY136" s="512">
        <f t="shared" si="7"/>
        <v>0</v>
      </c>
    </row>
    <row r="137" spans="1:103">
      <c r="A137" s="29" t="s">
        <v>478</v>
      </c>
      <c r="B137" s="162" t="str">
        <f>IFERROR(VLOOKUP(ParicipationMai1[[#This Row],[Référence]],ListeÉtudiants1[],18,FALSE),"")</f>
        <v>VERKEST LEA</v>
      </c>
      <c r="AG137" s="286"/>
      <c r="AH137" s="138">
        <f>COUNTIF(ParicipationMai1[[1]:[31]],Code1)</f>
        <v>0</v>
      </c>
      <c r="AI137" s="474">
        <f>COUNTIF(ParicipationMai1[[1]:[31]],code22)</f>
        <v>0</v>
      </c>
      <c r="AJ137" s="138">
        <f>COUNTIF(ParicipationMai1[[#This Row],[1]:[31]],Code2)</f>
        <v>0</v>
      </c>
      <c r="AK137" s="138">
        <f>COUNTIF(ParicipationMai1[[#This Row],[1]:[31]],Code3)</f>
        <v>0</v>
      </c>
      <c r="AL137" s="138">
        <f>COUNTIF(ParicipationMai1[[#This Row],[1]:[31]],Code4)</f>
        <v>0</v>
      </c>
      <c r="AM137" s="472">
        <f>COUNTIF(ParicipationMai1[[#This Row],[1]:[31]],Code5)</f>
        <v>0</v>
      </c>
      <c r="AN137" s="472">
        <f>COUNTIF(ParicipationMai1[[#This Row],[1]:[31]],Code23)</f>
        <v>0</v>
      </c>
      <c r="AO137" s="472">
        <f>COUNTIF(ParicipationMai1[[#This Row],[1]:[31]],Code6)</f>
        <v>0</v>
      </c>
      <c r="AP137" s="472">
        <f>COUNTIF(ParicipationMai1[[#This Row],[1]:[31]],Code7)</f>
        <v>0</v>
      </c>
      <c r="AQ137" s="472">
        <f>COUNTIF(ParicipationMai1[[#This Row],[1]:[31]],Code8)</f>
        <v>0</v>
      </c>
      <c r="AR137" s="472">
        <f>COUNTIF(ParicipationMai1[[#This Row],[1]:[31]],Code9)</f>
        <v>0</v>
      </c>
      <c r="AS137" s="472">
        <f>COUNTIF(ParicipationMai1[[#This Row],[1]:[31]],Code10)</f>
        <v>0</v>
      </c>
      <c r="AT137" s="472">
        <f>COUNTIF(ParicipationMai1[[#This Row],[1]:[31]],Code11)</f>
        <v>0</v>
      </c>
      <c r="AU137" s="472">
        <f>COUNTIF(ParicipationMai1[[#This Row],[1]:[31]],Code12)</f>
        <v>0</v>
      </c>
      <c r="AV137" s="472">
        <f>COUNTIF(ParicipationMai1[[#This Row],[1]:[31]],Code13)</f>
        <v>0</v>
      </c>
      <c r="AW137" s="472">
        <f>COUNTIF(ParicipationMai1[[#This Row],[1]:[31]],Code14)</f>
        <v>0</v>
      </c>
      <c r="AX137" s="472">
        <f>COUNTIF(ParicipationMai1[[#This Row],[1]:[31]],Code15)</f>
        <v>0</v>
      </c>
      <c r="AY137" s="472">
        <f>COUNTIF(ParicipationMai1[[#This Row],[1]:[31]],Code16)</f>
        <v>0</v>
      </c>
      <c r="AZ137" s="472">
        <f>COUNTIF(ParicipationMai1[[#This Row],[1]:[31]],Code17)</f>
        <v>0</v>
      </c>
      <c r="BA137" s="472">
        <f>COUNTIF(ParicipationMai1[[#This Row],[1]:[31]],Code25)</f>
        <v>0</v>
      </c>
      <c r="BB137" s="472">
        <f>COUNTIF(ParicipationMai1[[#This Row],[1]:[31]],Code26)</f>
        <v>0</v>
      </c>
      <c r="BC137" s="472">
        <f>COUNTIF(ParicipationMai1[[#This Row],[1]:[31]],Code27)</f>
        <v>0</v>
      </c>
      <c r="BD137" s="472">
        <f>COUNTIF(ParicipationMai1[[#This Row],[1]:[31]],Code28)</f>
        <v>0</v>
      </c>
      <c r="BE137" s="472">
        <f>COUNTIF(ParicipationMai1[[#This Row],[1]:[31]],code30)</f>
        <v>0</v>
      </c>
      <c r="BF137" s="472">
        <f>COUNTIF(ParicipationMai1[[#This Row],[1]:[31]],Code31)</f>
        <v>0</v>
      </c>
      <c r="BG137" s="472">
        <f>COUNTIF(ParicipationMai1[[#This Row],[1]:[31]],code21)</f>
        <v>0</v>
      </c>
      <c r="BH137" s="472">
        <f>COUNTIF(ParicipationMai1[[#This Row],[1]:[31]],Code24)</f>
        <v>0</v>
      </c>
      <c r="BI137" s="370">
        <f>COUNTIF(ParicipationMai1[[#This Row],[1]:[31]],code18)</f>
        <v>0</v>
      </c>
      <c r="BJ137" s="370">
        <f>COUNTIF(ParicipationMai1[[#This Row],[1]:[31]],code19)</f>
        <v>0</v>
      </c>
      <c r="BK137" s="370">
        <f>COUNTIF(ParicipationMai1[[#This Row],[1]:[31]],code20)</f>
        <v>0</v>
      </c>
      <c r="BL137" s="516">
        <f>COUNTIF(ParicipationMai1[[#This Row],[1]:[31]],code29)</f>
        <v>0</v>
      </c>
      <c r="BM137" s="297"/>
      <c r="BN137" s="297"/>
      <c r="BO137" s="297"/>
      <c r="BP137" s="297"/>
      <c r="BQ137" s="297"/>
      <c r="BR137" s="297"/>
      <c r="BS137" s="297"/>
      <c r="BT137" s="297"/>
      <c r="BU137" s="297"/>
      <c r="BV137" s="297"/>
      <c r="BW137" s="297"/>
      <c r="BX137" s="297"/>
      <c r="BY137" s="297"/>
      <c r="BZ137" s="297"/>
      <c r="CA137" s="297"/>
      <c r="CB137" s="297"/>
      <c r="CC137" s="297"/>
      <c r="CD137" s="297"/>
      <c r="CE137" s="297"/>
      <c r="CF137" s="297"/>
      <c r="CG137" s="297"/>
      <c r="CH137" s="297"/>
      <c r="CI137" s="297"/>
      <c r="CJ137" s="297"/>
      <c r="CK137" s="297"/>
      <c r="CL137" s="297"/>
      <c r="CM137" s="297"/>
      <c r="CN137" s="297"/>
      <c r="CO137" s="297"/>
      <c r="CP137" s="297"/>
      <c r="CQ137" s="297"/>
      <c r="CR137" s="297"/>
      <c r="CS137" s="297"/>
      <c r="CT137" s="472"/>
      <c r="CU137" s="300"/>
      <c r="CV137" s="589">
        <f t="shared" si="4"/>
        <v>0</v>
      </c>
      <c r="CW137" s="501">
        <f t="shared" si="5"/>
        <v>0</v>
      </c>
      <c r="CX137" s="472">
        <f t="shared" si="6"/>
        <v>0</v>
      </c>
      <c r="CY137" s="512">
        <f t="shared" si="7"/>
        <v>0</v>
      </c>
    </row>
    <row r="138" spans="1:103">
      <c r="A138" s="29" t="s">
        <v>479</v>
      </c>
      <c r="B138" s="162" t="str">
        <f>IFERROR(VLOOKUP(ParicipationMai1[[#This Row],[Référence]],ListeÉtudiants1[],18,FALSE),"")</f>
        <v>VIRIN AMANDINE</v>
      </c>
      <c r="AG138" s="286"/>
      <c r="AH138" s="138">
        <f>COUNTIF(ParicipationMai1[[1]:[31]],Code1)</f>
        <v>0</v>
      </c>
      <c r="AI138" s="474">
        <f>COUNTIF(ParicipationMai1[[1]:[31]],code22)</f>
        <v>0</v>
      </c>
      <c r="AJ138" s="138">
        <f>COUNTIF(ParicipationMai1[[#This Row],[1]:[31]],Code2)</f>
        <v>0</v>
      </c>
      <c r="AK138" s="138">
        <f>COUNTIF(ParicipationMai1[[#This Row],[1]:[31]],Code3)</f>
        <v>0</v>
      </c>
      <c r="AL138" s="138">
        <f>COUNTIF(ParicipationMai1[[#This Row],[1]:[31]],Code4)</f>
        <v>0</v>
      </c>
      <c r="AM138" s="472">
        <f>COUNTIF(ParicipationMai1[[#This Row],[1]:[31]],Code5)</f>
        <v>0</v>
      </c>
      <c r="AN138" s="472">
        <f>COUNTIF(ParicipationMai1[[#This Row],[1]:[31]],Code23)</f>
        <v>0</v>
      </c>
      <c r="AO138" s="472">
        <f>COUNTIF(ParicipationMai1[[#This Row],[1]:[31]],Code6)</f>
        <v>0</v>
      </c>
      <c r="AP138" s="472">
        <f>COUNTIF(ParicipationMai1[[#This Row],[1]:[31]],Code7)</f>
        <v>0</v>
      </c>
      <c r="AQ138" s="472">
        <f>COUNTIF(ParicipationMai1[[#This Row],[1]:[31]],Code8)</f>
        <v>0</v>
      </c>
      <c r="AR138" s="472">
        <f>COUNTIF(ParicipationMai1[[#This Row],[1]:[31]],Code9)</f>
        <v>0</v>
      </c>
      <c r="AS138" s="472">
        <f>COUNTIF(ParicipationMai1[[#This Row],[1]:[31]],Code10)</f>
        <v>0</v>
      </c>
      <c r="AT138" s="472">
        <f>COUNTIF(ParicipationMai1[[#This Row],[1]:[31]],Code11)</f>
        <v>0</v>
      </c>
      <c r="AU138" s="472">
        <f>COUNTIF(ParicipationMai1[[#This Row],[1]:[31]],Code12)</f>
        <v>0</v>
      </c>
      <c r="AV138" s="472">
        <f>COUNTIF(ParicipationMai1[[#This Row],[1]:[31]],Code13)</f>
        <v>0</v>
      </c>
      <c r="AW138" s="472">
        <f>COUNTIF(ParicipationMai1[[#This Row],[1]:[31]],Code14)</f>
        <v>0</v>
      </c>
      <c r="AX138" s="472">
        <f>COUNTIF(ParicipationMai1[[#This Row],[1]:[31]],Code15)</f>
        <v>0</v>
      </c>
      <c r="AY138" s="472">
        <f>COUNTIF(ParicipationMai1[[#This Row],[1]:[31]],Code16)</f>
        <v>0</v>
      </c>
      <c r="AZ138" s="472">
        <f>COUNTIF(ParicipationMai1[[#This Row],[1]:[31]],Code17)</f>
        <v>0</v>
      </c>
      <c r="BA138" s="472">
        <f>COUNTIF(ParicipationMai1[[#This Row],[1]:[31]],Code25)</f>
        <v>0</v>
      </c>
      <c r="BB138" s="472">
        <f>COUNTIF(ParicipationMai1[[#This Row],[1]:[31]],Code26)</f>
        <v>0</v>
      </c>
      <c r="BC138" s="472">
        <f>COUNTIF(ParicipationMai1[[#This Row],[1]:[31]],Code27)</f>
        <v>0</v>
      </c>
      <c r="BD138" s="472">
        <f>COUNTIF(ParicipationMai1[[#This Row],[1]:[31]],Code28)</f>
        <v>0</v>
      </c>
      <c r="BE138" s="472">
        <f>COUNTIF(ParicipationMai1[[#This Row],[1]:[31]],code30)</f>
        <v>0</v>
      </c>
      <c r="BF138" s="472">
        <f>COUNTIF(ParicipationMai1[[#This Row],[1]:[31]],Code31)</f>
        <v>0</v>
      </c>
      <c r="BG138" s="472">
        <f>COUNTIF(ParicipationMai1[[#This Row],[1]:[31]],code21)</f>
        <v>0</v>
      </c>
      <c r="BH138" s="472">
        <f>COUNTIF(ParicipationMai1[[#This Row],[1]:[31]],Code24)</f>
        <v>0</v>
      </c>
      <c r="BI138" s="370">
        <f>COUNTIF(ParicipationMai1[[#This Row],[1]:[31]],code18)</f>
        <v>0</v>
      </c>
      <c r="BJ138" s="370">
        <f>COUNTIF(ParicipationMai1[[#This Row],[1]:[31]],code19)</f>
        <v>0</v>
      </c>
      <c r="BK138" s="370">
        <f>COUNTIF(ParicipationMai1[[#This Row],[1]:[31]],code20)</f>
        <v>0</v>
      </c>
      <c r="BL138" s="516">
        <f>COUNTIF(ParicipationMai1[[#This Row],[1]:[31]],code29)</f>
        <v>0</v>
      </c>
      <c r="BM138" s="297"/>
      <c r="BN138" s="297"/>
      <c r="BO138" s="297"/>
      <c r="BP138" s="297"/>
      <c r="BQ138" s="297"/>
      <c r="BR138" s="297"/>
      <c r="BS138" s="297"/>
      <c r="BT138" s="297"/>
      <c r="BU138" s="297"/>
      <c r="BV138" s="297"/>
      <c r="BW138" s="297"/>
      <c r="BX138" s="297"/>
      <c r="BY138" s="297"/>
      <c r="BZ138" s="297"/>
      <c r="CA138" s="297"/>
      <c r="CB138" s="297"/>
      <c r="CC138" s="297"/>
      <c r="CD138" s="297"/>
      <c r="CE138" s="297"/>
      <c r="CF138" s="297"/>
      <c r="CG138" s="297"/>
      <c r="CH138" s="297"/>
      <c r="CI138" s="297"/>
      <c r="CJ138" s="297"/>
      <c r="CK138" s="297"/>
      <c r="CL138" s="297"/>
      <c r="CM138" s="297"/>
      <c r="CN138" s="297"/>
      <c r="CO138" s="297"/>
      <c r="CP138" s="297"/>
      <c r="CQ138" s="297"/>
      <c r="CR138" s="297"/>
      <c r="CS138" s="297"/>
      <c r="CT138" s="472"/>
      <c r="CU138" s="300"/>
      <c r="CV138" s="589">
        <f t="shared" si="4"/>
        <v>0</v>
      </c>
      <c r="CW138" s="501">
        <f t="shared" si="5"/>
        <v>0</v>
      </c>
      <c r="CX138" s="472">
        <f t="shared" si="6"/>
        <v>0</v>
      </c>
      <c r="CY138" s="512">
        <f t="shared" si="7"/>
        <v>0</v>
      </c>
    </row>
    <row r="139" spans="1:103">
      <c r="A139" s="29" t="s">
        <v>578</v>
      </c>
      <c r="B139" s="162" t="str">
        <f>IFERROR(VLOOKUP(ParicipationMai1[[#This Row],[Référence]],ListeÉtudiants1[],18,FALSE),"")</f>
        <v>ASSOUMANI ASMINA</v>
      </c>
      <c r="AG139" s="286"/>
      <c r="AH139" s="138">
        <f>COUNTIF(ParicipationMai1[[1]:[31]],Code1)</f>
        <v>0</v>
      </c>
      <c r="AI139" s="474">
        <f>COUNTIF(ParicipationMai1[[1]:[31]],code22)</f>
        <v>0</v>
      </c>
      <c r="AJ139" s="138">
        <f>COUNTIF(ParicipationMai1[[#This Row],[1]:[31]],Code2)</f>
        <v>0</v>
      </c>
      <c r="AK139" s="138">
        <f>COUNTIF(ParicipationMai1[[#This Row],[1]:[31]],Code3)</f>
        <v>0</v>
      </c>
      <c r="AL139" s="138">
        <f>COUNTIF(ParicipationMai1[[#This Row],[1]:[31]],Code4)</f>
        <v>0</v>
      </c>
      <c r="AM139" s="472">
        <f>COUNTIF(ParicipationMai1[[#This Row],[1]:[31]],Code5)</f>
        <v>0</v>
      </c>
      <c r="AN139" s="472">
        <f>COUNTIF(ParicipationMai1[[#This Row],[1]:[31]],Code23)</f>
        <v>0</v>
      </c>
      <c r="AO139" s="472">
        <f>COUNTIF(ParicipationMai1[[#This Row],[1]:[31]],Code6)</f>
        <v>0</v>
      </c>
      <c r="AP139" s="472">
        <f>COUNTIF(ParicipationMai1[[#This Row],[1]:[31]],Code7)</f>
        <v>0</v>
      </c>
      <c r="AQ139" s="472">
        <f>COUNTIF(ParicipationMai1[[#This Row],[1]:[31]],Code8)</f>
        <v>0</v>
      </c>
      <c r="AR139" s="472">
        <f>COUNTIF(ParicipationMai1[[#This Row],[1]:[31]],Code9)</f>
        <v>0</v>
      </c>
      <c r="AS139" s="472">
        <f>COUNTIF(ParicipationMai1[[#This Row],[1]:[31]],Code10)</f>
        <v>0</v>
      </c>
      <c r="AT139" s="472">
        <f>COUNTIF(ParicipationMai1[[#This Row],[1]:[31]],Code11)</f>
        <v>0</v>
      </c>
      <c r="AU139" s="472">
        <f>COUNTIF(ParicipationMai1[[#This Row],[1]:[31]],Code12)</f>
        <v>0</v>
      </c>
      <c r="AV139" s="472">
        <f>COUNTIF(ParicipationMai1[[#This Row],[1]:[31]],Code13)</f>
        <v>0</v>
      </c>
      <c r="AW139" s="472">
        <f>COUNTIF(ParicipationMai1[[#This Row],[1]:[31]],Code14)</f>
        <v>0</v>
      </c>
      <c r="AX139" s="472">
        <f>COUNTIF(ParicipationMai1[[#This Row],[1]:[31]],Code15)</f>
        <v>0</v>
      </c>
      <c r="AY139" s="472">
        <f>COUNTIF(ParicipationMai1[[#This Row],[1]:[31]],Code16)</f>
        <v>0</v>
      </c>
      <c r="AZ139" s="472">
        <f>COUNTIF(ParicipationMai1[[#This Row],[1]:[31]],Code17)</f>
        <v>0</v>
      </c>
      <c r="BA139" s="472">
        <f>COUNTIF(ParicipationMai1[[#This Row],[1]:[31]],Code25)</f>
        <v>0</v>
      </c>
      <c r="BB139" s="472">
        <f>COUNTIF(ParicipationMai1[[#This Row],[1]:[31]],Code26)</f>
        <v>0</v>
      </c>
      <c r="BC139" s="472">
        <f>COUNTIF(ParicipationMai1[[#This Row],[1]:[31]],Code27)</f>
        <v>0</v>
      </c>
      <c r="BD139" s="472">
        <f>COUNTIF(ParicipationMai1[[#This Row],[1]:[31]],Code28)</f>
        <v>0</v>
      </c>
      <c r="BE139" s="472">
        <f>COUNTIF(ParicipationMai1[[#This Row],[1]:[31]],code30)</f>
        <v>0</v>
      </c>
      <c r="BF139" s="472">
        <f>COUNTIF(ParicipationMai1[[#This Row],[1]:[31]],Code31)</f>
        <v>0</v>
      </c>
      <c r="BG139" s="472">
        <f>COUNTIF(ParicipationMai1[[#This Row],[1]:[31]],code21)</f>
        <v>0</v>
      </c>
      <c r="BH139" s="472">
        <f>COUNTIF(ParicipationMai1[[#This Row],[1]:[31]],Code24)</f>
        <v>0</v>
      </c>
      <c r="BI139" s="370">
        <f>COUNTIF(ParicipationMai1[[#This Row],[1]:[31]],code18)</f>
        <v>0</v>
      </c>
      <c r="BJ139" s="370">
        <f>COUNTIF(ParicipationMai1[[#This Row],[1]:[31]],code19)</f>
        <v>0</v>
      </c>
      <c r="BK139" s="370">
        <f>COUNTIF(ParicipationMai1[[#This Row],[1]:[31]],code20)</f>
        <v>0</v>
      </c>
      <c r="BL139" s="516">
        <f>COUNTIF(ParicipationMai1[[#This Row],[1]:[31]],code29)</f>
        <v>0</v>
      </c>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472"/>
      <c r="CU139" s="300"/>
      <c r="CV139" s="589">
        <f t="shared" ref="CV139:CV155" si="8">SUM((AH139*1)+(AI139*1.5)+(AJ139*2)+(AK139*3)+(AP139*5)+(AQ139*6)+(AR139*7)+(AU139*2)+(AX139*3)+(AY139*4)+(AZ139*5)+(BB139*3)+(BA139*2)+(BG139*2)+(BC139*2)+(BD139*2))</f>
        <v>0</v>
      </c>
      <c r="CW139" s="501">
        <f t="shared" ref="CW139:CW155" si="9">SUM((AN139*1)+(AM139*2)+(AO139*3)+(AP139*4)+(AT139*5)+(AU139*7)+(AV139*7)+(AW139*7)+(AX139*4)+(AY139*3)+(BB139*2)+(BC139*4)+(AZ139*1)+(BG139*2)+(BA139*5)+(BD139*1))</f>
        <v>0</v>
      </c>
      <c r="CX139" s="472">
        <f t="shared" ref="CX139:CX155" si="10">BH139*1+BL139*3</f>
        <v>0</v>
      </c>
      <c r="CY139" s="512">
        <f t="shared" si="7"/>
        <v>0</v>
      </c>
    </row>
    <row r="140" spans="1:103">
      <c r="A140" s="29" t="s">
        <v>579</v>
      </c>
      <c r="B140" s="162" t="str">
        <f>IFERROR(VLOOKUP(ParicipationMai1[[#This Row],[Référence]],ListeÉtudiants1[],18,FALSE),"")</f>
        <v>ATSE KIMBERLEY</v>
      </c>
      <c r="AG140" s="286"/>
      <c r="AH140" s="138">
        <f>COUNTIF(ParicipationMai1[[1]:[31]],Code1)</f>
        <v>0</v>
      </c>
      <c r="AI140" s="474">
        <f>COUNTIF(ParicipationMai1[[1]:[31]],code22)</f>
        <v>0</v>
      </c>
      <c r="AJ140" s="138">
        <f>COUNTIF(ParicipationMai1[[#This Row],[1]:[31]],Code2)</f>
        <v>0</v>
      </c>
      <c r="AK140" s="138">
        <f>COUNTIF(ParicipationMai1[[#This Row],[1]:[31]],Code3)</f>
        <v>0</v>
      </c>
      <c r="AL140" s="138">
        <f>COUNTIF(ParicipationMai1[[#This Row],[1]:[31]],Code4)</f>
        <v>0</v>
      </c>
      <c r="AM140" s="472">
        <f>COUNTIF(ParicipationMai1[[#This Row],[1]:[31]],Code5)</f>
        <v>0</v>
      </c>
      <c r="AN140" s="472">
        <f>COUNTIF(ParicipationMai1[[#This Row],[1]:[31]],Code23)</f>
        <v>0</v>
      </c>
      <c r="AO140" s="472">
        <f>COUNTIF(ParicipationMai1[[#This Row],[1]:[31]],Code6)</f>
        <v>0</v>
      </c>
      <c r="AP140" s="472">
        <f>COUNTIF(ParicipationMai1[[#This Row],[1]:[31]],Code7)</f>
        <v>0</v>
      </c>
      <c r="AQ140" s="472">
        <f>COUNTIF(ParicipationMai1[[#This Row],[1]:[31]],Code8)</f>
        <v>0</v>
      </c>
      <c r="AR140" s="472">
        <f>COUNTIF(ParicipationMai1[[#This Row],[1]:[31]],Code9)</f>
        <v>0</v>
      </c>
      <c r="AS140" s="472">
        <f>COUNTIF(ParicipationMai1[[#This Row],[1]:[31]],Code10)</f>
        <v>0</v>
      </c>
      <c r="AT140" s="472">
        <f>COUNTIF(ParicipationMai1[[#This Row],[1]:[31]],Code11)</f>
        <v>0</v>
      </c>
      <c r="AU140" s="472">
        <f>COUNTIF(ParicipationMai1[[#This Row],[1]:[31]],Code12)</f>
        <v>0</v>
      </c>
      <c r="AV140" s="472">
        <f>COUNTIF(ParicipationMai1[[#This Row],[1]:[31]],Code13)</f>
        <v>0</v>
      </c>
      <c r="AW140" s="472">
        <f>COUNTIF(ParicipationMai1[[#This Row],[1]:[31]],Code14)</f>
        <v>0</v>
      </c>
      <c r="AX140" s="472">
        <f>COUNTIF(ParicipationMai1[[#This Row],[1]:[31]],Code15)</f>
        <v>0</v>
      </c>
      <c r="AY140" s="472">
        <f>COUNTIF(ParicipationMai1[[#This Row],[1]:[31]],Code16)</f>
        <v>0</v>
      </c>
      <c r="AZ140" s="472">
        <f>COUNTIF(ParicipationMai1[[#This Row],[1]:[31]],Code17)</f>
        <v>0</v>
      </c>
      <c r="BA140" s="472">
        <f>COUNTIF(ParicipationMai1[[#This Row],[1]:[31]],Code25)</f>
        <v>0</v>
      </c>
      <c r="BB140" s="472">
        <f>COUNTIF(ParicipationMai1[[#This Row],[1]:[31]],Code26)</f>
        <v>0</v>
      </c>
      <c r="BC140" s="472">
        <f>COUNTIF(ParicipationMai1[[#This Row],[1]:[31]],Code27)</f>
        <v>0</v>
      </c>
      <c r="BD140" s="472">
        <f>COUNTIF(ParicipationMai1[[#This Row],[1]:[31]],Code28)</f>
        <v>0</v>
      </c>
      <c r="BE140" s="472">
        <f>COUNTIF(ParicipationMai1[[#This Row],[1]:[31]],code30)</f>
        <v>0</v>
      </c>
      <c r="BF140" s="472">
        <f>COUNTIF(ParicipationMai1[[#This Row],[1]:[31]],Code31)</f>
        <v>0</v>
      </c>
      <c r="BG140" s="472">
        <f>COUNTIF(ParicipationMai1[[#This Row],[1]:[31]],code21)</f>
        <v>0</v>
      </c>
      <c r="BH140" s="472">
        <f>COUNTIF(ParicipationMai1[[#This Row],[1]:[31]],Code24)</f>
        <v>0</v>
      </c>
      <c r="BI140" s="370">
        <f>COUNTIF(ParicipationMai1[[#This Row],[1]:[31]],code18)</f>
        <v>0</v>
      </c>
      <c r="BJ140" s="370">
        <f>COUNTIF(ParicipationMai1[[#This Row],[1]:[31]],code19)</f>
        <v>0</v>
      </c>
      <c r="BK140" s="370">
        <f>COUNTIF(ParicipationMai1[[#This Row],[1]:[31]],code20)</f>
        <v>0</v>
      </c>
      <c r="BL140" s="516">
        <f>COUNTIF(ParicipationMai1[[#This Row],[1]:[31]],code29)</f>
        <v>0</v>
      </c>
      <c r="BM140" s="297"/>
      <c r="BN140" s="297"/>
      <c r="BO140" s="297"/>
      <c r="BP140" s="297"/>
      <c r="BQ140" s="297"/>
      <c r="BR140" s="297"/>
      <c r="BS140" s="297"/>
      <c r="BT140" s="297"/>
      <c r="BU140" s="297"/>
      <c r="BV140" s="297"/>
      <c r="BW140" s="297"/>
      <c r="BX140" s="297"/>
      <c r="BY140" s="297"/>
      <c r="BZ140" s="297"/>
      <c r="CA140" s="297"/>
      <c r="CB140" s="297"/>
      <c r="CC140" s="297"/>
      <c r="CD140" s="297"/>
      <c r="CE140" s="297"/>
      <c r="CF140" s="297"/>
      <c r="CG140" s="297"/>
      <c r="CH140" s="297"/>
      <c r="CI140" s="297"/>
      <c r="CJ140" s="297"/>
      <c r="CK140" s="297"/>
      <c r="CL140" s="297"/>
      <c r="CM140" s="297"/>
      <c r="CN140" s="297"/>
      <c r="CO140" s="297"/>
      <c r="CP140" s="297"/>
      <c r="CQ140" s="297"/>
      <c r="CR140" s="297"/>
      <c r="CS140" s="297"/>
      <c r="CT140" s="472"/>
      <c r="CU140" s="300"/>
      <c r="CV140" s="589">
        <f t="shared" si="8"/>
        <v>0</v>
      </c>
      <c r="CW140" s="501">
        <f t="shared" si="9"/>
        <v>0</v>
      </c>
      <c r="CX140" s="472">
        <f t="shared" si="10"/>
        <v>0</v>
      </c>
      <c r="CY140" s="512">
        <f t="shared" ref="CY140:CY155" si="11">SUM((BI140*7),(BJ140*10),(BK140*12))</f>
        <v>0</v>
      </c>
    </row>
    <row r="141" spans="1:103">
      <c r="A141" s="29" t="s">
        <v>582</v>
      </c>
      <c r="B141" s="162" t="str">
        <f>IFERROR(VLOOKUP(ParicipationMai1[[#This Row],[Référence]],ListeÉtudiants1[],18,FALSE),"")</f>
        <v>BOLINGO  Malise</v>
      </c>
      <c r="AG141" s="286"/>
      <c r="AH141" s="138">
        <f>COUNTIF(ParicipationMai1[[1]:[31]],Code1)</f>
        <v>0</v>
      </c>
      <c r="AI141" s="474">
        <f>COUNTIF(ParicipationMai1[[1]:[31]],code22)</f>
        <v>0</v>
      </c>
      <c r="AJ141" s="138">
        <f>COUNTIF(ParicipationMai1[[#This Row],[1]:[31]],Code2)</f>
        <v>0</v>
      </c>
      <c r="AK141" s="138">
        <f>COUNTIF(ParicipationMai1[[#This Row],[1]:[31]],Code3)</f>
        <v>0</v>
      </c>
      <c r="AL141" s="138">
        <f>COUNTIF(ParicipationMai1[[#This Row],[1]:[31]],Code4)</f>
        <v>0</v>
      </c>
      <c r="AM141" s="472">
        <f>COUNTIF(ParicipationMai1[[#This Row],[1]:[31]],Code5)</f>
        <v>0</v>
      </c>
      <c r="AN141" s="472">
        <f>COUNTIF(ParicipationMai1[[#This Row],[1]:[31]],Code23)</f>
        <v>0</v>
      </c>
      <c r="AO141" s="472">
        <f>COUNTIF(ParicipationMai1[[#This Row],[1]:[31]],Code6)</f>
        <v>0</v>
      </c>
      <c r="AP141" s="472">
        <f>COUNTIF(ParicipationMai1[[#This Row],[1]:[31]],Code7)</f>
        <v>0</v>
      </c>
      <c r="AQ141" s="472">
        <f>COUNTIF(ParicipationMai1[[#This Row],[1]:[31]],Code8)</f>
        <v>0</v>
      </c>
      <c r="AR141" s="472">
        <f>COUNTIF(ParicipationMai1[[#This Row],[1]:[31]],Code9)</f>
        <v>0</v>
      </c>
      <c r="AS141" s="472">
        <f>COUNTIF(ParicipationMai1[[#This Row],[1]:[31]],Code10)</f>
        <v>0</v>
      </c>
      <c r="AT141" s="472">
        <f>COUNTIF(ParicipationMai1[[#This Row],[1]:[31]],Code11)</f>
        <v>0</v>
      </c>
      <c r="AU141" s="472">
        <f>COUNTIF(ParicipationMai1[[#This Row],[1]:[31]],Code12)</f>
        <v>0</v>
      </c>
      <c r="AV141" s="472">
        <f>COUNTIF(ParicipationMai1[[#This Row],[1]:[31]],Code13)</f>
        <v>0</v>
      </c>
      <c r="AW141" s="472">
        <f>COUNTIF(ParicipationMai1[[#This Row],[1]:[31]],Code14)</f>
        <v>0</v>
      </c>
      <c r="AX141" s="472">
        <f>COUNTIF(ParicipationMai1[[#This Row],[1]:[31]],Code15)</f>
        <v>0</v>
      </c>
      <c r="AY141" s="472">
        <f>COUNTIF(ParicipationMai1[[#This Row],[1]:[31]],Code16)</f>
        <v>0</v>
      </c>
      <c r="AZ141" s="472">
        <f>COUNTIF(ParicipationMai1[[#This Row],[1]:[31]],Code17)</f>
        <v>0</v>
      </c>
      <c r="BA141" s="472">
        <f>COUNTIF(ParicipationMai1[[#This Row],[1]:[31]],Code25)</f>
        <v>0</v>
      </c>
      <c r="BB141" s="472">
        <f>COUNTIF(ParicipationMai1[[#This Row],[1]:[31]],Code26)</f>
        <v>0</v>
      </c>
      <c r="BC141" s="472">
        <f>COUNTIF(ParicipationMai1[[#This Row],[1]:[31]],Code27)</f>
        <v>0</v>
      </c>
      <c r="BD141" s="472">
        <f>COUNTIF(ParicipationMai1[[#This Row],[1]:[31]],Code28)</f>
        <v>0</v>
      </c>
      <c r="BE141" s="472">
        <f>COUNTIF(ParicipationMai1[[#This Row],[1]:[31]],code30)</f>
        <v>0</v>
      </c>
      <c r="BF141" s="472">
        <f>COUNTIF(ParicipationMai1[[#This Row],[1]:[31]],Code31)</f>
        <v>0</v>
      </c>
      <c r="BG141" s="472">
        <f>COUNTIF(ParicipationMai1[[#This Row],[1]:[31]],code21)</f>
        <v>0</v>
      </c>
      <c r="BH141" s="472">
        <f>COUNTIF(ParicipationMai1[[#This Row],[1]:[31]],Code24)</f>
        <v>0</v>
      </c>
      <c r="BI141" s="370">
        <f>COUNTIF(ParicipationMai1[[#This Row],[1]:[31]],code18)</f>
        <v>0</v>
      </c>
      <c r="BJ141" s="370">
        <f>COUNTIF(ParicipationMai1[[#This Row],[1]:[31]],code19)</f>
        <v>0</v>
      </c>
      <c r="BK141" s="370">
        <f>COUNTIF(ParicipationMai1[[#This Row],[1]:[31]],code20)</f>
        <v>0</v>
      </c>
      <c r="BL141" s="516">
        <f>COUNTIF(ParicipationMai1[[#This Row],[1]:[31]],code29)</f>
        <v>0</v>
      </c>
      <c r="BM141" s="297"/>
      <c r="BN141" s="297"/>
      <c r="BO141" s="297"/>
      <c r="BP141" s="297"/>
      <c r="BQ141" s="297"/>
      <c r="BR141" s="297"/>
      <c r="BS141" s="297"/>
      <c r="BT141" s="297"/>
      <c r="BU141" s="297"/>
      <c r="BV141" s="297"/>
      <c r="BW141" s="297"/>
      <c r="BX141" s="297"/>
      <c r="BY141" s="297"/>
      <c r="BZ141" s="297"/>
      <c r="CA141" s="297"/>
      <c r="CB141" s="297"/>
      <c r="CC141" s="297"/>
      <c r="CD141" s="297"/>
      <c r="CE141" s="297"/>
      <c r="CF141" s="297"/>
      <c r="CG141" s="297"/>
      <c r="CH141" s="297"/>
      <c r="CI141" s="297"/>
      <c r="CJ141" s="297"/>
      <c r="CK141" s="297"/>
      <c r="CL141" s="297"/>
      <c r="CM141" s="297"/>
      <c r="CN141" s="297"/>
      <c r="CO141" s="297"/>
      <c r="CP141" s="297"/>
      <c r="CQ141" s="297"/>
      <c r="CR141" s="297"/>
      <c r="CS141" s="297"/>
      <c r="CT141" s="472"/>
      <c r="CU141" s="300"/>
      <c r="CV141" s="589">
        <f t="shared" si="8"/>
        <v>0</v>
      </c>
      <c r="CW141" s="501">
        <f t="shared" si="9"/>
        <v>0</v>
      </c>
      <c r="CX141" s="472">
        <f t="shared" si="10"/>
        <v>0</v>
      </c>
      <c r="CY141" s="512">
        <f t="shared" si="11"/>
        <v>0</v>
      </c>
    </row>
    <row r="142" spans="1:103">
      <c r="A142" s="29" t="s">
        <v>584</v>
      </c>
      <c r="B142" s="162" t="str">
        <f>IFERROR(VLOOKUP(ParicipationMai1[[#This Row],[Référence]],ListeÉtudiants1[],18,FALSE),"")</f>
        <v>CAPAROS Maia</v>
      </c>
      <c r="AG142" s="286"/>
      <c r="AH142" s="138">
        <f>COUNTIF(ParicipationMai1[[1]:[31]],Code1)</f>
        <v>0</v>
      </c>
      <c r="AI142" s="474">
        <f>COUNTIF(ParicipationMai1[[1]:[31]],code22)</f>
        <v>0</v>
      </c>
      <c r="AJ142" s="138">
        <f>COUNTIF(ParicipationMai1[[#This Row],[1]:[31]],Code2)</f>
        <v>0</v>
      </c>
      <c r="AK142" s="138">
        <f>COUNTIF(ParicipationMai1[[#This Row],[1]:[31]],Code3)</f>
        <v>0</v>
      </c>
      <c r="AL142" s="138">
        <f>COUNTIF(ParicipationMai1[[#This Row],[1]:[31]],Code4)</f>
        <v>0</v>
      </c>
      <c r="AM142" s="472">
        <f>COUNTIF(ParicipationMai1[[#This Row],[1]:[31]],Code5)</f>
        <v>0</v>
      </c>
      <c r="AN142" s="472">
        <f>COUNTIF(ParicipationMai1[[#This Row],[1]:[31]],Code23)</f>
        <v>0</v>
      </c>
      <c r="AO142" s="472">
        <f>COUNTIF(ParicipationMai1[[#This Row],[1]:[31]],Code6)</f>
        <v>0</v>
      </c>
      <c r="AP142" s="472">
        <f>COUNTIF(ParicipationMai1[[#This Row],[1]:[31]],Code7)</f>
        <v>0</v>
      </c>
      <c r="AQ142" s="472">
        <f>COUNTIF(ParicipationMai1[[#This Row],[1]:[31]],Code8)</f>
        <v>0</v>
      </c>
      <c r="AR142" s="472">
        <f>COUNTIF(ParicipationMai1[[#This Row],[1]:[31]],Code9)</f>
        <v>0</v>
      </c>
      <c r="AS142" s="472">
        <f>COUNTIF(ParicipationMai1[[#This Row],[1]:[31]],Code10)</f>
        <v>0</v>
      </c>
      <c r="AT142" s="472">
        <f>COUNTIF(ParicipationMai1[[#This Row],[1]:[31]],Code11)</f>
        <v>0</v>
      </c>
      <c r="AU142" s="472">
        <f>COUNTIF(ParicipationMai1[[#This Row],[1]:[31]],Code12)</f>
        <v>0</v>
      </c>
      <c r="AV142" s="472">
        <f>COUNTIF(ParicipationMai1[[#This Row],[1]:[31]],Code13)</f>
        <v>0</v>
      </c>
      <c r="AW142" s="472">
        <f>COUNTIF(ParicipationMai1[[#This Row],[1]:[31]],Code14)</f>
        <v>0</v>
      </c>
      <c r="AX142" s="472">
        <f>COUNTIF(ParicipationMai1[[#This Row],[1]:[31]],Code15)</f>
        <v>0</v>
      </c>
      <c r="AY142" s="472">
        <f>COUNTIF(ParicipationMai1[[#This Row],[1]:[31]],Code16)</f>
        <v>0</v>
      </c>
      <c r="AZ142" s="472">
        <f>COUNTIF(ParicipationMai1[[#This Row],[1]:[31]],Code17)</f>
        <v>0</v>
      </c>
      <c r="BA142" s="472">
        <f>COUNTIF(ParicipationMai1[[#This Row],[1]:[31]],Code25)</f>
        <v>0</v>
      </c>
      <c r="BB142" s="472">
        <f>COUNTIF(ParicipationMai1[[#This Row],[1]:[31]],Code26)</f>
        <v>0</v>
      </c>
      <c r="BC142" s="472">
        <f>COUNTIF(ParicipationMai1[[#This Row],[1]:[31]],Code27)</f>
        <v>0</v>
      </c>
      <c r="BD142" s="472">
        <f>COUNTIF(ParicipationMai1[[#This Row],[1]:[31]],Code28)</f>
        <v>0</v>
      </c>
      <c r="BE142" s="472">
        <f>COUNTIF(ParicipationMai1[[#This Row],[1]:[31]],code30)</f>
        <v>0</v>
      </c>
      <c r="BF142" s="472">
        <f>COUNTIF(ParicipationMai1[[#This Row],[1]:[31]],Code31)</f>
        <v>0</v>
      </c>
      <c r="BG142" s="472">
        <f>COUNTIF(ParicipationMai1[[#This Row],[1]:[31]],code21)</f>
        <v>0</v>
      </c>
      <c r="BH142" s="472">
        <f>COUNTIF(ParicipationMai1[[#This Row],[1]:[31]],Code24)</f>
        <v>0</v>
      </c>
      <c r="BI142" s="370">
        <f>COUNTIF(ParicipationMai1[[#This Row],[1]:[31]],code18)</f>
        <v>0</v>
      </c>
      <c r="BJ142" s="370">
        <f>COUNTIF(ParicipationMai1[[#This Row],[1]:[31]],code19)</f>
        <v>0</v>
      </c>
      <c r="BK142" s="370">
        <f>COUNTIF(ParicipationMai1[[#This Row],[1]:[31]],code20)</f>
        <v>0</v>
      </c>
      <c r="BL142" s="516">
        <f>COUNTIF(ParicipationMai1[[#This Row],[1]:[31]],code29)</f>
        <v>0</v>
      </c>
      <c r="BM142" s="297"/>
      <c r="BN142" s="297"/>
      <c r="BO142" s="297"/>
      <c r="BP142" s="297"/>
      <c r="BQ142" s="297"/>
      <c r="BR142" s="297"/>
      <c r="BS142" s="297"/>
      <c r="BT142" s="297"/>
      <c r="BU142" s="297"/>
      <c r="BV142" s="297"/>
      <c r="BW142" s="297"/>
      <c r="BX142" s="297"/>
      <c r="BY142" s="297"/>
      <c r="BZ142" s="297"/>
      <c r="CA142" s="297"/>
      <c r="CB142" s="297"/>
      <c r="CC142" s="297"/>
      <c r="CD142" s="297"/>
      <c r="CE142" s="297"/>
      <c r="CF142" s="297"/>
      <c r="CG142" s="297"/>
      <c r="CH142" s="297"/>
      <c r="CI142" s="297"/>
      <c r="CJ142" s="297"/>
      <c r="CK142" s="297"/>
      <c r="CL142" s="297"/>
      <c r="CM142" s="297"/>
      <c r="CN142" s="297"/>
      <c r="CO142" s="297"/>
      <c r="CP142" s="297"/>
      <c r="CQ142" s="297"/>
      <c r="CR142" s="297"/>
      <c r="CS142" s="297"/>
      <c r="CT142" s="472"/>
      <c r="CU142" s="300"/>
      <c r="CV142" s="589">
        <f t="shared" si="8"/>
        <v>0</v>
      </c>
      <c r="CW142" s="501">
        <f t="shared" si="9"/>
        <v>0</v>
      </c>
      <c r="CX142" s="472">
        <f t="shared" si="10"/>
        <v>0</v>
      </c>
      <c r="CY142" s="512">
        <f t="shared" si="11"/>
        <v>0</v>
      </c>
    </row>
    <row r="143" spans="1:103">
      <c r="A143" s="29" t="s">
        <v>585</v>
      </c>
      <c r="B143" s="162" t="str">
        <f>IFERROR(VLOOKUP(ParicipationMai1[[#This Row],[Référence]],ListeÉtudiants1[],18,FALSE),"")</f>
        <v>COLLADO ALICIA</v>
      </c>
      <c r="AG143" s="286"/>
      <c r="AH143" s="138">
        <f>COUNTIF(ParicipationMai1[[1]:[31]],Code1)</f>
        <v>0</v>
      </c>
      <c r="AI143" s="474">
        <f>COUNTIF(ParicipationMai1[[1]:[31]],code22)</f>
        <v>0</v>
      </c>
      <c r="AJ143" s="138">
        <f>COUNTIF(ParicipationMai1[[#This Row],[1]:[31]],Code2)</f>
        <v>0</v>
      </c>
      <c r="AK143" s="138">
        <f>COUNTIF(ParicipationMai1[[#This Row],[1]:[31]],Code3)</f>
        <v>0</v>
      </c>
      <c r="AL143" s="138">
        <f>COUNTIF(ParicipationMai1[[#This Row],[1]:[31]],Code4)</f>
        <v>0</v>
      </c>
      <c r="AM143" s="472">
        <f>COUNTIF(ParicipationMai1[[#This Row],[1]:[31]],Code5)</f>
        <v>0</v>
      </c>
      <c r="AN143" s="472">
        <f>COUNTIF(ParicipationMai1[[#This Row],[1]:[31]],Code23)</f>
        <v>0</v>
      </c>
      <c r="AO143" s="472">
        <f>COUNTIF(ParicipationMai1[[#This Row],[1]:[31]],Code6)</f>
        <v>0</v>
      </c>
      <c r="AP143" s="472">
        <f>COUNTIF(ParicipationMai1[[#This Row],[1]:[31]],Code7)</f>
        <v>0</v>
      </c>
      <c r="AQ143" s="472">
        <f>COUNTIF(ParicipationMai1[[#This Row],[1]:[31]],Code8)</f>
        <v>0</v>
      </c>
      <c r="AR143" s="472">
        <f>COUNTIF(ParicipationMai1[[#This Row],[1]:[31]],Code9)</f>
        <v>0</v>
      </c>
      <c r="AS143" s="472">
        <f>COUNTIF(ParicipationMai1[[#This Row],[1]:[31]],Code10)</f>
        <v>0</v>
      </c>
      <c r="AT143" s="472">
        <f>COUNTIF(ParicipationMai1[[#This Row],[1]:[31]],Code11)</f>
        <v>0</v>
      </c>
      <c r="AU143" s="472">
        <f>COUNTIF(ParicipationMai1[[#This Row],[1]:[31]],Code12)</f>
        <v>0</v>
      </c>
      <c r="AV143" s="472">
        <f>COUNTIF(ParicipationMai1[[#This Row],[1]:[31]],Code13)</f>
        <v>0</v>
      </c>
      <c r="AW143" s="472">
        <f>COUNTIF(ParicipationMai1[[#This Row],[1]:[31]],Code14)</f>
        <v>0</v>
      </c>
      <c r="AX143" s="472">
        <f>COUNTIF(ParicipationMai1[[#This Row],[1]:[31]],Code15)</f>
        <v>0</v>
      </c>
      <c r="AY143" s="472">
        <f>COUNTIF(ParicipationMai1[[#This Row],[1]:[31]],Code16)</f>
        <v>0</v>
      </c>
      <c r="AZ143" s="472">
        <f>COUNTIF(ParicipationMai1[[#This Row],[1]:[31]],Code17)</f>
        <v>0</v>
      </c>
      <c r="BA143" s="472">
        <f>COUNTIF(ParicipationMai1[[#This Row],[1]:[31]],Code25)</f>
        <v>0</v>
      </c>
      <c r="BB143" s="472">
        <f>COUNTIF(ParicipationMai1[[#This Row],[1]:[31]],Code26)</f>
        <v>0</v>
      </c>
      <c r="BC143" s="472">
        <f>COUNTIF(ParicipationMai1[[#This Row],[1]:[31]],Code27)</f>
        <v>0</v>
      </c>
      <c r="BD143" s="472">
        <f>COUNTIF(ParicipationMai1[[#This Row],[1]:[31]],Code28)</f>
        <v>0</v>
      </c>
      <c r="BE143" s="472">
        <f>COUNTIF(ParicipationMai1[[#This Row],[1]:[31]],code30)</f>
        <v>0</v>
      </c>
      <c r="BF143" s="472">
        <f>COUNTIF(ParicipationMai1[[#This Row],[1]:[31]],Code31)</f>
        <v>0</v>
      </c>
      <c r="BG143" s="472">
        <f>COUNTIF(ParicipationMai1[[#This Row],[1]:[31]],code21)</f>
        <v>0</v>
      </c>
      <c r="BH143" s="472">
        <f>COUNTIF(ParicipationMai1[[#This Row],[1]:[31]],Code24)</f>
        <v>0</v>
      </c>
      <c r="BI143" s="370">
        <f>COUNTIF(ParicipationMai1[[#This Row],[1]:[31]],code18)</f>
        <v>0</v>
      </c>
      <c r="BJ143" s="370">
        <f>COUNTIF(ParicipationMai1[[#This Row],[1]:[31]],code19)</f>
        <v>0</v>
      </c>
      <c r="BK143" s="370">
        <f>COUNTIF(ParicipationMai1[[#This Row],[1]:[31]],code20)</f>
        <v>0</v>
      </c>
      <c r="BL143" s="516">
        <f>COUNTIF(ParicipationMai1[[#This Row],[1]:[31]],code29)</f>
        <v>0</v>
      </c>
      <c r="BM143" s="297"/>
      <c r="BN143" s="297"/>
      <c r="BO143" s="297"/>
      <c r="BP143" s="297"/>
      <c r="BQ143" s="297"/>
      <c r="BR143" s="297"/>
      <c r="BS143" s="297"/>
      <c r="BT143" s="297"/>
      <c r="BU143" s="297"/>
      <c r="BV143" s="297"/>
      <c r="BW143" s="297"/>
      <c r="BX143" s="297"/>
      <c r="BY143" s="297"/>
      <c r="BZ143" s="297"/>
      <c r="CA143" s="297"/>
      <c r="CB143" s="297"/>
      <c r="CC143" s="297"/>
      <c r="CD143" s="297"/>
      <c r="CE143" s="297"/>
      <c r="CF143" s="297"/>
      <c r="CG143" s="297"/>
      <c r="CH143" s="297"/>
      <c r="CI143" s="297"/>
      <c r="CJ143" s="297"/>
      <c r="CK143" s="297"/>
      <c r="CL143" s="297"/>
      <c r="CM143" s="297"/>
      <c r="CN143" s="297"/>
      <c r="CO143" s="297"/>
      <c r="CP143" s="297"/>
      <c r="CQ143" s="297"/>
      <c r="CR143" s="297"/>
      <c r="CS143" s="297"/>
      <c r="CT143" s="472"/>
      <c r="CU143" s="300"/>
      <c r="CV143" s="593">
        <f t="shared" si="8"/>
        <v>0</v>
      </c>
      <c r="CW143" s="501">
        <f t="shared" si="9"/>
        <v>0</v>
      </c>
      <c r="CX143" s="472">
        <f t="shared" si="10"/>
        <v>0</v>
      </c>
      <c r="CY143" s="512">
        <f t="shared" si="11"/>
        <v>0</v>
      </c>
    </row>
    <row r="144" spans="1:103">
      <c r="A144" s="29" t="s">
        <v>588</v>
      </c>
      <c r="B144" s="162" t="str">
        <f>IFERROR(VLOOKUP(ParicipationMai1[[#This Row],[Référence]],ListeÉtudiants1[],18,FALSE),"")</f>
        <v>FERGUENE Chaineze</v>
      </c>
      <c r="AG144" s="286"/>
      <c r="AH144" s="138">
        <f>COUNTIF(ParicipationMai1[[1]:[31]],Code1)</f>
        <v>0</v>
      </c>
      <c r="AI144" s="474">
        <f>COUNTIF(ParicipationMai1[[1]:[31]],code22)</f>
        <v>0</v>
      </c>
      <c r="AJ144" s="138">
        <f>COUNTIF(ParicipationMai1[[#This Row],[1]:[31]],Code2)</f>
        <v>0</v>
      </c>
      <c r="AK144" s="138">
        <f>COUNTIF(ParicipationMai1[[#This Row],[1]:[31]],Code3)</f>
        <v>0</v>
      </c>
      <c r="AL144" s="138">
        <f>COUNTIF(ParicipationMai1[[#This Row],[1]:[31]],Code4)</f>
        <v>0</v>
      </c>
      <c r="AM144" s="472">
        <f>COUNTIF(ParicipationMai1[[#This Row],[1]:[31]],Code5)</f>
        <v>0</v>
      </c>
      <c r="AN144" s="472">
        <f>COUNTIF(ParicipationMai1[[#This Row],[1]:[31]],Code23)</f>
        <v>0</v>
      </c>
      <c r="AO144" s="472">
        <f>COUNTIF(ParicipationMai1[[#This Row],[1]:[31]],Code6)</f>
        <v>0</v>
      </c>
      <c r="AP144" s="472">
        <f>COUNTIF(ParicipationMai1[[#This Row],[1]:[31]],Code7)</f>
        <v>0</v>
      </c>
      <c r="AQ144" s="472">
        <f>COUNTIF(ParicipationMai1[[#This Row],[1]:[31]],Code8)</f>
        <v>0</v>
      </c>
      <c r="AR144" s="472">
        <f>COUNTIF(ParicipationMai1[[#This Row],[1]:[31]],Code9)</f>
        <v>0</v>
      </c>
      <c r="AS144" s="472">
        <f>COUNTIF(ParicipationMai1[[#This Row],[1]:[31]],Code10)</f>
        <v>0</v>
      </c>
      <c r="AT144" s="472">
        <f>COUNTIF(ParicipationMai1[[#This Row],[1]:[31]],Code11)</f>
        <v>0</v>
      </c>
      <c r="AU144" s="472">
        <f>COUNTIF(ParicipationMai1[[#This Row],[1]:[31]],Code12)</f>
        <v>0</v>
      </c>
      <c r="AV144" s="472">
        <f>COUNTIF(ParicipationMai1[[#This Row],[1]:[31]],Code13)</f>
        <v>0</v>
      </c>
      <c r="AW144" s="472">
        <f>COUNTIF(ParicipationMai1[[#This Row],[1]:[31]],Code14)</f>
        <v>0</v>
      </c>
      <c r="AX144" s="472">
        <f>COUNTIF(ParicipationMai1[[#This Row],[1]:[31]],Code15)</f>
        <v>0</v>
      </c>
      <c r="AY144" s="472">
        <f>COUNTIF(ParicipationMai1[[#This Row],[1]:[31]],Code16)</f>
        <v>0</v>
      </c>
      <c r="AZ144" s="472">
        <f>COUNTIF(ParicipationMai1[[#This Row],[1]:[31]],Code17)</f>
        <v>0</v>
      </c>
      <c r="BA144" s="472">
        <f>COUNTIF(ParicipationMai1[[#This Row],[1]:[31]],Code25)</f>
        <v>0</v>
      </c>
      <c r="BB144" s="472">
        <f>COUNTIF(ParicipationMai1[[#This Row],[1]:[31]],Code26)</f>
        <v>0</v>
      </c>
      <c r="BC144" s="472">
        <f>COUNTIF(ParicipationMai1[[#This Row],[1]:[31]],Code27)</f>
        <v>0</v>
      </c>
      <c r="BD144" s="472">
        <f>COUNTIF(ParicipationMai1[[#This Row],[1]:[31]],Code28)</f>
        <v>0</v>
      </c>
      <c r="BE144" s="472">
        <f>COUNTIF(ParicipationMai1[[#This Row],[1]:[31]],code30)</f>
        <v>0</v>
      </c>
      <c r="BF144" s="472">
        <f>COUNTIF(ParicipationMai1[[#This Row],[1]:[31]],Code31)</f>
        <v>0</v>
      </c>
      <c r="BG144" s="472">
        <f>COUNTIF(ParicipationMai1[[#This Row],[1]:[31]],code21)</f>
        <v>0</v>
      </c>
      <c r="BH144" s="472">
        <f>COUNTIF(ParicipationMai1[[#This Row],[1]:[31]],Code24)</f>
        <v>0</v>
      </c>
      <c r="BI144" s="370">
        <f>COUNTIF(ParicipationMai1[[#This Row],[1]:[31]],code18)</f>
        <v>0</v>
      </c>
      <c r="BJ144" s="370">
        <f>COUNTIF(ParicipationMai1[[#This Row],[1]:[31]],code19)</f>
        <v>0</v>
      </c>
      <c r="BK144" s="370">
        <f>COUNTIF(ParicipationMai1[[#This Row],[1]:[31]],code20)</f>
        <v>0</v>
      </c>
      <c r="BL144" s="516">
        <f>COUNTIF(ParicipationMai1[[#This Row],[1]:[31]],code29)</f>
        <v>0</v>
      </c>
      <c r="BM144" s="297"/>
      <c r="BN144" s="297"/>
      <c r="BO144" s="297"/>
      <c r="BP144" s="297"/>
      <c r="BQ144" s="297"/>
      <c r="BR144" s="297"/>
      <c r="BS144" s="297"/>
      <c r="BT144" s="297"/>
      <c r="BU144" s="297"/>
      <c r="BV144" s="297"/>
      <c r="BW144" s="297"/>
      <c r="BX144" s="297"/>
      <c r="BY144" s="297"/>
      <c r="BZ144" s="297"/>
      <c r="CA144" s="297"/>
      <c r="CB144" s="297"/>
      <c r="CC144" s="297"/>
      <c r="CD144" s="297"/>
      <c r="CE144" s="297"/>
      <c r="CF144" s="297"/>
      <c r="CG144" s="297"/>
      <c r="CH144" s="297"/>
      <c r="CI144" s="297"/>
      <c r="CJ144" s="297"/>
      <c r="CK144" s="297"/>
      <c r="CL144" s="297"/>
      <c r="CM144" s="297"/>
      <c r="CN144" s="297"/>
      <c r="CO144" s="297"/>
      <c r="CP144" s="297"/>
      <c r="CQ144" s="297"/>
      <c r="CR144" s="297"/>
      <c r="CS144" s="297"/>
      <c r="CT144" s="472"/>
      <c r="CU144" s="300"/>
      <c r="CV144" s="593">
        <f t="shared" si="8"/>
        <v>0</v>
      </c>
      <c r="CW144" s="501">
        <f t="shared" si="9"/>
        <v>0</v>
      </c>
      <c r="CX144" s="472">
        <f t="shared" si="10"/>
        <v>0</v>
      </c>
      <c r="CY144" s="512">
        <f t="shared" si="11"/>
        <v>0</v>
      </c>
    </row>
    <row r="145" spans="1:103">
      <c r="A145" s="29" t="s">
        <v>590</v>
      </c>
      <c r="B145" s="162" t="str">
        <f>IFERROR(VLOOKUP(ParicipationMai1[[#This Row],[Référence]],ListeÉtudiants1[],18,FALSE),"")</f>
        <v>HAMEAU KEVIN</v>
      </c>
      <c r="AG145" s="286"/>
      <c r="AH145" s="138">
        <f>COUNTIF(ParicipationMai1[[1]:[31]],Code1)</f>
        <v>0</v>
      </c>
      <c r="AI145" s="474">
        <f>COUNTIF(ParicipationMai1[[1]:[31]],code22)</f>
        <v>0</v>
      </c>
      <c r="AJ145" s="138">
        <f>COUNTIF(ParicipationMai1[[#This Row],[1]:[31]],Code2)</f>
        <v>0</v>
      </c>
      <c r="AK145" s="138">
        <f>COUNTIF(ParicipationMai1[[#This Row],[1]:[31]],Code3)</f>
        <v>0</v>
      </c>
      <c r="AL145" s="138">
        <f>COUNTIF(ParicipationMai1[[#This Row],[1]:[31]],Code4)</f>
        <v>0</v>
      </c>
      <c r="AM145" s="472">
        <f>COUNTIF(ParicipationMai1[[#This Row],[1]:[31]],Code5)</f>
        <v>0</v>
      </c>
      <c r="AN145" s="472">
        <f>COUNTIF(ParicipationMai1[[#This Row],[1]:[31]],Code23)</f>
        <v>0</v>
      </c>
      <c r="AO145" s="472">
        <f>COUNTIF(ParicipationMai1[[#This Row],[1]:[31]],Code6)</f>
        <v>0</v>
      </c>
      <c r="AP145" s="472">
        <f>COUNTIF(ParicipationMai1[[#This Row],[1]:[31]],Code7)</f>
        <v>0</v>
      </c>
      <c r="AQ145" s="472">
        <f>COUNTIF(ParicipationMai1[[#This Row],[1]:[31]],Code8)</f>
        <v>0</v>
      </c>
      <c r="AR145" s="472">
        <f>COUNTIF(ParicipationMai1[[#This Row],[1]:[31]],Code9)</f>
        <v>0</v>
      </c>
      <c r="AS145" s="472">
        <f>COUNTIF(ParicipationMai1[[#This Row],[1]:[31]],Code10)</f>
        <v>0</v>
      </c>
      <c r="AT145" s="472">
        <f>COUNTIF(ParicipationMai1[[#This Row],[1]:[31]],Code11)</f>
        <v>0</v>
      </c>
      <c r="AU145" s="472">
        <f>COUNTIF(ParicipationMai1[[#This Row],[1]:[31]],Code12)</f>
        <v>0</v>
      </c>
      <c r="AV145" s="472">
        <f>COUNTIF(ParicipationMai1[[#This Row],[1]:[31]],Code13)</f>
        <v>0</v>
      </c>
      <c r="AW145" s="472">
        <f>COUNTIF(ParicipationMai1[[#This Row],[1]:[31]],Code14)</f>
        <v>0</v>
      </c>
      <c r="AX145" s="472">
        <f>COUNTIF(ParicipationMai1[[#This Row],[1]:[31]],Code15)</f>
        <v>0</v>
      </c>
      <c r="AY145" s="472">
        <f>COUNTIF(ParicipationMai1[[#This Row],[1]:[31]],Code16)</f>
        <v>0</v>
      </c>
      <c r="AZ145" s="472">
        <f>COUNTIF(ParicipationMai1[[#This Row],[1]:[31]],Code17)</f>
        <v>0</v>
      </c>
      <c r="BA145" s="472">
        <f>COUNTIF(ParicipationMai1[[#This Row],[1]:[31]],Code25)</f>
        <v>0</v>
      </c>
      <c r="BB145" s="472">
        <f>COUNTIF(ParicipationMai1[[#This Row],[1]:[31]],Code26)</f>
        <v>0</v>
      </c>
      <c r="BC145" s="472">
        <f>COUNTIF(ParicipationMai1[[#This Row],[1]:[31]],Code27)</f>
        <v>0</v>
      </c>
      <c r="BD145" s="472">
        <f>COUNTIF(ParicipationMai1[[#This Row],[1]:[31]],Code28)</f>
        <v>0</v>
      </c>
      <c r="BE145" s="472">
        <f>COUNTIF(ParicipationMai1[[#This Row],[1]:[31]],code30)</f>
        <v>0</v>
      </c>
      <c r="BF145" s="472">
        <f>COUNTIF(ParicipationMai1[[#This Row],[1]:[31]],Code31)</f>
        <v>0</v>
      </c>
      <c r="BG145" s="472">
        <f>COUNTIF(ParicipationMai1[[#This Row],[1]:[31]],code21)</f>
        <v>0</v>
      </c>
      <c r="BH145" s="472">
        <f>COUNTIF(ParicipationMai1[[#This Row],[1]:[31]],Code24)</f>
        <v>0</v>
      </c>
      <c r="BI145" s="370">
        <f>COUNTIF(ParicipationMai1[[#This Row],[1]:[31]],code18)</f>
        <v>0</v>
      </c>
      <c r="BJ145" s="370">
        <f>COUNTIF(ParicipationMai1[[#This Row],[1]:[31]],code19)</f>
        <v>0</v>
      </c>
      <c r="BK145" s="370">
        <f>COUNTIF(ParicipationMai1[[#This Row],[1]:[31]],code20)</f>
        <v>0</v>
      </c>
      <c r="BL145" s="516">
        <f>COUNTIF(ParicipationMai1[[#This Row],[1]:[31]],code29)</f>
        <v>0</v>
      </c>
      <c r="BM145" s="297"/>
      <c r="BN145" s="297"/>
      <c r="BO145" s="297"/>
      <c r="BP145" s="297"/>
      <c r="BQ145" s="297"/>
      <c r="BR145" s="297"/>
      <c r="BS145" s="297"/>
      <c r="BT145" s="297"/>
      <c r="BU145" s="297"/>
      <c r="BV145" s="297"/>
      <c r="BW145" s="297"/>
      <c r="BX145" s="297"/>
      <c r="BY145" s="297"/>
      <c r="BZ145" s="297"/>
      <c r="CA145" s="297"/>
      <c r="CB145" s="297"/>
      <c r="CC145" s="297"/>
      <c r="CD145" s="297"/>
      <c r="CE145" s="297"/>
      <c r="CF145" s="297"/>
      <c r="CG145" s="297"/>
      <c r="CH145" s="297"/>
      <c r="CI145" s="297"/>
      <c r="CJ145" s="297"/>
      <c r="CK145" s="297"/>
      <c r="CL145" s="297"/>
      <c r="CM145" s="297"/>
      <c r="CN145" s="297"/>
      <c r="CO145" s="297"/>
      <c r="CP145" s="297"/>
      <c r="CQ145" s="297"/>
      <c r="CR145" s="297"/>
      <c r="CS145" s="297"/>
      <c r="CT145" s="472"/>
      <c r="CU145" s="300"/>
      <c r="CV145" s="589">
        <f t="shared" si="8"/>
        <v>0</v>
      </c>
      <c r="CW145" s="501">
        <f t="shared" si="9"/>
        <v>0</v>
      </c>
      <c r="CX145" s="472">
        <f t="shared" si="10"/>
        <v>0</v>
      </c>
      <c r="CY145" s="512">
        <f t="shared" si="11"/>
        <v>0</v>
      </c>
    </row>
    <row r="146" spans="1:103">
      <c r="A146" s="29" t="s">
        <v>593</v>
      </c>
      <c r="B146" s="162" t="str">
        <f>IFERROR(VLOOKUP(ParicipationMai1[[#This Row],[Référence]],ListeÉtudiants1[],18,FALSE),"")</f>
        <v>KIOLO Carine Laure</v>
      </c>
      <c r="AG146" s="286"/>
      <c r="AH146" s="138">
        <f>COUNTIF(ParicipationMai1[[1]:[31]],Code1)</f>
        <v>0</v>
      </c>
      <c r="AI146" s="474">
        <f>COUNTIF(ParicipationMai1[[1]:[31]],code22)</f>
        <v>0</v>
      </c>
      <c r="AJ146" s="138">
        <f>COUNTIF(ParicipationMai1[[#This Row],[1]:[31]],Code2)</f>
        <v>0</v>
      </c>
      <c r="AK146" s="138">
        <f>COUNTIF(ParicipationMai1[[#This Row],[1]:[31]],Code3)</f>
        <v>0</v>
      </c>
      <c r="AL146" s="138">
        <f>COUNTIF(ParicipationMai1[[#This Row],[1]:[31]],Code4)</f>
        <v>0</v>
      </c>
      <c r="AM146" s="472">
        <f>COUNTIF(ParicipationMai1[[#This Row],[1]:[31]],Code5)</f>
        <v>0</v>
      </c>
      <c r="AN146" s="472">
        <f>COUNTIF(ParicipationMai1[[#This Row],[1]:[31]],Code23)</f>
        <v>0</v>
      </c>
      <c r="AO146" s="472">
        <f>COUNTIF(ParicipationMai1[[#This Row],[1]:[31]],Code6)</f>
        <v>0</v>
      </c>
      <c r="AP146" s="472">
        <f>COUNTIF(ParicipationMai1[[#This Row],[1]:[31]],Code7)</f>
        <v>0</v>
      </c>
      <c r="AQ146" s="472">
        <f>COUNTIF(ParicipationMai1[[#This Row],[1]:[31]],Code8)</f>
        <v>0</v>
      </c>
      <c r="AR146" s="472">
        <f>COUNTIF(ParicipationMai1[[#This Row],[1]:[31]],Code9)</f>
        <v>0</v>
      </c>
      <c r="AS146" s="472">
        <f>COUNTIF(ParicipationMai1[[#This Row],[1]:[31]],Code10)</f>
        <v>0</v>
      </c>
      <c r="AT146" s="472">
        <f>COUNTIF(ParicipationMai1[[#This Row],[1]:[31]],Code11)</f>
        <v>0</v>
      </c>
      <c r="AU146" s="472">
        <f>COUNTIF(ParicipationMai1[[#This Row],[1]:[31]],Code12)</f>
        <v>0</v>
      </c>
      <c r="AV146" s="472">
        <f>COUNTIF(ParicipationMai1[[#This Row],[1]:[31]],Code13)</f>
        <v>0</v>
      </c>
      <c r="AW146" s="472">
        <f>COUNTIF(ParicipationMai1[[#This Row],[1]:[31]],Code14)</f>
        <v>0</v>
      </c>
      <c r="AX146" s="472">
        <f>COUNTIF(ParicipationMai1[[#This Row],[1]:[31]],Code15)</f>
        <v>0</v>
      </c>
      <c r="AY146" s="472">
        <f>COUNTIF(ParicipationMai1[[#This Row],[1]:[31]],Code16)</f>
        <v>0</v>
      </c>
      <c r="AZ146" s="472">
        <f>COUNTIF(ParicipationMai1[[#This Row],[1]:[31]],Code17)</f>
        <v>0</v>
      </c>
      <c r="BA146" s="472">
        <f>COUNTIF(ParicipationMai1[[#This Row],[1]:[31]],Code25)</f>
        <v>0</v>
      </c>
      <c r="BB146" s="472">
        <f>COUNTIF(ParicipationMai1[[#This Row],[1]:[31]],Code26)</f>
        <v>0</v>
      </c>
      <c r="BC146" s="472">
        <f>COUNTIF(ParicipationMai1[[#This Row],[1]:[31]],Code27)</f>
        <v>0</v>
      </c>
      <c r="BD146" s="472">
        <f>COUNTIF(ParicipationMai1[[#This Row],[1]:[31]],Code28)</f>
        <v>0</v>
      </c>
      <c r="BE146" s="472">
        <f>COUNTIF(ParicipationMai1[[#This Row],[1]:[31]],code30)</f>
        <v>0</v>
      </c>
      <c r="BF146" s="472">
        <f>COUNTIF(ParicipationMai1[[#This Row],[1]:[31]],Code31)</f>
        <v>0</v>
      </c>
      <c r="BG146" s="472">
        <f>COUNTIF(ParicipationMai1[[#This Row],[1]:[31]],code21)</f>
        <v>0</v>
      </c>
      <c r="BH146" s="472">
        <f>COUNTIF(ParicipationMai1[[#This Row],[1]:[31]],Code24)</f>
        <v>0</v>
      </c>
      <c r="BI146" s="370">
        <f>COUNTIF(ParicipationMai1[[#This Row],[1]:[31]],code18)</f>
        <v>0</v>
      </c>
      <c r="BJ146" s="370">
        <f>COUNTIF(ParicipationMai1[[#This Row],[1]:[31]],code19)</f>
        <v>0</v>
      </c>
      <c r="BK146" s="370">
        <f>COUNTIF(ParicipationMai1[[#This Row],[1]:[31]],code20)</f>
        <v>0</v>
      </c>
      <c r="BL146" s="516">
        <f>COUNTIF(ParicipationMai1[[#This Row],[1]:[31]],code29)</f>
        <v>0</v>
      </c>
      <c r="BM146" s="297"/>
      <c r="BN146" s="297"/>
      <c r="BO146" s="297"/>
      <c r="BP146" s="297"/>
      <c r="BQ146" s="297"/>
      <c r="BR146" s="297"/>
      <c r="BS146" s="297"/>
      <c r="BT146" s="297"/>
      <c r="BU146" s="297"/>
      <c r="BV146" s="297"/>
      <c r="BW146" s="297"/>
      <c r="BX146" s="297"/>
      <c r="BY146" s="297"/>
      <c r="BZ146" s="297"/>
      <c r="CA146" s="297"/>
      <c r="CB146" s="297"/>
      <c r="CC146" s="297"/>
      <c r="CD146" s="297"/>
      <c r="CE146" s="297"/>
      <c r="CF146" s="297"/>
      <c r="CG146" s="297"/>
      <c r="CH146" s="297"/>
      <c r="CI146" s="297"/>
      <c r="CJ146" s="297"/>
      <c r="CK146" s="297"/>
      <c r="CL146" s="297"/>
      <c r="CM146" s="297"/>
      <c r="CN146" s="297"/>
      <c r="CO146" s="297"/>
      <c r="CP146" s="297"/>
      <c r="CQ146" s="297"/>
      <c r="CR146" s="297"/>
      <c r="CS146" s="297"/>
      <c r="CT146" s="472"/>
      <c r="CU146" s="300"/>
      <c r="CV146" s="589">
        <f t="shared" si="8"/>
        <v>0</v>
      </c>
      <c r="CW146" s="501">
        <f t="shared" si="9"/>
        <v>0</v>
      </c>
      <c r="CX146" s="472">
        <f t="shared" si="10"/>
        <v>0</v>
      </c>
      <c r="CY146" s="512">
        <f t="shared" si="11"/>
        <v>0</v>
      </c>
    </row>
    <row r="147" spans="1:103">
      <c r="A147" s="29" t="s">
        <v>596</v>
      </c>
      <c r="B147" s="162" t="str">
        <f>IFERROR(VLOOKUP(ParicipationMai1[[#This Row],[Référence]],ListeÉtudiants1[],18,FALSE),"")</f>
        <v>LESUEUR GERALDINE</v>
      </c>
      <c r="AG147" s="286"/>
      <c r="AH147" s="138">
        <f>COUNTIF(ParicipationMai1[[1]:[31]],Code1)</f>
        <v>0</v>
      </c>
      <c r="AI147" s="474">
        <f>COUNTIF(ParicipationMai1[[1]:[31]],code22)</f>
        <v>0</v>
      </c>
      <c r="AJ147" s="138">
        <f>COUNTIF(ParicipationMai1[[#This Row],[1]:[31]],Code2)</f>
        <v>0</v>
      </c>
      <c r="AK147" s="138">
        <f>COUNTIF(ParicipationMai1[[#This Row],[1]:[31]],Code3)</f>
        <v>0</v>
      </c>
      <c r="AL147" s="138">
        <f>COUNTIF(ParicipationMai1[[#This Row],[1]:[31]],Code4)</f>
        <v>0</v>
      </c>
      <c r="AM147" s="472">
        <f>COUNTIF(ParicipationMai1[[#This Row],[1]:[31]],Code5)</f>
        <v>0</v>
      </c>
      <c r="AN147" s="472">
        <f>COUNTIF(ParicipationMai1[[#This Row],[1]:[31]],Code23)</f>
        <v>0</v>
      </c>
      <c r="AO147" s="472">
        <f>COUNTIF(ParicipationMai1[[#This Row],[1]:[31]],Code6)</f>
        <v>0</v>
      </c>
      <c r="AP147" s="472">
        <f>COUNTIF(ParicipationMai1[[#This Row],[1]:[31]],Code7)</f>
        <v>0</v>
      </c>
      <c r="AQ147" s="472">
        <f>COUNTIF(ParicipationMai1[[#This Row],[1]:[31]],Code8)</f>
        <v>0</v>
      </c>
      <c r="AR147" s="472">
        <f>COUNTIF(ParicipationMai1[[#This Row],[1]:[31]],Code9)</f>
        <v>0</v>
      </c>
      <c r="AS147" s="472">
        <f>COUNTIF(ParicipationMai1[[#This Row],[1]:[31]],Code10)</f>
        <v>0</v>
      </c>
      <c r="AT147" s="472">
        <f>COUNTIF(ParicipationMai1[[#This Row],[1]:[31]],Code11)</f>
        <v>0</v>
      </c>
      <c r="AU147" s="472">
        <f>COUNTIF(ParicipationMai1[[#This Row],[1]:[31]],Code12)</f>
        <v>0</v>
      </c>
      <c r="AV147" s="472">
        <f>COUNTIF(ParicipationMai1[[#This Row],[1]:[31]],Code13)</f>
        <v>0</v>
      </c>
      <c r="AW147" s="472">
        <f>COUNTIF(ParicipationMai1[[#This Row],[1]:[31]],Code14)</f>
        <v>0</v>
      </c>
      <c r="AX147" s="472">
        <f>COUNTIF(ParicipationMai1[[#This Row],[1]:[31]],Code15)</f>
        <v>0</v>
      </c>
      <c r="AY147" s="472">
        <f>COUNTIF(ParicipationMai1[[#This Row],[1]:[31]],Code16)</f>
        <v>0</v>
      </c>
      <c r="AZ147" s="472">
        <f>COUNTIF(ParicipationMai1[[#This Row],[1]:[31]],Code17)</f>
        <v>0</v>
      </c>
      <c r="BA147" s="472">
        <f>COUNTIF(ParicipationMai1[[#This Row],[1]:[31]],Code25)</f>
        <v>0</v>
      </c>
      <c r="BB147" s="472">
        <f>COUNTIF(ParicipationMai1[[#This Row],[1]:[31]],Code26)</f>
        <v>0</v>
      </c>
      <c r="BC147" s="472">
        <f>COUNTIF(ParicipationMai1[[#This Row],[1]:[31]],Code27)</f>
        <v>0</v>
      </c>
      <c r="BD147" s="472">
        <f>COUNTIF(ParicipationMai1[[#This Row],[1]:[31]],Code28)</f>
        <v>0</v>
      </c>
      <c r="BE147" s="472">
        <f>COUNTIF(ParicipationMai1[[#This Row],[1]:[31]],code30)</f>
        <v>0</v>
      </c>
      <c r="BF147" s="472">
        <f>COUNTIF(ParicipationMai1[[#This Row],[1]:[31]],Code31)</f>
        <v>0</v>
      </c>
      <c r="BG147" s="472">
        <f>COUNTIF(ParicipationMai1[[#This Row],[1]:[31]],code21)</f>
        <v>0</v>
      </c>
      <c r="BH147" s="472">
        <f>COUNTIF(ParicipationMai1[[#This Row],[1]:[31]],Code24)</f>
        <v>0</v>
      </c>
      <c r="BI147" s="370">
        <f>COUNTIF(ParicipationMai1[[#This Row],[1]:[31]],code18)</f>
        <v>0</v>
      </c>
      <c r="BJ147" s="370">
        <f>COUNTIF(ParicipationMai1[[#This Row],[1]:[31]],code19)</f>
        <v>0</v>
      </c>
      <c r="BK147" s="370">
        <f>COUNTIF(ParicipationMai1[[#This Row],[1]:[31]],code20)</f>
        <v>0</v>
      </c>
      <c r="BL147" s="516">
        <f>COUNTIF(ParicipationMai1[[#This Row],[1]:[31]],code29)</f>
        <v>0</v>
      </c>
      <c r="BM147" s="297"/>
      <c r="BN147" s="297"/>
      <c r="BO147" s="297"/>
      <c r="BP147" s="297"/>
      <c r="BQ147" s="297"/>
      <c r="BR147" s="297"/>
      <c r="BS147" s="297"/>
      <c r="BT147" s="297"/>
      <c r="BU147" s="297"/>
      <c r="BV147" s="297"/>
      <c r="BW147" s="297"/>
      <c r="BX147" s="297"/>
      <c r="BY147" s="297"/>
      <c r="BZ147" s="297"/>
      <c r="CA147" s="297"/>
      <c r="CB147" s="297"/>
      <c r="CC147" s="297"/>
      <c r="CD147" s="297"/>
      <c r="CE147" s="297"/>
      <c r="CF147" s="297"/>
      <c r="CG147" s="297"/>
      <c r="CH147" s="297"/>
      <c r="CI147" s="297"/>
      <c r="CJ147" s="297"/>
      <c r="CK147" s="297"/>
      <c r="CL147" s="297"/>
      <c r="CM147" s="297"/>
      <c r="CN147" s="297"/>
      <c r="CO147" s="297"/>
      <c r="CP147" s="297"/>
      <c r="CQ147" s="297"/>
      <c r="CR147" s="297"/>
      <c r="CS147" s="297"/>
      <c r="CT147" s="472"/>
      <c r="CU147" s="300"/>
      <c r="CV147" s="589">
        <f t="shared" si="8"/>
        <v>0</v>
      </c>
      <c r="CW147" s="501">
        <f t="shared" si="9"/>
        <v>0</v>
      </c>
      <c r="CX147" s="472">
        <f t="shared" si="10"/>
        <v>0</v>
      </c>
      <c r="CY147" s="512">
        <f t="shared" si="11"/>
        <v>0</v>
      </c>
    </row>
    <row r="148" spans="1:103">
      <c r="A148" s="29" t="s">
        <v>599</v>
      </c>
      <c r="B148" s="339" t="str">
        <f>IFERROR(VLOOKUP(ParicipationMai1[[#This Row],[Référence]],ListeÉtudiants1[],18,FALSE),"")</f>
        <v>LOVE SAMUEL</v>
      </c>
      <c r="AG148" s="286"/>
      <c r="AH148" s="138">
        <f>COUNTIF(ParicipationMai1[[1]:[31]],Code1)</f>
        <v>0</v>
      </c>
      <c r="AI148" s="474">
        <f>COUNTIF(ParicipationMai1[[1]:[31]],code22)</f>
        <v>0</v>
      </c>
      <c r="AJ148" s="138">
        <f>COUNTIF(ParicipationMai1[[#This Row],[1]:[31]],Code2)</f>
        <v>0</v>
      </c>
      <c r="AK148" s="138">
        <f>COUNTIF(ParicipationMai1[[#This Row],[1]:[31]],Code3)</f>
        <v>0</v>
      </c>
      <c r="AL148" s="138">
        <f>COUNTIF(ParicipationMai1[[#This Row],[1]:[31]],Code4)</f>
        <v>0</v>
      </c>
      <c r="AM148" s="472">
        <f>COUNTIF(ParicipationMai1[[#This Row],[1]:[31]],Code5)</f>
        <v>0</v>
      </c>
      <c r="AN148" s="472">
        <f>COUNTIF(ParicipationMai1[[#This Row],[1]:[31]],Code23)</f>
        <v>0</v>
      </c>
      <c r="AO148" s="472">
        <f>COUNTIF(ParicipationMai1[[#This Row],[1]:[31]],Code6)</f>
        <v>0</v>
      </c>
      <c r="AP148" s="472">
        <f>COUNTIF(ParicipationMai1[[#This Row],[1]:[31]],Code7)</f>
        <v>0</v>
      </c>
      <c r="AQ148" s="472">
        <f>COUNTIF(ParicipationMai1[[#This Row],[1]:[31]],Code8)</f>
        <v>0</v>
      </c>
      <c r="AR148" s="472">
        <f>COUNTIF(ParicipationMai1[[#This Row],[1]:[31]],Code9)</f>
        <v>0</v>
      </c>
      <c r="AS148" s="472">
        <f>COUNTIF(ParicipationMai1[[#This Row],[1]:[31]],Code10)</f>
        <v>0</v>
      </c>
      <c r="AT148" s="472">
        <f>COUNTIF(ParicipationMai1[[#This Row],[1]:[31]],Code11)</f>
        <v>0</v>
      </c>
      <c r="AU148" s="472">
        <f>COUNTIF(ParicipationMai1[[#This Row],[1]:[31]],Code12)</f>
        <v>0</v>
      </c>
      <c r="AV148" s="472">
        <f>COUNTIF(ParicipationMai1[[#This Row],[1]:[31]],Code13)</f>
        <v>0</v>
      </c>
      <c r="AW148" s="472">
        <f>COUNTIF(ParicipationMai1[[#This Row],[1]:[31]],Code14)</f>
        <v>0</v>
      </c>
      <c r="AX148" s="472">
        <f>COUNTIF(ParicipationMai1[[#This Row],[1]:[31]],Code15)</f>
        <v>0</v>
      </c>
      <c r="AY148" s="472">
        <f>COUNTIF(ParicipationMai1[[#This Row],[1]:[31]],Code16)</f>
        <v>0</v>
      </c>
      <c r="AZ148" s="472">
        <f>COUNTIF(ParicipationMai1[[#This Row],[1]:[31]],Code17)</f>
        <v>0</v>
      </c>
      <c r="BA148" s="472">
        <f>COUNTIF(ParicipationMai1[[#This Row],[1]:[31]],Code25)</f>
        <v>0</v>
      </c>
      <c r="BB148" s="472">
        <f>COUNTIF(ParicipationMai1[[#This Row],[1]:[31]],Code26)</f>
        <v>0</v>
      </c>
      <c r="BC148" s="472">
        <f>COUNTIF(ParicipationMai1[[#This Row],[1]:[31]],Code27)</f>
        <v>0</v>
      </c>
      <c r="BD148" s="472">
        <f>COUNTIF(ParicipationMai1[[#This Row],[1]:[31]],Code28)</f>
        <v>0</v>
      </c>
      <c r="BE148" s="472">
        <f>COUNTIF(ParicipationMai1[[#This Row],[1]:[31]],code30)</f>
        <v>0</v>
      </c>
      <c r="BF148" s="472">
        <f>COUNTIF(ParicipationMai1[[#This Row],[1]:[31]],Code31)</f>
        <v>0</v>
      </c>
      <c r="BG148" s="472">
        <f>COUNTIF(ParicipationMai1[[#This Row],[1]:[31]],code21)</f>
        <v>0</v>
      </c>
      <c r="BH148" s="472">
        <f>COUNTIF(ParicipationMai1[[#This Row],[1]:[31]],Code24)</f>
        <v>0</v>
      </c>
      <c r="BI148" s="370">
        <f>COUNTIF(ParicipationMai1[[#This Row],[1]:[31]],code18)</f>
        <v>0</v>
      </c>
      <c r="BJ148" s="370">
        <f>COUNTIF(ParicipationMai1[[#This Row],[1]:[31]],code19)</f>
        <v>0</v>
      </c>
      <c r="BK148" s="370">
        <f>COUNTIF(ParicipationMai1[[#This Row],[1]:[31]],code20)</f>
        <v>0</v>
      </c>
      <c r="BL148" s="516">
        <f>COUNTIF(ParicipationMai1[[#This Row],[1]:[31]],code29)</f>
        <v>0</v>
      </c>
      <c r="CT148" s="472"/>
      <c r="CU148" s="152"/>
      <c r="CV148" s="589">
        <f t="shared" si="8"/>
        <v>0</v>
      </c>
      <c r="CW148" s="501">
        <f t="shared" si="9"/>
        <v>0</v>
      </c>
      <c r="CX148" s="472">
        <f t="shared" si="10"/>
        <v>0</v>
      </c>
      <c r="CY148" s="512">
        <f t="shared" si="11"/>
        <v>0</v>
      </c>
    </row>
    <row r="149" spans="1:103">
      <c r="A149" s="29" t="s">
        <v>602</v>
      </c>
      <c r="B149" s="514" t="str">
        <f>IFERROR(VLOOKUP(ParicipationMai1[[#This Row],[Référence]],ListeÉtudiants1[],18,FALSE),"")</f>
        <v>LOVELY JOSELITA</v>
      </c>
      <c r="C149" s="471"/>
      <c r="D149" s="471"/>
      <c r="E149" s="471"/>
      <c r="F149" s="471"/>
      <c r="G149" s="471"/>
      <c r="H149" s="471"/>
      <c r="I149" s="471"/>
      <c r="J149" s="471"/>
      <c r="K149" s="471"/>
      <c r="L149" s="471"/>
      <c r="M149" s="471"/>
      <c r="N149" s="471"/>
      <c r="O149" s="471"/>
      <c r="P149" s="471"/>
      <c r="Q149" s="471"/>
      <c r="R149" s="471"/>
      <c r="S149" s="471"/>
      <c r="T149" s="471"/>
      <c r="U149" s="471"/>
      <c r="V149" s="471"/>
      <c r="W149" s="471"/>
      <c r="X149" s="471"/>
      <c r="Y149" s="471"/>
      <c r="Z149" s="471"/>
      <c r="AA149" s="471"/>
      <c r="AB149" s="471"/>
      <c r="AC149" s="471"/>
      <c r="AD149" s="471"/>
      <c r="AE149" s="471"/>
      <c r="AF149" s="471"/>
      <c r="AG149" s="515"/>
      <c r="AH149" s="471">
        <f>COUNTIF(ParicipationMai1[[1]:[31]],Code1)</f>
        <v>0</v>
      </c>
      <c r="AI149" s="475">
        <f>COUNTIF(ParicipationMai1[[1]:[31]],code22)</f>
        <v>0</v>
      </c>
      <c r="AJ149" s="471">
        <f>COUNTIF(ParicipationMai1[[#This Row],[1]:[31]],Code2)</f>
        <v>0</v>
      </c>
      <c r="AK149" s="471">
        <f>COUNTIF(ParicipationMai1[[#This Row],[1]:[31]],Code3)</f>
        <v>0</v>
      </c>
      <c r="AL149" s="471">
        <f>COUNTIF(ParicipationMai1[[#This Row],[1]:[31]],Code4)</f>
        <v>0</v>
      </c>
      <c r="AM149" s="473">
        <f>COUNTIF(ParicipationMai1[[#This Row],[1]:[31]],Code5)</f>
        <v>0</v>
      </c>
      <c r="AN149" s="473">
        <f>COUNTIF(ParicipationMai1[[#This Row],[1]:[31]],Code23)</f>
        <v>0</v>
      </c>
      <c r="AO149" s="473">
        <f>COUNTIF(ParicipationMai1[[#This Row],[1]:[31]],Code6)</f>
        <v>0</v>
      </c>
      <c r="AP149" s="473">
        <f>COUNTIF(ParicipationMai1[[#This Row],[1]:[31]],Code7)</f>
        <v>0</v>
      </c>
      <c r="AQ149" s="473">
        <f>COUNTIF(ParicipationMai1[[#This Row],[1]:[31]],Code8)</f>
        <v>0</v>
      </c>
      <c r="AR149" s="473">
        <f>COUNTIF(ParicipationMai1[[#This Row],[1]:[31]],Code9)</f>
        <v>0</v>
      </c>
      <c r="AS149" s="473">
        <f>COUNTIF(ParicipationMai1[[#This Row],[1]:[31]],Code10)</f>
        <v>0</v>
      </c>
      <c r="AT149" s="473">
        <f>COUNTIF(ParicipationMai1[[#This Row],[1]:[31]],Code11)</f>
        <v>0</v>
      </c>
      <c r="AU149" s="473">
        <f>COUNTIF(ParicipationMai1[[#This Row],[1]:[31]],Code12)</f>
        <v>0</v>
      </c>
      <c r="AV149" s="473">
        <f>COUNTIF(ParicipationMai1[[#This Row],[1]:[31]],Code13)</f>
        <v>0</v>
      </c>
      <c r="AW149" s="473">
        <f>COUNTIF(ParicipationMai1[[#This Row],[1]:[31]],Code14)</f>
        <v>0</v>
      </c>
      <c r="AX149" s="473">
        <f>COUNTIF(ParicipationMai1[[#This Row],[1]:[31]],Code15)</f>
        <v>0</v>
      </c>
      <c r="AY149" s="473">
        <f>COUNTIF(ParicipationMai1[[#This Row],[1]:[31]],Code16)</f>
        <v>0</v>
      </c>
      <c r="AZ149" s="473">
        <f>COUNTIF(ParicipationMai1[[#This Row],[1]:[31]],Code17)</f>
        <v>0</v>
      </c>
      <c r="BA149" s="473">
        <f>COUNTIF(ParicipationMai1[[#This Row],[1]:[31]],Code25)</f>
        <v>0</v>
      </c>
      <c r="BB149" s="473">
        <f>COUNTIF(ParicipationMai1[[#This Row],[1]:[31]],Code26)</f>
        <v>0</v>
      </c>
      <c r="BC149" s="473">
        <f>COUNTIF(ParicipationMai1[[#This Row],[1]:[31]],Code27)</f>
        <v>0</v>
      </c>
      <c r="BD149" s="473">
        <f>COUNTIF(ParicipationMai1[[#This Row],[1]:[31]],Code28)</f>
        <v>0</v>
      </c>
      <c r="BE149" s="473">
        <f>COUNTIF(ParicipationMai1[[#This Row],[1]:[31]],code30)</f>
        <v>0</v>
      </c>
      <c r="BF149" s="473">
        <f>COUNTIF(ParicipationMai1[[#This Row],[1]:[31]],Code31)</f>
        <v>0</v>
      </c>
      <c r="BG149" s="473">
        <f>COUNTIF(ParicipationMai1[[#This Row],[1]:[31]],code21)</f>
        <v>0</v>
      </c>
      <c r="BH149" s="473">
        <f>COUNTIF(ParicipationMai1[[#This Row],[1]:[31]],Code24)</f>
        <v>0</v>
      </c>
      <c r="BI149" s="471">
        <f>COUNTIF(ParicipationMai1[[#This Row],[1]:[31]],code18)</f>
        <v>0</v>
      </c>
      <c r="BJ149" s="471">
        <f>COUNTIF(ParicipationMai1[[#This Row],[1]:[31]],code19)</f>
        <v>0</v>
      </c>
      <c r="BK149" s="471">
        <f>COUNTIF(ParicipationMai1[[#This Row],[1]:[31]],code20)</f>
        <v>0</v>
      </c>
      <c r="BL149" s="516">
        <f>COUNTIF(ParicipationMai1[[#This Row],[1]:[31]],code29)</f>
        <v>0</v>
      </c>
      <c r="BM149" s="473"/>
      <c r="BN149" s="473"/>
      <c r="BO149" s="473"/>
      <c r="BP149" s="473"/>
      <c r="BQ149" s="473"/>
      <c r="BR149" s="473"/>
      <c r="BS149" s="473"/>
      <c r="BT149" s="473"/>
      <c r="BU149" s="473"/>
      <c r="BV149" s="473"/>
      <c r="BW149" s="473"/>
      <c r="BX149" s="473"/>
      <c r="BY149" s="473"/>
      <c r="BZ149" s="473"/>
      <c r="CA149" s="473"/>
      <c r="CB149" s="473"/>
      <c r="CC149" s="473"/>
      <c r="CD149" s="473"/>
      <c r="CE149" s="473"/>
      <c r="CF149" s="473"/>
      <c r="CG149" s="473"/>
      <c r="CH149" s="473"/>
      <c r="CI149" s="473"/>
      <c r="CJ149" s="473"/>
      <c r="CK149" s="473"/>
      <c r="CL149" s="473"/>
      <c r="CM149" s="473"/>
      <c r="CN149" s="473"/>
      <c r="CO149" s="473"/>
      <c r="CP149" s="473"/>
      <c r="CQ149" s="473"/>
      <c r="CR149" s="473"/>
      <c r="CS149" s="473"/>
      <c r="CT149" s="473"/>
      <c r="CU149" s="516"/>
      <c r="CV149" s="589">
        <f t="shared" si="8"/>
        <v>0</v>
      </c>
      <c r="CW149" s="501">
        <f t="shared" si="9"/>
        <v>0</v>
      </c>
      <c r="CX149" s="473">
        <f t="shared" si="10"/>
        <v>0</v>
      </c>
      <c r="CY149" s="512">
        <f t="shared" si="11"/>
        <v>0</v>
      </c>
    </row>
    <row r="150" spans="1:103">
      <c r="A150" s="29" t="s">
        <v>606</v>
      </c>
      <c r="B150" s="514" t="str">
        <f>IFERROR(VLOOKUP(ParicipationMai1[[#This Row],[Référence]],ListeÉtudiants1[],18,FALSE),"")</f>
        <v>MALULU INGRID</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515"/>
      <c r="AH150" s="471">
        <f>COUNTIF(ParicipationMai1[[1]:[31]],Code1)</f>
        <v>0</v>
      </c>
      <c r="AI150" s="475">
        <f>COUNTIF(ParicipationMai1[[1]:[31]],code22)</f>
        <v>0</v>
      </c>
      <c r="AJ150" s="471">
        <f>COUNTIF(ParicipationMai1[[#This Row],[1]:[31]],Code2)</f>
        <v>0</v>
      </c>
      <c r="AK150" s="471">
        <f>COUNTIF(ParicipationMai1[[#This Row],[1]:[31]],Code3)</f>
        <v>0</v>
      </c>
      <c r="AL150" s="471">
        <f>COUNTIF(ParicipationMai1[[#This Row],[1]:[31]],Code4)</f>
        <v>0</v>
      </c>
      <c r="AM150" s="473">
        <f>COUNTIF(ParicipationMai1[[#This Row],[1]:[31]],Code5)</f>
        <v>0</v>
      </c>
      <c r="AN150" s="473">
        <f>COUNTIF(ParicipationMai1[[#This Row],[1]:[31]],Code23)</f>
        <v>0</v>
      </c>
      <c r="AO150" s="473">
        <f>COUNTIF(ParicipationMai1[[#This Row],[1]:[31]],Code6)</f>
        <v>0</v>
      </c>
      <c r="AP150" s="473">
        <f>COUNTIF(ParicipationMai1[[#This Row],[1]:[31]],Code7)</f>
        <v>0</v>
      </c>
      <c r="AQ150" s="473">
        <f>COUNTIF(ParicipationMai1[[#This Row],[1]:[31]],Code8)</f>
        <v>0</v>
      </c>
      <c r="AR150" s="473">
        <f>COUNTIF(ParicipationMai1[[#This Row],[1]:[31]],Code9)</f>
        <v>0</v>
      </c>
      <c r="AS150" s="473">
        <f>COUNTIF(ParicipationMai1[[#This Row],[1]:[31]],Code10)</f>
        <v>0</v>
      </c>
      <c r="AT150" s="473">
        <f>COUNTIF(ParicipationMai1[[#This Row],[1]:[31]],Code11)</f>
        <v>0</v>
      </c>
      <c r="AU150" s="473">
        <f>COUNTIF(ParicipationMai1[[#This Row],[1]:[31]],Code12)</f>
        <v>0</v>
      </c>
      <c r="AV150" s="473">
        <f>COUNTIF(ParicipationMai1[[#This Row],[1]:[31]],Code13)</f>
        <v>0</v>
      </c>
      <c r="AW150" s="473">
        <f>COUNTIF(ParicipationMai1[[#This Row],[1]:[31]],Code14)</f>
        <v>0</v>
      </c>
      <c r="AX150" s="473">
        <f>COUNTIF(ParicipationMai1[[#This Row],[1]:[31]],Code15)</f>
        <v>0</v>
      </c>
      <c r="AY150" s="473">
        <f>COUNTIF(ParicipationMai1[[#This Row],[1]:[31]],Code16)</f>
        <v>0</v>
      </c>
      <c r="AZ150" s="473">
        <f>COUNTIF(ParicipationMai1[[#This Row],[1]:[31]],Code17)</f>
        <v>0</v>
      </c>
      <c r="BA150" s="473">
        <f>COUNTIF(ParicipationMai1[[#This Row],[1]:[31]],Code25)</f>
        <v>0</v>
      </c>
      <c r="BB150" s="473">
        <f>COUNTIF(ParicipationMai1[[#This Row],[1]:[31]],Code26)</f>
        <v>0</v>
      </c>
      <c r="BC150" s="473">
        <f>COUNTIF(ParicipationMai1[[#This Row],[1]:[31]],Code27)</f>
        <v>0</v>
      </c>
      <c r="BD150" s="473">
        <f>COUNTIF(ParicipationMai1[[#This Row],[1]:[31]],Code28)</f>
        <v>0</v>
      </c>
      <c r="BE150" s="473">
        <f>COUNTIF(ParicipationMai1[[#This Row],[1]:[31]],code30)</f>
        <v>0</v>
      </c>
      <c r="BF150" s="473">
        <f>COUNTIF(ParicipationMai1[[#This Row],[1]:[31]],Code31)</f>
        <v>0</v>
      </c>
      <c r="BG150" s="473">
        <f>COUNTIF(ParicipationMai1[[#This Row],[1]:[31]],code21)</f>
        <v>0</v>
      </c>
      <c r="BH150" s="473">
        <f>COUNTIF(ParicipationMai1[[#This Row],[1]:[31]],Code24)</f>
        <v>0</v>
      </c>
      <c r="BI150" s="471">
        <f>COUNTIF(ParicipationMai1[[#This Row],[1]:[31]],code18)</f>
        <v>0</v>
      </c>
      <c r="BJ150" s="471">
        <f>COUNTIF(ParicipationMai1[[#This Row],[1]:[31]],code19)</f>
        <v>0</v>
      </c>
      <c r="BK150" s="471">
        <f>COUNTIF(ParicipationMai1[[#This Row],[1]:[31]],code20)</f>
        <v>0</v>
      </c>
      <c r="BL150" s="516">
        <f>COUNTIF(ParicipationMai1[[#This Row],[1]:[31]],code29)</f>
        <v>0</v>
      </c>
      <c r="BM150" s="473"/>
      <c r="BN150" s="473"/>
      <c r="BO150" s="473"/>
      <c r="BP150" s="473"/>
      <c r="BQ150" s="473"/>
      <c r="BR150" s="473"/>
      <c r="BS150" s="473"/>
      <c r="BT150" s="473"/>
      <c r="BU150" s="473"/>
      <c r="BV150" s="473"/>
      <c r="BW150" s="473"/>
      <c r="BX150" s="473"/>
      <c r="BY150" s="473"/>
      <c r="BZ150" s="473"/>
      <c r="CA150" s="473"/>
      <c r="CB150" s="473"/>
      <c r="CC150" s="473"/>
      <c r="CD150" s="473"/>
      <c r="CE150" s="473"/>
      <c r="CF150" s="473"/>
      <c r="CG150" s="473"/>
      <c r="CH150" s="473"/>
      <c r="CI150" s="473"/>
      <c r="CJ150" s="473"/>
      <c r="CK150" s="473"/>
      <c r="CL150" s="473"/>
      <c r="CM150" s="473"/>
      <c r="CN150" s="473"/>
      <c r="CO150" s="473"/>
      <c r="CP150" s="473"/>
      <c r="CQ150" s="473"/>
      <c r="CR150" s="473"/>
      <c r="CS150" s="473"/>
      <c r="CT150" s="473"/>
      <c r="CU150" s="516"/>
      <c r="CV150" s="589">
        <f t="shared" si="8"/>
        <v>0</v>
      </c>
      <c r="CW150" s="501">
        <f t="shared" si="9"/>
        <v>0</v>
      </c>
      <c r="CX150" s="473">
        <f t="shared" si="10"/>
        <v>0</v>
      </c>
      <c r="CY150" s="512">
        <f t="shared" si="11"/>
        <v>0</v>
      </c>
    </row>
    <row r="151" spans="1:103">
      <c r="A151" s="29" t="s">
        <v>608</v>
      </c>
      <c r="B151" s="514" t="str">
        <f>IFERROR(VLOOKUP(ParicipationMai1[[#This Row],[Référence]],ListeÉtudiants1[],18,FALSE),"")</f>
        <v>NGOME BEKOMBO CASIMIR</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515"/>
      <c r="AH151" s="471">
        <f>COUNTIF(ParicipationMai1[[1]:[31]],Code1)</f>
        <v>0</v>
      </c>
      <c r="AI151" s="475">
        <f>COUNTIF(ParicipationMai1[[1]:[31]],code22)</f>
        <v>0</v>
      </c>
      <c r="AJ151" s="471">
        <f>COUNTIF(ParicipationMai1[[#This Row],[1]:[31]],Code2)</f>
        <v>0</v>
      </c>
      <c r="AK151" s="471">
        <f>COUNTIF(ParicipationMai1[[#This Row],[1]:[31]],Code3)</f>
        <v>0</v>
      </c>
      <c r="AL151" s="471">
        <f>COUNTIF(ParicipationMai1[[#This Row],[1]:[31]],Code4)</f>
        <v>0</v>
      </c>
      <c r="AM151" s="473">
        <f>COUNTIF(ParicipationMai1[[#This Row],[1]:[31]],Code5)</f>
        <v>0</v>
      </c>
      <c r="AN151" s="473">
        <f>COUNTIF(ParicipationMai1[[#This Row],[1]:[31]],Code23)</f>
        <v>0</v>
      </c>
      <c r="AO151" s="473">
        <f>COUNTIF(ParicipationMai1[[#This Row],[1]:[31]],Code6)</f>
        <v>0</v>
      </c>
      <c r="AP151" s="473">
        <f>COUNTIF(ParicipationMai1[[#This Row],[1]:[31]],Code7)</f>
        <v>0</v>
      </c>
      <c r="AQ151" s="473">
        <f>COUNTIF(ParicipationMai1[[#This Row],[1]:[31]],Code8)</f>
        <v>0</v>
      </c>
      <c r="AR151" s="473">
        <f>COUNTIF(ParicipationMai1[[#This Row],[1]:[31]],Code9)</f>
        <v>0</v>
      </c>
      <c r="AS151" s="473">
        <f>COUNTIF(ParicipationMai1[[#This Row],[1]:[31]],Code10)</f>
        <v>0</v>
      </c>
      <c r="AT151" s="473">
        <f>COUNTIF(ParicipationMai1[[#This Row],[1]:[31]],Code11)</f>
        <v>0</v>
      </c>
      <c r="AU151" s="473">
        <f>COUNTIF(ParicipationMai1[[#This Row],[1]:[31]],Code12)</f>
        <v>0</v>
      </c>
      <c r="AV151" s="473">
        <f>COUNTIF(ParicipationMai1[[#This Row],[1]:[31]],Code13)</f>
        <v>0</v>
      </c>
      <c r="AW151" s="473">
        <f>COUNTIF(ParicipationMai1[[#This Row],[1]:[31]],Code14)</f>
        <v>0</v>
      </c>
      <c r="AX151" s="473">
        <f>COUNTIF(ParicipationMai1[[#This Row],[1]:[31]],Code15)</f>
        <v>0</v>
      </c>
      <c r="AY151" s="473">
        <f>COUNTIF(ParicipationMai1[[#This Row],[1]:[31]],Code16)</f>
        <v>0</v>
      </c>
      <c r="AZ151" s="473">
        <f>COUNTIF(ParicipationMai1[[#This Row],[1]:[31]],Code17)</f>
        <v>0</v>
      </c>
      <c r="BA151" s="473">
        <f>COUNTIF(ParicipationMai1[[#This Row],[1]:[31]],Code25)</f>
        <v>0</v>
      </c>
      <c r="BB151" s="473">
        <f>COUNTIF(ParicipationMai1[[#This Row],[1]:[31]],Code26)</f>
        <v>0</v>
      </c>
      <c r="BC151" s="473">
        <f>COUNTIF(ParicipationMai1[[#This Row],[1]:[31]],Code27)</f>
        <v>0</v>
      </c>
      <c r="BD151" s="473">
        <f>COUNTIF(ParicipationMai1[[#This Row],[1]:[31]],Code28)</f>
        <v>0</v>
      </c>
      <c r="BE151" s="473">
        <f>COUNTIF(ParicipationMai1[[#This Row],[1]:[31]],code30)</f>
        <v>0</v>
      </c>
      <c r="BF151" s="473">
        <f>COUNTIF(ParicipationMai1[[#This Row],[1]:[31]],Code31)</f>
        <v>0</v>
      </c>
      <c r="BG151" s="473">
        <f>COUNTIF(ParicipationMai1[[#This Row],[1]:[31]],code21)</f>
        <v>0</v>
      </c>
      <c r="BH151" s="473">
        <f>COUNTIF(ParicipationMai1[[#This Row],[1]:[31]],Code24)</f>
        <v>0</v>
      </c>
      <c r="BI151" s="471">
        <f>COUNTIF(ParicipationMai1[[#This Row],[1]:[31]],code18)</f>
        <v>0</v>
      </c>
      <c r="BJ151" s="471">
        <f>COUNTIF(ParicipationMai1[[#This Row],[1]:[31]],code19)</f>
        <v>0</v>
      </c>
      <c r="BK151" s="471">
        <f>COUNTIF(ParicipationMai1[[#This Row],[1]:[31]],code20)</f>
        <v>0</v>
      </c>
      <c r="BL151" s="516">
        <f>COUNTIF(ParicipationMai1[[#This Row],[1]:[31]],code29)</f>
        <v>0</v>
      </c>
      <c r="BM151" s="473"/>
      <c r="BN151" s="473"/>
      <c r="BO151" s="473"/>
      <c r="BP151" s="473"/>
      <c r="BQ151" s="473"/>
      <c r="BR151" s="473"/>
      <c r="BS151" s="473"/>
      <c r="BT151" s="473"/>
      <c r="BU151" s="473"/>
      <c r="BV151" s="473"/>
      <c r="BW151" s="473"/>
      <c r="BX151" s="473"/>
      <c r="BY151" s="473"/>
      <c r="BZ151" s="473"/>
      <c r="CA151" s="473"/>
      <c r="CB151" s="473"/>
      <c r="CC151" s="473"/>
      <c r="CD151" s="473"/>
      <c r="CE151" s="473"/>
      <c r="CF151" s="473"/>
      <c r="CG151" s="473"/>
      <c r="CH151" s="473"/>
      <c r="CI151" s="473"/>
      <c r="CJ151" s="473"/>
      <c r="CK151" s="473"/>
      <c r="CL151" s="473"/>
      <c r="CM151" s="473"/>
      <c r="CN151" s="473"/>
      <c r="CO151" s="473"/>
      <c r="CP151" s="473"/>
      <c r="CQ151" s="473"/>
      <c r="CR151" s="473"/>
      <c r="CS151" s="473"/>
      <c r="CT151" s="473"/>
      <c r="CU151" s="516"/>
      <c r="CV151" s="589">
        <f t="shared" si="8"/>
        <v>0</v>
      </c>
      <c r="CW151" s="501">
        <f t="shared" si="9"/>
        <v>0</v>
      </c>
      <c r="CX151" s="473">
        <f t="shared" si="10"/>
        <v>0</v>
      </c>
      <c r="CY151" s="512">
        <f t="shared" si="11"/>
        <v>0</v>
      </c>
    </row>
    <row r="152" spans="1:103">
      <c r="A152" s="29" t="s">
        <v>609</v>
      </c>
      <c r="B152" s="514" t="str">
        <f>IFERROR(VLOOKUP(ParicipationMai1[[#This Row],[Référence]],ListeÉtudiants1[],18,FALSE),"")</f>
        <v>SAINTRAY  Dorian</v>
      </c>
      <c r="C152" s="471"/>
      <c r="D152" s="471"/>
      <c r="E152" s="471"/>
      <c r="F152" s="471"/>
      <c r="G152" s="471"/>
      <c r="H152" s="471"/>
      <c r="I152" s="471"/>
      <c r="J152" s="471"/>
      <c r="K152" s="471"/>
      <c r="L152" s="471"/>
      <c r="M152" s="471"/>
      <c r="N152" s="471"/>
      <c r="O152" s="471"/>
      <c r="P152" s="471"/>
      <c r="Q152" s="471"/>
      <c r="R152" s="471"/>
      <c r="S152" s="471"/>
      <c r="T152" s="471"/>
      <c r="U152" s="471"/>
      <c r="V152" s="471"/>
      <c r="W152" s="471"/>
      <c r="X152" s="471"/>
      <c r="Y152" s="471"/>
      <c r="Z152" s="471"/>
      <c r="AA152" s="471"/>
      <c r="AB152" s="471"/>
      <c r="AC152" s="471"/>
      <c r="AD152" s="471"/>
      <c r="AE152" s="471"/>
      <c r="AF152" s="471"/>
      <c r="AG152" s="515"/>
      <c r="AH152" s="471">
        <f>COUNTIF(ParicipationMai1[[1]:[31]],Code1)</f>
        <v>0</v>
      </c>
      <c r="AI152" s="475">
        <f>COUNTIF(ParicipationMai1[[1]:[31]],code22)</f>
        <v>0</v>
      </c>
      <c r="AJ152" s="471">
        <f>COUNTIF(ParicipationMai1[[#This Row],[1]:[31]],Code2)</f>
        <v>0</v>
      </c>
      <c r="AK152" s="471">
        <f>COUNTIF(ParicipationMai1[[#This Row],[1]:[31]],Code3)</f>
        <v>0</v>
      </c>
      <c r="AL152" s="471">
        <f>COUNTIF(ParicipationMai1[[#This Row],[1]:[31]],Code4)</f>
        <v>0</v>
      </c>
      <c r="AM152" s="473">
        <f>COUNTIF(ParicipationMai1[[#This Row],[1]:[31]],Code5)</f>
        <v>0</v>
      </c>
      <c r="AN152" s="473">
        <f>COUNTIF(ParicipationMai1[[#This Row],[1]:[31]],Code23)</f>
        <v>0</v>
      </c>
      <c r="AO152" s="473">
        <f>COUNTIF(ParicipationMai1[[#This Row],[1]:[31]],Code6)</f>
        <v>0</v>
      </c>
      <c r="AP152" s="473">
        <f>COUNTIF(ParicipationMai1[[#This Row],[1]:[31]],Code7)</f>
        <v>0</v>
      </c>
      <c r="AQ152" s="473">
        <f>COUNTIF(ParicipationMai1[[#This Row],[1]:[31]],Code8)</f>
        <v>0</v>
      </c>
      <c r="AR152" s="473">
        <f>COUNTIF(ParicipationMai1[[#This Row],[1]:[31]],Code9)</f>
        <v>0</v>
      </c>
      <c r="AS152" s="473">
        <f>COUNTIF(ParicipationMai1[[#This Row],[1]:[31]],Code10)</f>
        <v>0</v>
      </c>
      <c r="AT152" s="473">
        <f>COUNTIF(ParicipationMai1[[#This Row],[1]:[31]],Code11)</f>
        <v>0</v>
      </c>
      <c r="AU152" s="473">
        <f>COUNTIF(ParicipationMai1[[#This Row],[1]:[31]],Code12)</f>
        <v>0</v>
      </c>
      <c r="AV152" s="473">
        <f>COUNTIF(ParicipationMai1[[#This Row],[1]:[31]],Code13)</f>
        <v>0</v>
      </c>
      <c r="AW152" s="473">
        <f>COUNTIF(ParicipationMai1[[#This Row],[1]:[31]],Code14)</f>
        <v>0</v>
      </c>
      <c r="AX152" s="473">
        <f>COUNTIF(ParicipationMai1[[#This Row],[1]:[31]],Code15)</f>
        <v>0</v>
      </c>
      <c r="AY152" s="473">
        <f>COUNTIF(ParicipationMai1[[#This Row],[1]:[31]],Code16)</f>
        <v>0</v>
      </c>
      <c r="AZ152" s="473">
        <f>COUNTIF(ParicipationMai1[[#This Row],[1]:[31]],Code17)</f>
        <v>0</v>
      </c>
      <c r="BA152" s="473">
        <f>COUNTIF(ParicipationMai1[[#This Row],[1]:[31]],Code25)</f>
        <v>0</v>
      </c>
      <c r="BB152" s="473">
        <f>COUNTIF(ParicipationMai1[[#This Row],[1]:[31]],Code26)</f>
        <v>0</v>
      </c>
      <c r="BC152" s="473">
        <f>COUNTIF(ParicipationMai1[[#This Row],[1]:[31]],Code27)</f>
        <v>0</v>
      </c>
      <c r="BD152" s="473">
        <f>COUNTIF(ParicipationMai1[[#This Row],[1]:[31]],Code28)</f>
        <v>0</v>
      </c>
      <c r="BE152" s="473">
        <f>COUNTIF(ParicipationMai1[[#This Row],[1]:[31]],code30)</f>
        <v>0</v>
      </c>
      <c r="BF152" s="473">
        <f>COUNTIF(ParicipationMai1[[#This Row],[1]:[31]],Code31)</f>
        <v>0</v>
      </c>
      <c r="BG152" s="473">
        <f>COUNTIF(ParicipationMai1[[#This Row],[1]:[31]],code21)</f>
        <v>0</v>
      </c>
      <c r="BH152" s="473">
        <f>COUNTIF(ParicipationMai1[[#This Row],[1]:[31]],Code24)</f>
        <v>0</v>
      </c>
      <c r="BI152" s="471">
        <f>COUNTIF(ParicipationMai1[[#This Row],[1]:[31]],code18)</f>
        <v>0</v>
      </c>
      <c r="BJ152" s="471">
        <f>COUNTIF(ParicipationMai1[[#This Row],[1]:[31]],code19)</f>
        <v>0</v>
      </c>
      <c r="BK152" s="471">
        <f>COUNTIF(ParicipationMai1[[#This Row],[1]:[31]],code20)</f>
        <v>0</v>
      </c>
      <c r="BL152" s="516">
        <f>COUNTIF(ParicipationMai1[[#This Row],[1]:[31]],code29)</f>
        <v>0</v>
      </c>
      <c r="BM152" s="473"/>
      <c r="BN152" s="473"/>
      <c r="BO152" s="473"/>
      <c r="BP152" s="473"/>
      <c r="BQ152" s="473"/>
      <c r="BR152" s="473"/>
      <c r="BS152" s="473"/>
      <c r="BT152" s="473"/>
      <c r="BU152" s="473"/>
      <c r="BV152" s="473"/>
      <c r="BW152" s="473"/>
      <c r="BX152" s="473"/>
      <c r="BY152" s="473"/>
      <c r="BZ152" s="473"/>
      <c r="CA152" s="473"/>
      <c r="CB152" s="473"/>
      <c r="CC152" s="473"/>
      <c r="CD152" s="473"/>
      <c r="CE152" s="473"/>
      <c r="CF152" s="473"/>
      <c r="CG152" s="473"/>
      <c r="CH152" s="473"/>
      <c r="CI152" s="473"/>
      <c r="CJ152" s="473"/>
      <c r="CK152" s="473"/>
      <c r="CL152" s="473"/>
      <c r="CM152" s="473"/>
      <c r="CN152" s="473"/>
      <c r="CO152" s="473"/>
      <c r="CP152" s="473"/>
      <c r="CQ152" s="473"/>
      <c r="CR152" s="473"/>
      <c r="CS152" s="473"/>
      <c r="CT152" s="473"/>
      <c r="CU152" s="516"/>
      <c r="CV152" s="589">
        <f t="shared" si="8"/>
        <v>0</v>
      </c>
      <c r="CW152" s="501">
        <f t="shared" si="9"/>
        <v>0</v>
      </c>
      <c r="CX152" s="473">
        <f t="shared" si="10"/>
        <v>0</v>
      </c>
      <c r="CY152" s="512">
        <f t="shared" si="11"/>
        <v>0</v>
      </c>
    </row>
    <row r="153" spans="1:103">
      <c r="A153" s="29" t="s">
        <v>613</v>
      </c>
      <c r="B153" s="514" t="str">
        <f>IFERROR(VLOOKUP(ParicipationMai1[[#This Row],[Référence]],ListeÉtudiants1[],18,FALSE),"")</f>
        <v xml:space="preserve">SISSOKO </v>
      </c>
      <c r="C153" s="471"/>
      <c r="D153" s="471"/>
      <c r="E153" s="471"/>
      <c r="F153" s="471"/>
      <c r="G153" s="471"/>
      <c r="H153" s="471"/>
      <c r="I153" s="471"/>
      <c r="J153" s="471"/>
      <c r="K153" s="471"/>
      <c r="L153" s="471"/>
      <c r="M153" s="471"/>
      <c r="N153" s="471"/>
      <c r="O153" s="471"/>
      <c r="P153" s="471"/>
      <c r="Q153" s="471"/>
      <c r="R153" s="471"/>
      <c r="S153" s="471"/>
      <c r="T153" s="471"/>
      <c r="U153" s="471"/>
      <c r="V153" s="471"/>
      <c r="W153" s="471"/>
      <c r="X153" s="471"/>
      <c r="Y153" s="471"/>
      <c r="Z153" s="471"/>
      <c r="AA153" s="471"/>
      <c r="AB153" s="471"/>
      <c r="AC153" s="471"/>
      <c r="AD153" s="471"/>
      <c r="AE153" s="471"/>
      <c r="AF153" s="471"/>
      <c r="AG153" s="515"/>
      <c r="AH153" s="471">
        <f>COUNTIF(ParicipationMai1[[1]:[31]],Code1)</f>
        <v>0</v>
      </c>
      <c r="AI153" s="475">
        <f>COUNTIF(ParicipationMai1[[1]:[31]],code22)</f>
        <v>0</v>
      </c>
      <c r="AJ153" s="471">
        <f>COUNTIF(ParicipationMai1[[#This Row],[1]:[31]],Code2)</f>
        <v>0</v>
      </c>
      <c r="AK153" s="471">
        <f>COUNTIF(ParicipationMai1[[#This Row],[1]:[31]],Code3)</f>
        <v>0</v>
      </c>
      <c r="AL153" s="471">
        <f>COUNTIF(ParicipationMai1[[#This Row],[1]:[31]],Code4)</f>
        <v>0</v>
      </c>
      <c r="AM153" s="473">
        <f>COUNTIF(ParicipationMai1[[#This Row],[1]:[31]],Code5)</f>
        <v>0</v>
      </c>
      <c r="AN153" s="473">
        <f>COUNTIF(ParicipationMai1[[#This Row],[1]:[31]],Code23)</f>
        <v>0</v>
      </c>
      <c r="AO153" s="473">
        <f>COUNTIF(ParicipationMai1[[#This Row],[1]:[31]],Code6)</f>
        <v>0</v>
      </c>
      <c r="AP153" s="473">
        <f>COUNTIF(ParicipationMai1[[#This Row],[1]:[31]],Code7)</f>
        <v>0</v>
      </c>
      <c r="AQ153" s="473">
        <f>COUNTIF(ParicipationMai1[[#This Row],[1]:[31]],Code8)</f>
        <v>0</v>
      </c>
      <c r="AR153" s="473">
        <f>COUNTIF(ParicipationMai1[[#This Row],[1]:[31]],Code9)</f>
        <v>0</v>
      </c>
      <c r="AS153" s="473">
        <f>COUNTIF(ParicipationMai1[[#This Row],[1]:[31]],Code10)</f>
        <v>0</v>
      </c>
      <c r="AT153" s="473">
        <f>COUNTIF(ParicipationMai1[[#This Row],[1]:[31]],Code11)</f>
        <v>0</v>
      </c>
      <c r="AU153" s="473">
        <f>COUNTIF(ParicipationMai1[[#This Row],[1]:[31]],Code12)</f>
        <v>0</v>
      </c>
      <c r="AV153" s="473">
        <f>COUNTIF(ParicipationMai1[[#This Row],[1]:[31]],Code13)</f>
        <v>0</v>
      </c>
      <c r="AW153" s="473">
        <f>COUNTIF(ParicipationMai1[[#This Row],[1]:[31]],Code14)</f>
        <v>0</v>
      </c>
      <c r="AX153" s="473">
        <f>COUNTIF(ParicipationMai1[[#This Row],[1]:[31]],Code15)</f>
        <v>0</v>
      </c>
      <c r="AY153" s="473">
        <f>COUNTIF(ParicipationMai1[[#This Row],[1]:[31]],Code16)</f>
        <v>0</v>
      </c>
      <c r="AZ153" s="473">
        <f>COUNTIF(ParicipationMai1[[#This Row],[1]:[31]],Code17)</f>
        <v>0</v>
      </c>
      <c r="BA153" s="473">
        <f>COUNTIF(ParicipationMai1[[#This Row],[1]:[31]],Code25)</f>
        <v>0</v>
      </c>
      <c r="BB153" s="473">
        <f>COUNTIF(ParicipationMai1[[#This Row],[1]:[31]],Code26)</f>
        <v>0</v>
      </c>
      <c r="BC153" s="473">
        <f>COUNTIF(ParicipationMai1[[#This Row],[1]:[31]],Code27)</f>
        <v>0</v>
      </c>
      <c r="BD153" s="473">
        <f>COUNTIF(ParicipationMai1[[#This Row],[1]:[31]],Code28)</f>
        <v>0</v>
      </c>
      <c r="BE153" s="473">
        <f>COUNTIF(ParicipationMai1[[#This Row],[1]:[31]],code30)</f>
        <v>0</v>
      </c>
      <c r="BF153" s="473">
        <f>COUNTIF(ParicipationMai1[[#This Row],[1]:[31]],Code31)</f>
        <v>0</v>
      </c>
      <c r="BG153" s="473">
        <f>COUNTIF(ParicipationMai1[[#This Row],[1]:[31]],code21)</f>
        <v>0</v>
      </c>
      <c r="BH153" s="473">
        <f>COUNTIF(ParicipationMai1[[#This Row],[1]:[31]],Code24)</f>
        <v>0</v>
      </c>
      <c r="BI153" s="471">
        <f>COUNTIF(ParicipationMai1[[#This Row],[1]:[31]],code18)</f>
        <v>0</v>
      </c>
      <c r="BJ153" s="471">
        <f>COUNTIF(ParicipationMai1[[#This Row],[1]:[31]],code19)</f>
        <v>0</v>
      </c>
      <c r="BK153" s="471">
        <f>COUNTIF(ParicipationMai1[[#This Row],[1]:[31]],code20)</f>
        <v>0</v>
      </c>
      <c r="BL153" s="516">
        <f>COUNTIF(ParicipationMai1[[#This Row],[1]:[31]],code29)</f>
        <v>0</v>
      </c>
      <c r="BM153" s="473"/>
      <c r="BN153" s="473"/>
      <c r="BO153" s="473"/>
      <c r="BP153" s="473"/>
      <c r="BQ153" s="473"/>
      <c r="BR153" s="473"/>
      <c r="BS153" s="473"/>
      <c r="BT153" s="473"/>
      <c r="BU153" s="473"/>
      <c r="BV153" s="473"/>
      <c r="BW153" s="473"/>
      <c r="BX153" s="473"/>
      <c r="BY153" s="473"/>
      <c r="BZ153" s="473"/>
      <c r="CA153" s="473"/>
      <c r="CB153" s="473"/>
      <c r="CC153" s="473"/>
      <c r="CD153" s="473"/>
      <c r="CE153" s="473"/>
      <c r="CF153" s="473"/>
      <c r="CG153" s="473"/>
      <c r="CH153" s="473"/>
      <c r="CI153" s="473"/>
      <c r="CJ153" s="473"/>
      <c r="CK153" s="473"/>
      <c r="CL153" s="473"/>
      <c r="CM153" s="473"/>
      <c r="CN153" s="473"/>
      <c r="CO153" s="473"/>
      <c r="CP153" s="473"/>
      <c r="CQ153" s="473"/>
      <c r="CR153" s="473"/>
      <c r="CS153" s="473"/>
      <c r="CT153" s="473"/>
      <c r="CU153" s="516"/>
      <c r="CV153" s="589">
        <f t="shared" si="8"/>
        <v>0</v>
      </c>
      <c r="CW153" s="501">
        <f t="shared" si="9"/>
        <v>0</v>
      </c>
      <c r="CX153" s="473">
        <f t="shared" si="10"/>
        <v>0</v>
      </c>
      <c r="CY153" s="512">
        <f t="shared" si="11"/>
        <v>0</v>
      </c>
    </row>
    <row r="154" spans="1:103">
      <c r="A154" s="29" t="s">
        <v>614</v>
      </c>
      <c r="B154" s="514" t="str">
        <f>IFERROR(VLOOKUP(ParicipationMai1[[#This Row],[Référence]],ListeÉtudiants1[],18,FALSE),"")</f>
        <v>ZAKHOUR Samantha</v>
      </c>
      <c r="C154" s="471"/>
      <c r="D154" s="471"/>
      <c r="E154" s="471"/>
      <c r="F154" s="471"/>
      <c r="G154" s="471"/>
      <c r="H154" s="471"/>
      <c r="I154" s="471"/>
      <c r="J154" s="471"/>
      <c r="K154" s="471"/>
      <c r="L154" s="471"/>
      <c r="M154" s="471"/>
      <c r="N154" s="471"/>
      <c r="O154" s="471"/>
      <c r="P154" s="471"/>
      <c r="Q154" s="471"/>
      <c r="R154" s="471"/>
      <c r="S154" s="471"/>
      <c r="T154" s="471"/>
      <c r="U154" s="471"/>
      <c r="V154" s="471"/>
      <c r="W154" s="471"/>
      <c r="X154" s="471"/>
      <c r="Y154" s="471"/>
      <c r="Z154" s="471"/>
      <c r="AA154" s="471"/>
      <c r="AB154" s="471"/>
      <c r="AC154" s="471"/>
      <c r="AD154" s="471"/>
      <c r="AE154" s="471"/>
      <c r="AF154" s="471"/>
      <c r="AG154" s="515"/>
      <c r="AH154" s="471">
        <f>COUNTIF(ParicipationMai1[[1]:[31]],Code1)</f>
        <v>0</v>
      </c>
      <c r="AI154" s="475">
        <f>COUNTIF(ParicipationMai1[[1]:[31]],code22)</f>
        <v>0</v>
      </c>
      <c r="AJ154" s="471">
        <f>COUNTIF(ParicipationMai1[[#This Row],[1]:[31]],Code2)</f>
        <v>0</v>
      </c>
      <c r="AK154" s="471">
        <f>COUNTIF(ParicipationMai1[[#This Row],[1]:[31]],Code3)</f>
        <v>0</v>
      </c>
      <c r="AL154" s="471">
        <f>COUNTIF(ParicipationMai1[[#This Row],[1]:[31]],Code4)</f>
        <v>0</v>
      </c>
      <c r="AM154" s="473">
        <f>COUNTIF(ParicipationMai1[[#This Row],[1]:[31]],Code5)</f>
        <v>0</v>
      </c>
      <c r="AN154" s="473">
        <f>COUNTIF(ParicipationMai1[[#This Row],[1]:[31]],Code23)</f>
        <v>0</v>
      </c>
      <c r="AO154" s="473">
        <f>COUNTIF(ParicipationMai1[[#This Row],[1]:[31]],Code6)</f>
        <v>0</v>
      </c>
      <c r="AP154" s="473">
        <f>COUNTIF(ParicipationMai1[[#This Row],[1]:[31]],Code7)</f>
        <v>0</v>
      </c>
      <c r="AQ154" s="473">
        <f>COUNTIF(ParicipationMai1[[#This Row],[1]:[31]],Code8)</f>
        <v>0</v>
      </c>
      <c r="AR154" s="473">
        <f>COUNTIF(ParicipationMai1[[#This Row],[1]:[31]],Code9)</f>
        <v>0</v>
      </c>
      <c r="AS154" s="473">
        <f>COUNTIF(ParicipationMai1[[#This Row],[1]:[31]],Code10)</f>
        <v>0</v>
      </c>
      <c r="AT154" s="473">
        <f>COUNTIF(ParicipationMai1[[#This Row],[1]:[31]],Code11)</f>
        <v>0</v>
      </c>
      <c r="AU154" s="473">
        <f>COUNTIF(ParicipationMai1[[#This Row],[1]:[31]],Code12)</f>
        <v>0</v>
      </c>
      <c r="AV154" s="473">
        <f>COUNTIF(ParicipationMai1[[#This Row],[1]:[31]],Code13)</f>
        <v>0</v>
      </c>
      <c r="AW154" s="473">
        <f>COUNTIF(ParicipationMai1[[#This Row],[1]:[31]],Code14)</f>
        <v>0</v>
      </c>
      <c r="AX154" s="473">
        <f>COUNTIF(ParicipationMai1[[#This Row],[1]:[31]],Code15)</f>
        <v>0</v>
      </c>
      <c r="AY154" s="473">
        <f>COUNTIF(ParicipationMai1[[#This Row],[1]:[31]],Code16)</f>
        <v>0</v>
      </c>
      <c r="AZ154" s="473">
        <f>COUNTIF(ParicipationMai1[[#This Row],[1]:[31]],Code17)</f>
        <v>0</v>
      </c>
      <c r="BA154" s="473">
        <f>COUNTIF(ParicipationMai1[[#This Row],[1]:[31]],Code25)</f>
        <v>0</v>
      </c>
      <c r="BB154" s="473">
        <f>COUNTIF(ParicipationMai1[[#This Row],[1]:[31]],Code26)</f>
        <v>0</v>
      </c>
      <c r="BC154" s="473">
        <f>COUNTIF(ParicipationMai1[[#This Row],[1]:[31]],Code27)</f>
        <v>0</v>
      </c>
      <c r="BD154" s="473">
        <f>COUNTIF(ParicipationMai1[[#This Row],[1]:[31]],Code28)</f>
        <v>0</v>
      </c>
      <c r="BE154" s="473">
        <f>COUNTIF(ParicipationMai1[[#This Row],[1]:[31]],code30)</f>
        <v>0</v>
      </c>
      <c r="BF154" s="473">
        <f>COUNTIF(ParicipationMai1[[#This Row],[1]:[31]],Code31)</f>
        <v>0</v>
      </c>
      <c r="BG154" s="473">
        <f>COUNTIF(ParicipationMai1[[#This Row],[1]:[31]],code21)</f>
        <v>0</v>
      </c>
      <c r="BH154" s="473">
        <f>COUNTIF(ParicipationMai1[[#This Row],[1]:[31]],Code24)</f>
        <v>0</v>
      </c>
      <c r="BI154" s="471">
        <f>COUNTIF(ParicipationMai1[[#This Row],[1]:[31]],code18)</f>
        <v>0</v>
      </c>
      <c r="BJ154" s="471">
        <f>COUNTIF(ParicipationMai1[[#This Row],[1]:[31]],code19)</f>
        <v>0</v>
      </c>
      <c r="BK154" s="471">
        <f>COUNTIF(ParicipationMai1[[#This Row],[1]:[31]],code20)</f>
        <v>0</v>
      </c>
      <c r="BL154" s="516">
        <f>COUNTIF(ParicipationMai1[[#This Row],[1]:[31]],code29)</f>
        <v>0</v>
      </c>
      <c r="BM154" s="473"/>
      <c r="BN154" s="473"/>
      <c r="BO154" s="473"/>
      <c r="BP154" s="473"/>
      <c r="BQ154" s="473"/>
      <c r="BR154" s="473"/>
      <c r="BS154" s="473"/>
      <c r="BT154" s="473"/>
      <c r="BU154" s="473"/>
      <c r="BV154" s="473"/>
      <c r="BW154" s="473"/>
      <c r="BX154" s="473"/>
      <c r="BY154" s="473"/>
      <c r="BZ154" s="473"/>
      <c r="CA154" s="473"/>
      <c r="CB154" s="473"/>
      <c r="CC154" s="473"/>
      <c r="CD154" s="473"/>
      <c r="CE154" s="473"/>
      <c r="CF154" s="473"/>
      <c r="CG154" s="473"/>
      <c r="CH154" s="473"/>
      <c r="CI154" s="473"/>
      <c r="CJ154" s="473"/>
      <c r="CK154" s="473"/>
      <c r="CL154" s="473"/>
      <c r="CM154" s="473"/>
      <c r="CN154" s="473"/>
      <c r="CO154" s="473"/>
      <c r="CP154" s="473"/>
      <c r="CQ154" s="473"/>
      <c r="CR154" s="473"/>
      <c r="CS154" s="473"/>
      <c r="CT154" s="473"/>
      <c r="CU154" s="516"/>
      <c r="CV154" s="589">
        <f t="shared" si="8"/>
        <v>0</v>
      </c>
      <c r="CW154" s="501">
        <f t="shared" si="9"/>
        <v>0</v>
      </c>
      <c r="CX154" s="473">
        <f t="shared" si="10"/>
        <v>0</v>
      </c>
      <c r="CY154" s="512">
        <f t="shared" si="11"/>
        <v>0</v>
      </c>
    </row>
    <row r="155" spans="1:103" ht="14.25" thickBot="1">
      <c r="A155" s="29"/>
      <c r="B155" s="514" t="str">
        <f>IFERROR(VLOOKUP(ParicipationMai1[[#This Row],[Référence]],ListeÉtudiants1[],18,FALSE),"")</f>
        <v/>
      </c>
      <c r="C155" s="471"/>
      <c r="D155" s="471"/>
      <c r="E155" s="471"/>
      <c r="F155" s="471"/>
      <c r="G155" s="471"/>
      <c r="H155" s="471"/>
      <c r="I155" s="471"/>
      <c r="J155" s="471"/>
      <c r="K155" s="471"/>
      <c r="L155" s="471"/>
      <c r="M155" s="471"/>
      <c r="N155" s="471"/>
      <c r="O155" s="471"/>
      <c r="P155" s="471"/>
      <c r="Q155" s="471"/>
      <c r="R155" s="471"/>
      <c r="S155" s="471"/>
      <c r="T155" s="471"/>
      <c r="U155" s="471"/>
      <c r="V155" s="471"/>
      <c r="W155" s="471"/>
      <c r="X155" s="471"/>
      <c r="Y155" s="471"/>
      <c r="Z155" s="471"/>
      <c r="AA155" s="471"/>
      <c r="AB155" s="471"/>
      <c r="AC155" s="471"/>
      <c r="AD155" s="471"/>
      <c r="AE155" s="471"/>
      <c r="AF155" s="471"/>
      <c r="AG155" s="515"/>
      <c r="AH155" s="471">
        <f>COUNTIF(ParicipationMai1[[1]:[31]],Code1)</f>
        <v>0</v>
      </c>
      <c r="AI155" s="475">
        <f>COUNTIF(ParicipationMai1[[1]:[31]],code22)</f>
        <v>0</v>
      </c>
      <c r="AJ155" s="471">
        <f>COUNTIF(ParicipationMai1[[#This Row],[1]:[31]],Code2)</f>
        <v>0</v>
      </c>
      <c r="AK155" s="471">
        <f>COUNTIF(ParicipationMai1[[#This Row],[1]:[31]],Code3)</f>
        <v>0</v>
      </c>
      <c r="AL155" s="471">
        <f>COUNTIF(ParicipationMai1[[#This Row],[1]:[31]],Code4)</f>
        <v>0</v>
      </c>
      <c r="AM155" s="473">
        <f>COUNTIF(ParicipationMai1[[#This Row],[1]:[31]],Code5)</f>
        <v>0</v>
      </c>
      <c r="AN155" s="473">
        <f>COUNTIF(ParicipationMai1[[#This Row],[1]:[31]],Code23)</f>
        <v>0</v>
      </c>
      <c r="AO155" s="473">
        <f>COUNTIF(ParicipationMai1[[#This Row],[1]:[31]],Code6)</f>
        <v>0</v>
      </c>
      <c r="AP155" s="473">
        <f>COUNTIF(ParicipationMai1[[#This Row],[1]:[31]],Code7)</f>
        <v>0</v>
      </c>
      <c r="AQ155" s="473">
        <f>COUNTIF(ParicipationMai1[[#This Row],[1]:[31]],Code8)</f>
        <v>0</v>
      </c>
      <c r="AR155" s="473">
        <f>COUNTIF(ParicipationMai1[[#This Row],[1]:[31]],Code9)</f>
        <v>0</v>
      </c>
      <c r="AS155" s="473">
        <f>COUNTIF(ParicipationMai1[[#This Row],[1]:[31]],Code10)</f>
        <v>0</v>
      </c>
      <c r="AT155" s="473">
        <f>COUNTIF(ParicipationMai1[[#This Row],[1]:[31]],Code11)</f>
        <v>0</v>
      </c>
      <c r="AU155" s="473">
        <f>COUNTIF(ParicipationMai1[[#This Row],[1]:[31]],Code12)</f>
        <v>0</v>
      </c>
      <c r="AV155" s="473">
        <f>COUNTIF(ParicipationMai1[[#This Row],[1]:[31]],Code13)</f>
        <v>0</v>
      </c>
      <c r="AW155" s="473">
        <f>COUNTIF(ParicipationMai1[[#This Row],[1]:[31]],Code14)</f>
        <v>0</v>
      </c>
      <c r="AX155" s="473">
        <f>COUNTIF(ParicipationMai1[[#This Row],[1]:[31]],Code15)</f>
        <v>0</v>
      </c>
      <c r="AY155" s="473">
        <f>COUNTIF(ParicipationMai1[[#This Row],[1]:[31]],Code16)</f>
        <v>0</v>
      </c>
      <c r="AZ155" s="473">
        <f>COUNTIF(ParicipationMai1[[#This Row],[1]:[31]],Code17)</f>
        <v>0</v>
      </c>
      <c r="BA155" s="473">
        <f>COUNTIF(ParicipationMai1[[#This Row],[1]:[31]],Code25)</f>
        <v>0</v>
      </c>
      <c r="BB155" s="473">
        <f>COUNTIF(ParicipationMai1[[#This Row],[1]:[31]],Code26)</f>
        <v>0</v>
      </c>
      <c r="BC155" s="473">
        <f>COUNTIF(ParicipationMai1[[#This Row],[1]:[31]],Code27)</f>
        <v>0</v>
      </c>
      <c r="BD155" s="473">
        <f>COUNTIF(ParicipationMai1[[#This Row],[1]:[31]],Code28)</f>
        <v>0</v>
      </c>
      <c r="BE155" s="473">
        <f>COUNTIF(ParicipationMai1[[#This Row],[1]:[31]],code30)</f>
        <v>0</v>
      </c>
      <c r="BF155" s="473">
        <f>COUNTIF(ParicipationMai1[[#This Row],[1]:[31]],Code31)</f>
        <v>0</v>
      </c>
      <c r="BG155" s="473">
        <f>COUNTIF(ParicipationMai1[[#This Row],[1]:[31]],code21)</f>
        <v>0</v>
      </c>
      <c r="BH155" s="473">
        <f>COUNTIF(ParicipationMai1[[#This Row],[1]:[31]],Code24)</f>
        <v>0</v>
      </c>
      <c r="BI155" s="471">
        <f>COUNTIF(ParicipationMai1[[#This Row],[1]:[31]],code18)</f>
        <v>0</v>
      </c>
      <c r="BJ155" s="471">
        <f>COUNTIF(ParicipationMai1[[#This Row],[1]:[31]],code19)</f>
        <v>0</v>
      </c>
      <c r="BK155" s="471">
        <f>COUNTIF(ParicipationMai1[[#This Row],[1]:[31]],code20)</f>
        <v>0</v>
      </c>
      <c r="BL155" s="516">
        <f>COUNTIF(ParicipationMai1[[#This Row],[1]:[31]],code29)</f>
        <v>0</v>
      </c>
      <c r="BM155" s="473"/>
      <c r="BN155" s="473"/>
      <c r="BO155" s="473"/>
      <c r="BP155" s="473"/>
      <c r="BQ155" s="473"/>
      <c r="BR155" s="473"/>
      <c r="BS155" s="473"/>
      <c r="BT155" s="473"/>
      <c r="BU155" s="473"/>
      <c r="BV155" s="473"/>
      <c r="BW155" s="473"/>
      <c r="BX155" s="473"/>
      <c r="BY155" s="473"/>
      <c r="BZ155" s="473"/>
      <c r="CA155" s="473"/>
      <c r="CB155" s="473"/>
      <c r="CC155" s="473"/>
      <c r="CD155" s="473"/>
      <c r="CE155" s="473"/>
      <c r="CF155" s="473"/>
      <c r="CG155" s="473"/>
      <c r="CH155" s="473"/>
      <c r="CI155" s="473"/>
      <c r="CJ155" s="473"/>
      <c r="CK155" s="473"/>
      <c r="CL155" s="473"/>
      <c r="CM155" s="473"/>
      <c r="CN155" s="473"/>
      <c r="CO155" s="473"/>
      <c r="CP155" s="473"/>
      <c r="CQ155" s="473"/>
      <c r="CR155" s="473"/>
      <c r="CS155" s="473"/>
      <c r="CT155" s="473"/>
      <c r="CU155" s="516"/>
      <c r="CV155" s="586">
        <f t="shared" si="8"/>
        <v>0</v>
      </c>
      <c r="CW155" s="501">
        <f t="shared" si="9"/>
        <v>0</v>
      </c>
      <c r="CX155" s="473">
        <f t="shared" si="10"/>
        <v>0</v>
      </c>
      <c r="CY155" s="600">
        <f t="shared" si="11"/>
        <v>0</v>
      </c>
    </row>
    <row r="156" spans="1:103" ht="14.25" thickTop="1">
      <c r="A156" s="469"/>
      <c r="B156" s="470"/>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1"/>
      <c r="AJ156" s="471"/>
      <c r="AK156" s="471"/>
      <c r="AL156" s="471"/>
      <c r="AM156" s="471"/>
      <c r="AN156" s="471"/>
      <c r="AO156" s="471"/>
      <c r="AP156" s="471"/>
      <c r="AQ156" s="471"/>
      <c r="AR156" s="471"/>
      <c r="AS156" s="471"/>
      <c r="AT156" s="471"/>
      <c r="AU156" s="471"/>
      <c r="AV156" s="471"/>
      <c r="AW156" s="471"/>
      <c r="AX156" s="471"/>
      <c r="AY156" s="471"/>
      <c r="AZ156" s="471"/>
      <c r="BA156" s="471"/>
      <c r="BB156" s="471"/>
      <c r="BC156" s="471"/>
      <c r="BD156" s="471"/>
      <c r="BE156" s="471"/>
      <c r="BF156" s="471"/>
      <c r="BG156" s="471"/>
      <c r="BH156" s="471"/>
      <c r="BI156" s="471"/>
      <c r="BJ156" s="471"/>
      <c r="BK156" s="471"/>
      <c r="BL156" s="582"/>
      <c r="BM156" s="473"/>
      <c r="BN156" s="473"/>
      <c r="BO156" s="473"/>
      <c r="BP156" s="473"/>
      <c r="BQ156" s="473"/>
      <c r="BR156" s="473"/>
      <c r="BS156" s="473"/>
      <c r="BT156" s="473"/>
      <c r="BU156" s="473"/>
      <c r="BV156" s="473"/>
      <c r="BW156" s="473"/>
      <c r="BX156" s="473"/>
      <c r="BY156" s="473"/>
      <c r="BZ156" s="473"/>
      <c r="CA156" s="473"/>
      <c r="CB156" s="473"/>
      <c r="CC156" s="473"/>
      <c r="CD156" s="473"/>
      <c r="CE156" s="473"/>
      <c r="CF156" s="473"/>
      <c r="CG156" s="473"/>
      <c r="CH156" s="473"/>
      <c r="CI156" s="473"/>
      <c r="CJ156" s="473"/>
      <c r="CK156" s="473"/>
      <c r="CL156" s="473"/>
      <c r="CM156" s="473"/>
      <c r="CN156" s="473"/>
      <c r="CO156" s="473"/>
      <c r="CP156" s="473"/>
      <c r="CQ156" s="473"/>
      <c r="CR156" s="473"/>
      <c r="CS156" s="473"/>
      <c r="CT156" s="473"/>
      <c r="CU156" s="473"/>
      <c r="CV156" s="469"/>
      <c r="CW156" s="513"/>
      <c r="CX156" s="513"/>
      <c r="CY156" s="469"/>
    </row>
    <row r="157" spans="1:103">
      <c r="BL157" s="88"/>
      <c r="BM157" s="30" t="e">
        <f>SUM((AH157*1)+(AI158*1.5)+(AJ157*2)+(AK157*3)+(AL157*4)+(AQ157*5)+(AR157*6)+(AS157*7)+(AW157*2)+(AX157*3)+(AY157*4)+(#REF!*5)+(BG157*2))</f>
        <v>#REF!</v>
      </c>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row>
    <row r="158" spans="1:103">
      <c r="BM158" s="293"/>
      <c r="BN158" s="293"/>
      <c r="BO158" s="293"/>
      <c r="BP158" s="292"/>
      <c r="BQ158" s="292"/>
      <c r="BR158" s="292"/>
      <c r="BS158" s="292"/>
      <c r="BT158" s="292"/>
      <c r="BU158" s="292"/>
      <c r="BV158" s="292"/>
      <c r="BW158" s="292"/>
      <c r="BX158" s="292"/>
      <c r="BY158" s="292"/>
      <c r="BZ158" s="292"/>
      <c r="CA158" s="292"/>
      <c r="CB158" s="292"/>
      <c r="CC158" s="292"/>
      <c r="CD158" s="292"/>
      <c r="CE158" s="292"/>
      <c r="CF158" s="292"/>
      <c r="CG158" s="292"/>
      <c r="CH158" s="292"/>
      <c r="CI158" s="292"/>
      <c r="CJ158" s="292"/>
      <c r="CK158" s="292"/>
      <c r="CL158" s="292"/>
      <c r="CM158" s="292"/>
      <c r="CN158" s="292"/>
      <c r="CO158" s="292"/>
      <c r="CP158" s="292"/>
      <c r="CQ158" s="292"/>
      <c r="CR158" s="292"/>
      <c r="CS158" s="292"/>
      <c r="CT158" s="292"/>
      <c r="CU158" s="292"/>
    </row>
    <row r="159" spans="1:103">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c r="CP159" s="88"/>
      <c r="CQ159" s="88"/>
      <c r="CR159" s="88"/>
      <c r="CS159" s="88"/>
      <c r="CT159" s="88"/>
      <c r="CU159" s="88"/>
    </row>
  </sheetData>
  <mergeCells count="5">
    <mergeCell ref="AH9:AX9"/>
    <mergeCell ref="A1:D1"/>
    <mergeCell ref="H7:I7"/>
    <mergeCell ref="L7:M7"/>
    <mergeCell ref="P7:Q7"/>
  </mergeCells>
  <conditionalFormatting sqref="C12:AI33 C11:AG11">
    <cfRule type="expression" dxfId="245" priority="58">
      <formula>C11=Code2</formula>
    </cfRule>
  </conditionalFormatting>
  <conditionalFormatting sqref="CY32:CY33">
    <cfRule type="dataBar" priority="24">
      <dataBar>
        <cfvo type="min"/>
        <cfvo type="num" val="31"/>
        <color theme="4"/>
      </dataBar>
      <extLst>
        <ext xmlns:x14="http://schemas.microsoft.com/office/spreadsheetml/2009/9/main" uri="{B025F937-C7B1-47D3-B67F-A62EFF666E3E}">
          <x14:id>{84667E9E-BE75-432C-9DBD-D33A0C2362DC}</x14:id>
        </ext>
      </extLst>
    </cfRule>
  </conditionalFormatting>
  <conditionalFormatting sqref="CY31">
    <cfRule type="dataBar" priority="19">
      <dataBar>
        <cfvo type="min"/>
        <cfvo type="num" val="31"/>
        <color theme="4"/>
      </dataBar>
      <extLst>
        <ext xmlns:x14="http://schemas.microsoft.com/office/spreadsheetml/2009/9/main" uri="{B025F937-C7B1-47D3-B67F-A62EFF666E3E}">
          <x14:id>{C417E016-90D6-4A46-BE3F-5CCD3A691A8E}</x14:id>
        </ext>
      </extLst>
    </cfRule>
  </conditionalFormatting>
  <conditionalFormatting sqref="CY12:CY30">
    <cfRule type="dataBar" priority="20">
      <dataBar>
        <cfvo type="min"/>
        <cfvo type="num" val="31"/>
        <color theme="4"/>
      </dataBar>
      <extLst>
        <ext xmlns:x14="http://schemas.microsoft.com/office/spreadsheetml/2009/9/main" uri="{B025F937-C7B1-47D3-B67F-A62EFF666E3E}">
          <x14:id>{55D13DC6-B27E-4F5E-AF80-CAB1F40B03B6}</x14:id>
        </ext>
      </extLst>
    </cfRule>
  </conditionalFormatting>
  <conditionalFormatting sqref="CY11">
    <cfRule type="dataBar" priority="15">
      <dataBar>
        <cfvo type="min"/>
        <cfvo type="num" val="31"/>
        <color theme="4"/>
      </dataBar>
      <extLst>
        <ext xmlns:x14="http://schemas.microsoft.com/office/spreadsheetml/2009/9/main" uri="{B025F937-C7B1-47D3-B67F-A62EFF666E3E}">
          <x14:id>{00235A63-C714-4E3E-ACA3-44448E7FB7C8}</x14:id>
        </ext>
      </extLst>
    </cfRule>
  </conditionalFormatting>
  <conditionalFormatting sqref="C11:AG155">
    <cfRule type="expression" dxfId="244" priority="5">
      <formula>C11=Code26</formula>
    </cfRule>
    <cfRule type="expression" dxfId="243" priority="6">
      <formula>C11=Code25</formula>
    </cfRule>
    <cfRule type="expression" dxfId="242" priority="7">
      <formula>C11=Code24</formula>
    </cfRule>
    <cfRule type="expression" dxfId="241" priority="8">
      <formula>C11=Code23</formula>
    </cfRule>
    <cfRule type="expression" dxfId="240" priority="9">
      <formula>C11=code22</formula>
    </cfRule>
    <cfRule type="expression" dxfId="239" priority="10">
      <formula>C11=code21</formula>
    </cfRule>
    <cfRule type="expression" dxfId="238" priority="16">
      <formula>C11=code20</formula>
    </cfRule>
    <cfRule type="expression" dxfId="237" priority="17">
      <formula>C11=code19</formula>
    </cfRule>
    <cfRule type="expression" dxfId="236" priority="18">
      <formula>C11=code18</formula>
    </cfRule>
    <cfRule type="expression" dxfId="235" priority="38">
      <formula>C11=Code17</formula>
    </cfRule>
    <cfRule type="expression" dxfId="234" priority="39">
      <formula>C11=Code16</formula>
    </cfRule>
    <cfRule type="expression" dxfId="233" priority="40">
      <formula>C11=Code15</formula>
    </cfRule>
    <cfRule type="expression" dxfId="232" priority="41">
      <formula>C11=Code13</formula>
    </cfRule>
    <cfRule type="expression" dxfId="231" priority="42">
      <formula>C11=Code14</formula>
    </cfRule>
    <cfRule type="expression" dxfId="230" priority="43">
      <formula>C11=Code12</formula>
    </cfRule>
    <cfRule type="expression" dxfId="229" priority="44">
      <formula>C11=Code11</formula>
    </cfRule>
    <cfRule type="expression" dxfId="228" priority="45">
      <formula>C11=Code9</formula>
    </cfRule>
    <cfRule type="expression" dxfId="227" priority="46">
      <formula>C11=Code8</formula>
    </cfRule>
    <cfRule type="expression" dxfId="226" priority="48">
      <formula>C11=Code10</formula>
    </cfRule>
    <cfRule type="expression" dxfId="225" priority="53">
      <formula>C11=Code7</formula>
    </cfRule>
    <cfRule type="expression" dxfId="224" priority="56">
      <formula>C11=Code6</formula>
    </cfRule>
    <cfRule type="expression" dxfId="223" priority="59">
      <formula>C11=Code5</formula>
    </cfRule>
    <cfRule type="expression" dxfId="222" priority="60">
      <formula>C11=Code4</formula>
    </cfRule>
    <cfRule type="expression" dxfId="221" priority="61">
      <formula>C11=Code3</formula>
    </cfRule>
    <cfRule type="expression" dxfId="220" priority="62">
      <formula>C11=Code1</formula>
    </cfRule>
  </conditionalFormatting>
  <conditionalFormatting sqref="C11:AG156">
    <cfRule type="expression" dxfId="219" priority="1">
      <formula>C11=Code28</formula>
    </cfRule>
    <cfRule type="expression" dxfId="218" priority="4">
      <formula>C11=Code27</formula>
    </cfRule>
  </conditionalFormatting>
  <conditionalFormatting sqref="X7">
    <cfRule type="cellIs" dxfId="217" priority="2" operator="equal">
      <formula>"St3"</formula>
    </cfRule>
  </conditionalFormatting>
  <conditionalFormatting sqref="V7">
    <cfRule type="cellIs" dxfId="216" priority="3" operator="equal">
      <formula>"St2"</formula>
    </cfRule>
  </conditionalFormatting>
  <conditionalFormatting sqref="CV149:CX156">
    <cfRule type="dataBar" priority="3658">
      <dataBar>
        <cfvo type="min"/>
        <cfvo type="num" val="31"/>
        <color theme="4"/>
      </dataBar>
      <extLst>
        <ext xmlns:x14="http://schemas.microsoft.com/office/spreadsheetml/2009/9/main" uri="{B025F937-C7B1-47D3-B67F-A62EFF666E3E}">
          <x14:id>{C725C616-47BA-4C93-915A-9838EE1CD9D0}</x14:id>
        </ext>
      </extLst>
    </cfRule>
  </conditionalFormatting>
  <conditionalFormatting sqref="CY149:CY156">
    <cfRule type="dataBar" priority="3660">
      <dataBar>
        <cfvo type="min"/>
        <cfvo type="num" val="31"/>
        <color theme="4"/>
      </dataBar>
      <extLst>
        <ext xmlns:x14="http://schemas.microsoft.com/office/spreadsheetml/2009/9/main" uri="{B025F937-C7B1-47D3-B67F-A62EFF666E3E}">
          <x14:id>{069681D8-4580-42DD-906B-6D57320F5BDE}</x14:id>
        </ext>
      </extLst>
    </cfRule>
  </conditionalFormatting>
  <conditionalFormatting sqref="CV11:CV155">
    <cfRule type="dataBar" priority="3662">
      <dataBar>
        <cfvo type="min"/>
        <cfvo type="num" val="31"/>
        <color theme="4"/>
      </dataBar>
      <extLst>
        <ext xmlns:x14="http://schemas.microsoft.com/office/spreadsheetml/2009/9/main" uri="{B025F937-C7B1-47D3-B67F-A62EFF666E3E}">
          <x14:id>{4826CED2-923D-4AD7-BDBB-234A451EE096}</x14:id>
        </ext>
      </extLst>
    </cfRule>
  </conditionalFormatting>
  <conditionalFormatting sqref="CW11:CX155">
    <cfRule type="dataBar" priority="3663">
      <dataBar>
        <cfvo type="min"/>
        <cfvo type="num" val="31"/>
        <color theme="4"/>
      </dataBar>
      <extLst>
        <ext xmlns:x14="http://schemas.microsoft.com/office/spreadsheetml/2009/9/main" uri="{B025F937-C7B1-47D3-B67F-A62EFF666E3E}">
          <x14:id>{4464727D-1EB1-48D9-B931-4B5AD84B0ACD}</x14:id>
        </ext>
      </extLst>
    </cfRule>
  </conditionalFormatting>
  <dataValidations count="1">
    <dataValidation type="list" errorStyle="warning" allowBlank="1" showInputMessage="1" showErrorMessage="1" errorTitle="Whoops!" error="The Student ID you entered isn't on the Student List sheet. You can click Yes to use what you entered but that Student ID won't be available on the Student Attendance Report sheet." sqref="A11:A155">
      <formula1>IDÉtudiant1</formula1>
    </dataValidation>
  </dataValidations>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4667E9E-BE75-432C-9DBD-D33A0C2362DC}">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CY32:CY33</xm:sqref>
        </x14:conditionalFormatting>
        <x14:conditionalFormatting xmlns:xm="http://schemas.microsoft.com/office/excel/2006/main">
          <x14:cfRule type="dataBar" id="{C417E016-90D6-4A46-BE3F-5CCD3A691A8E}">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CY31</xm:sqref>
        </x14:conditionalFormatting>
        <x14:conditionalFormatting xmlns:xm="http://schemas.microsoft.com/office/excel/2006/main">
          <x14:cfRule type="dataBar" id="{55D13DC6-B27E-4F5E-AF80-CAB1F40B03B6}">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CY12:CY30</xm:sqref>
        </x14:conditionalFormatting>
        <x14:conditionalFormatting xmlns:xm="http://schemas.microsoft.com/office/excel/2006/main">
          <x14:cfRule type="dataBar" id="{00235A63-C714-4E3E-ACA3-44448E7FB7C8}">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CY11</xm:sqref>
        </x14:conditionalFormatting>
        <x14:conditionalFormatting xmlns:xm="http://schemas.microsoft.com/office/excel/2006/main">
          <x14:cfRule type="dataBar" id="{C725C616-47BA-4C93-915A-9838EE1CD9D0}">
            <x14:dataBar minLength="0" maxLength="100" border="1" negativeBarBorderColorSameAsPositive="0">
              <x14:cfvo type="autoMin"/>
              <x14:cfvo type="num">
                <xm:f>31</xm:f>
              </x14:cfvo>
              <x14:borderColor theme="4"/>
              <x14:negativeFillColor rgb="FFFF0000"/>
              <x14:negativeBorderColor rgb="FFFF0000"/>
              <x14:axisColor rgb="FF000000"/>
            </x14:dataBar>
          </x14:cfRule>
          <xm:sqref>CV149:CX156</xm:sqref>
        </x14:conditionalFormatting>
        <x14:conditionalFormatting xmlns:xm="http://schemas.microsoft.com/office/excel/2006/main">
          <x14:cfRule type="dataBar" id="{069681D8-4580-42DD-906B-6D57320F5BDE}">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CY149:CY156</xm:sqref>
        </x14:conditionalFormatting>
        <x14:conditionalFormatting xmlns:xm="http://schemas.microsoft.com/office/excel/2006/main">
          <x14:cfRule type="dataBar" id="{4826CED2-923D-4AD7-BDBB-234A451EE096}">
            <x14:dataBar minLength="0" maxLength="100" border="1" negativeBarBorderColorSameAsPositive="0">
              <x14:cfvo type="autoMin"/>
              <x14:cfvo type="num">
                <xm:f>31</xm:f>
              </x14:cfvo>
              <x14:borderColor theme="4"/>
              <x14:negativeFillColor rgb="FFFF0000"/>
              <x14:negativeBorderColor rgb="FFFF0000"/>
              <x14:axisColor rgb="FF000000"/>
            </x14:dataBar>
          </x14:cfRule>
          <xm:sqref>CV11:CV155</xm:sqref>
        </x14:conditionalFormatting>
        <x14:conditionalFormatting xmlns:xm="http://schemas.microsoft.com/office/excel/2006/main">
          <x14:cfRule type="dataBar" id="{4464727D-1EB1-48D9-B931-4B5AD84B0ACD}">
            <x14:dataBar minLength="0" maxLength="100" border="1" negativeBarBorderColorSameAsPositive="0">
              <x14:cfvo type="autoMin"/>
              <x14:cfvo type="num">
                <xm:f>31</xm:f>
              </x14:cfvo>
              <x14:borderColor theme="4"/>
              <x14:negativeFillColor rgb="FFFF0000"/>
              <x14:negativeBorderColor rgb="FFFF0000"/>
              <x14:axisColor rgb="FF000000"/>
            </x14:dataBar>
          </x14:cfRule>
          <xm:sqref>CW11:CX155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DB156"/>
  <sheetViews>
    <sheetView topLeftCell="A57" workbookViewId="0">
      <selection activeCell="AG9" sqref="AG9"/>
    </sheetView>
  </sheetViews>
  <sheetFormatPr baseColWidth="10" defaultRowHeight="13.5"/>
  <cols>
    <col min="1" max="1" width="12.85546875" customWidth="1"/>
    <col min="2" max="2" width="31.7109375" customWidth="1"/>
    <col min="3" max="3" width="6.140625" customWidth="1"/>
    <col min="4" max="4" width="5.85546875" customWidth="1"/>
    <col min="5" max="5" width="6.42578125" customWidth="1"/>
    <col min="6" max="6" width="4.5703125" customWidth="1"/>
    <col min="7" max="7" width="7.28515625" customWidth="1"/>
    <col min="8" max="8" width="4.5703125" customWidth="1"/>
    <col min="9" max="9" width="6.140625" customWidth="1"/>
    <col min="10" max="10" width="4.7109375" customWidth="1"/>
    <col min="11" max="11" width="6.7109375" customWidth="1"/>
    <col min="12" max="12" width="4.140625" customWidth="1"/>
    <col min="13" max="13" width="6.5703125" customWidth="1"/>
    <col min="14" max="14" width="3.42578125" customWidth="1"/>
    <col min="15" max="15" width="6.85546875" customWidth="1"/>
    <col min="16" max="16" width="4" customWidth="1"/>
    <col min="17" max="17" width="6.5703125" customWidth="1"/>
    <col min="18" max="18" width="3.85546875" customWidth="1"/>
    <col min="19" max="19" width="10.28515625" customWidth="1"/>
    <col min="20" max="20" width="4.28515625" customWidth="1"/>
    <col min="21" max="21" width="10.28515625" customWidth="1"/>
    <col min="22" max="22" width="9.28515625" customWidth="1"/>
    <col min="23" max="23" width="9.7109375" customWidth="1"/>
    <col min="24" max="24" width="9.140625" customWidth="1"/>
    <col min="25" max="25" width="9.7109375" customWidth="1"/>
    <col min="26" max="26" width="4.5703125" customWidth="1"/>
    <col min="27" max="27" width="10.5703125" customWidth="1"/>
    <col min="28" max="28" width="5.42578125" customWidth="1"/>
    <col min="29" max="29" width="4.7109375" customWidth="1"/>
    <col min="30" max="30" width="4.85546875" customWidth="1"/>
    <col min="31" max="33" width="4.140625" customWidth="1"/>
    <col min="34" max="34" width="4.28515625" customWidth="1"/>
    <col min="35" max="35" width="4" customWidth="1"/>
    <col min="36" max="37" width="3.7109375" customWidth="1"/>
    <col min="38" max="38" width="3.28515625" customWidth="1"/>
    <col min="39" max="39" width="3.42578125" customWidth="1"/>
    <col min="40" max="40" width="3.5703125" customWidth="1"/>
    <col min="41" max="41" width="4" customWidth="1"/>
    <col min="42" max="42" width="3.5703125" customWidth="1"/>
    <col min="43" max="43" width="4" customWidth="1"/>
    <col min="44" max="44" width="3.7109375" customWidth="1"/>
    <col min="45" max="45" width="3.28515625" customWidth="1"/>
    <col min="46" max="46" width="3.7109375" customWidth="1"/>
    <col min="47" max="47" width="3.42578125" customWidth="1"/>
    <col min="48" max="48" width="3" customWidth="1"/>
    <col min="49" max="49" width="4" customWidth="1"/>
    <col min="50" max="50" width="2.7109375" customWidth="1"/>
    <col min="51" max="54" width="3.140625" customWidth="1"/>
    <col min="55" max="56" width="3" customWidth="1"/>
    <col min="57" max="59" width="3.140625" customWidth="1"/>
    <col min="60" max="60" width="3.42578125" customWidth="1"/>
    <col min="61" max="61" width="3" customWidth="1"/>
    <col min="62" max="62" width="3.5703125" customWidth="1"/>
    <col min="63" max="64" width="4.140625" customWidth="1"/>
    <col min="65" max="66" width="3.28515625" customWidth="1"/>
    <col min="67" max="67" width="3.5703125" customWidth="1"/>
    <col min="68" max="69" width="3" customWidth="1"/>
    <col min="70" max="70" width="3.140625" customWidth="1"/>
    <col min="71" max="71" width="3.28515625" customWidth="1"/>
    <col min="72" max="73" width="3.140625" customWidth="1"/>
    <col min="74" max="75" width="3.28515625" customWidth="1"/>
    <col min="76" max="76" width="3.42578125" customWidth="1"/>
    <col min="77" max="78" width="4.28515625" customWidth="1"/>
    <col min="79" max="79" width="4" customWidth="1"/>
    <col min="80" max="80" width="3.42578125" customWidth="1"/>
    <col min="81" max="81" width="3.28515625" customWidth="1"/>
    <col min="82" max="82" width="3.140625" customWidth="1"/>
    <col min="83" max="83" width="3.28515625" customWidth="1"/>
    <col min="84" max="84" width="3.42578125" customWidth="1"/>
    <col min="85" max="85" width="3.140625" customWidth="1"/>
    <col min="86" max="86" width="3.5703125" customWidth="1"/>
    <col min="87" max="87" width="3.42578125" customWidth="1"/>
    <col min="88" max="89" width="3.7109375" customWidth="1"/>
    <col min="90" max="90" width="3.5703125" customWidth="1"/>
    <col min="91" max="91" width="3" customWidth="1"/>
    <col min="92" max="95" width="3.140625" customWidth="1"/>
    <col min="96" max="96" width="3.5703125" customWidth="1"/>
    <col min="97" max="98" width="3.140625" customWidth="1"/>
    <col min="99" max="99" width="6" customWidth="1"/>
    <col min="100" max="100" width="19" customWidth="1"/>
    <col min="101" max="102" width="20" customWidth="1"/>
    <col min="103" max="103" width="25.28515625" customWidth="1"/>
    <col min="104" max="104" width="21.140625" customWidth="1"/>
  </cols>
  <sheetData>
    <row r="1" spans="1:106" ht="28.5">
      <c r="A1" s="654" t="s">
        <v>505</v>
      </c>
      <c r="B1" s="655"/>
      <c r="C1" s="655"/>
      <c r="D1" s="655"/>
      <c r="E1" s="22"/>
      <c r="F1" s="22"/>
      <c r="G1" s="22"/>
      <c r="H1" s="22"/>
      <c r="I1" s="22"/>
      <c r="J1" s="22"/>
      <c r="K1" s="22"/>
      <c r="L1" s="22"/>
      <c r="M1" s="22"/>
      <c r="N1" s="22"/>
      <c r="O1" s="22"/>
      <c r="P1" s="22"/>
      <c r="Q1" s="22"/>
      <c r="R1" s="22"/>
      <c r="S1" s="22"/>
      <c r="T1" s="22"/>
      <c r="U1" s="22"/>
      <c r="V1" s="22"/>
      <c r="W1" s="22"/>
      <c r="X1" s="22"/>
      <c r="Y1" s="22"/>
      <c r="Z1" s="22"/>
      <c r="AA1" s="22"/>
      <c r="AB1" s="21"/>
      <c r="AC1" s="21"/>
      <c r="AD1" s="21"/>
      <c r="AE1" s="21"/>
      <c r="AF1" s="23"/>
      <c r="AG1" s="21"/>
      <c r="AH1" s="21"/>
      <c r="AI1" s="24"/>
      <c r="AJ1" s="21"/>
      <c r="AK1" s="32"/>
      <c r="AL1" s="32"/>
      <c r="AM1" s="32"/>
      <c r="AN1" s="32"/>
      <c r="AO1" s="32"/>
      <c r="AP1" s="32"/>
      <c r="AQ1" s="32"/>
      <c r="AR1" s="32"/>
      <c r="AS1" s="32"/>
      <c r="AT1" s="32"/>
      <c r="AU1" s="32"/>
      <c r="AV1" s="32"/>
      <c r="AW1" s="32"/>
      <c r="AX1" s="32"/>
      <c r="AY1" s="32"/>
      <c r="AZ1" s="32"/>
      <c r="BA1" s="32"/>
      <c r="BB1" s="32"/>
      <c r="BC1" s="32"/>
      <c r="BD1" s="32"/>
      <c r="BE1" s="32"/>
      <c r="BF1" s="32"/>
      <c r="BG1" s="32"/>
      <c r="BH1" s="32"/>
      <c r="BI1" s="33"/>
      <c r="BJ1" s="33"/>
      <c r="BK1" s="33"/>
      <c r="BL1" s="33"/>
      <c r="BM1" s="32"/>
      <c r="BN1" s="32"/>
      <c r="BO1" s="32"/>
      <c r="BP1" s="32"/>
      <c r="BQ1" s="32"/>
      <c r="BR1" s="32"/>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2"/>
      <c r="CW1" s="32"/>
      <c r="CX1" s="32"/>
      <c r="CY1" s="32"/>
      <c r="CZ1" s="601"/>
      <c r="DA1" s="601"/>
      <c r="DB1" s="57"/>
    </row>
    <row r="2" spans="1:106">
      <c r="BJ2" s="88"/>
      <c r="BK2" s="88"/>
      <c r="BL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Z2" s="57"/>
      <c r="DA2" s="57"/>
      <c r="DB2" s="57"/>
    </row>
    <row r="3" spans="1:106" ht="14.25">
      <c r="C3" s="31" t="s">
        <v>104</v>
      </c>
      <c r="D3" s="208" t="s">
        <v>514</v>
      </c>
      <c r="E3" s="236" t="s">
        <v>527</v>
      </c>
      <c r="F3" s="207" t="s">
        <v>528</v>
      </c>
      <c r="G3" s="209" t="s">
        <v>105</v>
      </c>
      <c r="H3" s="210" t="s">
        <v>515</v>
      </c>
      <c r="I3" s="211" t="s">
        <v>106</v>
      </c>
      <c r="J3" s="210" t="s">
        <v>516</v>
      </c>
      <c r="K3" s="212" t="s">
        <v>107</v>
      </c>
      <c r="L3" s="210" t="s">
        <v>517</v>
      </c>
      <c r="M3" s="213" t="s">
        <v>483</v>
      </c>
      <c r="N3" s="210" t="s">
        <v>518</v>
      </c>
      <c r="O3" s="214" t="s">
        <v>484</v>
      </c>
      <c r="P3" s="207" t="s">
        <v>526</v>
      </c>
      <c r="Q3" s="216" t="s">
        <v>485</v>
      </c>
      <c r="R3" s="207" t="s">
        <v>525</v>
      </c>
      <c r="S3" s="217" t="s">
        <v>489</v>
      </c>
      <c r="T3" s="207" t="s">
        <v>510</v>
      </c>
      <c r="U3" s="218" t="s">
        <v>490</v>
      </c>
      <c r="V3" s="207" t="s">
        <v>511</v>
      </c>
      <c r="W3" s="219" t="s">
        <v>491</v>
      </c>
      <c r="X3" s="207" t="s">
        <v>512</v>
      </c>
      <c r="Y3" s="220" t="s">
        <v>492</v>
      </c>
      <c r="Z3" s="207" t="s">
        <v>513</v>
      </c>
      <c r="AA3" s="207"/>
      <c r="AF3" s="207"/>
      <c r="BJ3" s="88"/>
      <c r="BK3" s="88"/>
      <c r="BL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Z3" s="57"/>
      <c r="DA3" s="57"/>
      <c r="DB3" s="57"/>
    </row>
    <row r="4" spans="1:106" ht="15" thickBot="1">
      <c r="B4" t="s">
        <v>535</v>
      </c>
      <c r="D4" s="43"/>
      <c r="E4" s="43"/>
      <c r="F4" s="43"/>
      <c r="G4" s="43"/>
      <c r="H4" s="43"/>
      <c r="I4" s="43"/>
      <c r="J4" s="43"/>
      <c r="K4" s="43"/>
      <c r="L4" s="43"/>
      <c r="M4" s="43"/>
      <c r="N4" s="43"/>
      <c r="O4" s="43"/>
      <c r="P4" s="43"/>
      <c r="Q4" s="43"/>
      <c r="R4" s="43"/>
      <c r="S4" s="43"/>
      <c r="T4" s="43"/>
      <c r="U4" s="43"/>
      <c r="V4" s="43"/>
      <c r="W4" s="43"/>
      <c r="X4" s="43"/>
      <c r="Y4" s="43"/>
      <c r="Z4" s="43"/>
      <c r="AA4" s="43"/>
      <c r="AF4" s="43"/>
      <c r="BJ4" s="88"/>
      <c r="BK4" s="88"/>
      <c r="BL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Z4" s="57"/>
      <c r="DA4" s="57"/>
      <c r="DB4" s="57"/>
    </row>
    <row r="5" spans="1:106" ht="14.25">
      <c r="C5" s="234" t="s">
        <v>529</v>
      </c>
      <c r="D5" s="266" t="s">
        <v>530</v>
      </c>
      <c r="E5" s="222" t="s">
        <v>35</v>
      </c>
      <c r="F5" s="210" t="s">
        <v>519</v>
      </c>
      <c r="G5" s="223" t="s">
        <v>108</v>
      </c>
      <c r="H5" s="43" t="s">
        <v>520</v>
      </c>
      <c r="I5" s="224" t="s">
        <v>109</v>
      </c>
      <c r="J5" s="207" t="s">
        <v>521</v>
      </c>
      <c r="K5" s="225" t="s">
        <v>486</v>
      </c>
      <c r="L5" s="207" t="s">
        <v>522</v>
      </c>
      <c r="M5" s="226" t="s">
        <v>487</v>
      </c>
      <c r="N5" s="207" t="s">
        <v>523</v>
      </c>
      <c r="O5" s="227" t="s">
        <v>488</v>
      </c>
      <c r="P5" s="228" t="s">
        <v>524</v>
      </c>
      <c r="Q5" s="233" t="s">
        <v>507</v>
      </c>
      <c r="R5" s="207" t="s">
        <v>508</v>
      </c>
      <c r="S5" s="229" t="s">
        <v>496</v>
      </c>
      <c r="T5" s="207" t="s">
        <v>499</v>
      </c>
      <c r="U5" s="230" t="s">
        <v>497</v>
      </c>
      <c r="V5" s="207" t="s">
        <v>500</v>
      </c>
      <c r="W5" s="231" t="s">
        <v>498</v>
      </c>
      <c r="X5" s="207" t="s">
        <v>501</v>
      </c>
      <c r="Y5" s="235" t="s">
        <v>531</v>
      </c>
      <c r="Z5" s="43" t="s">
        <v>630</v>
      </c>
      <c r="AA5" s="508"/>
      <c r="AF5" s="43"/>
      <c r="BJ5" s="88"/>
      <c r="BK5" s="88"/>
      <c r="BL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Z5" s="57"/>
      <c r="DA5" s="57"/>
      <c r="DB5" s="57"/>
    </row>
    <row r="6" spans="1:106" ht="14.25">
      <c r="C6" s="349"/>
      <c r="D6" s="350"/>
      <c r="E6" s="351"/>
      <c r="F6" s="352"/>
      <c r="G6" s="353"/>
      <c r="H6" s="354"/>
      <c r="I6" s="355"/>
      <c r="J6" s="207"/>
      <c r="K6" s="355"/>
      <c r="L6" s="207"/>
      <c r="M6" s="355"/>
      <c r="N6" s="207"/>
      <c r="O6" s="355"/>
      <c r="P6" s="228"/>
      <c r="Q6" s="356"/>
      <c r="R6" s="207"/>
      <c r="S6" s="357"/>
      <c r="T6" s="207"/>
      <c r="U6" s="357"/>
      <c r="V6" s="207"/>
      <c r="W6" s="357"/>
      <c r="X6" s="207"/>
      <c r="Y6" s="358"/>
      <c r="Z6" s="43"/>
      <c r="AA6" s="508"/>
      <c r="AF6" s="43"/>
      <c r="BJ6" s="88"/>
      <c r="BK6" s="88"/>
      <c r="BL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Z6" s="57"/>
      <c r="DA6" s="57"/>
      <c r="DB6" s="57"/>
    </row>
    <row r="7" spans="1:106" ht="14.25">
      <c r="C7" s="334" t="s">
        <v>604</v>
      </c>
      <c r="D7" s="335" t="s">
        <v>610</v>
      </c>
      <c r="E7" s="509"/>
      <c r="F7" s="509"/>
      <c r="G7" s="344" t="s">
        <v>620</v>
      </c>
      <c r="H7" s="656" t="s">
        <v>621</v>
      </c>
      <c r="I7" s="658"/>
      <c r="J7" s="508"/>
      <c r="K7" s="394" t="s">
        <v>627</v>
      </c>
      <c r="L7" s="656" t="s">
        <v>628</v>
      </c>
      <c r="M7" s="658"/>
      <c r="N7" s="207"/>
      <c r="O7" s="418" t="s">
        <v>631</v>
      </c>
      <c r="P7" s="656" t="s">
        <v>632</v>
      </c>
      <c r="Q7" s="658"/>
      <c r="R7" s="207"/>
      <c r="S7" s="445" t="s">
        <v>634</v>
      </c>
      <c r="T7" s="43" t="s">
        <v>633</v>
      </c>
      <c r="U7" s="458" t="s">
        <v>637</v>
      </c>
      <c r="V7" s="357" t="s">
        <v>638</v>
      </c>
      <c r="W7" s="465" t="s">
        <v>639</v>
      </c>
      <c r="X7" s="357" t="s">
        <v>640</v>
      </c>
      <c r="Y7" s="358"/>
      <c r="Z7" s="43"/>
      <c r="AA7" s="508"/>
      <c r="AF7" s="43"/>
      <c r="BJ7" s="88"/>
      <c r="BK7" s="88"/>
      <c r="BL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Z7" s="57"/>
      <c r="DA7" s="57"/>
      <c r="DB7" s="57"/>
    </row>
    <row r="8" spans="1:106">
      <c r="C8" s="508"/>
      <c r="D8" s="508"/>
      <c r="E8" s="20"/>
      <c r="F8" s="508"/>
      <c r="G8" s="508"/>
      <c r="H8" s="508"/>
      <c r="I8" s="508"/>
      <c r="J8" s="508"/>
      <c r="K8" s="508"/>
      <c r="L8" s="508"/>
      <c r="M8" s="508"/>
      <c r="N8" s="508"/>
      <c r="O8" s="508"/>
      <c r="P8" s="508"/>
      <c r="Q8" s="508"/>
      <c r="R8" s="508"/>
      <c r="T8" s="508"/>
      <c r="U8" s="508"/>
      <c r="V8" s="508"/>
      <c r="W8" s="508"/>
      <c r="X8" s="508"/>
      <c r="Y8" s="508"/>
      <c r="AA8" s="508"/>
      <c r="AB8" s="508"/>
      <c r="AC8" s="508"/>
      <c r="AD8" s="508"/>
      <c r="AE8" s="508"/>
      <c r="AF8" s="508"/>
      <c r="BJ8" s="88"/>
      <c r="BK8" s="88"/>
      <c r="BL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Z8" s="57"/>
      <c r="DA8" s="57"/>
      <c r="DB8" s="57"/>
    </row>
    <row r="9" spans="1:106" ht="15" thickBot="1">
      <c r="A9" s="72">
        <f>DATE(2018,6,1)</f>
        <v>43252</v>
      </c>
      <c r="B9" s="153"/>
      <c r="C9" s="151" t="str">
        <f>TEXT(WEEKDAY(DATE(2018,6,1),1),"[$-40c]aaa")</f>
        <v>1900</v>
      </c>
      <c r="D9" s="25" t="str">
        <f>TEXT(WEEKDAY(DATE(2018,6,2),1),"[$-40c]aaa")</f>
        <v>1900</v>
      </c>
      <c r="E9" s="25" t="str">
        <f>TEXT(WEEKDAY(DATE(2018,6,3),1),"[$-40c]aaa")</f>
        <v>1900</v>
      </c>
      <c r="F9" s="25" t="str">
        <f>TEXT(WEEKDAY(DATE(2018,6,4),1),"[$-40c]aaa")</f>
        <v>1900</v>
      </c>
      <c r="G9" s="25" t="str">
        <f>TEXT(WEEKDAY(DATE(2018,6,5),1),"[$-40c]aaa")</f>
        <v>1900</v>
      </c>
      <c r="H9" s="25" t="str">
        <f>TEXT(WEEKDAY(DATE(2018,6,6),1),"[$-40c]aaa")</f>
        <v>1900</v>
      </c>
      <c r="I9" s="25" t="str">
        <f>TEXT(WEEKDAY(DATE(2018,6,7),1),"[$-40c]aaa")</f>
        <v>1900</v>
      </c>
      <c r="J9" s="25" t="str">
        <f>TEXT(WEEKDAY(DATE(2018,6,8),1),"[$-40c]aaa")</f>
        <v>1900</v>
      </c>
      <c r="K9" s="25" t="str">
        <f>TEXT(WEEKDAY(DATE(2018,6,9),1),"[$-40c]aaa")</f>
        <v>1900</v>
      </c>
      <c r="L9" s="25" t="str">
        <f>TEXT(WEEKDAY(DATE(2018,6,10),1),"[$-40c]aaa")</f>
        <v>1900</v>
      </c>
      <c r="M9" s="25" t="str">
        <f>TEXT(WEEKDAY(DATE(2018,6,11),1),"[$-40c]aaa")</f>
        <v>1900</v>
      </c>
      <c r="N9" s="25" t="str">
        <f>TEXT(WEEKDAY(DATE(2018,6,12),1),"[$-40c]aaa")</f>
        <v>1900</v>
      </c>
      <c r="O9" s="25" t="str">
        <f>TEXT(WEEKDAY(DATE(2018,6,13),1),"[$-40c]aaa")</f>
        <v>1900</v>
      </c>
      <c r="P9" s="25" t="str">
        <f>TEXT(WEEKDAY(DATE(2018,6,14),1),"[$-40c]aaa")</f>
        <v>1900</v>
      </c>
      <c r="Q9" s="25" t="str">
        <f>TEXT(WEEKDAY(DATE(2018,6,15),1),"[$-40c]aaa")</f>
        <v>1900</v>
      </c>
      <c r="R9" s="25" t="str">
        <f>TEXT(WEEKDAY(DATE(2018,6,16),1),"[$-40c]aaa")</f>
        <v>1900</v>
      </c>
      <c r="S9" s="25" t="str">
        <f>TEXT(WEEKDAY(DATE(2018,6,17),1),"[$-40c]aaa")</f>
        <v>1900</v>
      </c>
      <c r="T9" s="25" t="str">
        <f>TEXT(WEEKDAY(DATE(2018,6,18),1),"[$-40c]aaa")</f>
        <v>1900</v>
      </c>
      <c r="U9" s="25" t="str">
        <f>TEXT(WEEKDAY(DATE(2018,6,19),1),"[$-40c]aaa")</f>
        <v>1900</v>
      </c>
      <c r="V9" s="25" t="str">
        <f>TEXT(WEEKDAY(DATE(2018,6,20),1),"[$-40c]aaa")</f>
        <v>1900</v>
      </c>
      <c r="W9" s="25" t="str">
        <f>TEXT(WEEKDAY(DATE(2018,6,21),1),"[$-40c]aaa")</f>
        <v>1900</v>
      </c>
      <c r="X9" s="25" t="str">
        <f>TEXT(WEEKDAY(DATE(2018,6,22),1),"[$-40c]aaa")</f>
        <v>1900</v>
      </c>
      <c r="Y9" s="25" t="str">
        <f>TEXT(WEEKDAY(DATE(2018,6,23),1),"[$-40c]aaa")</f>
        <v>1900</v>
      </c>
      <c r="Z9" s="25" t="str">
        <f>TEXT(WEEKDAY(DATE(2018,6,24),1),"[$-40c]aaa")</f>
        <v>1900</v>
      </c>
      <c r="AA9" s="25" t="str">
        <f>TEXT(WEEKDAY(DATE(2018,6,25),1),"[$-40c]aaa")</f>
        <v>1900</v>
      </c>
      <c r="AB9" s="25" t="str">
        <f>TEXT(WEEKDAY(DATE(2018,6,26),1),"[$-40c]aaa")</f>
        <v>1900</v>
      </c>
      <c r="AC9" s="25" t="str">
        <f>TEXT(WEEKDAY(DATE(2018,6,27),1),"[$-40c]aaa")</f>
        <v>1900</v>
      </c>
      <c r="AD9" s="25" t="str">
        <f>TEXT(WEEKDAY(DATE(2018,6,28),1),"[$-40c]aaa")</f>
        <v>1900</v>
      </c>
      <c r="AE9" s="25" t="str">
        <f>TEXT(WEEKDAY(DATE(2018,6,29),1),"[$-40c]aaa")</f>
        <v>1900</v>
      </c>
      <c r="AF9" s="25" t="str">
        <f>TEXT(WEEKDAY(DATE(2018,6,30),1),"[$-40c]aaa")</f>
        <v>1900</v>
      </c>
      <c r="AG9" s="142" t="str">
        <f>TEXT(WEEKDAY(DATE(2018,6,31),1),"[$-40c]aaa")</f>
        <v>1900</v>
      </c>
      <c r="AH9" s="652" t="s">
        <v>36</v>
      </c>
      <c r="AI9" s="652"/>
      <c r="AJ9" s="652"/>
      <c r="AK9" s="652"/>
      <c r="AL9" s="652"/>
      <c r="AM9" s="652"/>
      <c r="AN9" s="652"/>
      <c r="AO9" s="652"/>
      <c r="AP9" s="652"/>
      <c r="AQ9" s="652"/>
      <c r="AR9" s="652"/>
      <c r="AS9" s="652"/>
      <c r="AT9" s="652"/>
      <c r="AU9" s="652"/>
      <c r="AV9" s="652"/>
      <c r="AW9" s="652"/>
      <c r="AX9" s="652"/>
      <c r="AY9" s="140"/>
      <c r="AZ9" s="140"/>
      <c r="BA9" s="140"/>
      <c r="BB9" s="140"/>
      <c r="BC9" s="140"/>
      <c r="BD9" s="140"/>
      <c r="BE9" s="140"/>
      <c r="BF9" s="140"/>
      <c r="BG9" s="140"/>
      <c r="BH9" s="140"/>
      <c r="BI9" s="85"/>
      <c r="BJ9" s="247"/>
      <c r="BK9" s="247"/>
      <c r="BL9" s="247"/>
      <c r="BM9" s="299"/>
      <c r="BN9" s="251"/>
      <c r="BO9" s="251"/>
      <c r="BP9" s="312"/>
      <c r="BQ9" s="251"/>
      <c r="BR9" s="251"/>
      <c r="BS9" s="251"/>
      <c r="BT9" s="251"/>
      <c r="BU9" s="251"/>
      <c r="BV9" s="251"/>
      <c r="BW9" s="251"/>
      <c r="BX9" s="251"/>
      <c r="BY9" s="251"/>
      <c r="BZ9" s="251"/>
      <c r="CA9" s="251" t="s">
        <v>575</v>
      </c>
      <c r="CB9" s="251"/>
      <c r="CC9" s="251"/>
      <c r="CD9" s="251"/>
      <c r="CE9" s="251"/>
      <c r="CF9" s="251"/>
      <c r="CG9" s="251"/>
      <c r="CH9" s="251"/>
      <c r="CI9" s="251"/>
      <c r="CJ9" s="251"/>
      <c r="CK9" s="251"/>
      <c r="CL9" s="251"/>
      <c r="CM9" s="251"/>
      <c r="CN9" s="251"/>
      <c r="CO9" s="251"/>
      <c r="CP9" s="251"/>
      <c r="CQ9" s="251"/>
      <c r="CR9" s="251"/>
      <c r="CS9" s="251"/>
      <c r="CT9" s="247"/>
      <c r="CU9" s="247"/>
      <c r="CV9" s="247"/>
      <c r="CW9" s="251"/>
      <c r="CX9" s="247"/>
      <c r="CY9" s="248"/>
      <c r="CZ9" s="57"/>
      <c r="DA9" s="602"/>
      <c r="DB9" s="57"/>
    </row>
    <row r="10" spans="1:106" ht="15.75" thickTop="1" thickBot="1">
      <c r="A10" s="603" t="s">
        <v>33</v>
      </c>
      <c r="B10" s="604" t="s">
        <v>32</v>
      </c>
      <c r="C10" s="639" t="s">
        <v>0</v>
      </c>
      <c r="D10" s="605" t="s">
        <v>1</v>
      </c>
      <c r="E10" s="605" t="s">
        <v>2</v>
      </c>
      <c r="F10" s="605" t="s">
        <v>3</v>
      </c>
      <c r="G10" s="606" t="s">
        <v>4</v>
      </c>
      <c r="H10" s="606" t="s">
        <v>5</v>
      </c>
      <c r="I10" s="605" t="s">
        <v>6</v>
      </c>
      <c r="J10" s="639" t="s">
        <v>7</v>
      </c>
      <c r="K10" s="605" t="s">
        <v>8</v>
      </c>
      <c r="L10" s="639" t="s">
        <v>9</v>
      </c>
      <c r="M10" s="605" t="s">
        <v>10</v>
      </c>
      <c r="N10" s="606" t="s">
        <v>11</v>
      </c>
      <c r="O10" s="606" t="s">
        <v>12</v>
      </c>
      <c r="P10" s="605" t="s">
        <v>13</v>
      </c>
      <c r="Q10" s="605" t="s">
        <v>14</v>
      </c>
      <c r="R10" s="605" t="s">
        <v>15</v>
      </c>
      <c r="S10" s="605" t="s">
        <v>16</v>
      </c>
      <c r="T10" s="605" t="s">
        <v>17</v>
      </c>
      <c r="U10" s="606" t="s">
        <v>18</v>
      </c>
      <c r="V10" s="606" t="s">
        <v>19</v>
      </c>
      <c r="W10" s="605" t="s">
        <v>20</v>
      </c>
      <c r="X10" s="605" t="s">
        <v>21</v>
      </c>
      <c r="Y10" s="605" t="s">
        <v>22</v>
      </c>
      <c r="Z10" s="605" t="s">
        <v>23</v>
      </c>
      <c r="AA10" s="605" t="s">
        <v>24</v>
      </c>
      <c r="AB10" s="606" t="s">
        <v>25</v>
      </c>
      <c r="AC10" s="606" t="s">
        <v>26</v>
      </c>
      <c r="AD10" s="605" t="s">
        <v>27</v>
      </c>
      <c r="AE10" s="605" t="s">
        <v>28</v>
      </c>
      <c r="AF10" s="605" t="s">
        <v>29</v>
      </c>
      <c r="AG10" s="607" t="s">
        <v>30</v>
      </c>
      <c r="AH10" s="608" t="s">
        <v>104</v>
      </c>
      <c r="AI10" s="609" t="s">
        <v>527</v>
      </c>
      <c r="AJ10" s="610" t="s">
        <v>105</v>
      </c>
      <c r="AK10" s="611" t="s">
        <v>106</v>
      </c>
      <c r="AL10" s="612" t="s">
        <v>107</v>
      </c>
      <c r="AM10" s="613" t="s">
        <v>35</v>
      </c>
      <c r="AN10" s="614" t="s">
        <v>529</v>
      </c>
      <c r="AO10" s="615" t="s">
        <v>108</v>
      </c>
      <c r="AP10" s="616" t="s">
        <v>109</v>
      </c>
      <c r="AQ10" s="617" t="s">
        <v>483</v>
      </c>
      <c r="AR10" s="618" t="s">
        <v>484</v>
      </c>
      <c r="AS10" s="619" t="s">
        <v>485</v>
      </c>
      <c r="AT10" s="620" t="s">
        <v>486</v>
      </c>
      <c r="AU10" s="621" t="s">
        <v>487</v>
      </c>
      <c r="AV10" s="622" t="s">
        <v>489</v>
      </c>
      <c r="AW10" s="623" t="s">
        <v>488</v>
      </c>
      <c r="AX10" s="624" t="s">
        <v>490</v>
      </c>
      <c r="AY10" s="621" t="s">
        <v>491</v>
      </c>
      <c r="AZ10" s="625" t="s">
        <v>492</v>
      </c>
      <c r="BA10" s="626" t="s">
        <v>604</v>
      </c>
      <c r="BB10" s="627" t="s">
        <v>620</v>
      </c>
      <c r="BC10" s="628" t="s">
        <v>627</v>
      </c>
      <c r="BD10" s="629" t="s">
        <v>631</v>
      </c>
      <c r="BE10" s="630" t="s">
        <v>637</v>
      </c>
      <c r="BF10" s="631" t="s">
        <v>639</v>
      </c>
      <c r="BG10" s="632" t="s">
        <v>507</v>
      </c>
      <c r="BH10" s="633" t="s">
        <v>531</v>
      </c>
      <c r="BI10" s="634" t="s">
        <v>496</v>
      </c>
      <c r="BJ10" s="635" t="s">
        <v>497</v>
      </c>
      <c r="BK10" s="636" t="s">
        <v>498</v>
      </c>
      <c r="BL10" s="637" t="s">
        <v>634</v>
      </c>
      <c r="BM10" s="313" t="s">
        <v>544</v>
      </c>
      <c r="BN10" s="146" t="s">
        <v>545</v>
      </c>
      <c r="BO10" s="146" t="s">
        <v>546</v>
      </c>
      <c r="BP10" s="146" t="s">
        <v>542</v>
      </c>
      <c r="BQ10" s="146" t="s">
        <v>543</v>
      </c>
      <c r="BR10" s="146" t="s">
        <v>547</v>
      </c>
      <c r="BS10" s="146" t="s">
        <v>548</v>
      </c>
      <c r="BT10" s="146" t="s">
        <v>549</v>
      </c>
      <c r="BU10" s="146" t="s">
        <v>550</v>
      </c>
      <c r="BV10" s="146" t="s">
        <v>551</v>
      </c>
      <c r="BW10" s="146" t="s">
        <v>552</v>
      </c>
      <c r="BX10" s="146" t="s">
        <v>553</v>
      </c>
      <c r="BY10" s="146" t="s">
        <v>574</v>
      </c>
      <c r="BZ10" s="146" t="s">
        <v>554</v>
      </c>
      <c r="CA10" s="146" t="s">
        <v>555</v>
      </c>
      <c r="CB10" s="146" t="s">
        <v>556</v>
      </c>
      <c r="CC10" s="146" t="s">
        <v>558</v>
      </c>
      <c r="CD10" s="146" t="s">
        <v>557</v>
      </c>
      <c r="CE10" s="146" t="s">
        <v>559</v>
      </c>
      <c r="CF10" s="146" t="s">
        <v>560</v>
      </c>
      <c r="CG10" s="146" t="s">
        <v>561</v>
      </c>
      <c r="CH10" s="146" t="s">
        <v>562</v>
      </c>
      <c r="CI10" s="146" t="s">
        <v>563</v>
      </c>
      <c r="CJ10" s="146" t="s">
        <v>564</v>
      </c>
      <c r="CK10" s="146" t="s">
        <v>565</v>
      </c>
      <c r="CL10" s="146" t="s">
        <v>566</v>
      </c>
      <c r="CM10" s="146" t="s">
        <v>567</v>
      </c>
      <c r="CN10" s="146" t="s">
        <v>568</v>
      </c>
      <c r="CO10" s="146" t="s">
        <v>569</v>
      </c>
      <c r="CP10" s="146" t="s">
        <v>570</v>
      </c>
      <c r="CQ10" s="146" t="s">
        <v>571</v>
      </c>
      <c r="CR10" s="146" t="s">
        <v>572</v>
      </c>
      <c r="CS10" s="309" t="s">
        <v>573</v>
      </c>
      <c r="CT10" s="309" t="s">
        <v>642</v>
      </c>
      <c r="CU10" s="309" t="s">
        <v>611</v>
      </c>
      <c r="CV10" s="160" t="s">
        <v>494</v>
      </c>
      <c r="CW10" s="166" t="s">
        <v>495</v>
      </c>
      <c r="CX10" s="638" t="s">
        <v>540</v>
      </c>
      <c r="CY10" s="167" t="s">
        <v>502</v>
      </c>
    </row>
    <row r="11" spans="1:106" ht="14.25" thickTop="1">
      <c r="A11" s="406" t="s">
        <v>71</v>
      </c>
      <c r="B11" s="540" t="str">
        <f>IFERROR(VLOOKUP(ParicipationMai1[[#This Row],[Référence]],ListeÉtudiants1[],18,FALSE),"")</f>
        <v>ABDESSEMED MOUNIA</v>
      </c>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545"/>
      <c r="AA11" s="311"/>
      <c r="AB11" s="311"/>
      <c r="AC11" s="311"/>
      <c r="AD11" s="311"/>
      <c r="AE11" s="311"/>
      <c r="AF11" s="311"/>
      <c r="AG11" s="541"/>
      <c r="AH11" s="311">
        <f>COUNTIF(ParicipationMai1[[1]:[31]],Code1)</f>
        <v>0</v>
      </c>
      <c r="AI11" s="311">
        <f>COUNTIF(ParicipationMai1[[1]:[31]],code22)</f>
        <v>0</v>
      </c>
      <c r="AJ11" s="311">
        <f>COUNTIF(ParicipationMai1[[#This Row],[1]:[31]],Code2)</f>
        <v>0</v>
      </c>
      <c r="AK11" s="311">
        <f>COUNTIF(ParicipationMai1[[#This Row],[1]:[31]],Code3)</f>
        <v>0</v>
      </c>
      <c r="AL11" s="311">
        <f>COUNTIF(ParicipationMai1[[#This Row],[1]:[31]],Code4)</f>
        <v>0</v>
      </c>
      <c r="AM11" s="311">
        <f>COUNTIF(ParicipationMai1[[#This Row],[1]:[31]],Code5)</f>
        <v>0</v>
      </c>
      <c r="AN11" s="311">
        <f>COUNTIF(ParicipationMai1[[#This Row],[1]:[31]],Code23)</f>
        <v>0</v>
      </c>
      <c r="AO11" s="311">
        <f>COUNTIF(ParicipationMai1[[#This Row],[1]:[31]],Code6)</f>
        <v>0</v>
      </c>
      <c r="AP11" s="311">
        <f>COUNTIF(ParicipationMai1[[#This Row],[1]:[31]],Code7)</f>
        <v>0</v>
      </c>
      <c r="AQ11" s="311">
        <f>COUNTIF(ParicipationMai1[[#This Row],[1]:[31]],Code8)</f>
        <v>0</v>
      </c>
      <c r="AR11" s="311">
        <f>COUNTIF(ParicipationMai1[[#This Row],[1]:[31]],Code9)</f>
        <v>0</v>
      </c>
      <c r="AS11" s="311">
        <f>COUNTIF(ParicipationMai1[[#This Row],[1]:[31]],Code10)</f>
        <v>0</v>
      </c>
      <c r="AT11" s="311">
        <f>COUNTIF(ParicipationMai1[[#This Row],[1]:[31]],Code11)</f>
        <v>0</v>
      </c>
      <c r="AU11" s="311">
        <f>COUNTIF(ParicipationMai1[[#This Row],[1]:[31]],Code12)</f>
        <v>0</v>
      </c>
      <c r="AV11" s="311">
        <f>COUNTIF(ParicipationMai1[[#This Row],[1]:[31]],Code13)</f>
        <v>0</v>
      </c>
      <c r="AW11" s="311">
        <f>COUNTIF(ParicipationMai1[[#This Row],[1]:[31]],Code14)</f>
        <v>0</v>
      </c>
      <c r="AX11" s="311">
        <f>COUNTIF(ParicipationMai1[[#This Row],[1]:[31]],Code15)</f>
        <v>0</v>
      </c>
      <c r="AY11" s="311">
        <f>COUNTIF(ParicipationMai1[[#This Row],[1]:[31]],Code16)</f>
        <v>0</v>
      </c>
      <c r="AZ11" s="311">
        <f>COUNTIF(ParicipationMai1[[#This Row],[1]:[31]],Code17)</f>
        <v>0</v>
      </c>
      <c r="BA11" s="311">
        <f>COUNTIF(ParicipationMai1[[#This Row],[1]:[31]],Code25)</f>
        <v>0</v>
      </c>
      <c r="BB11" s="311">
        <f>COUNTIF(ParicipationMai1[[#This Row],[1]:[31]],Code26)</f>
        <v>0</v>
      </c>
      <c r="BC11" s="311">
        <f>COUNTIF(ParicipationMai1[[#This Row],[1]:[31]],Code27)</f>
        <v>0</v>
      </c>
      <c r="BD11" s="311">
        <f>COUNTIF(ParicipationMai1[[#This Row],[1]:[31]],Code28)</f>
        <v>0</v>
      </c>
      <c r="BE11" s="311">
        <f>COUNTIF(ParicipationMai1[[#This Row],[1]:[31]],code30)</f>
        <v>0</v>
      </c>
      <c r="BF11" s="311">
        <f>COUNTIF(ParicipationMai1[[#This Row],[1]:[31]],Code31)</f>
        <v>0</v>
      </c>
      <c r="BG11" s="311">
        <f>COUNTIF(ParicipationMai1[[#This Row],[1]:[31]],code21)</f>
        <v>0</v>
      </c>
      <c r="BH11" s="311">
        <f>COUNTIF(ParicipationMai1[[#This Row],[1]:[31]],Code24)</f>
        <v>0</v>
      </c>
      <c r="BI11" s="311">
        <f>COUNTIF(ParicipationMai1[[#This Row],[1]:[31]],code18)</f>
        <v>0</v>
      </c>
      <c r="BJ11" s="311">
        <f>COUNTIF(ParicipationMai1[[#This Row],[1]:[31]],code19)</f>
        <v>0</v>
      </c>
      <c r="BK11" s="551">
        <f>COUNTIF(ParicipationMai1[[#This Row],[1]:[31]],code20)</f>
        <v>0</v>
      </c>
      <c r="BL11" s="551">
        <f>COUNTIF(ParicipationMai1[[#This Row],[1]:[31]],code29)</f>
        <v>0</v>
      </c>
      <c r="BM11" s="552"/>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553"/>
      <c r="CT11" s="553"/>
      <c r="CU11" s="581"/>
      <c r="CV11" s="575">
        <f t="shared" ref="CV11:CV74" si="0">SUM((AH11*1)+(AI11*1.5)+(AJ11*2)+(AK11*3)+(AP11*5)+(AQ11*6)+(AR11*7)+(AU11*2)+(AX11*3)+(AY11*4)+(AZ11*5)+(BB11*3)+(BA11*2)+(BG11*2)+(BC11*2)+(BD11*2))</f>
        <v>0</v>
      </c>
      <c r="CW11" s="575">
        <f t="shared" ref="CW11:CW74" si="1">SUM((AN11*1)+(AM11*2)+(AO11*3)+(AP11*4)+(AT11*5)+(AU11*7)+(AV11*7)+(AW11*7)+(AX11*4)+(AY11*3)+(BB11*2)+(BC11*4)+(AZ11*1)+(BG11*2)+(BA11*5)+(BD11*1))</f>
        <v>0</v>
      </c>
      <c r="CX11" s="250">
        <f t="shared" ref="CX11:CX74" si="2">BH11*1+BL11*3</f>
        <v>0</v>
      </c>
      <c r="CY11" s="177">
        <f>SUM((BI11*7),(BJ11*10),(BK11*12))</f>
        <v>0</v>
      </c>
    </row>
    <row r="12" spans="1:106">
      <c r="A12" s="405" t="s">
        <v>72</v>
      </c>
      <c r="B12" s="537" t="str">
        <f>IFERROR(VLOOKUP(ParicipationMai1[[#This Row],[Référence]],ListeÉtudiants1[],18,FALSE),"")</f>
        <v>ABOSI MAIWENN</v>
      </c>
      <c r="C12" s="538"/>
      <c r="D12" s="538"/>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9"/>
      <c r="AH12" s="538">
        <f>COUNTIF(ParicipationMai1[[1]:[31]],Code1)</f>
        <v>0</v>
      </c>
      <c r="AI12" s="538">
        <f>COUNTIF(ParicipationMai1[[1]:[31]],code22)</f>
        <v>0</v>
      </c>
      <c r="AJ12" s="132">
        <f>COUNTIF(ParicipationMai1[[#This Row],[1]:[31]],Code2)</f>
        <v>0</v>
      </c>
      <c r="AK12" s="132">
        <f>COUNTIF(ParicipationMai1[[#This Row],[1]:[31]],Code3)</f>
        <v>0</v>
      </c>
      <c r="AL12" s="132">
        <f>COUNTIF(ParicipationMai1[[#This Row],[1]:[31]],Code4)</f>
        <v>0</v>
      </c>
      <c r="AM12" s="132">
        <f>COUNTIF(ParicipationMai1[[#This Row],[1]:[31]],Code5)</f>
        <v>0</v>
      </c>
      <c r="AN12" s="132">
        <f>COUNTIF(ParicipationMai1[[#This Row],[1]:[31]],Code23)</f>
        <v>0</v>
      </c>
      <c r="AO12" s="132">
        <f>COUNTIF(ParicipationMai1[[#This Row],[1]:[31]],Code6)</f>
        <v>0</v>
      </c>
      <c r="AP12" s="132">
        <f>COUNTIF(ParicipationMai1[[#This Row],[1]:[31]],Code7)</f>
        <v>0</v>
      </c>
      <c r="AQ12" s="132">
        <f>COUNTIF(ParicipationMai1[[#This Row],[1]:[31]],Code8)</f>
        <v>0</v>
      </c>
      <c r="AR12" s="132">
        <f>COUNTIF(ParicipationMai1[[#This Row],[1]:[31]],Code9)</f>
        <v>0</v>
      </c>
      <c r="AS12" s="132">
        <f>COUNTIF(ParicipationMai1[[#This Row],[1]:[31]],Code10)</f>
        <v>0</v>
      </c>
      <c r="AT12" s="132">
        <f>COUNTIF(ParicipationMai1[[#This Row],[1]:[31]],Code11)</f>
        <v>0</v>
      </c>
      <c r="AU12" s="132">
        <f>COUNTIF(ParicipationMai1[[#This Row],[1]:[31]],Code12)</f>
        <v>0</v>
      </c>
      <c r="AV12" s="132">
        <f>COUNTIF(ParicipationMai1[[#This Row],[1]:[31]],Code13)</f>
        <v>0</v>
      </c>
      <c r="AW12" s="132">
        <f>COUNTIF(ParicipationMai1[[#This Row],[1]:[31]],Code14)</f>
        <v>0</v>
      </c>
      <c r="AX12" s="132">
        <f>COUNTIF(ParicipationMai1[[#This Row],[1]:[31]],Code15)</f>
        <v>0</v>
      </c>
      <c r="AY12" s="132">
        <f>COUNTIF(ParicipationMai1[[#This Row],[1]:[31]],Code16)</f>
        <v>0</v>
      </c>
      <c r="AZ12" s="132">
        <f>COUNTIF(ParicipationMai1[[#This Row],[1]:[31]],Code17)</f>
        <v>0</v>
      </c>
      <c r="BA12" s="132">
        <f>COUNTIF(ParicipationMai1[[#This Row],[1]:[31]],Code26)</f>
        <v>0</v>
      </c>
      <c r="BB12" s="132">
        <f>COUNTIF(ParicipationMai1[[#This Row],[1]:[31]],Code27)</f>
        <v>0</v>
      </c>
      <c r="BC12" s="132">
        <f>COUNTIF(ParicipationMai1[[#This Row],[1]:[31]],Code27)</f>
        <v>0</v>
      </c>
      <c r="BD12" s="132">
        <f>COUNTIF(ParicipationMai1[[#This Row],[1]:[31]],Code28)</f>
        <v>0</v>
      </c>
      <c r="BE12" s="132">
        <f>COUNTIF(ParicipationMai1[[#This Row],[1]:[31]],code30)</f>
        <v>0</v>
      </c>
      <c r="BF12" s="132">
        <f>COUNTIF(ParicipationMai1[[#This Row],[1]:[31]],Code31)</f>
        <v>0</v>
      </c>
      <c r="BG12" s="132">
        <f>COUNTIF(ParicipationMai1[[#This Row],[1]:[31]],code21)</f>
        <v>0</v>
      </c>
      <c r="BH12" s="132">
        <f>COUNTIF(ParicipationMai1[[#This Row],[1]:[31]],Code24)</f>
        <v>0</v>
      </c>
      <c r="BI12" s="132">
        <f>COUNTIF(ParicipationMai1[[#This Row],[1]:[31]],code18)</f>
        <v>0</v>
      </c>
      <c r="BJ12" s="132">
        <f>COUNTIF(ParicipationMai1[[#This Row],[1]:[31]],code19)</f>
        <v>0</v>
      </c>
      <c r="BK12" s="132">
        <f>COUNTIF(ParicipationMai1[[#This Row],[1]:[31]],code20)</f>
        <v>0</v>
      </c>
      <c r="BL12" s="547">
        <f>COUNTIF(ParicipationMai1[[#This Row],[1]:[31]],code29)</f>
        <v>0</v>
      </c>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547"/>
      <c r="CV12" s="573">
        <f t="shared" si="0"/>
        <v>0</v>
      </c>
      <c r="CW12" s="573">
        <f t="shared" si="1"/>
        <v>0</v>
      </c>
      <c r="CX12" s="574">
        <f t="shared" si="2"/>
        <v>0</v>
      </c>
      <c r="CY12" s="500">
        <f t="shared" ref="CY12:CY75" si="3">SUM((BI12*7),(BJ12*10),(BK12*12))</f>
        <v>0</v>
      </c>
    </row>
    <row r="13" spans="1:106">
      <c r="A13" s="406" t="s">
        <v>73</v>
      </c>
      <c r="B13" s="540" t="str">
        <f>IFERROR(VLOOKUP(ParicipationMai1[[#This Row],[Référence]],ListeÉtudiants1[],18,FALSE),"")</f>
        <v>AFKIR SOUMIA</v>
      </c>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541"/>
      <c r="AH13" s="311">
        <f>COUNTIF(ParicipationMai1[[1]:[31]],Code1)</f>
        <v>0</v>
      </c>
      <c r="AI13" s="311">
        <f>COUNTIF(ParicipationMai1[[1]:[31]],code22)</f>
        <v>0</v>
      </c>
      <c r="AJ13" s="131">
        <f>COUNTIF(ParicipationMai1[[#This Row],[1]:[31]],Code2)</f>
        <v>0</v>
      </c>
      <c r="AK13" s="131">
        <f>COUNTIF(ParicipationMai1[[#This Row],[1]:[31]],Code3)</f>
        <v>0</v>
      </c>
      <c r="AL13" s="131">
        <f>COUNTIF(ParicipationMai1[[#This Row],[1]:[31]],Code4)</f>
        <v>0</v>
      </c>
      <c r="AM13" s="131">
        <f>COUNTIF(ParicipationMai1[[#This Row],[1]:[31]],Code5)</f>
        <v>0</v>
      </c>
      <c r="AN13" s="131">
        <f>COUNTIF(ParicipationMai1[[#This Row],[1]:[31]],Code23)</f>
        <v>0</v>
      </c>
      <c r="AO13" s="131">
        <f>COUNTIF(ParicipationMai1[[#This Row],[1]:[31]],Code6)</f>
        <v>0</v>
      </c>
      <c r="AP13" s="131">
        <f>COUNTIF(ParicipationMai1[[#This Row],[1]:[31]],Code7)</f>
        <v>0</v>
      </c>
      <c r="AQ13" s="131">
        <f>COUNTIF(ParicipationMai1[[#This Row],[1]:[31]],Code8)</f>
        <v>0</v>
      </c>
      <c r="AR13" s="131">
        <f>COUNTIF(ParicipationMai1[[#This Row],[1]:[31]],Code9)</f>
        <v>0</v>
      </c>
      <c r="AS13" s="131">
        <f>COUNTIF(ParicipationMai1[[#This Row],[1]:[31]],Code10)</f>
        <v>0</v>
      </c>
      <c r="AT13" s="131">
        <f>COUNTIF(ParicipationMai1[[#This Row],[1]:[31]],Code11)</f>
        <v>0</v>
      </c>
      <c r="AU13" s="131">
        <f>COUNTIF(ParicipationMai1[[#This Row],[1]:[31]],Code12)</f>
        <v>0</v>
      </c>
      <c r="AV13" s="131">
        <f>COUNTIF(ParicipationMai1[[#This Row],[1]:[31]],Code13)</f>
        <v>0</v>
      </c>
      <c r="AW13" s="131">
        <f>COUNTIF(ParicipationMai1[[#This Row],[1]:[31]],Code14)</f>
        <v>0</v>
      </c>
      <c r="AX13" s="131">
        <f>COUNTIF(ParicipationMai1[[#This Row],[1]:[31]],Code15)</f>
        <v>0</v>
      </c>
      <c r="AY13" s="131">
        <f>COUNTIF(ParicipationMai1[[#This Row],[1]:[31]],Code16)</f>
        <v>0</v>
      </c>
      <c r="AZ13" s="131">
        <f>COUNTIF(ParicipationMai1[[#This Row],[1]:[31]],Code17)</f>
        <v>0</v>
      </c>
      <c r="BA13" s="131">
        <f>COUNTIF(ParicipationMai1[[#This Row],[1]:[31]],Code26)</f>
        <v>0</v>
      </c>
      <c r="BB13" s="131">
        <f>COUNTIF(ParicipationMai1[[#This Row],[1]:[31]],Code27)</f>
        <v>0</v>
      </c>
      <c r="BC13" s="131">
        <f>COUNTIF(ParicipationMai1[[#This Row],[1]:[31]],Code27)</f>
        <v>0</v>
      </c>
      <c r="BD13" s="131">
        <f>COUNTIF(ParicipationMai1[[#This Row],[1]:[31]],Code28)</f>
        <v>0</v>
      </c>
      <c r="BE13" s="131">
        <f>COUNTIF(ParicipationMai1[[#This Row],[1]:[31]],code30)</f>
        <v>0</v>
      </c>
      <c r="BF13" s="131">
        <f>COUNTIF(ParicipationMai1[[#This Row],[1]:[31]],Code31)</f>
        <v>0</v>
      </c>
      <c r="BG13" s="131">
        <f>COUNTIF(ParicipationMai1[[#This Row],[1]:[31]],code21)</f>
        <v>0</v>
      </c>
      <c r="BH13" s="131">
        <f>COUNTIF(ParicipationMai1[[#This Row],[1]:[31]],Code24)</f>
        <v>0</v>
      </c>
      <c r="BI13" s="131">
        <f>COUNTIF(ParicipationMai1[[#This Row],[1]:[31]],code18)</f>
        <v>0</v>
      </c>
      <c r="BJ13" s="131">
        <f>COUNTIF(ParicipationMai1[[#This Row],[1]:[31]],code19)</f>
        <v>0</v>
      </c>
      <c r="BK13" s="131">
        <f>COUNTIF(ParicipationMai1[[#This Row],[1]:[31]],code20)</f>
        <v>0</v>
      </c>
      <c r="BL13" s="548">
        <f>COUNTIF(ParicipationMai1[[#This Row],[1]:[31]],code29)</f>
        <v>0</v>
      </c>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548"/>
      <c r="CV13" s="575">
        <f t="shared" si="0"/>
        <v>0</v>
      </c>
      <c r="CW13" s="575">
        <f t="shared" si="1"/>
        <v>0</v>
      </c>
      <c r="CX13" s="576">
        <f t="shared" si="2"/>
        <v>0</v>
      </c>
      <c r="CY13" s="170">
        <f t="shared" si="3"/>
        <v>0</v>
      </c>
    </row>
    <row r="14" spans="1:106">
      <c r="A14" s="405" t="s">
        <v>74</v>
      </c>
      <c r="B14" s="537" t="str">
        <f>IFERROR(VLOOKUP(ParicipationMai1[[#This Row],[Référence]],ListeÉtudiants1[],18,FALSE),"")</f>
        <v>AFRICA NADINE</v>
      </c>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9"/>
      <c r="AH14" s="538">
        <f>COUNTIF(ParicipationMai1[[1]:[31]],Code1)</f>
        <v>0</v>
      </c>
      <c r="AI14" s="538">
        <f>COUNTIF(ParicipationMai1[[1]:[31]],code22)</f>
        <v>0</v>
      </c>
      <c r="AJ14" s="132">
        <f>COUNTIF(ParicipationMai1[[#This Row],[1]:[31]],Code2)</f>
        <v>0</v>
      </c>
      <c r="AK14" s="132">
        <f>COUNTIF(ParicipationMai1[[#This Row],[1]:[31]],Code3)</f>
        <v>0</v>
      </c>
      <c r="AL14" s="132">
        <f>COUNTIF(ParicipationMai1[[#This Row],[1]:[31]],Code4)</f>
        <v>0</v>
      </c>
      <c r="AM14" s="132">
        <f>COUNTIF(ParicipationMai1[[#This Row],[1]:[31]],Code5)</f>
        <v>0</v>
      </c>
      <c r="AN14" s="132">
        <f>COUNTIF(ParicipationMai1[[#This Row],[1]:[31]],Code23)</f>
        <v>0</v>
      </c>
      <c r="AO14" s="132">
        <f>COUNTIF(ParicipationMai1[[#This Row],[1]:[31]],Code6)</f>
        <v>0</v>
      </c>
      <c r="AP14" s="132">
        <f>COUNTIF(ParicipationMai1[[#This Row],[1]:[31]],Code7)</f>
        <v>0</v>
      </c>
      <c r="AQ14" s="132">
        <f>COUNTIF(ParicipationMai1[[#This Row],[1]:[31]],Code8)</f>
        <v>0</v>
      </c>
      <c r="AR14" s="132">
        <f>COUNTIF(ParicipationMai1[[#This Row],[1]:[31]],Code9)</f>
        <v>0</v>
      </c>
      <c r="AS14" s="132">
        <f>COUNTIF(ParicipationMai1[[#This Row],[1]:[31]],Code10)</f>
        <v>0</v>
      </c>
      <c r="AT14" s="132">
        <f>COUNTIF(ParicipationMai1[[#This Row],[1]:[31]],Code11)</f>
        <v>0</v>
      </c>
      <c r="AU14" s="132">
        <f>COUNTIF(ParicipationMai1[[#This Row],[1]:[31]],Code12)</f>
        <v>0</v>
      </c>
      <c r="AV14" s="132">
        <f>COUNTIF(ParicipationMai1[[#This Row],[1]:[31]],Code13)</f>
        <v>0</v>
      </c>
      <c r="AW14" s="132">
        <f>COUNTIF(ParicipationMai1[[#This Row],[1]:[31]],Code14)</f>
        <v>0</v>
      </c>
      <c r="AX14" s="132">
        <f>COUNTIF(ParicipationMai1[[#This Row],[1]:[31]],Code15)</f>
        <v>0</v>
      </c>
      <c r="AY14" s="132">
        <f>COUNTIF(ParicipationMai1[[#This Row],[1]:[31]],Code16)</f>
        <v>0</v>
      </c>
      <c r="AZ14" s="132">
        <f>COUNTIF(ParicipationMai1[[#This Row],[1]:[31]],Code17)</f>
        <v>0</v>
      </c>
      <c r="BA14" s="132">
        <f>COUNTIF(ParicipationMai1[[#This Row],[1]:[31]],Code26)</f>
        <v>0</v>
      </c>
      <c r="BB14" s="132">
        <f>COUNTIF(ParicipationMai1[[#This Row],[1]:[31]],Code27)</f>
        <v>0</v>
      </c>
      <c r="BC14" s="132">
        <f>COUNTIF(ParicipationMai1[[#This Row],[1]:[31]],Code27)</f>
        <v>0</v>
      </c>
      <c r="BD14" s="132">
        <f>COUNTIF(ParicipationMai1[[#This Row],[1]:[31]],Code28)</f>
        <v>0</v>
      </c>
      <c r="BE14" s="132">
        <f>COUNTIF(ParicipationMai1[[#This Row],[1]:[31]],code30)</f>
        <v>0</v>
      </c>
      <c r="BF14" s="132">
        <f>COUNTIF(ParicipationMai1[[#This Row],[1]:[31]],Code31)</f>
        <v>0</v>
      </c>
      <c r="BG14" s="132">
        <f>COUNTIF(ParicipationMai1[[#This Row],[1]:[31]],code21)</f>
        <v>0</v>
      </c>
      <c r="BH14" s="132">
        <f>COUNTIF(ParicipationMai1[[#This Row],[1]:[31]],Code24)</f>
        <v>0</v>
      </c>
      <c r="BI14" s="132">
        <f>COUNTIF(ParicipationMai1[[#This Row],[1]:[31]],code18)</f>
        <v>0</v>
      </c>
      <c r="BJ14" s="132">
        <f>COUNTIF(ParicipationMai1[[#This Row],[1]:[31]],code19)</f>
        <v>0</v>
      </c>
      <c r="BK14" s="132">
        <f>COUNTIF(ParicipationMai1[[#This Row],[1]:[31]],code20)</f>
        <v>0</v>
      </c>
      <c r="BL14" s="547">
        <f>COUNTIF(ParicipationMai1[[#This Row],[1]:[31]],code29)</f>
        <v>0</v>
      </c>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547"/>
      <c r="CV14" s="573">
        <f t="shared" si="0"/>
        <v>0</v>
      </c>
      <c r="CW14" s="573">
        <f t="shared" si="1"/>
        <v>0</v>
      </c>
      <c r="CX14" s="574">
        <f t="shared" si="2"/>
        <v>0</v>
      </c>
      <c r="CY14" s="500">
        <f t="shared" si="3"/>
        <v>0</v>
      </c>
    </row>
    <row r="15" spans="1:106">
      <c r="A15" s="406" t="s">
        <v>75</v>
      </c>
      <c r="B15" s="540" t="str">
        <f>IFERROR(VLOOKUP(ParicipationMai1[[#This Row],[Référence]],ListeÉtudiants1[],18,FALSE),"")</f>
        <v>AINAUD  MATHILDE</v>
      </c>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541"/>
      <c r="AH15" s="311">
        <f>COUNTIF(ParicipationMai1[[1]:[31]],Code1)</f>
        <v>0</v>
      </c>
      <c r="AI15" s="311">
        <f>COUNTIF(ParicipationMai1[[1]:[31]],code22)</f>
        <v>0</v>
      </c>
      <c r="AJ15" s="131">
        <f>COUNTIF(ParicipationMai1[[#This Row],[1]:[31]],Code2)</f>
        <v>0</v>
      </c>
      <c r="AK15" s="131">
        <f>COUNTIF(ParicipationMai1[[#This Row],[1]:[31]],Code3)</f>
        <v>0</v>
      </c>
      <c r="AL15" s="131">
        <f>COUNTIF(ParicipationMai1[[#This Row],[1]:[31]],Code4)</f>
        <v>0</v>
      </c>
      <c r="AM15" s="131">
        <f>COUNTIF(ParicipationMai1[[#This Row],[1]:[31]],Code5)</f>
        <v>0</v>
      </c>
      <c r="AN15" s="131">
        <f>COUNTIF(ParicipationMai1[[#This Row],[1]:[31]],Code23)</f>
        <v>0</v>
      </c>
      <c r="AO15" s="131">
        <f>COUNTIF(ParicipationMai1[[#This Row],[1]:[31]],Code6)</f>
        <v>0</v>
      </c>
      <c r="AP15" s="131">
        <f>COUNTIF(ParicipationMai1[[#This Row],[1]:[31]],Code7)</f>
        <v>0</v>
      </c>
      <c r="AQ15" s="131">
        <f>COUNTIF(ParicipationMai1[[#This Row],[1]:[31]],Code8)</f>
        <v>0</v>
      </c>
      <c r="AR15" s="131">
        <f>COUNTIF(ParicipationMai1[[#This Row],[1]:[31]],Code9)</f>
        <v>0</v>
      </c>
      <c r="AS15" s="131">
        <f>COUNTIF(ParicipationMai1[[#This Row],[1]:[31]],Code10)</f>
        <v>0</v>
      </c>
      <c r="AT15" s="131">
        <f>COUNTIF(ParicipationMai1[[#This Row],[1]:[31]],Code11)</f>
        <v>0</v>
      </c>
      <c r="AU15" s="131">
        <f>COUNTIF(ParicipationMai1[[#This Row],[1]:[31]],Code12)</f>
        <v>0</v>
      </c>
      <c r="AV15" s="131">
        <f>COUNTIF(ParicipationMai1[[#This Row],[1]:[31]],Code13)</f>
        <v>0</v>
      </c>
      <c r="AW15" s="131">
        <f>COUNTIF(ParicipationMai1[[#This Row],[1]:[31]],Code14)</f>
        <v>0</v>
      </c>
      <c r="AX15" s="131">
        <f>COUNTIF(ParicipationMai1[[#This Row],[1]:[31]],Code15)</f>
        <v>0</v>
      </c>
      <c r="AY15" s="131">
        <f>COUNTIF(ParicipationMai1[[#This Row],[1]:[31]],Code16)</f>
        <v>0</v>
      </c>
      <c r="AZ15" s="131">
        <f>COUNTIF(ParicipationMai1[[#This Row],[1]:[31]],Code17)</f>
        <v>0</v>
      </c>
      <c r="BA15" s="131">
        <f>COUNTIF(ParicipationMai1[[#This Row],[1]:[31]],Code26)</f>
        <v>0</v>
      </c>
      <c r="BB15" s="131">
        <f>COUNTIF(ParicipationMai1[[#This Row],[1]:[31]],Code27)</f>
        <v>0</v>
      </c>
      <c r="BC15" s="131">
        <f>COUNTIF(ParicipationMai1[[#This Row],[1]:[31]],Code27)</f>
        <v>0</v>
      </c>
      <c r="BD15" s="131">
        <f>COUNTIF(ParicipationMai1[[#This Row],[1]:[31]],Code28)</f>
        <v>0</v>
      </c>
      <c r="BE15" s="131">
        <f>COUNTIF(ParicipationMai1[[#This Row],[1]:[31]],code30)</f>
        <v>0</v>
      </c>
      <c r="BF15" s="131">
        <f>COUNTIF(ParicipationMai1[[#This Row],[1]:[31]],Code31)</f>
        <v>0</v>
      </c>
      <c r="BG15" s="131">
        <f>COUNTIF(ParicipationMai1[[#This Row],[1]:[31]],code21)</f>
        <v>0</v>
      </c>
      <c r="BH15" s="131">
        <f>COUNTIF(ParicipationMai1[[#This Row],[1]:[31]],Code24)</f>
        <v>0</v>
      </c>
      <c r="BI15" s="131">
        <f>COUNTIF(ParicipationMai1[[#This Row],[1]:[31]],code18)</f>
        <v>0</v>
      </c>
      <c r="BJ15" s="131">
        <f>COUNTIF(ParicipationMai1[[#This Row],[1]:[31]],code19)</f>
        <v>0</v>
      </c>
      <c r="BK15" s="131">
        <f>COUNTIF(ParicipationMai1[[#This Row],[1]:[31]],code20)</f>
        <v>0</v>
      </c>
      <c r="BL15" s="548">
        <f>COUNTIF(ParicipationMai1[[#This Row],[1]:[31]],code29)</f>
        <v>0</v>
      </c>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548"/>
      <c r="CV15" s="575">
        <f t="shared" si="0"/>
        <v>0</v>
      </c>
      <c r="CW15" s="575">
        <f t="shared" si="1"/>
        <v>0</v>
      </c>
      <c r="CX15" s="576">
        <f t="shared" si="2"/>
        <v>0</v>
      </c>
      <c r="CY15" s="170">
        <f t="shared" si="3"/>
        <v>0</v>
      </c>
    </row>
    <row r="16" spans="1:106">
      <c r="A16" s="405" t="s">
        <v>357</v>
      </c>
      <c r="B16" s="537" t="str">
        <f>IFERROR(VLOOKUP(ParicipationMai1[[#This Row],[Référence]],ListeÉtudiants1[],18,FALSE),"")</f>
        <v>AIT CHALALET SELENA</v>
      </c>
      <c r="C16" s="538"/>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9"/>
      <c r="AH16" s="538">
        <f>COUNTIF(ParicipationMai1[[1]:[31]],Code1)</f>
        <v>0</v>
      </c>
      <c r="AI16" s="538">
        <f>COUNTIF(ParicipationMai1[[1]:[31]],code22)</f>
        <v>0</v>
      </c>
      <c r="AJ16" s="132">
        <f>COUNTIF(ParicipationMai1[[#This Row],[1]:[31]],Code2)</f>
        <v>0</v>
      </c>
      <c r="AK16" s="132">
        <f>COUNTIF(ParicipationMai1[[#This Row],[1]:[31]],Code3)</f>
        <v>0</v>
      </c>
      <c r="AL16" s="132">
        <f>COUNTIF(ParicipationMai1[[#This Row],[1]:[31]],Code4)</f>
        <v>0</v>
      </c>
      <c r="AM16" s="132">
        <f>COUNTIF(ParicipationMai1[[#This Row],[1]:[31]],Code5)</f>
        <v>0</v>
      </c>
      <c r="AN16" s="132">
        <f>COUNTIF(ParicipationMai1[[#This Row],[1]:[31]],Code23)</f>
        <v>0</v>
      </c>
      <c r="AO16" s="132">
        <f>COUNTIF(ParicipationMai1[[#This Row],[1]:[31]],Code6)</f>
        <v>0</v>
      </c>
      <c r="AP16" s="132">
        <f>COUNTIF(ParicipationMai1[[#This Row],[1]:[31]],Code7)</f>
        <v>0</v>
      </c>
      <c r="AQ16" s="132">
        <f>COUNTIF(ParicipationMai1[[#This Row],[1]:[31]],Code8)</f>
        <v>0</v>
      </c>
      <c r="AR16" s="132">
        <f>COUNTIF(ParicipationMai1[[#This Row],[1]:[31]],Code9)</f>
        <v>0</v>
      </c>
      <c r="AS16" s="132">
        <f>COUNTIF(ParicipationMai1[[#This Row],[1]:[31]],Code10)</f>
        <v>0</v>
      </c>
      <c r="AT16" s="132">
        <f>COUNTIF(ParicipationMai1[[#This Row],[1]:[31]],Code11)</f>
        <v>0</v>
      </c>
      <c r="AU16" s="132">
        <f>COUNTIF(ParicipationMai1[[#This Row],[1]:[31]],Code12)</f>
        <v>0</v>
      </c>
      <c r="AV16" s="132">
        <f>COUNTIF(ParicipationMai1[[#This Row],[1]:[31]],Code13)</f>
        <v>0</v>
      </c>
      <c r="AW16" s="132">
        <f>COUNTIF(ParicipationMai1[[#This Row],[1]:[31]],Code14)</f>
        <v>0</v>
      </c>
      <c r="AX16" s="132">
        <f>COUNTIF(ParicipationMai1[[#This Row],[1]:[31]],Code15)</f>
        <v>0</v>
      </c>
      <c r="AY16" s="132">
        <f>COUNTIF(ParicipationMai1[[#This Row],[1]:[31]],Code16)</f>
        <v>0</v>
      </c>
      <c r="AZ16" s="132">
        <f>COUNTIF(ParicipationMai1[[#This Row],[1]:[31]],Code17)</f>
        <v>0</v>
      </c>
      <c r="BA16" s="132">
        <f>COUNTIF(ParicipationMai1[[#This Row],[1]:[31]],Code26)</f>
        <v>0</v>
      </c>
      <c r="BB16" s="132">
        <f>COUNTIF(ParicipationMai1[[#This Row],[1]:[31]],Code27)</f>
        <v>0</v>
      </c>
      <c r="BC16" s="132">
        <f>COUNTIF(ParicipationMai1[[#This Row],[1]:[31]],Code27)</f>
        <v>0</v>
      </c>
      <c r="BD16" s="132">
        <f>COUNTIF(ParicipationMai1[[#This Row],[1]:[31]],Code28)</f>
        <v>0</v>
      </c>
      <c r="BE16" s="132">
        <f>COUNTIF(ParicipationMai1[[#This Row],[1]:[31]],code30)</f>
        <v>0</v>
      </c>
      <c r="BF16" s="132">
        <f>COUNTIF(ParicipationMai1[[#This Row],[1]:[31]],Code31)</f>
        <v>0</v>
      </c>
      <c r="BG16" s="132">
        <f>COUNTIF(ParicipationMai1[[#This Row],[1]:[31]],code21)</f>
        <v>0</v>
      </c>
      <c r="BH16" s="132">
        <f>COUNTIF(ParicipationMai1[[#This Row],[1]:[31]],Code24)</f>
        <v>0</v>
      </c>
      <c r="BI16" s="132">
        <f>COUNTIF(ParicipationMai1[[#This Row],[1]:[31]],code18)</f>
        <v>0</v>
      </c>
      <c r="BJ16" s="132">
        <f>COUNTIF(ParicipationMai1[[#This Row],[1]:[31]],code19)</f>
        <v>0</v>
      </c>
      <c r="BK16" s="132">
        <f>COUNTIF(ParicipationMai1[[#This Row],[1]:[31]],code20)</f>
        <v>0</v>
      </c>
      <c r="BL16" s="547">
        <f>COUNTIF(ParicipationMai1[[#This Row],[1]:[31]],code29)</f>
        <v>0</v>
      </c>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547"/>
      <c r="CV16" s="573">
        <f t="shared" si="0"/>
        <v>0</v>
      </c>
      <c r="CW16" s="573">
        <f t="shared" si="1"/>
        <v>0</v>
      </c>
      <c r="CX16" s="574">
        <f t="shared" si="2"/>
        <v>0</v>
      </c>
      <c r="CY16" s="500">
        <f t="shared" si="3"/>
        <v>0</v>
      </c>
    </row>
    <row r="17" spans="1:103">
      <c r="A17" s="406" t="s">
        <v>358</v>
      </c>
      <c r="B17" s="540" t="str">
        <f>IFERROR(VLOOKUP(ParicipationMai1[[#This Row],[Référence]],ListeÉtudiants1[],18,FALSE),"")</f>
        <v>AJINCA NATHAN</v>
      </c>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541"/>
      <c r="AH17" s="311">
        <f>COUNTIF(ParicipationMai1[[1]:[31]],Code1)</f>
        <v>0</v>
      </c>
      <c r="AI17" s="311">
        <f>COUNTIF(ParicipationMai1[[1]:[31]],code22)</f>
        <v>0</v>
      </c>
      <c r="AJ17" s="131">
        <f>COUNTIF(ParicipationMai1[[#This Row],[1]:[31]],Code2)</f>
        <v>0</v>
      </c>
      <c r="AK17" s="131">
        <f>COUNTIF(ParicipationMai1[[#This Row],[1]:[31]],Code3)</f>
        <v>0</v>
      </c>
      <c r="AL17" s="131">
        <f>COUNTIF(ParicipationMai1[[#This Row],[1]:[31]],Code4)</f>
        <v>0</v>
      </c>
      <c r="AM17" s="131">
        <f>COUNTIF(ParicipationMai1[[#This Row],[1]:[31]],Code5)</f>
        <v>0</v>
      </c>
      <c r="AN17" s="131">
        <f>COUNTIF(ParicipationMai1[[#This Row],[1]:[31]],Code23)</f>
        <v>0</v>
      </c>
      <c r="AO17" s="131">
        <f>COUNTIF(ParicipationMai1[[#This Row],[1]:[31]],Code6)</f>
        <v>0</v>
      </c>
      <c r="AP17" s="131">
        <f>COUNTIF(ParicipationMai1[[#This Row],[1]:[31]],Code7)</f>
        <v>0</v>
      </c>
      <c r="AQ17" s="131">
        <f>COUNTIF(ParicipationMai1[[#This Row],[1]:[31]],Code8)</f>
        <v>0</v>
      </c>
      <c r="AR17" s="131">
        <f>COUNTIF(ParicipationMai1[[#This Row],[1]:[31]],Code9)</f>
        <v>0</v>
      </c>
      <c r="AS17" s="131">
        <f>COUNTIF(ParicipationMai1[[#This Row],[1]:[31]],Code10)</f>
        <v>0</v>
      </c>
      <c r="AT17" s="131">
        <f>COUNTIF(ParicipationMai1[[#This Row],[1]:[31]],Code11)</f>
        <v>0</v>
      </c>
      <c r="AU17" s="131">
        <f>COUNTIF(ParicipationMai1[[#This Row],[1]:[31]],Code12)</f>
        <v>0</v>
      </c>
      <c r="AV17" s="131">
        <f>COUNTIF(ParicipationMai1[[#This Row],[1]:[31]],Code13)</f>
        <v>0</v>
      </c>
      <c r="AW17" s="131">
        <f>COUNTIF(ParicipationMai1[[#This Row],[1]:[31]],Code14)</f>
        <v>0</v>
      </c>
      <c r="AX17" s="131">
        <f>COUNTIF(ParicipationMai1[[#This Row],[1]:[31]],Code15)</f>
        <v>0</v>
      </c>
      <c r="AY17" s="131">
        <f>COUNTIF(ParicipationMai1[[#This Row],[1]:[31]],Code16)</f>
        <v>0</v>
      </c>
      <c r="AZ17" s="131">
        <f>COUNTIF(ParicipationMai1[[#This Row],[1]:[31]],Code17)</f>
        <v>0</v>
      </c>
      <c r="BA17" s="131">
        <f>COUNTIF(ParicipationMai1[[#This Row],[1]:[31]],Code26)</f>
        <v>0</v>
      </c>
      <c r="BB17" s="131">
        <f>COUNTIF(ParicipationMai1[[#This Row],[1]:[31]],Code27)</f>
        <v>0</v>
      </c>
      <c r="BC17" s="131">
        <f>COUNTIF(ParicipationMai1[[#This Row],[1]:[31]],Code27)</f>
        <v>0</v>
      </c>
      <c r="BD17" s="131">
        <f>COUNTIF(ParicipationMai1[[#This Row],[1]:[31]],Code28)</f>
        <v>0</v>
      </c>
      <c r="BE17" s="131">
        <f>COUNTIF(ParicipationMai1[[#This Row],[1]:[31]],code30)</f>
        <v>0</v>
      </c>
      <c r="BF17" s="131">
        <f>COUNTIF(ParicipationMai1[[#This Row],[1]:[31]],Code31)</f>
        <v>0</v>
      </c>
      <c r="BG17" s="131">
        <f>COUNTIF(ParicipationMai1[[#This Row],[1]:[31]],code21)</f>
        <v>0</v>
      </c>
      <c r="BH17" s="131">
        <f>COUNTIF(ParicipationMai1[[#This Row],[1]:[31]],Code24)</f>
        <v>0</v>
      </c>
      <c r="BI17" s="131">
        <f>COUNTIF(ParicipationMai1[[#This Row],[1]:[31]],code18)</f>
        <v>0</v>
      </c>
      <c r="BJ17" s="131">
        <f>COUNTIF(ParicipationMai1[[#This Row],[1]:[31]],code19)</f>
        <v>0</v>
      </c>
      <c r="BK17" s="131">
        <f>COUNTIF(ParicipationMai1[[#This Row],[1]:[31]],code20)</f>
        <v>0</v>
      </c>
      <c r="BL17" s="548">
        <f>COUNTIF(ParicipationMai1[[#This Row],[1]:[31]],code29)</f>
        <v>0</v>
      </c>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548"/>
      <c r="CV17" s="575">
        <f t="shared" si="0"/>
        <v>0</v>
      </c>
      <c r="CW17" s="575">
        <f t="shared" si="1"/>
        <v>0</v>
      </c>
      <c r="CX17" s="576">
        <f t="shared" si="2"/>
        <v>0</v>
      </c>
      <c r="CY17" s="170">
        <f t="shared" si="3"/>
        <v>0</v>
      </c>
    </row>
    <row r="18" spans="1:103">
      <c r="A18" s="405" t="s">
        <v>359</v>
      </c>
      <c r="B18" s="537" t="str">
        <f>IFERROR(VLOOKUP(ParicipationMai1[[#This Row],[Référence]],ListeÉtudiants1[],18,FALSE),"")</f>
        <v>ALBINA IONA</v>
      </c>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9"/>
      <c r="AH18" s="538">
        <f>COUNTIF(ParicipationMai1[[1]:[31]],Code1)</f>
        <v>0</v>
      </c>
      <c r="AI18" s="538">
        <f>COUNTIF(ParicipationMai1[[1]:[31]],code22)</f>
        <v>0</v>
      </c>
      <c r="AJ18" s="132">
        <f>COUNTIF(ParicipationMai1[[#This Row],[1]:[31]],Code2)</f>
        <v>0</v>
      </c>
      <c r="AK18" s="132">
        <f>COUNTIF(ParicipationMai1[[#This Row],[1]:[31]],Code3)</f>
        <v>0</v>
      </c>
      <c r="AL18" s="132">
        <f>COUNTIF(ParicipationMai1[[#This Row],[1]:[31]],Code4)</f>
        <v>0</v>
      </c>
      <c r="AM18" s="132">
        <f>COUNTIF(ParicipationMai1[[#This Row],[1]:[31]],Code5)</f>
        <v>0</v>
      </c>
      <c r="AN18" s="132">
        <f>COUNTIF(ParicipationMai1[[#This Row],[1]:[31]],Code23)</f>
        <v>0</v>
      </c>
      <c r="AO18" s="132">
        <f>COUNTIF(ParicipationMai1[[#This Row],[1]:[31]],Code6)</f>
        <v>0</v>
      </c>
      <c r="AP18" s="132">
        <f>COUNTIF(ParicipationMai1[[#This Row],[1]:[31]],Code7)</f>
        <v>0</v>
      </c>
      <c r="AQ18" s="132">
        <f>COUNTIF(ParicipationMai1[[#This Row],[1]:[31]],Code8)</f>
        <v>0</v>
      </c>
      <c r="AR18" s="132">
        <f>COUNTIF(ParicipationMai1[[#This Row],[1]:[31]],Code9)</f>
        <v>0</v>
      </c>
      <c r="AS18" s="132">
        <f>COUNTIF(ParicipationMai1[[#This Row],[1]:[31]],Code10)</f>
        <v>0</v>
      </c>
      <c r="AT18" s="132">
        <f>COUNTIF(ParicipationMai1[[#This Row],[1]:[31]],Code11)</f>
        <v>0</v>
      </c>
      <c r="AU18" s="132">
        <f>COUNTIF(ParicipationMai1[[#This Row],[1]:[31]],Code12)</f>
        <v>0</v>
      </c>
      <c r="AV18" s="132">
        <f>COUNTIF(ParicipationMai1[[#This Row],[1]:[31]],Code13)</f>
        <v>0</v>
      </c>
      <c r="AW18" s="132">
        <f>COUNTIF(ParicipationMai1[[#This Row],[1]:[31]],Code14)</f>
        <v>0</v>
      </c>
      <c r="AX18" s="132">
        <f>COUNTIF(ParicipationMai1[[#This Row],[1]:[31]],Code15)</f>
        <v>0</v>
      </c>
      <c r="AY18" s="132">
        <f>COUNTIF(ParicipationMai1[[#This Row],[1]:[31]],Code16)</f>
        <v>0</v>
      </c>
      <c r="AZ18" s="132">
        <f>COUNTIF(ParicipationMai1[[#This Row],[1]:[31]],Code17)</f>
        <v>0</v>
      </c>
      <c r="BA18" s="132">
        <f>COUNTIF(ParicipationMai1[[#This Row],[1]:[31]],Code26)</f>
        <v>0</v>
      </c>
      <c r="BB18" s="132">
        <f>COUNTIF(ParicipationMai1[[#This Row],[1]:[31]],Code27)</f>
        <v>0</v>
      </c>
      <c r="BC18" s="132">
        <f>COUNTIF(ParicipationMai1[[#This Row],[1]:[31]],Code27)</f>
        <v>0</v>
      </c>
      <c r="BD18" s="132">
        <f>COUNTIF(ParicipationMai1[[#This Row],[1]:[31]],Code28)</f>
        <v>0</v>
      </c>
      <c r="BE18" s="132">
        <f>COUNTIF(ParicipationMai1[[#This Row],[1]:[31]],code30)</f>
        <v>0</v>
      </c>
      <c r="BF18" s="132">
        <f>COUNTIF(ParicipationMai1[[#This Row],[1]:[31]],Code31)</f>
        <v>0</v>
      </c>
      <c r="BG18" s="132">
        <f>COUNTIF(ParicipationMai1[[#This Row],[1]:[31]],code21)</f>
        <v>0</v>
      </c>
      <c r="BH18" s="132">
        <f>COUNTIF(ParicipationMai1[[#This Row],[1]:[31]],Code24)</f>
        <v>0</v>
      </c>
      <c r="BI18" s="132">
        <f>COUNTIF(ParicipationMai1[[#This Row],[1]:[31]],code18)</f>
        <v>0</v>
      </c>
      <c r="BJ18" s="132">
        <f>COUNTIF(ParicipationMai1[[#This Row],[1]:[31]],code19)</f>
        <v>0</v>
      </c>
      <c r="BK18" s="132">
        <f>COUNTIF(ParicipationMai1[[#This Row],[1]:[31]],code20)</f>
        <v>0</v>
      </c>
      <c r="BL18" s="547">
        <f>COUNTIF(ParicipationMai1[[#This Row],[1]:[31]],code29)</f>
        <v>0</v>
      </c>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547"/>
      <c r="CV18" s="573">
        <f t="shared" si="0"/>
        <v>0</v>
      </c>
      <c r="CW18" s="573">
        <f t="shared" si="1"/>
        <v>0</v>
      </c>
      <c r="CX18" s="574">
        <f t="shared" si="2"/>
        <v>0</v>
      </c>
      <c r="CY18" s="500">
        <f t="shared" si="3"/>
        <v>0</v>
      </c>
    </row>
    <row r="19" spans="1:103">
      <c r="A19" s="406" t="s">
        <v>360</v>
      </c>
      <c r="B19" s="540" t="str">
        <f>IFERROR(VLOOKUP(ParicipationMai1[[#This Row],[Référence]],ListeÉtudiants1[],18,FALSE),"")</f>
        <v>ALCHEK MONA</v>
      </c>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541"/>
      <c r="AH19" s="311">
        <f>COUNTIF(ParicipationMai1[[1]:[31]],Code1)</f>
        <v>0</v>
      </c>
      <c r="AI19" s="311">
        <f>COUNTIF(ParicipationMai1[[1]:[31]],code22)</f>
        <v>0</v>
      </c>
      <c r="AJ19" s="131">
        <f>COUNTIF(ParicipationMai1[[#This Row],[1]:[31]],Code2)</f>
        <v>0</v>
      </c>
      <c r="AK19" s="131">
        <f>COUNTIF(ParicipationMai1[[#This Row],[1]:[31]],Code3)</f>
        <v>0</v>
      </c>
      <c r="AL19" s="131">
        <f>COUNTIF(ParicipationMai1[[#This Row],[1]:[31]],Code4)</f>
        <v>0</v>
      </c>
      <c r="AM19" s="131">
        <f>COUNTIF(ParicipationMai1[[#This Row],[1]:[31]],Code5)</f>
        <v>0</v>
      </c>
      <c r="AN19" s="131">
        <f>COUNTIF(ParicipationMai1[[#This Row],[1]:[31]],Code23)</f>
        <v>0</v>
      </c>
      <c r="AO19" s="131">
        <f>COUNTIF(ParicipationMai1[[#This Row],[1]:[31]],Code6)</f>
        <v>0</v>
      </c>
      <c r="AP19" s="131">
        <f>COUNTIF(ParicipationMai1[[#This Row],[1]:[31]],Code7)</f>
        <v>0</v>
      </c>
      <c r="AQ19" s="131">
        <f>COUNTIF(ParicipationMai1[[#This Row],[1]:[31]],Code8)</f>
        <v>0</v>
      </c>
      <c r="AR19" s="131">
        <f>COUNTIF(ParicipationMai1[[#This Row],[1]:[31]],Code9)</f>
        <v>0</v>
      </c>
      <c r="AS19" s="131">
        <f>COUNTIF(ParicipationMai1[[#This Row],[1]:[31]],Code10)</f>
        <v>0</v>
      </c>
      <c r="AT19" s="131">
        <f>COUNTIF(ParicipationMai1[[#This Row],[1]:[31]],Code11)</f>
        <v>0</v>
      </c>
      <c r="AU19" s="131">
        <f>COUNTIF(ParicipationMai1[[#This Row],[1]:[31]],Code12)</f>
        <v>0</v>
      </c>
      <c r="AV19" s="131">
        <f>COUNTIF(ParicipationMai1[[#This Row],[1]:[31]],Code13)</f>
        <v>0</v>
      </c>
      <c r="AW19" s="131">
        <f>COUNTIF(ParicipationMai1[[#This Row],[1]:[31]],Code14)</f>
        <v>0</v>
      </c>
      <c r="AX19" s="131">
        <f>COUNTIF(ParicipationMai1[[#This Row],[1]:[31]],Code15)</f>
        <v>0</v>
      </c>
      <c r="AY19" s="131">
        <f>COUNTIF(ParicipationMai1[[#This Row],[1]:[31]],Code16)</f>
        <v>0</v>
      </c>
      <c r="AZ19" s="131">
        <f>COUNTIF(ParicipationMai1[[#This Row],[1]:[31]],Code17)</f>
        <v>0</v>
      </c>
      <c r="BA19" s="131">
        <f>COUNTIF(ParicipationMai1[[#This Row],[1]:[31]],Code26)</f>
        <v>0</v>
      </c>
      <c r="BB19" s="131">
        <f>COUNTIF(ParicipationMai1[[#This Row],[1]:[31]],Code27)</f>
        <v>0</v>
      </c>
      <c r="BC19" s="131">
        <f>COUNTIF(ParicipationMai1[[#This Row],[1]:[31]],Code27)</f>
        <v>0</v>
      </c>
      <c r="BD19" s="131">
        <f>COUNTIF(ParicipationMai1[[#This Row],[1]:[31]],Code28)</f>
        <v>0</v>
      </c>
      <c r="BE19" s="131">
        <f>COUNTIF(ParicipationMai1[[#This Row],[1]:[31]],code30)</f>
        <v>0</v>
      </c>
      <c r="BF19" s="131">
        <f>COUNTIF(ParicipationMai1[[#This Row],[1]:[31]],Code31)</f>
        <v>0</v>
      </c>
      <c r="BG19" s="131">
        <f>COUNTIF(ParicipationMai1[[#This Row],[1]:[31]],code21)</f>
        <v>0</v>
      </c>
      <c r="BH19" s="131">
        <f>COUNTIF(ParicipationMai1[[#This Row],[1]:[31]],Code24)</f>
        <v>0</v>
      </c>
      <c r="BI19" s="131">
        <f>COUNTIF(ParicipationMai1[[#This Row],[1]:[31]],code18)</f>
        <v>0</v>
      </c>
      <c r="BJ19" s="131">
        <f>COUNTIF(ParicipationMai1[[#This Row],[1]:[31]],code19)</f>
        <v>0</v>
      </c>
      <c r="BK19" s="131">
        <f>COUNTIF(ParicipationMai1[[#This Row],[1]:[31]],code20)</f>
        <v>0</v>
      </c>
      <c r="BL19" s="548">
        <f>COUNTIF(ParicipationMai1[[#This Row],[1]:[31]],code29)</f>
        <v>0</v>
      </c>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548"/>
      <c r="CV19" s="575">
        <f t="shared" si="0"/>
        <v>0</v>
      </c>
      <c r="CW19" s="575">
        <f t="shared" si="1"/>
        <v>0</v>
      </c>
      <c r="CX19" s="576">
        <f t="shared" si="2"/>
        <v>0</v>
      </c>
      <c r="CY19" s="170">
        <f t="shared" si="3"/>
        <v>0</v>
      </c>
    </row>
    <row r="20" spans="1:103">
      <c r="A20" s="405" t="s">
        <v>361</v>
      </c>
      <c r="B20" s="537" t="str">
        <f>IFERROR(VLOOKUP(ParicipationMai1[[#This Row],[Référence]],ListeÉtudiants1[],18,FALSE),"")</f>
        <v>ALLOUCH EINAT</v>
      </c>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9"/>
      <c r="AH20" s="538">
        <f>COUNTIF(ParicipationMai1[[1]:[31]],Code1)</f>
        <v>0</v>
      </c>
      <c r="AI20" s="538">
        <f>COUNTIF(ParicipationMai1[[1]:[31]],code22)</f>
        <v>0</v>
      </c>
      <c r="AJ20" s="132">
        <f>COUNTIF(ParicipationMai1[[#This Row],[1]:[31]],Code2)</f>
        <v>0</v>
      </c>
      <c r="AK20" s="132">
        <f>COUNTIF(ParicipationMai1[[#This Row],[1]:[31]],Code3)</f>
        <v>0</v>
      </c>
      <c r="AL20" s="132">
        <f>COUNTIF(ParicipationMai1[[#This Row],[1]:[31]],Code4)</f>
        <v>0</v>
      </c>
      <c r="AM20" s="132">
        <f>COUNTIF(ParicipationMai1[[#This Row],[1]:[31]],Code5)</f>
        <v>0</v>
      </c>
      <c r="AN20" s="132">
        <f>COUNTIF(ParicipationMai1[[#This Row],[1]:[31]],Code23)</f>
        <v>0</v>
      </c>
      <c r="AO20" s="132">
        <f>COUNTIF(ParicipationMai1[[#This Row],[1]:[31]],Code6)</f>
        <v>0</v>
      </c>
      <c r="AP20" s="132">
        <f>COUNTIF(ParicipationMai1[[#This Row],[1]:[31]],Code7)</f>
        <v>0</v>
      </c>
      <c r="AQ20" s="132">
        <f>COUNTIF(ParicipationMai1[[#This Row],[1]:[31]],Code8)</f>
        <v>0</v>
      </c>
      <c r="AR20" s="132">
        <f>COUNTIF(ParicipationMai1[[#This Row],[1]:[31]],Code9)</f>
        <v>0</v>
      </c>
      <c r="AS20" s="132">
        <f>COUNTIF(ParicipationMai1[[#This Row],[1]:[31]],Code10)</f>
        <v>0</v>
      </c>
      <c r="AT20" s="132">
        <f>COUNTIF(ParicipationMai1[[#This Row],[1]:[31]],Code11)</f>
        <v>0</v>
      </c>
      <c r="AU20" s="132">
        <f>COUNTIF(ParicipationMai1[[#This Row],[1]:[31]],Code12)</f>
        <v>0</v>
      </c>
      <c r="AV20" s="132">
        <f>COUNTIF(ParicipationMai1[[#This Row],[1]:[31]],Code13)</f>
        <v>0</v>
      </c>
      <c r="AW20" s="132">
        <f>COUNTIF(ParicipationMai1[[#This Row],[1]:[31]],Code14)</f>
        <v>0</v>
      </c>
      <c r="AX20" s="132">
        <f>COUNTIF(ParicipationMai1[[#This Row],[1]:[31]],Code15)</f>
        <v>0</v>
      </c>
      <c r="AY20" s="132">
        <f>COUNTIF(ParicipationMai1[[#This Row],[1]:[31]],Code16)</f>
        <v>0</v>
      </c>
      <c r="AZ20" s="132">
        <f>COUNTIF(ParicipationMai1[[#This Row],[1]:[31]],Code17)</f>
        <v>0</v>
      </c>
      <c r="BA20" s="132">
        <f>COUNTIF(ParicipationMai1[[#This Row],[1]:[31]],Code26)</f>
        <v>0</v>
      </c>
      <c r="BB20" s="132">
        <f>COUNTIF(ParicipationMai1[[#This Row],[1]:[31]],Code27)</f>
        <v>0</v>
      </c>
      <c r="BC20" s="132">
        <f>COUNTIF(ParicipationMai1[[#This Row],[1]:[31]],Code27)</f>
        <v>0</v>
      </c>
      <c r="BD20" s="132">
        <f>COUNTIF(ParicipationMai1[[#This Row],[1]:[31]],Code28)</f>
        <v>0</v>
      </c>
      <c r="BE20" s="132">
        <f>COUNTIF(ParicipationMai1[[#This Row],[1]:[31]],code30)</f>
        <v>0</v>
      </c>
      <c r="BF20" s="132">
        <f>COUNTIF(ParicipationMai1[[#This Row],[1]:[31]],Code31)</f>
        <v>0</v>
      </c>
      <c r="BG20" s="132">
        <f>COUNTIF(ParicipationMai1[[#This Row],[1]:[31]],code21)</f>
        <v>0</v>
      </c>
      <c r="BH20" s="132">
        <f>COUNTIF(ParicipationMai1[[#This Row],[1]:[31]],Code24)</f>
        <v>0</v>
      </c>
      <c r="BI20" s="132">
        <f>COUNTIF(ParicipationMai1[[#This Row],[1]:[31]],code18)</f>
        <v>0</v>
      </c>
      <c r="BJ20" s="132">
        <f>COUNTIF(ParicipationMai1[[#This Row],[1]:[31]],code19)</f>
        <v>0</v>
      </c>
      <c r="BK20" s="132">
        <f>COUNTIF(ParicipationMai1[[#This Row],[1]:[31]],code20)</f>
        <v>0</v>
      </c>
      <c r="BL20" s="547">
        <f>COUNTIF(ParicipationMai1[[#This Row],[1]:[31]],code29)</f>
        <v>0</v>
      </c>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547"/>
      <c r="CV20" s="573">
        <f t="shared" si="0"/>
        <v>0</v>
      </c>
      <c r="CW20" s="573">
        <f t="shared" si="1"/>
        <v>0</v>
      </c>
      <c r="CX20" s="574">
        <f t="shared" si="2"/>
        <v>0</v>
      </c>
      <c r="CY20" s="500">
        <f t="shared" si="3"/>
        <v>0</v>
      </c>
    </row>
    <row r="21" spans="1:103">
      <c r="A21" s="406" t="s">
        <v>362</v>
      </c>
      <c r="B21" s="540" t="str">
        <f>IFERROR(VLOOKUP(ParicipationMai1[[#This Row],[Référence]],ListeÉtudiants1[],18,FALSE),"")</f>
        <v>ANCELE-VALCIN KATIANA</v>
      </c>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541"/>
      <c r="AH21" s="311">
        <f>COUNTIF(ParicipationMai1[[1]:[31]],Code1)</f>
        <v>0</v>
      </c>
      <c r="AI21" s="311">
        <f>COUNTIF(ParicipationMai1[[1]:[31]],code22)</f>
        <v>0</v>
      </c>
      <c r="AJ21" s="131">
        <f>COUNTIF(ParicipationMai1[[#This Row],[1]:[31]],Code2)</f>
        <v>0</v>
      </c>
      <c r="AK21" s="131">
        <f>COUNTIF(ParicipationMai1[[#This Row],[1]:[31]],Code3)</f>
        <v>0</v>
      </c>
      <c r="AL21" s="131">
        <f>COUNTIF(ParicipationMai1[[#This Row],[1]:[31]],Code4)</f>
        <v>0</v>
      </c>
      <c r="AM21" s="131">
        <f>COUNTIF(ParicipationMai1[[#This Row],[1]:[31]],Code5)</f>
        <v>0</v>
      </c>
      <c r="AN21" s="131">
        <f>COUNTIF(ParicipationMai1[[#This Row],[1]:[31]],Code23)</f>
        <v>0</v>
      </c>
      <c r="AO21" s="131">
        <f>COUNTIF(ParicipationMai1[[#This Row],[1]:[31]],Code6)</f>
        <v>0</v>
      </c>
      <c r="AP21" s="131">
        <f>COUNTIF(ParicipationMai1[[#This Row],[1]:[31]],Code7)</f>
        <v>0</v>
      </c>
      <c r="AQ21" s="131">
        <f>COUNTIF(ParicipationMai1[[#This Row],[1]:[31]],Code8)</f>
        <v>0</v>
      </c>
      <c r="AR21" s="131">
        <f>COUNTIF(ParicipationMai1[[#This Row],[1]:[31]],Code9)</f>
        <v>0</v>
      </c>
      <c r="AS21" s="131">
        <f>COUNTIF(ParicipationMai1[[#This Row],[1]:[31]],Code10)</f>
        <v>0</v>
      </c>
      <c r="AT21" s="131">
        <f>COUNTIF(ParicipationMai1[[#This Row],[1]:[31]],Code11)</f>
        <v>0</v>
      </c>
      <c r="AU21" s="131">
        <f>COUNTIF(ParicipationMai1[[#This Row],[1]:[31]],Code12)</f>
        <v>0</v>
      </c>
      <c r="AV21" s="131">
        <f>COUNTIF(ParicipationMai1[[#This Row],[1]:[31]],Code13)</f>
        <v>0</v>
      </c>
      <c r="AW21" s="131">
        <f>COUNTIF(ParicipationMai1[[#This Row],[1]:[31]],Code14)</f>
        <v>0</v>
      </c>
      <c r="AX21" s="131">
        <f>COUNTIF(ParicipationMai1[[#This Row],[1]:[31]],Code15)</f>
        <v>0</v>
      </c>
      <c r="AY21" s="131">
        <f>COUNTIF(ParicipationMai1[[#This Row],[1]:[31]],Code16)</f>
        <v>0</v>
      </c>
      <c r="AZ21" s="131">
        <f>COUNTIF(ParicipationMai1[[#This Row],[1]:[31]],Code17)</f>
        <v>0</v>
      </c>
      <c r="BA21" s="131">
        <f>COUNTIF(ParicipationMai1[[#This Row],[1]:[31]],Code26)</f>
        <v>0</v>
      </c>
      <c r="BB21" s="131">
        <f>COUNTIF(ParicipationMai1[[#This Row],[1]:[31]],Code27)</f>
        <v>0</v>
      </c>
      <c r="BC21" s="131">
        <f>COUNTIF(ParicipationMai1[[#This Row],[1]:[31]],Code27)</f>
        <v>0</v>
      </c>
      <c r="BD21" s="131">
        <f>COUNTIF(ParicipationMai1[[#This Row],[1]:[31]],Code28)</f>
        <v>0</v>
      </c>
      <c r="BE21" s="131">
        <f>COUNTIF(ParicipationMai1[[#This Row],[1]:[31]],code30)</f>
        <v>0</v>
      </c>
      <c r="BF21" s="131">
        <f>COUNTIF(ParicipationMai1[[#This Row],[1]:[31]],Code31)</f>
        <v>0</v>
      </c>
      <c r="BG21" s="131">
        <f>COUNTIF(ParicipationMai1[[#This Row],[1]:[31]],code21)</f>
        <v>0</v>
      </c>
      <c r="BH21" s="131">
        <f>COUNTIF(ParicipationMai1[[#This Row],[1]:[31]],Code24)</f>
        <v>0</v>
      </c>
      <c r="BI21" s="131">
        <f>COUNTIF(ParicipationMai1[[#This Row],[1]:[31]],code18)</f>
        <v>0</v>
      </c>
      <c r="BJ21" s="131">
        <f>COUNTIF(ParicipationMai1[[#This Row],[1]:[31]],code19)</f>
        <v>0</v>
      </c>
      <c r="BK21" s="131">
        <f>COUNTIF(ParicipationMai1[[#This Row],[1]:[31]],code20)</f>
        <v>0</v>
      </c>
      <c r="BL21" s="548">
        <f>COUNTIF(ParicipationMai1[[#This Row],[1]:[31]],code29)</f>
        <v>0</v>
      </c>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548"/>
      <c r="CV21" s="575">
        <f t="shared" si="0"/>
        <v>0</v>
      </c>
      <c r="CW21" s="575">
        <f t="shared" si="1"/>
        <v>0</v>
      </c>
      <c r="CX21" s="576">
        <f t="shared" si="2"/>
        <v>0</v>
      </c>
      <c r="CY21" s="170">
        <f t="shared" si="3"/>
        <v>0</v>
      </c>
    </row>
    <row r="22" spans="1:103">
      <c r="A22" s="405" t="s">
        <v>363</v>
      </c>
      <c r="B22" s="537" t="str">
        <f>IFERROR(VLOOKUP(ParicipationMai1[[#This Row],[Référence]],ListeÉtudiants1[],18,FALSE),"")</f>
        <v>ANDRE ORNELLA</v>
      </c>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9"/>
      <c r="AH22" s="538">
        <f>COUNTIF(ParicipationMai1[[1]:[31]],Code1)</f>
        <v>0</v>
      </c>
      <c r="AI22" s="538">
        <f>COUNTIF(ParicipationMai1[[1]:[31]],code22)</f>
        <v>0</v>
      </c>
      <c r="AJ22" s="132">
        <f>COUNTIF(ParicipationMai1[[#This Row],[1]:[31]],Code2)</f>
        <v>0</v>
      </c>
      <c r="AK22" s="132">
        <f>COUNTIF(ParicipationMai1[[#This Row],[1]:[31]],Code3)</f>
        <v>0</v>
      </c>
      <c r="AL22" s="132">
        <f>COUNTIF(ParicipationMai1[[#This Row],[1]:[31]],Code4)</f>
        <v>0</v>
      </c>
      <c r="AM22" s="132">
        <f>COUNTIF(ParicipationMai1[[#This Row],[1]:[31]],Code5)</f>
        <v>0</v>
      </c>
      <c r="AN22" s="132">
        <f>COUNTIF(ParicipationMai1[[#This Row],[1]:[31]],Code23)</f>
        <v>0</v>
      </c>
      <c r="AO22" s="132">
        <f>COUNTIF(ParicipationMai1[[#This Row],[1]:[31]],Code6)</f>
        <v>0</v>
      </c>
      <c r="AP22" s="132">
        <f>COUNTIF(ParicipationMai1[[#This Row],[1]:[31]],Code7)</f>
        <v>0</v>
      </c>
      <c r="AQ22" s="132">
        <f>COUNTIF(ParicipationMai1[[#This Row],[1]:[31]],Code8)</f>
        <v>0</v>
      </c>
      <c r="AR22" s="132">
        <f>COUNTIF(ParicipationMai1[[#This Row],[1]:[31]],Code9)</f>
        <v>0</v>
      </c>
      <c r="AS22" s="132">
        <f>COUNTIF(ParicipationMai1[[#This Row],[1]:[31]],Code10)</f>
        <v>0</v>
      </c>
      <c r="AT22" s="132">
        <f>COUNTIF(ParicipationMai1[[#This Row],[1]:[31]],Code11)</f>
        <v>0</v>
      </c>
      <c r="AU22" s="132">
        <f>COUNTIF(ParicipationMai1[[#This Row],[1]:[31]],Code12)</f>
        <v>0</v>
      </c>
      <c r="AV22" s="132">
        <f>COUNTIF(ParicipationMai1[[#This Row],[1]:[31]],Code13)</f>
        <v>0</v>
      </c>
      <c r="AW22" s="132">
        <f>COUNTIF(ParicipationMai1[[#This Row],[1]:[31]],Code14)</f>
        <v>0</v>
      </c>
      <c r="AX22" s="132">
        <f>COUNTIF(ParicipationMai1[[#This Row],[1]:[31]],Code15)</f>
        <v>0</v>
      </c>
      <c r="AY22" s="132">
        <f>COUNTIF(ParicipationMai1[[#This Row],[1]:[31]],Code16)</f>
        <v>0</v>
      </c>
      <c r="AZ22" s="132">
        <f>COUNTIF(ParicipationMai1[[#This Row],[1]:[31]],Code17)</f>
        <v>0</v>
      </c>
      <c r="BA22" s="132">
        <f>COUNTIF(ParicipationMai1[[#This Row],[1]:[31]],Code26)</f>
        <v>0</v>
      </c>
      <c r="BB22" s="132">
        <f>COUNTIF(ParicipationMai1[[#This Row],[1]:[31]],Code27)</f>
        <v>0</v>
      </c>
      <c r="BC22" s="132">
        <f>COUNTIF(ParicipationMai1[[#This Row],[1]:[31]],Code27)</f>
        <v>0</v>
      </c>
      <c r="BD22" s="132">
        <f>COUNTIF(ParicipationMai1[[#This Row],[1]:[31]],Code28)</f>
        <v>0</v>
      </c>
      <c r="BE22" s="132">
        <f>COUNTIF(ParicipationMai1[[#This Row],[1]:[31]],code30)</f>
        <v>0</v>
      </c>
      <c r="BF22" s="132">
        <f>COUNTIF(ParicipationMai1[[#This Row],[1]:[31]],Code31)</f>
        <v>0</v>
      </c>
      <c r="BG22" s="132">
        <f>COUNTIF(ParicipationMai1[[#This Row],[1]:[31]],code21)</f>
        <v>0</v>
      </c>
      <c r="BH22" s="132">
        <f>COUNTIF(ParicipationMai1[[#This Row],[1]:[31]],Code24)</f>
        <v>0</v>
      </c>
      <c r="BI22" s="132">
        <f>COUNTIF(ParicipationMai1[[#This Row],[1]:[31]],code18)</f>
        <v>0</v>
      </c>
      <c r="BJ22" s="132">
        <f>COUNTIF(ParicipationMai1[[#This Row],[1]:[31]],code19)</f>
        <v>0</v>
      </c>
      <c r="BK22" s="132">
        <f>COUNTIF(ParicipationMai1[[#This Row],[1]:[31]],code20)</f>
        <v>0</v>
      </c>
      <c r="BL22" s="547">
        <f>COUNTIF(ParicipationMai1[[#This Row],[1]:[31]],code29)</f>
        <v>0</v>
      </c>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547"/>
      <c r="CV22" s="573">
        <f t="shared" si="0"/>
        <v>0</v>
      </c>
      <c r="CW22" s="573">
        <f t="shared" si="1"/>
        <v>0</v>
      </c>
      <c r="CX22" s="574">
        <f t="shared" si="2"/>
        <v>0</v>
      </c>
      <c r="CY22" s="500">
        <f t="shared" si="3"/>
        <v>0</v>
      </c>
    </row>
    <row r="23" spans="1:103">
      <c r="A23" s="406" t="s">
        <v>364</v>
      </c>
      <c r="B23" s="540" t="str">
        <f>IFERROR(VLOOKUP(ParicipationMai1[[#This Row],[Référence]],ListeÉtudiants1[],18,FALSE),"")</f>
        <v>ANGRE GRACE</v>
      </c>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541"/>
      <c r="AH23" s="311">
        <f>COUNTIF(ParicipationMai1[[1]:[31]],Code1)</f>
        <v>0</v>
      </c>
      <c r="AI23" s="311">
        <f>COUNTIF(ParicipationMai1[[1]:[31]],code22)</f>
        <v>0</v>
      </c>
      <c r="AJ23" s="131">
        <f>COUNTIF(ParicipationMai1[[#This Row],[1]:[31]],Code2)</f>
        <v>0</v>
      </c>
      <c r="AK23" s="131">
        <f>COUNTIF(ParicipationMai1[[#This Row],[1]:[31]],Code3)</f>
        <v>0</v>
      </c>
      <c r="AL23" s="131">
        <f>COUNTIF(ParicipationMai1[[#This Row],[1]:[31]],Code4)</f>
        <v>0</v>
      </c>
      <c r="AM23" s="131">
        <f>COUNTIF(ParicipationMai1[[#This Row],[1]:[31]],Code5)</f>
        <v>0</v>
      </c>
      <c r="AN23" s="131">
        <f>COUNTIF(ParicipationMai1[[#This Row],[1]:[31]],Code23)</f>
        <v>0</v>
      </c>
      <c r="AO23" s="131">
        <f>COUNTIF(ParicipationMai1[[#This Row],[1]:[31]],Code6)</f>
        <v>0</v>
      </c>
      <c r="AP23" s="131">
        <f>COUNTIF(ParicipationMai1[[#This Row],[1]:[31]],Code7)</f>
        <v>0</v>
      </c>
      <c r="AQ23" s="131">
        <f>COUNTIF(ParicipationMai1[[#This Row],[1]:[31]],Code8)</f>
        <v>0</v>
      </c>
      <c r="AR23" s="131">
        <f>COUNTIF(ParicipationMai1[[#This Row],[1]:[31]],Code9)</f>
        <v>0</v>
      </c>
      <c r="AS23" s="131">
        <f>COUNTIF(ParicipationMai1[[#This Row],[1]:[31]],Code10)</f>
        <v>0</v>
      </c>
      <c r="AT23" s="131">
        <f>COUNTIF(ParicipationMai1[[#This Row],[1]:[31]],Code11)</f>
        <v>0</v>
      </c>
      <c r="AU23" s="131">
        <f>COUNTIF(ParicipationMai1[[#This Row],[1]:[31]],Code12)</f>
        <v>0</v>
      </c>
      <c r="AV23" s="131">
        <f>COUNTIF(ParicipationMai1[[#This Row],[1]:[31]],Code13)</f>
        <v>0</v>
      </c>
      <c r="AW23" s="131">
        <f>COUNTIF(ParicipationMai1[[#This Row],[1]:[31]],Code14)</f>
        <v>0</v>
      </c>
      <c r="AX23" s="131">
        <f>COUNTIF(ParicipationMai1[[#This Row],[1]:[31]],Code15)</f>
        <v>0</v>
      </c>
      <c r="AY23" s="131">
        <f>COUNTIF(ParicipationMai1[[#This Row],[1]:[31]],Code16)</f>
        <v>0</v>
      </c>
      <c r="AZ23" s="131">
        <f>COUNTIF(ParicipationMai1[[#This Row],[1]:[31]],Code17)</f>
        <v>0</v>
      </c>
      <c r="BA23" s="131">
        <f>COUNTIF(ParicipationMai1[[#This Row],[1]:[31]],Code26)</f>
        <v>0</v>
      </c>
      <c r="BB23" s="131">
        <f>COUNTIF(ParicipationMai1[[#This Row],[1]:[31]],Code27)</f>
        <v>0</v>
      </c>
      <c r="BC23" s="131">
        <f>COUNTIF(ParicipationMai1[[#This Row],[1]:[31]],Code27)</f>
        <v>0</v>
      </c>
      <c r="BD23" s="131">
        <f>COUNTIF(ParicipationMai1[[#This Row],[1]:[31]],Code28)</f>
        <v>0</v>
      </c>
      <c r="BE23" s="131">
        <f>COUNTIF(ParicipationMai1[[#This Row],[1]:[31]],code30)</f>
        <v>0</v>
      </c>
      <c r="BF23" s="131">
        <f>COUNTIF(ParicipationMai1[[#This Row],[1]:[31]],Code31)</f>
        <v>0</v>
      </c>
      <c r="BG23" s="131">
        <f>COUNTIF(ParicipationMai1[[#This Row],[1]:[31]],code21)</f>
        <v>0</v>
      </c>
      <c r="BH23" s="131">
        <f>COUNTIF(ParicipationMai1[[#This Row],[1]:[31]],Code24)</f>
        <v>0</v>
      </c>
      <c r="BI23" s="131">
        <f>COUNTIF(ParicipationMai1[[#This Row],[1]:[31]],code18)</f>
        <v>0</v>
      </c>
      <c r="BJ23" s="131">
        <f>COUNTIF(ParicipationMai1[[#This Row],[1]:[31]],code19)</f>
        <v>0</v>
      </c>
      <c r="BK23" s="131">
        <f>COUNTIF(ParicipationMai1[[#This Row],[1]:[31]],code20)</f>
        <v>0</v>
      </c>
      <c r="BL23" s="548">
        <f>COUNTIF(ParicipationMai1[[#This Row],[1]:[31]],code29)</f>
        <v>0</v>
      </c>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548"/>
      <c r="CV23" s="575">
        <f t="shared" si="0"/>
        <v>0</v>
      </c>
      <c r="CW23" s="575">
        <f t="shared" si="1"/>
        <v>0</v>
      </c>
      <c r="CX23" s="576">
        <f t="shared" si="2"/>
        <v>0</v>
      </c>
      <c r="CY23" s="170">
        <f t="shared" si="3"/>
        <v>0</v>
      </c>
    </row>
    <row r="24" spans="1:103">
      <c r="A24" s="405" t="s">
        <v>365</v>
      </c>
      <c r="B24" s="537" t="str">
        <f>IFERROR(VLOOKUP(ParicipationMai1[[#This Row],[Référence]],ListeÉtudiants1[],18,FALSE),"")</f>
        <v>BAESSA ELISA</v>
      </c>
      <c r="C24" s="538"/>
      <c r="D24" s="538"/>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9"/>
      <c r="AH24" s="538">
        <f>COUNTIF(ParicipationMai1[[1]:[31]],Code1)</f>
        <v>0</v>
      </c>
      <c r="AI24" s="538">
        <f>COUNTIF(ParicipationMai1[[1]:[31]],code22)</f>
        <v>0</v>
      </c>
      <c r="AJ24" s="132">
        <f>COUNTIF(ParicipationMai1[[#This Row],[1]:[31]],Code2)</f>
        <v>0</v>
      </c>
      <c r="AK24" s="132">
        <f>COUNTIF(ParicipationMai1[[#This Row],[1]:[31]],Code3)</f>
        <v>0</v>
      </c>
      <c r="AL24" s="132">
        <f>COUNTIF(ParicipationMai1[[#This Row],[1]:[31]],Code4)</f>
        <v>0</v>
      </c>
      <c r="AM24" s="132">
        <f>COUNTIF(ParicipationMai1[[#This Row],[1]:[31]],Code5)</f>
        <v>0</v>
      </c>
      <c r="AN24" s="132">
        <f>COUNTIF(ParicipationMai1[[#This Row],[1]:[31]],Code23)</f>
        <v>0</v>
      </c>
      <c r="AO24" s="132">
        <f>COUNTIF(ParicipationMai1[[#This Row],[1]:[31]],Code6)</f>
        <v>0</v>
      </c>
      <c r="AP24" s="132">
        <f>COUNTIF(ParicipationMai1[[#This Row],[1]:[31]],Code7)</f>
        <v>0</v>
      </c>
      <c r="AQ24" s="132">
        <f>COUNTIF(ParicipationMai1[[#This Row],[1]:[31]],Code8)</f>
        <v>0</v>
      </c>
      <c r="AR24" s="132">
        <f>COUNTIF(ParicipationMai1[[#This Row],[1]:[31]],Code9)</f>
        <v>0</v>
      </c>
      <c r="AS24" s="132">
        <f>COUNTIF(ParicipationMai1[[#This Row],[1]:[31]],Code10)</f>
        <v>0</v>
      </c>
      <c r="AT24" s="132">
        <f>COUNTIF(ParicipationMai1[[#This Row],[1]:[31]],Code11)</f>
        <v>0</v>
      </c>
      <c r="AU24" s="132">
        <f>COUNTIF(ParicipationMai1[[#This Row],[1]:[31]],Code12)</f>
        <v>0</v>
      </c>
      <c r="AV24" s="132">
        <f>COUNTIF(ParicipationMai1[[#This Row],[1]:[31]],Code13)</f>
        <v>0</v>
      </c>
      <c r="AW24" s="132">
        <f>COUNTIF(ParicipationMai1[[#This Row],[1]:[31]],Code14)</f>
        <v>0</v>
      </c>
      <c r="AX24" s="132">
        <f>COUNTIF(ParicipationMai1[[#This Row],[1]:[31]],Code15)</f>
        <v>0</v>
      </c>
      <c r="AY24" s="132">
        <f>COUNTIF(ParicipationMai1[[#This Row],[1]:[31]],Code16)</f>
        <v>0</v>
      </c>
      <c r="AZ24" s="132">
        <f>COUNTIF(ParicipationMai1[[#This Row],[1]:[31]],Code17)</f>
        <v>0</v>
      </c>
      <c r="BA24" s="132">
        <f>COUNTIF(ParicipationMai1[[#This Row],[1]:[31]],Code26)</f>
        <v>0</v>
      </c>
      <c r="BB24" s="132">
        <f>COUNTIF(ParicipationMai1[[#This Row],[1]:[31]],Code27)</f>
        <v>0</v>
      </c>
      <c r="BC24" s="132">
        <f>COUNTIF(ParicipationMai1[[#This Row],[1]:[31]],Code27)</f>
        <v>0</v>
      </c>
      <c r="BD24" s="132">
        <f>COUNTIF(ParicipationMai1[[#This Row],[1]:[31]],Code28)</f>
        <v>0</v>
      </c>
      <c r="BE24" s="132">
        <f>COUNTIF(ParicipationMai1[[#This Row],[1]:[31]],code30)</f>
        <v>0</v>
      </c>
      <c r="BF24" s="132">
        <f>COUNTIF(ParicipationMai1[[#This Row],[1]:[31]],Code31)</f>
        <v>0</v>
      </c>
      <c r="BG24" s="132">
        <f>COUNTIF(ParicipationMai1[[#This Row],[1]:[31]],code21)</f>
        <v>0</v>
      </c>
      <c r="BH24" s="132">
        <f>COUNTIF(ParicipationMai1[[#This Row],[1]:[31]],Code24)</f>
        <v>0</v>
      </c>
      <c r="BI24" s="132">
        <f>COUNTIF(ParicipationMai1[[#This Row],[1]:[31]],code18)</f>
        <v>0</v>
      </c>
      <c r="BJ24" s="132">
        <f>COUNTIF(ParicipationMai1[[#This Row],[1]:[31]],code19)</f>
        <v>0</v>
      </c>
      <c r="BK24" s="132">
        <f>COUNTIF(ParicipationMai1[[#This Row],[1]:[31]],code20)</f>
        <v>0</v>
      </c>
      <c r="BL24" s="547">
        <f>COUNTIF(ParicipationMai1[[#This Row],[1]:[31]],code29)</f>
        <v>0</v>
      </c>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547"/>
      <c r="CV24" s="573">
        <f t="shared" si="0"/>
        <v>0</v>
      </c>
      <c r="CW24" s="573">
        <f t="shared" si="1"/>
        <v>0</v>
      </c>
      <c r="CX24" s="574">
        <f t="shared" si="2"/>
        <v>0</v>
      </c>
      <c r="CY24" s="500">
        <f t="shared" si="3"/>
        <v>0</v>
      </c>
    </row>
    <row r="25" spans="1:103">
      <c r="A25" s="406" t="s">
        <v>366</v>
      </c>
      <c r="B25" s="540" t="str">
        <f>IFERROR(VLOOKUP(ParicipationMai1[[#This Row],[Référence]],ListeÉtudiants1[],18,FALSE),"")</f>
        <v>BARREIROS  KATIE</v>
      </c>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541"/>
      <c r="AH25" s="311">
        <f>COUNTIF(ParicipationMai1[[1]:[31]],Code1)</f>
        <v>0</v>
      </c>
      <c r="AI25" s="311">
        <f>COUNTIF(ParicipationMai1[[1]:[31]],code22)</f>
        <v>0</v>
      </c>
      <c r="AJ25" s="131">
        <f>COUNTIF(ParicipationMai1[[#This Row],[1]:[31]],Code2)</f>
        <v>0</v>
      </c>
      <c r="AK25" s="131">
        <f>COUNTIF(ParicipationMai1[[#This Row],[1]:[31]],Code3)</f>
        <v>0</v>
      </c>
      <c r="AL25" s="131">
        <f>COUNTIF(ParicipationMai1[[#This Row],[1]:[31]],Code4)</f>
        <v>0</v>
      </c>
      <c r="AM25" s="131">
        <f>COUNTIF(ParicipationMai1[[#This Row],[1]:[31]],Code5)</f>
        <v>0</v>
      </c>
      <c r="AN25" s="131">
        <f>COUNTIF(ParicipationMai1[[#This Row],[1]:[31]],Code23)</f>
        <v>0</v>
      </c>
      <c r="AO25" s="131">
        <f>COUNTIF(ParicipationMai1[[#This Row],[1]:[31]],Code6)</f>
        <v>0</v>
      </c>
      <c r="AP25" s="131">
        <f>COUNTIF(ParicipationMai1[[#This Row],[1]:[31]],Code7)</f>
        <v>0</v>
      </c>
      <c r="AQ25" s="131">
        <f>COUNTIF(ParicipationMai1[[#This Row],[1]:[31]],Code8)</f>
        <v>0</v>
      </c>
      <c r="AR25" s="131">
        <f>COUNTIF(ParicipationMai1[[#This Row],[1]:[31]],Code9)</f>
        <v>0</v>
      </c>
      <c r="AS25" s="131">
        <f>COUNTIF(ParicipationMai1[[#This Row],[1]:[31]],Code10)</f>
        <v>0</v>
      </c>
      <c r="AT25" s="131">
        <f>COUNTIF(ParicipationMai1[[#This Row],[1]:[31]],Code11)</f>
        <v>0</v>
      </c>
      <c r="AU25" s="131">
        <f>COUNTIF(ParicipationMai1[[#This Row],[1]:[31]],Code12)</f>
        <v>0</v>
      </c>
      <c r="AV25" s="131">
        <f>COUNTIF(ParicipationMai1[[#This Row],[1]:[31]],Code13)</f>
        <v>0</v>
      </c>
      <c r="AW25" s="131">
        <f>COUNTIF(ParicipationMai1[[#This Row],[1]:[31]],Code14)</f>
        <v>0</v>
      </c>
      <c r="AX25" s="131">
        <f>COUNTIF(ParicipationMai1[[#This Row],[1]:[31]],Code15)</f>
        <v>0</v>
      </c>
      <c r="AY25" s="131">
        <f>COUNTIF(ParicipationMai1[[#This Row],[1]:[31]],Code16)</f>
        <v>0</v>
      </c>
      <c r="AZ25" s="131">
        <f>COUNTIF(ParicipationMai1[[#This Row],[1]:[31]],Code17)</f>
        <v>0</v>
      </c>
      <c r="BA25" s="131">
        <f>COUNTIF(ParicipationMai1[[#This Row],[1]:[31]],Code26)</f>
        <v>0</v>
      </c>
      <c r="BB25" s="131">
        <f>COUNTIF(ParicipationMai1[[#This Row],[1]:[31]],Code27)</f>
        <v>0</v>
      </c>
      <c r="BC25" s="131">
        <f>COUNTIF(ParicipationMai1[[#This Row],[1]:[31]],Code27)</f>
        <v>0</v>
      </c>
      <c r="BD25" s="131">
        <f>COUNTIF(ParicipationMai1[[#This Row],[1]:[31]],Code28)</f>
        <v>0</v>
      </c>
      <c r="BE25" s="131">
        <f>COUNTIF(ParicipationMai1[[#This Row],[1]:[31]],code30)</f>
        <v>0</v>
      </c>
      <c r="BF25" s="131">
        <f>COUNTIF(ParicipationMai1[[#This Row],[1]:[31]],Code31)</f>
        <v>0</v>
      </c>
      <c r="BG25" s="131">
        <f>COUNTIF(ParicipationMai1[[#This Row],[1]:[31]],code21)</f>
        <v>0</v>
      </c>
      <c r="BH25" s="131">
        <f>COUNTIF(ParicipationMai1[[#This Row],[1]:[31]],Code24)</f>
        <v>0</v>
      </c>
      <c r="BI25" s="131">
        <f>COUNTIF(ParicipationMai1[[#This Row],[1]:[31]],code18)</f>
        <v>0</v>
      </c>
      <c r="BJ25" s="131">
        <f>COUNTIF(ParicipationMai1[[#This Row],[1]:[31]],code19)</f>
        <v>0</v>
      </c>
      <c r="BK25" s="131">
        <f>COUNTIF(ParicipationMai1[[#This Row],[1]:[31]],code20)</f>
        <v>0</v>
      </c>
      <c r="BL25" s="548">
        <f>COUNTIF(ParicipationMai1[[#This Row],[1]:[31]],code29)</f>
        <v>0</v>
      </c>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548"/>
      <c r="CV25" s="575">
        <f t="shared" si="0"/>
        <v>0</v>
      </c>
      <c r="CW25" s="575">
        <f t="shared" si="1"/>
        <v>0</v>
      </c>
      <c r="CX25" s="576">
        <f t="shared" si="2"/>
        <v>0</v>
      </c>
      <c r="CY25" s="170">
        <f t="shared" si="3"/>
        <v>0</v>
      </c>
    </row>
    <row r="26" spans="1:103">
      <c r="A26" s="405" t="s">
        <v>367</v>
      </c>
      <c r="B26" s="537" t="str">
        <f>IFERROR(VLOOKUP(ParicipationMai1[[#This Row],[Référence]],ListeÉtudiants1[],18,FALSE),"")</f>
        <v>BASTARDIE JULIEN</v>
      </c>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9"/>
      <c r="AH26" s="538">
        <f>COUNTIF(ParicipationMai1[[1]:[31]],Code1)</f>
        <v>0</v>
      </c>
      <c r="AI26" s="538">
        <f>COUNTIF(ParicipationMai1[[1]:[31]],code22)</f>
        <v>0</v>
      </c>
      <c r="AJ26" s="132">
        <f>COUNTIF(ParicipationMai1[[#This Row],[1]:[31]],Code2)</f>
        <v>0</v>
      </c>
      <c r="AK26" s="132">
        <f>COUNTIF(ParicipationMai1[[#This Row],[1]:[31]],Code3)</f>
        <v>0</v>
      </c>
      <c r="AL26" s="132">
        <f>COUNTIF(ParicipationMai1[[#This Row],[1]:[31]],Code4)</f>
        <v>0</v>
      </c>
      <c r="AM26" s="132">
        <f>COUNTIF(ParicipationMai1[[#This Row],[1]:[31]],Code5)</f>
        <v>0</v>
      </c>
      <c r="AN26" s="132">
        <f>COUNTIF(ParicipationMai1[[#This Row],[1]:[31]],Code23)</f>
        <v>0</v>
      </c>
      <c r="AO26" s="132">
        <f>COUNTIF(ParicipationMai1[[#This Row],[1]:[31]],Code6)</f>
        <v>0</v>
      </c>
      <c r="AP26" s="132">
        <f>COUNTIF(ParicipationMai1[[#This Row],[1]:[31]],Code7)</f>
        <v>0</v>
      </c>
      <c r="AQ26" s="132">
        <f>COUNTIF(ParicipationMai1[[#This Row],[1]:[31]],Code8)</f>
        <v>0</v>
      </c>
      <c r="AR26" s="132">
        <f>COUNTIF(ParicipationMai1[[#This Row],[1]:[31]],Code9)</f>
        <v>0</v>
      </c>
      <c r="AS26" s="132">
        <f>COUNTIF(ParicipationMai1[[#This Row],[1]:[31]],Code10)</f>
        <v>0</v>
      </c>
      <c r="AT26" s="132">
        <f>COUNTIF(ParicipationMai1[[#This Row],[1]:[31]],Code11)</f>
        <v>0</v>
      </c>
      <c r="AU26" s="132">
        <f>COUNTIF(ParicipationMai1[[#This Row],[1]:[31]],Code12)</f>
        <v>0</v>
      </c>
      <c r="AV26" s="132">
        <f>COUNTIF(ParicipationMai1[[#This Row],[1]:[31]],Code13)</f>
        <v>0</v>
      </c>
      <c r="AW26" s="132">
        <f>COUNTIF(ParicipationMai1[[#This Row],[1]:[31]],Code14)</f>
        <v>0</v>
      </c>
      <c r="AX26" s="132">
        <f>COUNTIF(ParicipationMai1[[#This Row],[1]:[31]],Code15)</f>
        <v>0</v>
      </c>
      <c r="AY26" s="132">
        <f>COUNTIF(ParicipationMai1[[#This Row],[1]:[31]],Code16)</f>
        <v>0</v>
      </c>
      <c r="AZ26" s="132">
        <f>COUNTIF(ParicipationMai1[[#This Row],[1]:[31]],Code17)</f>
        <v>0</v>
      </c>
      <c r="BA26" s="132">
        <f>COUNTIF(ParicipationMai1[[#This Row],[1]:[31]],Code26)</f>
        <v>0</v>
      </c>
      <c r="BB26" s="132">
        <f>COUNTIF(ParicipationMai1[[#This Row],[1]:[31]],Code27)</f>
        <v>0</v>
      </c>
      <c r="BC26" s="132">
        <f>COUNTIF(ParicipationMai1[[#This Row],[1]:[31]],Code27)</f>
        <v>0</v>
      </c>
      <c r="BD26" s="132">
        <f>COUNTIF(ParicipationMai1[[#This Row],[1]:[31]],Code28)</f>
        <v>0</v>
      </c>
      <c r="BE26" s="132">
        <f>COUNTIF(ParicipationMai1[[#This Row],[1]:[31]],code30)</f>
        <v>0</v>
      </c>
      <c r="BF26" s="132">
        <f>COUNTIF(ParicipationMai1[[#This Row],[1]:[31]],Code31)</f>
        <v>0</v>
      </c>
      <c r="BG26" s="132">
        <f>COUNTIF(ParicipationMai1[[#This Row],[1]:[31]],code21)</f>
        <v>0</v>
      </c>
      <c r="BH26" s="132">
        <f>COUNTIF(ParicipationMai1[[#This Row],[1]:[31]],Code24)</f>
        <v>0</v>
      </c>
      <c r="BI26" s="132">
        <f>COUNTIF(ParicipationMai1[[#This Row],[1]:[31]],code18)</f>
        <v>0</v>
      </c>
      <c r="BJ26" s="132">
        <f>COUNTIF(ParicipationMai1[[#This Row],[1]:[31]],code19)</f>
        <v>0</v>
      </c>
      <c r="BK26" s="132">
        <f>COUNTIF(ParicipationMai1[[#This Row],[1]:[31]],code20)</f>
        <v>0</v>
      </c>
      <c r="BL26" s="547">
        <f>COUNTIF(ParicipationMai1[[#This Row],[1]:[31]],code29)</f>
        <v>0</v>
      </c>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547"/>
      <c r="CV26" s="573">
        <f t="shared" si="0"/>
        <v>0</v>
      </c>
      <c r="CW26" s="573">
        <f t="shared" si="1"/>
        <v>0</v>
      </c>
      <c r="CX26" s="574">
        <f t="shared" si="2"/>
        <v>0</v>
      </c>
      <c r="CY26" s="500">
        <f t="shared" si="3"/>
        <v>0</v>
      </c>
    </row>
    <row r="27" spans="1:103">
      <c r="A27" s="406" t="s">
        <v>368</v>
      </c>
      <c r="B27" s="540" t="str">
        <f>IFERROR(VLOOKUP(ParicipationMai1[[#This Row],[Référence]],ListeÉtudiants1[],18,FALSE),"")</f>
        <v>BAUDET M0RGANE</v>
      </c>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541"/>
      <c r="AH27" s="311">
        <f>COUNTIF(ParicipationMai1[[1]:[31]],Code1)</f>
        <v>0</v>
      </c>
      <c r="AI27" s="311">
        <f>COUNTIF(ParicipationMai1[[1]:[31]],code22)</f>
        <v>0</v>
      </c>
      <c r="AJ27" s="131">
        <f>COUNTIF(ParicipationMai1[[#This Row],[1]:[31]],Code2)</f>
        <v>0</v>
      </c>
      <c r="AK27" s="131">
        <f>COUNTIF(ParicipationMai1[[#This Row],[1]:[31]],Code3)</f>
        <v>0</v>
      </c>
      <c r="AL27" s="131">
        <f>COUNTIF(ParicipationMai1[[#This Row],[1]:[31]],Code4)</f>
        <v>0</v>
      </c>
      <c r="AM27" s="131">
        <f>COUNTIF(ParicipationMai1[[#This Row],[1]:[31]],Code5)</f>
        <v>0</v>
      </c>
      <c r="AN27" s="131">
        <f>COUNTIF(ParicipationMai1[[#This Row],[1]:[31]],Code23)</f>
        <v>0</v>
      </c>
      <c r="AO27" s="131">
        <f>COUNTIF(ParicipationMai1[[#This Row],[1]:[31]],Code6)</f>
        <v>0</v>
      </c>
      <c r="AP27" s="131">
        <f>COUNTIF(ParicipationMai1[[#This Row],[1]:[31]],Code7)</f>
        <v>0</v>
      </c>
      <c r="AQ27" s="131">
        <f>COUNTIF(ParicipationMai1[[#This Row],[1]:[31]],Code8)</f>
        <v>0</v>
      </c>
      <c r="AR27" s="131">
        <f>COUNTIF(ParicipationMai1[[#This Row],[1]:[31]],Code9)</f>
        <v>0</v>
      </c>
      <c r="AS27" s="131">
        <f>COUNTIF(ParicipationMai1[[#This Row],[1]:[31]],Code10)</f>
        <v>0</v>
      </c>
      <c r="AT27" s="131">
        <f>COUNTIF(ParicipationMai1[[#This Row],[1]:[31]],Code11)</f>
        <v>0</v>
      </c>
      <c r="AU27" s="131">
        <f>COUNTIF(ParicipationMai1[[#This Row],[1]:[31]],Code12)</f>
        <v>0</v>
      </c>
      <c r="AV27" s="131">
        <f>COUNTIF(ParicipationMai1[[#This Row],[1]:[31]],Code13)</f>
        <v>0</v>
      </c>
      <c r="AW27" s="131">
        <f>COUNTIF(ParicipationMai1[[#This Row],[1]:[31]],Code14)</f>
        <v>0</v>
      </c>
      <c r="AX27" s="131">
        <f>COUNTIF(ParicipationMai1[[#This Row],[1]:[31]],Code15)</f>
        <v>0</v>
      </c>
      <c r="AY27" s="131">
        <f>COUNTIF(ParicipationMai1[[#This Row],[1]:[31]],Code16)</f>
        <v>0</v>
      </c>
      <c r="AZ27" s="131">
        <f>COUNTIF(ParicipationMai1[[#This Row],[1]:[31]],Code17)</f>
        <v>0</v>
      </c>
      <c r="BA27" s="131">
        <f>COUNTIF(ParicipationMai1[[#This Row],[1]:[31]],Code26)</f>
        <v>0</v>
      </c>
      <c r="BB27" s="131">
        <f>COUNTIF(ParicipationMai1[[#This Row],[1]:[31]],Code27)</f>
        <v>0</v>
      </c>
      <c r="BC27" s="131">
        <f>COUNTIF(ParicipationMai1[[#This Row],[1]:[31]],Code27)</f>
        <v>0</v>
      </c>
      <c r="BD27" s="131">
        <f>COUNTIF(ParicipationMai1[[#This Row],[1]:[31]],Code28)</f>
        <v>0</v>
      </c>
      <c r="BE27" s="131">
        <f>COUNTIF(ParicipationMai1[[#This Row],[1]:[31]],code30)</f>
        <v>0</v>
      </c>
      <c r="BF27" s="131">
        <f>COUNTIF(ParicipationMai1[[#This Row],[1]:[31]],Code31)</f>
        <v>0</v>
      </c>
      <c r="BG27" s="131">
        <f>COUNTIF(ParicipationMai1[[#This Row],[1]:[31]],code21)</f>
        <v>0</v>
      </c>
      <c r="BH27" s="131">
        <f>COUNTIF(ParicipationMai1[[#This Row],[1]:[31]],Code24)</f>
        <v>0</v>
      </c>
      <c r="BI27" s="131">
        <f>COUNTIF(ParicipationMai1[[#This Row],[1]:[31]],code18)</f>
        <v>0</v>
      </c>
      <c r="BJ27" s="131">
        <f>COUNTIF(ParicipationMai1[[#This Row],[1]:[31]],code19)</f>
        <v>0</v>
      </c>
      <c r="BK27" s="131">
        <f>COUNTIF(ParicipationMai1[[#This Row],[1]:[31]],code20)</f>
        <v>0</v>
      </c>
      <c r="BL27" s="548">
        <f>COUNTIF(ParicipationMai1[[#This Row],[1]:[31]],code29)</f>
        <v>0</v>
      </c>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548"/>
      <c r="CV27" s="575">
        <f t="shared" si="0"/>
        <v>0</v>
      </c>
      <c r="CW27" s="575">
        <f t="shared" si="1"/>
        <v>0</v>
      </c>
      <c r="CX27" s="576">
        <f t="shared" si="2"/>
        <v>0</v>
      </c>
      <c r="CY27" s="170">
        <f t="shared" si="3"/>
        <v>0</v>
      </c>
    </row>
    <row r="28" spans="1:103">
      <c r="A28" s="405" t="s">
        <v>369</v>
      </c>
      <c r="B28" s="537" t="str">
        <f>IFERROR(VLOOKUP(ParicipationMai1[[#This Row],[Référence]],ListeÉtudiants1[],18,FALSE),"")</f>
        <v>BENOIST SANDY</v>
      </c>
      <c r="C28" s="538"/>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9"/>
      <c r="AH28" s="538">
        <f>COUNTIF(ParicipationMai1[[1]:[31]],Code1)</f>
        <v>0</v>
      </c>
      <c r="AI28" s="538">
        <f>COUNTIF(ParicipationMai1[[1]:[31]],code22)</f>
        <v>0</v>
      </c>
      <c r="AJ28" s="132">
        <f>COUNTIF(ParicipationMai1[[#This Row],[1]:[31]],Code2)</f>
        <v>0</v>
      </c>
      <c r="AK28" s="132">
        <f>COUNTIF(ParicipationMai1[[#This Row],[1]:[31]],Code3)</f>
        <v>0</v>
      </c>
      <c r="AL28" s="132">
        <f>COUNTIF(ParicipationMai1[[#This Row],[1]:[31]],Code4)</f>
        <v>0</v>
      </c>
      <c r="AM28" s="132">
        <f>COUNTIF(ParicipationMai1[[#This Row],[1]:[31]],Code5)</f>
        <v>0</v>
      </c>
      <c r="AN28" s="132">
        <f>COUNTIF(ParicipationMai1[[#This Row],[1]:[31]],Code23)</f>
        <v>0</v>
      </c>
      <c r="AO28" s="132">
        <f>COUNTIF(ParicipationMai1[[#This Row],[1]:[31]],Code6)</f>
        <v>0</v>
      </c>
      <c r="AP28" s="132">
        <f>COUNTIF(ParicipationMai1[[#This Row],[1]:[31]],Code7)</f>
        <v>0</v>
      </c>
      <c r="AQ28" s="132">
        <f>COUNTIF(ParicipationMai1[[#This Row],[1]:[31]],Code8)</f>
        <v>0</v>
      </c>
      <c r="AR28" s="132">
        <f>COUNTIF(ParicipationMai1[[#This Row],[1]:[31]],Code9)</f>
        <v>0</v>
      </c>
      <c r="AS28" s="132">
        <f>COUNTIF(ParicipationMai1[[#This Row],[1]:[31]],Code10)</f>
        <v>0</v>
      </c>
      <c r="AT28" s="132">
        <f>COUNTIF(ParicipationMai1[[#This Row],[1]:[31]],Code11)</f>
        <v>0</v>
      </c>
      <c r="AU28" s="132">
        <f>COUNTIF(ParicipationMai1[[#This Row],[1]:[31]],Code12)</f>
        <v>0</v>
      </c>
      <c r="AV28" s="132">
        <f>COUNTIF(ParicipationMai1[[#This Row],[1]:[31]],Code13)</f>
        <v>0</v>
      </c>
      <c r="AW28" s="132">
        <f>COUNTIF(ParicipationMai1[[#This Row],[1]:[31]],Code14)</f>
        <v>0</v>
      </c>
      <c r="AX28" s="132">
        <f>COUNTIF(ParicipationMai1[[#This Row],[1]:[31]],Code15)</f>
        <v>0</v>
      </c>
      <c r="AY28" s="132">
        <f>COUNTIF(ParicipationMai1[[#This Row],[1]:[31]],Code16)</f>
        <v>0</v>
      </c>
      <c r="AZ28" s="132">
        <f>COUNTIF(ParicipationMai1[[#This Row],[1]:[31]],Code17)</f>
        <v>0</v>
      </c>
      <c r="BA28" s="132">
        <f>COUNTIF(ParicipationMai1[[#This Row],[1]:[31]],Code26)</f>
        <v>0</v>
      </c>
      <c r="BB28" s="132">
        <f>COUNTIF(ParicipationMai1[[#This Row],[1]:[31]],Code27)</f>
        <v>0</v>
      </c>
      <c r="BC28" s="132">
        <f>COUNTIF(ParicipationMai1[[#This Row],[1]:[31]],Code27)</f>
        <v>0</v>
      </c>
      <c r="BD28" s="132">
        <f>COUNTIF(ParicipationMai1[[#This Row],[1]:[31]],Code28)</f>
        <v>0</v>
      </c>
      <c r="BE28" s="132">
        <f>COUNTIF(ParicipationMai1[[#This Row],[1]:[31]],code30)</f>
        <v>0</v>
      </c>
      <c r="BF28" s="132">
        <f>COUNTIF(ParicipationMai1[[#This Row],[1]:[31]],Code31)</f>
        <v>0</v>
      </c>
      <c r="BG28" s="132">
        <f>COUNTIF(ParicipationMai1[[#This Row],[1]:[31]],code21)</f>
        <v>0</v>
      </c>
      <c r="BH28" s="132">
        <f>COUNTIF(ParicipationMai1[[#This Row],[1]:[31]],Code24)</f>
        <v>0</v>
      </c>
      <c r="BI28" s="132">
        <f>COUNTIF(ParicipationMai1[[#This Row],[1]:[31]],code18)</f>
        <v>0</v>
      </c>
      <c r="BJ28" s="132">
        <f>COUNTIF(ParicipationMai1[[#This Row],[1]:[31]],code19)</f>
        <v>0</v>
      </c>
      <c r="BK28" s="132">
        <f>COUNTIF(ParicipationMai1[[#This Row],[1]:[31]],code20)</f>
        <v>0</v>
      </c>
      <c r="BL28" s="547">
        <f>COUNTIF(ParicipationMai1[[#This Row],[1]:[31]],code29)</f>
        <v>0</v>
      </c>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547"/>
      <c r="CV28" s="573">
        <f t="shared" si="0"/>
        <v>0</v>
      </c>
      <c r="CW28" s="573">
        <f t="shared" si="1"/>
        <v>0</v>
      </c>
      <c r="CX28" s="574">
        <f t="shared" si="2"/>
        <v>0</v>
      </c>
      <c r="CY28" s="500">
        <f t="shared" si="3"/>
        <v>0</v>
      </c>
    </row>
    <row r="29" spans="1:103">
      <c r="A29" s="406" t="s">
        <v>370</v>
      </c>
      <c r="B29" s="540" t="str">
        <f>IFERROR(VLOOKUP(ParicipationMai1[[#This Row],[Référence]],ListeÉtudiants1[],18,FALSE),"")</f>
        <v>BENOUARETH NAWEL</v>
      </c>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541"/>
      <c r="AH29" s="311">
        <f>COUNTIF(ParicipationMai1[[1]:[31]],Code1)</f>
        <v>0</v>
      </c>
      <c r="AI29" s="311">
        <f>COUNTIF(ParicipationMai1[[1]:[31]],code22)</f>
        <v>0</v>
      </c>
      <c r="AJ29" s="131">
        <f>COUNTIF(ParicipationMai1[[#This Row],[1]:[31]],Code2)</f>
        <v>0</v>
      </c>
      <c r="AK29" s="131">
        <f>COUNTIF(ParicipationMai1[[#This Row],[1]:[31]],Code3)</f>
        <v>0</v>
      </c>
      <c r="AL29" s="131">
        <f>COUNTIF(ParicipationMai1[[#This Row],[1]:[31]],Code4)</f>
        <v>0</v>
      </c>
      <c r="AM29" s="131">
        <f>COUNTIF(ParicipationMai1[[#This Row],[1]:[31]],Code5)</f>
        <v>0</v>
      </c>
      <c r="AN29" s="131">
        <f>COUNTIF(ParicipationMai1[[#This Row],[1]:[31]],Code23)</f>
        <v>0</v>
      </c>
      <c r="AO29" s="131">
        <f>COUNTIF(ParicipationMai1[[#This Row],[1]:[31]],Code6)</f>
        <v>0</v>
      </c>
      <c r="AP29" s="131">
        <f>COUNTIF(ParicipationMai1[[#This Row],[1]:[31]],Code7)</f>
        <v>0</v>
      </c>
      <c r="AQ29" s="131">
        <f>COUNTIF(ParicipationMai1[[#This Row],[1]:[31]],Code8)</f>
        <v>0</v>
      </c>
      <c r="AR29" s="131">
        <f>COUNTIF(ParicipationMai1[[#This Row],[1]:[31]],Code9)</f>
        <v>0</v>
      </c>
      <c r="AS29" s="131">
        <f>COUNTIF(ParicipationMai1[[#This Row],[1]:[31]],Code10)</f>
        <v>0</v>
      </c>
      <c r="AT29" s="131">
        <f>COUNTIF(ParicipationMai1[[#This Row],[1]:[31]],Code11)</f>
        <v>0</v>
      </c>
      <c r="AU29" s="131">
        <f>COUNTIF(ParicipationMai1[[#This Row],[1]:[31]],Code12)</f>
        <v>0</v>
      </c>
      <c r="AV29" s="131">
        <f>COUNTIF(ParicipationMai1[[#This Row],[1]:[31]],Code13)</f>
        <v>0</v>
      </c>
      <c r="AW29" s="131">
        <f>COUNTIF(ParicipationMai1[[#This Row],[1]:[31]],Code14)</f>
        <v>0</v>
      </c>
      <c r="AX29" s="131">
        <f>COUNTIF(ParicipationMai1[[#This Row],[1]:[31]],Code15)</f>
        <v>0</v>
      </c>
      <c r="AY29" s="131">
        <f>COUNTIF(ParicipationMai1[[#This Row],[1]:[31]],Code16)</f>
        <v>0</v>
      </c>
      <c r="AZ29" s="131">
        <f>COUNTIF(ParicipationMai1[[#This Row],[1]:[31]],Code17)</f>
        <v>0</v>
      </c>
      <c r="BA29" s="131">
        <f>COUNTIF(ParicipationMai1[[#This Row],[1]:[31]],Code26)</f>
        <v>0</v>
      </c>
      <c r="BB29" s="131">
        <f>COUNTIF(ParicipationMai1[[#This Row],[1]:[31]],Code27)</f>
        <v>0</v>
      </c>
      <c r="BC29" s="131">
        <f>COUNTIF(ParicipationMai1[[#This Row],[1]:[31]],Code27)</f>
        <v>0</v>
      </c>
      <c r="BD29" s="131">
        <f>COUNTIF(ParicipationMai1[[#This Row],[1]:[31]],Code28)</f>
        <v>0</v>
      </c>
      <c r="BE29" s="131">
        <f>COUNTIF(ParicipationMai1[[#This Row],[1]:[31]],code30)</f>
        <v>0</v>
      </c>
      <c r="BF29" s="131">
        <f>COUNTIF(ParicipationMai1[[#This Row],[1]:[31]],Code31)</f>
        <v>0</v>
      </c>
      <c r="BG29" s="131">
        <f>COUNTIF(ParicipationMai1[[#This Row],[1]:[31]],code21)</f>
        <v>0</v>
      </c>
      <c r="BH29" s="131">
        <f>COUNTIF(ParicipationMai1[[#This Row],[1]:[31]],Code24)</f>
        <v>0</v>
      </c>
      <c r="BI29" s="131">
        <f>COUNTIF(ParicipationMai1[[#This Row],[1]:[31]],code18)</f>
        <v>0</v>
      </c>
      <c r="BJ29" s="131">
        <f>COUNTIF(ParicipationMai1[[#This Row],[1]:[31]],code19)</f>
        <v>0</v>
      </c>
      <c r="BK29" s="131">
        <f>COUNTIF(ParicipationMai1[[#This Row],[1]:[31]],code20)</f>
        <v>0</v>
      </c>
      <c r="BL29" s="548">
        <f>COUNTIF(ParicipationMai1[[#This Row],[1]:[31]],code29)</f>
        <v>0</v>
      </c>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548"/>
      <c r="CV29" s="575">
        <f t="shared" si="0"/>
        <v>0</v>
      </c>
      <c r="CW29" s="575">
        <f t="shared" si="1"/>
        <v>0</v>
      </c>
      <c r="CX29" s="576">
        <f t="shared" si="2"/>
        <v>0</v>
      </c>
      <c r="CY29" s="170">
        <f t="shared" si="3"/>
        <v>0</v>
      </c>
    </row>
    <row r="30" spans="1:103">
      <c r="A30" s="405" t="s">
        <v>371</v>
      </c>
      <c r="B30" s="537" t="str">
        <f>IFERROR(VLOOKUP(ParicipationMai1[[#This Row],[Référence]],ListeÉtudiants1[],18,FALSE),"")</f>
        <v>BERNARD LUDOVIC</v>
      </c>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9"/>
      <c r="AH30" s="538">
        <f>COUNTIF(ParicipationMai1[[1]:[31]],Code1)</f>
        <v>0</v>
      </c>
      <c r="AI30" s="538">
        <f>COUNTIF(ParicipationMai1[[1]:[31]],code22)</f>
        <v>0</v>
      </c>
      <c r="AJ30" s="132">
        <f>COUNTIF(ParicipationMai1[[#This Row],[1]:[31]],Code2)</f>
        <v>0</v>
      </c>
      <c r="AK30" s="132">
        <f>COUNTIF(ParicipationMai1[[#This Row],[1]:[31]],Code3)</f>
        <v>0</v>
      </c>
      <c r="AL30" s="132">
        <f>COUNTIF(ParicipationMai1[[#This Row],[1]:[31]],Code4)</f>
        <v>0</v>
      </c>
      <c r="AM30" s="132">
        <f>COUNTIF(ParicipationMai1[[#This Row],[1]:[31]],Code5)</f>
        <v>0</v>
      </c>
      <c r="AN30" s="132">
        <f>COUNTIF(ParicipationMai1[[#This Row],[1]:[31]],Code23)</f>
        <v>0</v>
      </c>
      <c r="AO30" s="132">
        <f>COUNTIF(ParicipationMai1[[#This Row],[1]:[31]],Code6)</f>
        <v>0</v>
      </c>
      <c r="AP30" s="132">
        <f>COUNTIF(ParicipationMai1[[#This Row],[1]:[31]],Code7)</f>
        <v>0</v>
      </c>
      <c r="AQ30" s="132">
        <f>COUNTIF(ParicipationMai1[[#This Row],[1]:[31]],Code8)</f>
        <v>0</v>
      </c>
      <c r="AR30" s="132">
        <f>COUNTIF(ParicipationMai1[[#This Row],[1]:[31]],Code9)</f>
        <v>0</v>
      </c>
      <c r="AS30" s="132">
        <f>COUNTIF(ParicipationMai1[[#This Row],[1]:[31]],Code10)</f>
        <v>0</v>
      </c>
      <c r="AT30" s="132">
        <f>COUNTIF(ParicipationMai1[[#This Row],[1]:[31]],Code11)</f>
        <v>0</v>
      </c>
      <c r="AU30" s="132">
        <f>COUNTIF(ParicipationMai1[[#This Row],[1]:[31]],Code12)</f>
        <v>0</v>
      </c>
      <c r="AV30" s="132">
        <f>COUNTIF(ParicipationMai1[[#This Row],[1]:[31]],Code13)</f>
        <v>0</v>
      </c>
      <c r="AW30" s="132">
        <f>COUNTIF(ParicipationMai1[[#This Row],[1]:[31]],Code14)</f>
        <v>0</v>
      </c>
      <c r="AX30" s="132">
        <f>COUNTIF(ParicipationMai1[[#This Row],[1]:[31]],Code15)</f>
        <v>0</v>
      </c>
      <c r="AY30" s="132">
        <f>COUNTIF(ParicipationMai1[[#This Row],[1]:[31]],Code16)</f>
        <v>0</v>
      </c>
      <c r="AZ30" s="132">
        <f>COUNTIF(ParicipationMai1[[#This Row],[1]:[31]],Code17)</f>
        <v>0</v>
      </c>
      <c r="BA30" s="132">
        <f>COUNTIF(ParicipationMai1[[#This Row],[1]:[31]],Code26)</f>
        <v>0</v>
      </c>
      <c r="BB30" s="132">
        <f>COUNTIF(ParicipationMai1[[#This Row],[1]:[31]],Code27)</f>
        <v>0</v>
      </c>
      <c r="BC30" s="132">
        <f>COUNTIF(ParicipationMai1[[#This Row],[1]:[31]],Code27)</f>
        <v>0</v>
      </c>
      <c r="BD30" s="132">
        <f>COUNTIF(ParicipationMai1[[#This Row],[1]:[31]],Code28)</f>
        <v>0</v>
      </c>
      <c r="BE30" s="132">
        <f>COUNTIF(ParicipationMai1[[#This Row],[1]:[31]],code30)</f>
        <v>0</v>
      </c>
      <c r="BF30" s="132">
        <f>COUNTIF(ParicipationMai1[[#This Row],[1]:[31]],Code31)</f>
        <v>0</v>
      </c>
      <c r="BG30" s="132">
        <f>COUNTIF(ParicipationMai1[[#This Row],[1]:[31]],code21)</f>
        <v>0</v>
      </c>
      <c r="BH30" s="132">
        <f>COUNTIF(ParicipationMai1[[#This Row],[1]:[31]],Code24)</f>
        <v>0</v>
      </c>
      <c r="BI30" s="132">
        <f>COUNTIF(ParicipationMai1[[#This Row],[1]:[31]],code18)</f>
        <v>0</v>
      </c>
      <c r="BJ30" s="132">
        <f>COUNTIF(ParicipationMai1[[#This Row],[1]:[31]],code19)</f>
        <v>0</v>
      </c>
      <c r="BK30" s="132">
        <f>COUNTIF(ParicipationMai1[[#This Row],[1]:[31]],code20)</f>
        <v>0</v>
      </c>
      <c r="BL30" s="547">
        <f>COUNTIF(ParicipationMai1[[#This Row],[1]:[31]],code29)</f>
        <v>0</v>
      </c>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547"/>
      <c r="CV30" s="573">
        <f t="shared" si="0"/>
        <v>0</v>
      </c>
      <c r="CW30" s="573">
        <f t="shared" si="1"/>
        <v>0</v>
      </c>
      <c r="CX30" s="574">
        <f t="shared" si="2"/>
        <v>0</v>
      </c>
      <c r="CY30" s="500">
        <f t="shared" si="3"/>
        <v>0</v>
      </c>
    </row>
    <row r="31" spans="1:103">
      <c r="A31" s="406" t="s">
        <v>372</v>
      </c>
      <c r="B31" s="540" t="str">
        <f>IFERROR(VLOOKUP(ParicipationMai1[[#This Row],[Référence]],ListeÉtudiants1[],18,FALSE),"")</f>
        <v>BESTEL AGATHE</v>
      </c>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541"/>
      <c r="AH31" s="311">
        <f>COUNTIF(ParicipationMai1[[1]:[31]],Code1)</f>
        <v>0</v>
      </c>
      <c r="AI31" s="311">
        <f>COUNTIF(ParicipationMai1[[1]:[31]],code22)</f>
        <v>0</v>
      </c>
      <c r="AJ31" s="131">
        <f>COUNTIF(ParicipationMai1[[#This Row],[1]:[31]],Code2)</f>
        <v>0</v>
      </c>
      <c r="AK31" s="131">
        <f>COUNTIF(ParicipationMai1[[#This Row],[1]:[31]],Code3)</f>
        <v>0</v>
      </c>
      <c r="AL31" s="131">
        <f>COUNTIF(ParicipationMai1[[#This Row],[1]:[31]],Code4)</f>
        <v>0</v>
      </c>
      <c r="AM31" s="131">
        <f>COUNTIF(ParicipationMai1[[#This Row],[1]:[31]],Code5)</f>
        <v>0</v>
      </c>
      <c r="AN31" s="131">
        <f>COUNTIF(ParicipationMai1[[#This Row],[1]:[31]],Code23)</f>
        <v>0</v>
      </c>
      <c r="AO31" s="131">
        <f>COUNTIF(ParicipationMai1[[#This Row],[1]:[31]],Code6)</f>
        <v>0</v>
      </c>
      <c r="AP31" s="131">
        <f>COUNTIF(ParicipationMai1[[#This Row],[1]:[31]],Code7)</f>
        <v>0</v>
      </c>
      <c r="AQ31" s="131">
        <f>COUNTIF(ParicipationMai1[[#This Row],[1]:[31]],Code8)</f>
        <v>0</v>
      </c>
      <c r="AR31" s="131">
        <f>COUNTIF(ParicipationMai1[[#This Row],[1]:[31]],Code9)</f>
        <v>0</v>
      </c>
      <c r="AS31" s="131">
        <f>COUNTIF(ParicipationMai1[[#This Row],[1]:[31]],Code10)</f>
        <v>0</v>
      </c>
      <c r="AT31" s="131">
        <f>COUNTIF(ParicipationMai1[[#This Row],[1]:[31]],Code11)</f>
        <v>0</v>
      </c>
      <c r="AU31" s="131">
        <f>COUNTIF(ParicipationMai1[[#This Row],[1]:[31]],Code12)</f>
        <v>0</v>
      </c>
      <c r="AV31" s="131">
        <f>COUNTIF(ParicipationMai1[[#This Row],[1]:[31]],Code13)</f>
        <v>0</v>
      </c>
      <c r="AW31" s="131">
        <f>COUNTIF(ParicipationMai1[[#This Row],[1]:[31]],Code14)</f>
        <v>0</v>
      </c>
      <c r="AX31" s="131">
        <f>COUNTIF(ParicipationMai1[[#This Row],[1]:[31]],Code15)</f>
        <v>0</v>
      </c>
      <c r="AY31" s="131">
        <f>COUNTIF(ParicipationMai1[[#This Row],[1]:[31]],Code16)</f>
        <v>0</v>
      </c>
      <c r="AZ31" s="131">
        <f>COUNTIF(ParicipationMai1[[#This Row],[1]:[31]],Code17)</f>
        <v>0</v>
      </c>
      <c r="BA31" s="131">
        <f>COUNTIF(ParicipationMai1[[#This Row],[1]:[31]],Code26)</f>
        <v>0</v>
      </c>
      <c r="BB31" s="131">
        <f>COUNTIF(ParicipationMai1[[#This Row],[1]:[31]],Code27)</f>
        <v>0</v>
      </c>
      <c r="BC31" s="131">
        <f>COUNTIF(ParicipationMai1[[#This Row],[1]:[31]],Code27)</f>
        <v>0</v>
      </c>
      <c r="BD31" s="131">
        <f>COUNTIF(ParicipationMai1[[#This Row],[1]:[31]],Code28)</f>
        <v>0</v>
      </c>
      <c r="BE31" s="131">
        <f>COUNTIF(ParicipationMai1[[#This Row],[1]:[31]],code30)</f>
        <v>0</v>
      </c>
      <c r="BF31" s="131">
        <f>COUNTIF(ParicipationMai1[[#This Row],[1]:[31]],Code31)</f>
        <v>0</v>
      </c>
      <c r="BG31" s="131">
        <f>COUNTIF(ParicipationMai1[[#This Row],[1]:[31]],code21)</f>
        <v>0</v>
      </c>
      <c r="BH31" s="131">
        <f>COUNTIF(ParicipationMai1[[#This Row],[1]:[31]],Code24)</f>
        <v>0</v>
      </c>
      <c r="BI31" s="131">
        <f>COUNTIF(ParicipationMai1[[#This Row],[1]:[31]],code18)</f>
        <v>0</v>
      </c>
      <c r="BJ31" s="131">
        <f>COUNTIF(ParicipationMai1[[#This Row],[1]:[31]],code19)</f>
        <v>0</v>
      </c>
      <c r="BK31" s="131">
        <f>COUNTIF(ParicipationMai1[[#This Row],[1]:[31]],code20)</f>
        <v>0</v>
      </c>
      <c r="BL31" s="548">
        <f>COUNTIF(ParicipationMai1[[#This Row],[1]:[31]],code29)</f>
        <v>0</v>
      </c>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c r="CN31" s="131"/>
      <c r="CO31" s="131"/>
      <c r="CP31" s="131"/>
      <c r="CQ31" s="131"/>
      <c r="CR31" s="131"/>
      <c r="CS31" s="131"/>
      <c r="CT31" s="131"/>
      <c r="CU31" s="548"/>
      <c r="CV31" s="575">
        <f t="shared" si="0"/>
        <v>0</v>
      </c>
      <c r="CW31" s="575">
        <f t="shared" si="1"/>
        <v>0</v>
      </c>
      <c r="CX31" s="576">
        <f t="shared" si="2"/>
        <v>0</v>
      </c>
      <c r="CY31" s="170">
        <f t="shared" si="3"/>
        <v>0</v>
      </c>
    </row>
    <row r="32" spans="1:103">
      <c r="A32" s="405" t="s">
        <v>373</v>
      </c>
      <c r="B32" s="537" t="str">
        <f>IFERROR(VLOOKUP(ParicipationMai1[[#This Row],[Référence]],ListeÉtudiants1[],18,FALSE),"")</f>
        <v>BLOT  WENDY</v>
      </c>
      <c r="C32" s="538"/>
      <c r="D32" s="538"/>
      <c r="E32" s="538"/>
      <c r="F32" s="538"/>
      <c r="G32" s="538"/>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9"/>
      <c r="AH32" s="538">
        <f>COUNTIF(ParicipationMai1[[1]:[31]],Code1)</f>
        <v>0</v>
      </c>
      <c r="AI32" s="538">
        <f>COUNTIF(ParicipationMai1[[1]:[31]],code22)</f>
        <v>0</v>
      </c>
      <c r="AJ32" s="132">
        <f>COUNTIF(ParicipationMai1[[#This Row],[1]:[31]],Code2)</f>
        <v>0</v>
      </c>
      <c r="AK32" s="132">
        <f>COUNTIF(ParicipationMai1[[#This Row],[1]:[31]],Code3)</f>
        <v>0</v>
      </c>
      <c r="AL32" s="132">
        <f>COUNTIF(ParicipationMai1[[#This Row],[1]:[31]],Code4)</f>
        <v>0</v>
      </c>
      <c r="AM32" s="132">
        <f>COUNTIF(ParicipationMai1[[#This Row],[1]:[31]],Code5)</f>
        <v>0</v>
      </c>
      <c r="AN32" s="132">
        <f>COUNTIF(ParicipationMai1[[#This Row],[1]:[31]],Code23)</f>
        <v>0</v>
      </c>
      <c r="AO32" s="132">
        <f>COUNTIF(ParicipationMai1[[#This Row],[1]:[31]],Code6)</f>
        <v>0</v>
      </c>
      <c r="AP32" s="132">
        <f>COUNTIF(ParicipationMai1[[#This Row],[1]:[31]],Code7)</f>
        <v>0</v>
      </c>
      <c r="AQ32" s="132">
        <f>COUNTIF(ParicipationMai1[[#This Row],[1]:[31]],Code8)</f>
        <v>0</v>
      </c>
      <c r="AR32" s="132">
        <f>COUNTIF(ParicipationMai1[[#This Row],[1]:[31]],Code9)</f>
        <v>0</v>
      </c>
      <c r="AS32" s="132">
        <f>COUNTIF(ParicipationMai1[[#This Row],[1]:[31]],Code10)</f>
        <v>0</v>
      </c>
      <c r="AT32" s="132">
        <f>COUNTIF(ParicipationMai1[[#This Row],[1]:[31]],Code11)</f>
        <v>0</v>
      </c>
      <c r="AU32" s="132">
        <f>COUNTIF(ParicipationMai1[[#This Row],[1]:[31]],Code12)</f>
        <v>0</v>
      </c>
      <c r="AV32" s="132">
        <f>COUNTIF(ParicipationMai1[[#This Row],[1]:[31]],Code13)</f>
        <v>0</v>
      </c>
      <c r="AW32" s="132">
        <f>COUNTIF(ParicipationMai1[[#This Row],[1]:[31]],Code14)</f>
        <v>0</v>
      </c>
      <c r="AX32" s="132">
        <f>COUNTIF(ParicipationMai1[[#This Row],[1]:[31]],Code15)</f>
        <v>0</v>
      </c>
      <c r="AY32" s="132">
        <f>COUNTIF(ParicipationMai1[[#This Row],[1]:[31]],Code16)</f>
        <v>0</v>
      </c>
      <c r="AZ32" s="132">
        <f>COUNTIF(ParicipationMai1[[#This Row],[1]:[31]],Code17)</f>
        <v>0</v>
      </c>
      <c r="BA32" s="132">
        <f>COUNTIF(ParicipationMai1[[#This Row],[1]:[31]],Code26)</f>
        <v>0</v>
      </c>
      <c r="BB32" s="132">
        <f>COUNTIF(ParicipationMai1[[#This Row],[1]:[31]],Code27)</f>
        <v>0</v>
      </c>
      <c r="BC32" s="132">
        <f>COUNTIF(ParicipationMai1[[#This Row],[1]:[31]],Code27)</f>
        <v>0</v>
      </c>
      <c r="BD32" s="132">
        <f>COUNTIF(ParicipationMai1[[#This Row],[1]:[31]],Code28)</f>
        <v>0</v>
      </c>
      <c r="BE32" s="132">
        <f>COUNTIF(ParicipationMai1[[#This Row],[1]:[31]],code30)</f>
        <v>0</v>
      </c>
      <c r="BF32" s="132">
        <f>COUNTIF(ParicipationMai1[[#This Row],[1]:[31]],Code31)</f>
        <v>0</v>
      </c>
      <c r="BG32" s="132">
        <f>COUNTIF(ParicipationMai1[[#This Row],[1]:[31]],code21)</f>
        <v>0</v>
      </c>
      <c r="BH32" s="132">
        <f>COUNTIF(ParicipationMai1[[#This Row],[1]:[31]],Code24)</f>
        <v>0</v>
      </c>
      <c r="BI32" s="132">
        <f>COUNTIF(ParicipationMai1[[#This Row],[1]:[31]],code18)</f>
        <v>0</v>
      </c>
      <c r="BJ32" s="132">
        <f>COUNTIF(ParicipationMai1[[#This Row],[1]:[31]],code19)</f>
        <v>0</v>
      </c>
      <c r="BK32" s="132">
        <f>COUNTIF(ParicipationMai1[[#This Row],[1]:[31]],code20)</f>
        <v>0</v>
      </c>
      <c r="BL32" s="547">
        <f>COUNTIF(ParicipationMai1[[#This Row],[1]:[31]],code29)</f>
        <v>0</v>
      </c>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547"/>
      <c r="CV32" s="573">
        <f t="shared" si="0"/>
        <v>0</v>
      </c>
      <c r="CW32" s="573">
        <f t="shared" si="1"/>
        <v>0</v>
      </c>
      <c r="CX32" s="574">
        <f t="shared" si="2"/>
        <v>0</v>
      </c>
      <c r="CY32" s="583">
        <f t="shared" si="3"/>
        <v>0</v>
      </c>
    </row>
    <row r="33" spans="1:104">
      <c r="A33" s="406" t="s">
        <v>374</v>
      </c>
      <c r="B33" s="540" t="str">
        <f>IFERROR(VLOOKUP(ParicipationMai1[[#This Row],[Référence]],ListeÉtudiants1[],18,FALSE),"")</f>
        <v>BOISSELET CHRISTELLE</v>
      </c>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541"/>
      <c r="AH33" s="311">
        <f>COUNTIF(ParicipationMai1[[1]:[31]],Code1)</f>
        <v>0</v>
      </c>
      <c r="AI33" s="311">
        <f>COUNTIF(ParicipationMai1[[1]:[31]],code22)</f>
        <v>0</v>
      </c>
      <c r="AJ33" s="131">
        <f>COUNTIF(ParicipationMai1[[#This Row],[1]:[31]],Code2)</f>
        <v>0</v>
      </c>
      <c r="AK33" s="131">
        <f>COUNTIF(ParicipationMai1[[#This Row],[1]:[31]],Code3)</f>
        <v>0</v>
      </c>
      <c r="AL33" s="131">
        <f>COUNTIF(ParicipationMai1[[#This Row],[1]:[31]],Code4)</f>
        <v>0</v>
      </c>
      <c r="AM33" s="131">
        <f>COUNTIF(ParicipationMai1[[#This Row],[1]:[31]],Code5)</f>
        <v>0</v>
      </c>
      <c r="AN33" s="131">
        <f>COUNTIF(ParicipationMai1[[#This Row],[1]:[31]],Code23)</f>
        <v>0</v>
      </c>
      <c r="AO33" s="131">
        <f>COUNTIF(ParicipationMai1[[#This Row],[1]:[31]],Code6)</f>
        <v>0</v>
      </c>
      <c r="AP33" s="131">
        <f>COUNTIF(ParicipationMai1[[#This Row],[1]:[31]],Code7)</f>
        <v>0</v>
      </c>
      <c r="AQ33" s="131">
        <f>COUNTIF(ParicipationMai1[[#This Row],[1]:[31]],Code8)</f>
        <v>0</v>
      </c>
      <c r="AR33" s="131">
        <f>COUNTIF(ParicipationMai1[[#This Row],[1]:[31]],Code9)</f>
        <v>0</v>
      </c>
      <c r="AS33" s="131">
        <f>COUNTIF(ParicipationMai1[[#This Row],[1]:[31]],Code10)</f>
        <v>0</v>
      </c>
      <c r="AT33" s="131">
        <f>COUNTIF(ParicipationMai1[[#This Row],[1]:[31]],Code11)</f>
        <v>0</v>
      </c>
      <c r="AU33" s="131">
        <f>COUNTIF(ParicipationMai1[[#This Row],[1]:[31]],Code12)</f>
        <v>0</v>
      </c>
      <c r="AV33" s="131">
        <f>COUNTIF(ParicipationMai1[[#This Row],[1]:[31]],Code13)</f>
        <v>0</v>
      </c>
      <c r="AW33" s="131">
        <f>COUNTIF(ParicipationMai1[[#This Row],[1]:[31]],Code14)</f>
        <v>0</v>
      </c>
      <c r="AX33" s="131">
        <f>COUNTIF(ParicipationMai1[[#This Row],[1]:[31]],Code15)</f>
        <v>0</v>
      </c>
      <c r="AY33" s="131">
        <f>COUNTIF(ParicipationMai1[[#This Row],[1]:[31]],Code16)</f>
        <v>0</v>
      </c>
      <c r="AZ33" s="131">
        <f>COUNTIF(ParicipationMai1[[#This Row],[1]:[31]],Code17)</f>
        <v>0</v>
      </c>
      <c r="BA33" s="131">
        <f>COUNTIF(ParicipationMai1[[#This Row],[1]:[31]],Code26)</f>
        <v>0</v>
      </c>
      <c r="BB33" s="131">
        <f>COUNTIF(ParicipationMai1[[#This Row],[1]:[31]],Code27)</f>
        <v>0</v>
      </c>
      <c r="BC33" s="131">
        <f>COUNTIF(ParicipationMai1[[#This Row],[1]:[31]],Code27)</f>
        <v>0</v>
      </c>
      <c r="BD33" s="131">
        <f>COUNTIF(ParicipationMai1[[#This Row],[1]:[31]],Code28)</f>
        <v>0</v>
      </c>
      <c r="BE33" s="131">
        <f>COUNTIF(ParicipationMai1[[#This Row],[1]:[31]],code30)</f>
        <v>0</v>
      </c>
      <c r="BF33" s="131">
        <f>COUNTIF(ParicipationMai1[[#This Row],[1]:[31]],Code31)</f>
        <v>0</v>
      </c>
      <c r="BG33" s="131">
        <f>COUNTIF(ParicipationMai1[[#This Row],[1]:[31]],code21)</f>
        <v>0</v>
      </c>
      <c r="BH33" s="131">
        <f>COUNTIF(ParicipationMai1[[#This Row],[1]:[31]],Code24)</f>
        <v>0</v>
      </c>
      <c r="BI33" s="131">
        <f>COUNTIF(ParicipationMai1[[#This Row],[1]:[31]],code18)</f>
        <v>0</v>
      </c>
      <c r="BJ33" s="131">
        <f>COUNTIF(ParicipationMai1[[#This Row],[1]:[31]],code19)</f>
        <v>0</v>
      </c>
      <c r="BK33" s="131">
        <f>COUNTIF(ParicipationMai1[[#This Row],[1]:[31]],code20)</f>
        <v>0</v>
      </c>
      <c r="BL33" s="548">
        <f>COUNTIF(ParicipationMai1[[#This Row],[1]:[31]],code29)</f>
        <v>0</v>
      </c>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1"/>
      <c r="CN33" s="131"/>
      <c r="CO33" s="131"/>
      <c r="CP33" s="131"/>
      <c r="CQ33" s="131"/>
      <c r="CR33" s="131"/>
      <c r="CS33" s="131"/>
      <c r="CT33" s="131"/>
      <c r="CU33" s="548"/>
      <c r="CV33" s="588">
        <f t="shared" si="0"/>
        <v>0</v>
      </c>
      <c r="CW33" s="575">
        <f t="shared" si="1"/>
        <v>0</v>
      </c>
      <c r="CX33" s="131">
        <f t="shared" si="2"/>
        <v>0</v>
      </c>
      <c r="CY33" s="577">
        <f t="shared" si="3"/>
        <v>0</v>
      </c>
    </row>
    <row r="34" spans="1:104">
      <c r="A34" s="405" t="s">
        <v>375</v>
      </c>
      <c r="B34" s="537" t="str">
        <f>IFERROR(VLOOKUP(ParicipationMai1[[#This Row],[Référence]],ListeÉtudiants1[],18,FALSE),"")</f>
        <v>BOUCAUD  CHRISTINE</v>
      </c>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546"/>
      <c r="AH34" s="132">
        <f>COUNTIF(ParicipationMai1[[1]:[31]],Code1)</f>
        <v>0</v>
      </c>
      <c r="AI34" s="538">
        <f>COUNTIF(ParicipationMai1[[1]:[31]],code22)</f>
        <v>0</v>
      </c>
      <c r="AJ34" s="132">
        <f>COUNTIF(ParicipationMai1[[#This Row],[1]:[31]],Code2)</f>
        <v>0</v>
      </c>
      <c r="AK34" s="132">
        <f>COUNTIF(ParicipationMai1[[#This Row],[1]:[31]],Code3)</f>
        <v>0</v>
      </c>
      <c r="AL34" s="132">
        <f>COUNTIF(ParicipationMai1[[#This Row],[1]:[31]],Code4)</f>
        <v>0</v>
      </c>
      <c r="AM34" s="132">
        <f>COUNTIF(ParicipationMai1[[#This Row],[1]:[31]],Code5)</f>
        <v>0</v>
      </c>
      <c r="AN34" s="132">
        <f>COUNTIF(ParicipationMai1[[#This Row],[1]:[31]],Code23)</f>
        <v>0</v>
      </c>
      <c r="AO34" s="132">
        <f>COUNTIF(ParicipationMai1[[#This Row],[1]:[31]],Code6)</f>
        <v>0</v>
      </c>
      <c r="AP34" s="132">
        <f>COUNTIF(ParicipationMai1[[#This Row],[1]:[31]],Code7)</f>
        <v>0</v>
      </c>
      <c r="AQ34" s="132">
        <f>COUNTIF(ParicipationMai1[[#This Row],[1]:[31]],Code8)</f>
        <v>0</v>
      </c>
      <c r="AR34" s="132">
        <f>COUNTIF(ParicipationMai1[[#This Row],[1]:[31]],Code9)</f>
        <v>0</v>
      </c>
      <c r="AS34" s="132">
        <f>COUNTIF(ParicipationMai1[[#This Row],[1]:[31]],Code10)</f>
        <v>0</v>
      </c>
      <c r="AT34" s="132">
        <f>COUNTIF(ParicipationMai1[[#This Row],[1]:[31]],Code11)</f>
        <v>0</v>
      </c>
      <c r="AU34" s="132">
        <f>COUNTIF(ParicipationMai1[[#This Row],[1]:[31]],Code12)</f>
        <v>0</v>
      </c>
      <c r="AV34" s="132">
        <f>COUNTIF(ParicipationMai1[[#This Row],[1]:[31]],Code13)</f>
        <v>0</v>
      </c>
      <c r="AW34" s="132">
        <f>COUNTIF(ParicipationMai1[[#This Row],[1]:[31]],Code14)</f>
        <v>0</v>
      </c>
      <c r="AX34" s="132">
        <f>COUNTIF(ParicipationMai1[[#This Row],[1]:[31]],Code15)</f>
        <v>0</v>
      </c>
      <c r="AY34" s="132">
        <f>COUNTIF(ParicipationMai1[[#This Row],[1]:[31]],Code16)</f>
        <v>0</v>
      </c>
      <c r="AZ34" s="132">
        <f>COUNTIF(ParicipationMai1[[#This Row],[1]:[31]],Code17)</f>
        <v>0</v>
      </c>
      <c r="BA34" s="132">
        <f>COUNTIF(ParicipationMai1[[#This Row],[1]:[31]],Code26)</f>
        <v>0</v>
      </c>
      <c r="BB34" s="132">
        <f>COUNTIF(ParicipationMai1[[#This Row],[1]:[31]],Code27)</f>
        <v>0</v>
      </c>
      <c r="BC34" s="132">
        <f>COUNTIF(ParicipationMai1[[#This Row],[1]:[31]],Code27)</f>
        <v>0</v>
      </c>
      <c r="BD34" s="132">
        <f>COUNTIF(ParicipationMai1[[#This Row],[1]:[31]],Code28)</f>
        <v>0</v>
      </c>
      <c r="BE34" s="132">
        <f>COUNTIF(ParicipationMai1[[#This Row],[1]:[31]],code30)</f>
        <v>0</v>
      </c>
      <c r="BF34" s="132">
        <f>COUNTIF(ParicipationMai1[[#This Row],[1]:[31]],Code31)</f>
        <v>0</v>
      </c>
      <c r="BG34" s="132">
        <f>COUNTIF(ParicipationMai1[[#This Row],[1]:[31]],code21)</f>
        <v>0</v>
      </c>
      <c r="BH34" s="132">
        <f>COUNTIF(ParicipationMai1[[#This Row],[1]:[31]],Code24)</f>
        <v>0</v>
      </c>
      <c r="BI34" s="579">
        <f>COUNTIF(ParicipationMai1[[#This Row],[1]:[31]],code18)</f>
        <v>0</v>
      </c>
      <c r="BJ34" s="579">
        <f>COUNTIF(ParicipationMai1[[#This Row],[1]:[31]],code19)</f>
        <v>0</v>
      </c>
      <c r="BK34" s="579">
        <f>COUNTIF(ParicipationMai1[[#This Row],[1]:[31]],code20)</f>
        <v>0</v>
      </c>
      <c r="BL34" s="547">
        <f>COUNTIF(ParicipationMai1[[#This Row],[1]:[31]],code29)</f>
        <v>0</v>
      </c>
      <c r="BM34" s="405"/>
      <c r="BN34" s="405"/>
      <c r="BO34" s="405"/>
      <c r="BP34" s="405"/>
      <c r="BQ34" s="405"/>
      <c r="BR34" s="405"/>
      <c r="BS34" s="405"/>
      <c r="BT34" s="405"/>
      <c r="BU34" s="405"/>
      <c r="BV34" s="405"/>
      <c r="BW34" s="405"/>
      <c r="BX34" s="405"/>
      <c r="BY34" s="405"/>
      <c r="BZ34" s="405"/>
      <c r="CA34" s="405"/>
      <c r="CB34" s="405"/>
      <c r="CC34" s="405"/>
      <c r="CD34" s="405"/>
      <c r="CE34" s="405"/>
      <c r="CF34" s="405"/>
      <c r="CG34" s="405"/>
      <c r="CH34" s="405"/>
      <c r="CI34" s="405"/>
      <c r="CJ34" s="405"/>
      <c r="CK34" s="405"/>
      <c r="CL34" s="405"/>
      <c r="CM34" s="405"/>
      <c r="CN34" s="405"/>
      <c r="CO34" s="405"/>
      <c r="CP34" s="405"/>
      <c r="CQ34" s="405"/>
      <c r="CR34" s="405"/>
      <c r="CS34" s="405"/>
      <c r="CT34" s="132"/>
      <c r="CU34" s="414"/>
      <c r="CV34" s="590">
        <f t="shared" si="0"/>
        <v>0</v>
      </c>
      <c r="CW34" s="573">
        <f t="shared" si="1"/>
        <v>0</v>
      </c>
      <c r="CX34" s="132">
        <f t="shared" si="2"/>
        <v>0</v>
      </c>
      <c r="CY34" s="585">
        <f t="shared" si="3"/>
        <v>0</v>
      </c>
      <c r="CZ34" s="88"/>
    </row>
    <row r="35" spans="1:104">
      <c r="A35" s="406" t="s">
        <v>376</v>
      </c>
      <c r="B35" s="540" t="str">
        <f>IFERROR(VLOOKUP(ParicipationMai1[[#This Row],[Référence]],ListeÉtudiants1[],18,FALSE),"")</f>
        <v>BOUKHARAZ MARINA</v>
      </c>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542"/>
      <c r="AH35" s="131">
        <f>COUNTIF(ParicipationMai1[[1]:[31]],Code1)</f>
        <v>0</v>
      </c>
      <c r="AI35" s="311">
        <f>COUNTIF(ParicipationMai1[[1]:[31]],code22)</f>
        <v>0</v>
      </c>
      <c r="AJ35" s="131">
        <f>COUNTIF(ParicipationMai1[[#This Row],[1]:[31]],Code2)</f>
        <v>0</v>
      </c>
      <c r="AK35" s="131">
        <f>COUNTIF(ParicipationMai1[[#This Row],[1]:[31]],Code3)</f>
        <v>0</v>
      </c>
      <c r="AL35" s="131">
        <f>COUNTIF(ParicipationMai1[[#This Row],[1]:[31]],Code4)</f>
        <v>0</v>
      </c>
      <c r="AM35" s="131">
        <f>COUNTIF(ParicipationMai1[[#This Row],[1]:[31]],Code5)</f>
        <v>0</v>
      </c>
      <c r="AN35" s="131">
        <f>COUNTIF(ParicipationMai1[[#This Row],[1]:[31]],Code23)</f>
        <v>0</v>
      </c>
      <c r="AO35" s="131">
        <f>COUNTIF(ParicipationMai1[[#This Row],[1]:[31]],Code6)</f>
        <v>0</v>
      </c>
      <c r="AP35" s="131">
        <f>COUNTIF(ParicipationMai1[[#This Row],[1]:[31]],Code7)</f>
        <v>0</v>
      </c>
      <c r="AQ35" s="131">
        <f>COUNTIF(ParicipationMai1[[#This Row],[1]:[31]],Code8)</f>
        <v>0</v>
      </c>
      <c r="AR35" s="131">
        <f>COUNTIF(ParicipationMai1[[#This Row],[1]:[31]],Code9)</f>
        <v>0</v>
      </c>
      <c r="AS35" s="131">
        <f>COUNTIF(ParicipationMai1[[#This Row],[1]:[31]],Code10)</f>
        <v>0</v>
      </c>
      <c r="AT35" s="131">
        <f>COUNTIF(ParicipationMai1[[#This Row],[1]:[31]],Code11)</f>
        <v>0</v>
      </c>
      <c r="AU35" s="131">
        <f>COUNTIF(ParicipationMai1[[#This Row],[1]:[31]],Code12)</f>
        <v>0</v>
      </c>
      <c r="AV35" s="131">
        <f>COUNTIF(ParicipationMai1[[#This Row],[1]:[31]],Code13)</f>
        <v>0</v>
      </c>
      <c r="AW35" s="131">
        <f>COUNTIF(ParicipationMai1[[#This Row],[1]:[31]],Code14)</f>
        <v>0</v>
      </c>
      <c r="AX35" s="131">
        <f>COUNTIF(ParicipationMai1[[#This Row],[1]:[31]],Code15)</f>
        <v>0</v>
      </c>
      <c r="AY35" s="131">
        <f>COUNTIF(ParicipationMai1[[#This Row],[1]:[31]],Code16)</f>
        <v>0</v>
      </c>
      <c r="AZ35" s="131">
        <f>COUNTIF(ParicipationMai1[[#This Row],[1]:[31]],Code17)</f>
        <v>0</v>
      </c>
      <c r="BA35" s="131">
        <f>COUNTIF(ParicipationMai1[[#This Row],[1]:[31]],Code26)</f>
        <v>0</v>
      </c>
      <c r="BB35" s="131">
        <f>COUNTIF(ParicipationMai1[[#This Row],[1]:[31]],Code27)</f>
        <v>0</v>
      </c>
      <c r="BC35" s="131">
        <f>COUNTIF(ParicipationMai1[[#This Row],[1]:[31]],Code27)</f>
        <v>0</v>
      </c>
      <c r="BD35" s="131">
        <f>COUNTIF(ParicipationMai1[[#This Row],[1]:[31]],Code28)</f>
        <v>0</v>
      </c>
      <c r="BE35" s="131">
        <f>COUNTIF(ParicipationMai1[[#This Row],[1]:[31]],code30)</f>
        <v>0</v>
      </c>
      <c r="BF35" s="131">
        <f>COUNTIF(ParicipationMai1[[#This Row],[1]:[31]],Code31)</f>
        <v>0</v>
      </c>
      <c r="BG35" s="131">
        <f>COUNTIF(ParicipationMai1[[#This Row],[1]:[31]],code21)</f>
        <v>0</v>
      </c>
      <c r="BH35" s="131">
        <f>COUNTIF(ParicipationMai1[[#This Row],[1]:[31]],Code24)</f>
        <v>0</v>
      </c>
      <c r="BI35" s="580">
        <f>COUNTIF(ParicipationMai1[[#This Row],[1]:[31]],code18)</f>
        <v>0</v>
      </c>
      <c r="BJ35" s="580">
        <f>COUNTIF(ParicipationMai1[[#This Row],[1]:[31]],code19)</f>
        <v>0</v>
      </c>
      <c r="BK35" s="580">
        <f>COUNTIF(ParicipationMai1[[#This Row],[1]:[31]],code20)</f>
        <v>0</v>
      </c>
      <c r="BL35" s="548">
        <f>COUNTIF(ParicipationMai1[[#This Row],[1]:[31]],code29)</f>
        <v>0</v>
      </c>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1"/>
      <c r="CT35" s="131"/>
      <c r="CU35" s="548"/>
      <c r="CV35" s="592">
        <f t="shared" si="0"/>
        <v>0</v>
      </c>
      <c r="CW35" s="575">
        <f t="shared" si="1"/>
        <v>0</v>
      </c>
      <c r="CX35" s="131">
        <f t="shared" si="2"/>
        <v>0</v>
      </c>
      <c r="CY35" s="170">
        <f t="shared" si="3"/>
        <v>0</v>
      </c>
    </row>
    <row r="36" spans="1:104">
      <c r="A36" s="405" t="s">
        <v>377</v>
      </c>
      <c r="B36" s="537" t="str">
        <f>IFERROR(VLOOKUP(ParicipationMai1[[#This Row],[Référence]],ListeÉtudiants1[],18,FALSE),"")</f>
        <v>BOUTILLIER LAETITIA</v>
      </c>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546"/>
      <c r="AH36" s="132">
        <f>COUNTIF(ParicipationMai1[[1]:[31]],Code1)</f>
        <v>0</v>
      </c>
      <c r="AI36" s="538">
        <f>COUNTIF(ParicipationMai1[[1]:[31]],code22)</f>
        <v>0</v>
      </c>
      <c r="AJ36" s="132">
        <f>COUNTIF(ParicipationMai1[[#This Row],[1]:[31]],Code2)</f>
        <v>0</v>
      </c>
      <c r="AK36" s="132">
        <f>COUNTIF(ParicipationMai1[[#This Row],[1]:[31]],Code3)</f>
        <v>0</v>
      </c>
      <c r="AL36" s="132">
        <f>COUNTIF(ParicipationMai1[[#This Row],[1]:[31]],Code4)</f>
        <v>0</v>
      </c>
      <c r="AM36" s="132">
        <f>COUNTIF(ParicipationMai1[[#This Row],[1]:[31]],Code5)</f>
        <v>0</v>
      </c>
      <c r="AN36" s="132">
        <f>COUNTIF(ParicipationMai1[[#This Row],[1]:[31]],Code23)</f>
        <v>0</v>
      </c>
      <c r="AO36" s="132">
        <f>COUNTIF(ParicipationMai1[[#This Row],[1]:[31]],Code6)</f>
        <v>0</v>
      </c>
      <c r="AP36" s="132">
        <f>COUNTIF(ParicipationMai1[[#This Row],[1]:[31]],Code7)</f>
        <v>0</v>
      </c>
      <c r="AQ36" s="132">
        <f>COUNTIF(ParicipationMai1[[#This Row],[1]:[31]],Code8)</f>
        <v>0</v>
      </c>
      <c r="AR36" s="132">
        <f>COUNTIF(ParicipationMai1[[#This Row],[1]:[31]],Code9)</f>
        <v>0</v>
      </c>
      <c r="AS36" s="132">
        <f>COUNTIF(ParicipationMai1[[#This Row],[1]:[31]],Code10)</f>
        <v>0</v>
      </c>
      <c r="AT36" s="132">
        <f>COUNTIF(ParicipationMai1[[#This Row],[1]:[31]],Code11)</f>
        <v>0</v>
      </c>
      <c r="AU36" s="132">
        <f>COUNTIF(ParicipationMai1[[#This Row],[1]:[31]],Code12)</f>
        <v>0</v>
      </c>
      <c r="AV36" s="132">
        <f>COUNTIF(ParicipationMai1[[#This Row],[1]:[31]],Code13)</f>
        <v>0</v>
      </c>
      <c r="AW36" s="132">
        <f>COUNTIF(ParicipationMai1[[#This Row],[1]:[31]],Code14)</f>
        <v>0</v>
      </c>
      <c r="AX36" s="132">
        <f>COUNTIF(ParicipationMai1[[#This Row],[1]:[31]],Code15)</f>
        <v>0</v>
      </c>
      <c r="AY36" s="132">
        <f>COUNTIF(ParicipationMai1[[#This Row],[1]:[31]],Code16)</f>
        <v>0</v>
      </c>
      <c r="AZ36" s="132">
        <f>COUNTIF(ParicipationMai1[[#This Row],[1]:[31]],Code17)</f>
        <v>0</v>
      </c>
      <c r="BA36" s="132">
        <f>COUNTIF(ParicipationMai1[[#This Row],[1]:[31]],Code26)</f>
        <v>0</v>
      </c>
      <c r="BB36" s="132">
        <f>COUNTIF(ParicipationMai1[[#This Row],[1]:[31]],Code27)</f>
        <v>0</v>
      </c>
      <c r="BC36" s="132">
        <f>COUNTIF(ParicipationMai1[[#This Row],[1]:[31]],Code27)</f>
        <v>0</v>
      </c>
      <c r="BD36" s="132">
        <f>COUNTIF(ParicipationMai1[[#This Row],[1]:[31]],Code28)</f>
        <v>0</v>
      </c>
      <c r="BE36" s="132">
        <f>COUNTIF(ParicipationMai1[[#This Row],[1]:[31]],code30)</f>
        <v>0</v>
      </c>
      <c r="BF36" s="132">
        <f>COUNTIF(ParicipationMai1[[#This Row],[1]:[31]],Code31)</f>
        <v>0</v>
      </c>
      <c r="BG36" s="132">
        <f>COUNTIF(ParicipationMai1[[#This Row],[1]:[31]],code21)</f>
        <v>0</v>
      </c>
      <c r="BH36" s="132">
        <f>COUNTIF(ParicipationMai1[[#This Row],[1]:[31]],Code24)</f>
        <v>0</v>
      </c>
      <c r="BI36" s="579">
        <f>COUNTIF(ParicipationMai1[[#This Row],[1]:[31]],code18)</f>
        <v>0</v>
      </c>
      <c r="BJ36" s="579">
        <f>COUNTIF(ParicipationMai1[[#This Row],[1]:[31]],code19)</f>
        <v>0</v>
      </c>
      <c r="BK36" s="579">
        <f>COUNTIF(ParicipationMai1[[#This Row],[1]:[31]],code20)</f>
        <v>0</v>
      </c>
      <c r="BL36" s="547">
        <f>COUNTIF(ParicipationMai1[[#This Row],[1]:[31]],code29)</f>
        <v>0</v>
      </c>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547"/>
      <c r="CV36" s="590">
        <f t="shared" si="0"/>
        <v>0</v>
      </c>
      <c r="CW36" s="573">
        <f t="shared" si="1"/>
        <v>0</v>
      </c>
      <c r="CX36" s="132">
        <f t="shared" si="2"/>
        <v>0</v>
      </c>
      <c r="CY36" s="500">
        <f t="shared" si="3"/>
        <v>0</v>
      </c>
    </row>
    <row r="37" spans="1:104">
      <c r="A37" s="406" t="s">
        <v>378</v>
      </c>
      <c r="B37" s="540" t="str">
        <f>IFERROR(VLOOKUP(ParicipationMai1[[#This Row],[Référence]],ListeÉtudiants1[],18,FALSE),"")</f>
        <v>BRIAND OCEANE</v>
      </c>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542"/>
      <c r="AH37" s="131">
        <f>COUNTIF(ParicipationMai1[[1]:[31]],Code1)</f>
        <v>0</v>
      </c>
      <c r="AI37" s="311">
        <f>COUNTIF(ParicipationMai1[[1]:[31]],code22)</f>
        <v>0</v>
      </c>
      <c r="AJ37" s="131">
        <f>COUNTIF(ParicipationMai1[[#This Row],[1]:[31]],Code2)</f>
        <v>0</v>
      </c>
      <c r="AK37" s="131">
        <f>COUNTIF(ParicipationMai1[[#This Row],[1]:[31]],Code3)</f>
        <v>0</v>
      </c>
      <c r="AL37" s="131">
        <f>COUNTIF(ParicipationMai1[[#This Row],[1]:[31]],Code4)</f>
        <v>0</v>
      </c>
      <c r="AM37" s="131">
        <f>COUNTIF(ParicipationMai1[[#This Row],[1]:[31]],Code5)</f>
        <v>0</v>
      </c>
      <c r="AN37" s="131">
        <f>COUNTIF(ParicipationMai1[[#This Row],[1]:[31]],Code23)</f>
        <v>0</v>
      </c>
      <c r="AO37" s="131">
        <f>COUNTIF(ParicipationMai1[[#This Row],[1]:[31]],Code6)</f>
        <v>0</v>
      </c>
      <c r="AP37" s="131">
        <f>COUNTIF(ParicipationMai1[[#This Row],[1]:[31]],Code7)</f>
        <v>0</v>
      </c>
      <c r="AQ37" s="131">
        <f>COUNTIF(ParicipationMai1[[#This Row],[1]:[31]],Code8)</f>
        <v>0</v>
      </c>
      <c r="AR37" s="131">
        <f>COUNTIF(ParicipationMai1[[#This Row],[1]:[31]],Code9)</f>
        <v>0</v>
      </c>
      <c r="AS37" s="131">
        <f>COUNTIF(ParicipationMai1[[#This Row],[1]:[31]],Code10)</f>
        <v>0</v>
      </c>
      <c r="AT37" s="131">
        <f>COUNTIF(ParicipationMai1[[#This Row],[1]:[31]],Code11)</f>
        <v>0</v>
      </c>
      <c r="AU37" s="131">
        <f>COUNTIF(ParicipationMai1[[#This Row],[1]:[31]],Code12)</f>
        <v>0</v>
      </c>
      <c r="AV37" s="131">
        <f>COUNTIF(ParicipationMai1[[#This Row],[1]:[31]],Code13)</f>
        <v>0</v>
      </c>
      <c r="AW37" s="131">
        <f>COUNTIF(ParicipationMai1[[#This Row],[1]:[31]],Code14)</f>
        <v>0</v>
      </c>
      <c r="AX37" s="131">
        <f>COUNTIF(ParicipationMai1[[#This Row],[1]:[31]],Code15)</f>
        <v>0</v>
      </c>
      <c r="AY37" s="131">
        <f>COUNTIF(ParicipationMai1[[#This Row],[1]:[31]],Code16)</f>
        <v>0</v>
      </c>
      <c r="AZ37" s="131">
        <f>COUNTIF(ParicipationMai1[[#This Row],[1]:[31]],Code17)</f>
        <v>0</v>
      </c>
      <c r="BA37" s="131">
        <f>COUNTIF(ParicipationMai1[[#This Row],[1]:[31]],Code26)</f>
        <v>0</v>
      </c>
      <c r="BB37" s="131">
        <f>COUNTIF(ParicipationMai1[[#This Row],[1]:[31]],Code27)</f>
        <v>0</v>
      </c>
      <c r="BC37" s="131">
        <f>COUNTIF(ParicipationMai1[[#This Row],[1]:[31]],Code27)</f>
        <v>0</v>
      </c>
      <c r="BD37" s="131">
        <f>COUNTIF(ParicipationMai1[[#This Row],[1]:[31]],Code28)</f>
        <v>0</v>
      </c>
      <c r="BE37" s="131">
        <f>COUNTIF(ParicipationMai1[[#This Row],[1]:[31]],code30)</f>
        <v>0</v>
      </c>
      <c r="BF37" s="131">
        <f>COUNTIF(ParicipationMai1[[#This Row],[1]:[31]],Code31)</f>
        <v>0</v>
      </c>
      <c r="BG37" s="131">
        <f>COUNTIF(ParicipationMai1[[#This Row],[1]:[31]],code21)</f>
        <v>0</v>
      </c>
      <c r="BH37" s="131">
        <f>COUNTIF(ParicipationMai1[[#This Row],[1]:[31]],Code24)</f>
        <v>0</v>
      </c>
      <c r="BI37" s="568">
        <f>COUNTIF(ParicipationMai1[[#This Row],[1]:[31]],code18)</f>
        <v>0</v>
      </c>
      <c r="BJ37" s="568">
        <f>COUNTIF(ParicipationMai1[[#This Row],[1]:[31]],code19)</f>
        <v>0</v>
      </c>
      <c r="BK37" s="568">
        <f>COUNTIF(ParicipationMai1[[#This Row],[1]:[31]],code20)</f>
        <v>0</v>
      </c>
      <c r="BL37" s="548">
        <f>COUNTIF(ParicipationMai1[[#This Row],[1]:[31]],code29)</f>
        <v>0</v>
      </c>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131"/>
      <c r="CQ37" s="131"/>
      <c r="CR37" s="131"/>
      <c r="CS37" s="131"/>
      <c r="CT37" s="131"/>
      <c r="CU37" s="548"/>
      <c r="CV37" s="592">
        <f t="shared" si="0"/>
        <v>0</v>
      </c>
      <c r="CW37" s="575">
        <f t="shared" si="1"/>
        <v>0</v>
      </c>
      <c r="CX37" s="131">
        <f t="shared" si="2"/>
        <v>0</v>
      </c>
      <c r="CY37" s="170">
        <f t="shared" si="3"/>
        <v>0</v>
      </c>
    </row>
    <row r="38" spans="1:104">
      <c r="A38" s="405" t="s">
        <v>379</v>
      </c>
      <c r="B38" s="537" t="str">
        <f>IFERROR(VLOOKUP(ParicipationMai1[[#This Row],[Référence]],ListeÉtudiants1[],18,FALSE),"")</f>
        <v>BRITES TRACA ELODIE</v>
      </c>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546"/>
      <c r="AH38" s="132">
        <f>COUNTIF(ParicipationMai1[[1]:[31]],Code1)</f>
        <v>0</v>
      </c>
      <c r="AI38" s="538">
        <f>COUNTIF(ParicipationMai1[[1]:[31]],code22)</f>
        <v>0</v>
      </c>
      <c r="AJ38" s="132">
        <f>COUNTIF(ParicipationMai1[[#This Row],[1]:[31]],Code2)</f>
        <v>0</v>
      </c>
      <c r="AK38" s="132">
        <f>COUNTIF(ParicipationMai1[[#This Row],[1]:[31]],Code3)</f>
        <v>0</v>
      </c>
      <c r="AL38" s="132">
        <f>COUNTIF(ParicipationMai1[[#This Row],[1]:[31]],Code4)</f>
        <v>0</v>
      </c>
      <c r="AM38" s="132">
        <f>COUNTIF(ParicipationMai1[[#This Row],[1]:[31]],Code5)</f>
        <v>0</v>
      </c>
      <c r="AN38" s="132">
        <f>COUNTIF(ParicipationMai1[[#This Row],[1]:[31]],Code23)</f>
        <v>0</v>
      </c>
      <c r="AO38" s="132">
        <f>COUNTIF(ParicipationMai1[[#This Row],[1]:[31]],Code6)</f>
        <v>0</v>
      </c>
      <c r="AP38" s="132">
        <f>COUNTIF(ParicipationMai1[[#This Row],[1]:[31]],Code7)</f>
        <v>0</v>
      </c>
      <c r="AQ38" s="132">
        <f>COUNTIF(ParicipationMai1[[#This Row],[1]:[31]],Code8)</f>
        <v>0</v>
      </c>
      <c r="AR38" s="132">
        <f>COUNTIF(ParicipationMai1[[#This Row],[1]:[31]],Code9)</f>
        <v>0</v>
      </c>
      <c r="AS38" s="132">
        <f>COUNTIF(ParicipationMai1[[#This Row],[1]:[31]],Code10)</f>
        <v>0</v>
      </c>
      <c r="AT38" s="132">
        <f>COUNTIF(ParicipationMai1[[#This Row],[1]:[31]],Code11)</f>
        <v>0</v>
      </c>
      <c r="AU38" s="132">
        <f>COUNTIF(ParicipationMai1[[#This Row],[1]:[31]],Code12)</f>
        <v>0</v>
      </c>
      <c r="AV38" s="132">
        <f>COUNTIF(ParicipationMai1[[#This Row],[1]:[31]],Code13)</f>
        <v>0</v>
      </c>
      <c r="AW38" s="132">
        <f>COUNTIF(ParicipationMai1[[#This Row],[1]:[31]],Code14)</f>
        <v>0</v>
      </c>
      <c r="AX38" s="132">
        <f>COUNTIF(ParicipationMai1[[#This Row],[1]:[31]],Code15)</f>
        <v>0</v>
      </c>
      <c r="AY38" s="132">
        <f>COUNTIF(ParicipationMai1[[#This Row],[1]:[31]],Code16)</f>
        <v>0</v>
      </c>
      <c r="AZ38" s="132">
        <f>COUNTIF(ParicipationMai1[[#This Row],[1]:[31]],Code17)</f>
        <v>0</v>
      </c>
      <c r="BA38" s="132">
        <f>COUNTIF(ParicipationMai1[[#This Row],[1]:[31]],Code26)</f>
        <v>0</v>
      </c>
      <c r="BB38" s="132">
        <f>COUNTIF(ParicipationMai1[[#This Row],[1]:[31]],Code27)</f>
        <v>0</v>
      </c>
      <c r="BC38" s="132">
        <f>COUNTIF(ParicipationMai1[[#This Row],[1]:[31]],Code27)</f>
        <v>0</v>
      </c>
      <c r="BD38" s="132">
        <f>COUNTIF(ParicipationMai1[[#This Row],[1]:[31]],Code28)</f>
        <v>0</v>
      </c>
      <c r="BE38" s="132">
        <f>COUNTIF(ParicipationMai1[[#This Row],[1]:[31]],code30)</f>
        <v>0</v>
      </c>
      <c r="BF38" s="132">
        <f>COUNTIF(ParicipationMai1[[#This Row],[1]:[31]],Code31)</f>
        <v>0</v>
      </c>
      <c r="BG38" s="132">
        <f>COUNTIF(ParicipationMai1[[#This Row],[1]:[31]],code21)</f>
        <v>0</v>
      </c>
      <c r="BH38" s="132">
        <f>COUNTIF(ParicipationMai1[[#This Row],[1]:[31]],Code24)</f>
        <v>0</v>
      </c>
      <c r="BI38" s="579">
        <f>COUNTIF(ParicipationMai1[[#This Row],[1]:[31]],code18)</f>
        <v>0</v>
      </c>
      <c r="BJ38" s="579">
        <f>COUNTIF(ParicipationMai1[[#This Row],[1]:[31]],code19)</f>
        <v>0</v>
      </c>
      <c r="BK38" s="579">
        <f>COUNTIF(ParicipationMai1[[#This Row],[1]:[31]],code20)</f>
        <v>0</v>
      </c>
      <c r="BL38" s="547">
        <f>COUNTIF(ParicipationMai1[[#This Row],[1]:[31]],code29)</f>
        <v>0</v>
      </c>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547"/>
      <c r="CV38" s="590">
        <f t="shared" si="0"/>
        <v>0</v>
      </c>
      <c r="CW38" s="573">
        <f t="shared" si="1"/>
        <v>0</v>
      </c>
      <c r="CX38" s="132">
        <f t="shared" si="2"/>
        <v>0</v>
      </c>
      <c r="CY38" s="500">
        <f t="shared" si="3"/>
        <v>0</v>
      </c>
    </row>
    <row r="39" spans="1:104">
      <c r="A39" s="406" t="s">
        <v>380</v>
      </c>
      <c r="B39" s="540" t="str">
        <f>IFERROR(VLOOKUP(ParicipationMai1[[#This Row],[Référence]],ListeÉtudiants1[],18,FALSE),"")</f>
        <v>BRONZE  MARINE</v>
      </c>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542"/>
      <c r="AH39" s="131">
        <f>COUNTIF(ParicipationMai1[[1]:[31]],Code1)</f>
        <v>0</v>
      </c>
      <c r="AI39" s="311">
        <f>COUNTIF(ParicipationMai1[[1]:[31]],code22)</f>
        <v>0</v>
      </c>
      <c r="AJ39" s="131">
        <f>COUNTIF(ParicipationMai1[[#This Row],[1]:[31]],Code2)</f>
        <v>0</v>
      </c>
      <c r="AK39" s="131">
        <f>COUNTIF(ParicipationMai1[[#This Row],[1]:[31]],Code3)</f>
        <v>0</v>
      </c>
      <c r="AL39" s="131">
        <f>COUNTIF(ParicipationMai1[[#This Row],[1]:[31]],Code4)</f>
        <v>0</v>
      </c>
      <c r="AM39" s="131">
        <f>COUNTIF(ParicipationMai1[[#This Row],[1]:[31]],Code5)</f>
        <v>0</v>
      </c>
      <c r="AN39" s="131">
        <f>COUNTIF(ParicipationMai1[[#This Row],[1]:[31]],Code23)</f>
        <v>0</v>
      </c>
      <c r="AO39" s="131">
        <f>COUNTIF(ParicipationMai1[[#This Row],[1]:[31]],Code6)</f>
        <v>0</v>
      </c>
      <c r="AP39" s="131">
        <f>COUNTIF(ParicipationMai1[[#This Row],[1]:[31]],Code7)</f>
        <v>0</v>
      </c>
      <c r="AQ39" s="131">
        <f>COUNTIF(ParicipationMai1[[#This Row],[1]:[31]],Code8)</f>
        <v>0</v>
      </c>
      <c r="AR39" s="131">
        <f>COUNTIF(ParicipationMai1[[#This Row],[1]:[31]],Code9)</f>
        <v>0</v>
      </c>
      <c r="AS39" s="131">
        <f>COUNTIF(ParicipationMai1[[#This Row],[1]:[31]],Code10)</f>
        <v>0</v>
      </c>
      <c r="AT39" s="131">
        <f>COUNTIF(ParicipationMai1[[#This Row],[1]:[31]],Code11)</f>
        <v>0</v>
      </c>
      <c r="AU39" s="131">
        <f>COUNTIF(ParicipationMai1[[#This Row],[1]:[31]],Code12)</f>
        <v>0</v>
      </c>
      <c r="AV39" s="131">
        <f>COUNTIF(ParicipationMai1[[#This Row],[1]:[31]],Code13)</f>
        <v>0</v>
      </c>
      <c r="AW39" s="131">
        <f>COUNTIF(ParicipationMai1[[#This Row],[1]:[31]],Code14)</f>
        <v>0</v>
      </c>
      <c r="AX39" s="131">
        <f>COUNTIF(ParicipationMai1[[#This Row],[1]:[31]],Code15)</f>
        <v>0</v>
      </c>
      <c r="AY39" s="131">
        <f>COUNTIF(ParicipationMai1[[#This Row],[1]:[31]],Code16)</f>
        <v>0</v>
      </c>
      <c r="AZ39" s="131">
        <f>COUNTIF(ParicipationMai1[[#This Row],[1]:[31]],Code17)</f>
        <v>0</v>
      </c>
      <c r="BA39" s="131">
        <f>COUNTIF(ParicipationMai1[[#This Row],[1]:[31]],Code26)</f>
        <v>0</v>
      </c>
      <c r="BB39" s="131">
        <f>COUNTIF(ParicipationMai1[[#This Row],[1]:[31]],Code27)</f>
        <v>0</v>
      </c>
      <c r="BC39" s="131">
        <f>COUNTIF(ParicipationMai1[[#This Row],[1]:[31]],Code27)</f>
        <v>0</v>
      </c>
      <c r="BD39" s="131">
        <f>COUNTIF(ParicipationMai1[[#This Row],[1]:[31]],Code28)</f>
        <v>0</v>
      </c>
      <c r="BE39" s="131">
        <f>COUNTIF(ParicipationMai1[[#This Row],[1]:[31]],code30)</f>
        <v>0</v>
      </c>
      <c r="BF39" s="131">
        <f>COUNTIF(ParicipationMai1[[#This Row],[1]:[31]],Code31)</f>
        <v>0</v>
      </c>
      <c r="BG39" s="131">
        <f>COUNTIF(ParicipationMai1[[#This Row],[1]:[31]],code21)</f>
        <v>0</v>
      </c>
      <c r="BH39" s="131">
        <f>COUNTIF(ParicipationMai1[[#This Row],[1]:[31]],Code24)</f>
        <v>0</v>
      </c>
      <c r="BI39" s="568">
        <f>COUNTIF(ParicipationMai1[[#This Row],[1]:[31]],code18)</f>
        <v>0</v>
      </c>
      <c r="BJ39" s="568">
        <f>COUNTIF(ParicipationMai1[[#This Row],[1]:[31]],code19)</f>
        <v>0</v>
      </c>
      <c r="BK39" s="568">
        <f>COUNTIF(ParicipationMai1[[#This Row],[1]:[31]],code20)</f>
        <v>0</v>
      </c>
      <c r="BL39" s="548">
        <f>COUNTIF(ParicipationMai1[[#This Row],[1]:[31]],code29)</f>
        <v>0</v>
      </c>
      <c r="BM39" s="131"/>
      <c r="BN39" s="131"/>
      <c r="BO39" s="131"/>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1"/>
      <c r="CN39" s="131"/>
      <c r="CO39" s="131"/>
      <c r="CP39" s="131"/>
      <c r="CQ39" s="131"/>
      <c r="CR39" s="131"/>
      <c r="CS39" s="131"/>
      <c r="CT39" s="131"/>
      <c r="CU39" s="548"/>
      <c r="CV39" s="592">
        <f t="shared" si="0"/>
        <v>0</v>
      </c>
      <c r="CW39" s="575">
        <f t="shared" si="1"/>
        <v>0</v>
      </c>
      <c r="CX39" s="131">
        <f t="shared" si="2"/>
        <v>0</v>
      </c>
      <c r="CY39" s="170">
        <f t="shared" si="3"/>
        <v>0</v>
      </c>
    </row>
    <row r="40" spans="1:104">
      <c r="A40" s="405" t="s">
        <v>381</v>
      </c>
      <c r="B40" s="537" t="str">
        <f>IFERROR(VLOOKUP(ParicipationMai1[[#This Row],[Référence]],ListeÉtudiants1[],18,FALSE),"")</f>
        <v>CAMISON VICTORIA</v>
      </c>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546"/>
      <c r="AH40" s="132">
        <f>COUNTIF(ParicipationMai1[[1]:[31]],Code1)</f>
        <v>0</v>
      </c>
      <c r="AI40" s="538">
        <f>COUNTIF(ParicipationMai1[[1]:[31]],code22)</f>
        <v>0</v>
      </c>
      <c r="AJ40" s="132">
        <f>COUNTIF(ParicipationMai1[[#This Row],[1]:[31]],Code2)</f>
        <v>0</v>
      </c>
      <c r="AK40" s="132">
        <f>COUNTIF(ParicipationMai1[[#This Row],[1]:[31]],Code3)</f>
        <v>0</v>
      </c>
      <c r="AL40" s="132">
        <f>COUNTIF(ParicipationMai1[[#This Row],[1]:[31]],Code4)</f>
        <v>0</v>
      </c>
      <c r="AM40" s="132">
        <f>COUNTIF(ParicipationMai1[[#This Row],[1]:[31]],Code5)</f>
        <v>0</v>
      </c>
      <c r="AN40" s="132">
        <f>COUNTIF(ParicipationMai1[[#This Row],[1]:[31]],Code23)</f>
        <v>0</v>
      </c>
      <c r="AO40" s="132">
        <f>COUNTIF(ParicipationMai1[[#This Row],[1]:[31]],Code6)</f>
        <v>0</v>
      </c>
      <c r="AP40" s="132">
        <f>COUNTIF(ParicipationMai1[[#This Row],[1]:[31]],Code7)</f>
        <v>0</v>
      </c>
      <c r="AQ40" s="132">
        <f>COUNTIF(ParicipationMai1[[#This Row],[1]:[31]],Code8)</f>
        <v>0</v>
      </c>
      <c r="AR40" s="132">
        <f>COUNTIF(ParicipationMai1[[#This Row],[1]:[31]],Code9)</f>
        <v>0</v>
      </c>
      <c r="AS40" s="132">
        <f>COUNTIF(ParicipationMai1[[#This Row],[1]:[31]],Code10)</f>
        <v>0</v>
      </c>
      <c r="AT40" s="132">
        <f>COUNTIF(ParicipationMai1[[#This Row],[1]:[31]],Code11)</f>
        <v>0</v>
      </c>
      <c r="AU40" s="132">
        <f>COUNTIF(ParicipationMai1[[#This Row],[1]:[31]],Code12)</f>
        <v>0</v>
      </c>
      <c r="AV40" s="132">
        <f>COUNTIF(ParicipationMai1[[#This Row],[1]:[31]],Code13)</f>
        <v>0</v>
      </c>
      <c r="AW40" s="132">
        <f>COUNTIF(ParicipationMai1[[#This Row],[1]:[31]],Code14)</f>
        <v>0</v>
      </c>
      <c r="AX40" s="132">
        <f>COUNTIF(ParicipationMai1[[#This Row],[1]:[31]],Code15)</f>
        <v>0</v>
      </c>
      <c r="AY40" s="132">
        <f>COUNTIF(ParicipationMai1[[#This Row],[1]:[31]],Code16)</f>
        <v>0</v>
      </c>
      <c r="AZ40" s="132">
        <f>COUNTIF(ParicipationMai1[[#This Row],[1]:[31]],Code17)</f>
        <v>0</v>
      </c>
      <c r="BA40" s="132">
        <f>COUNTIF(ParicipationMai1[[#This Row],[1]:[31]],Code26)</f>
        <v>0</v>
      </c>
      <c r="BB40" s="132">
        <f>COUNTIF(ParicipationMai1[[#This Row],[1]:[31]],Code27)</f>
        <v>0</v>
      </c>
      <c r="BC40" s="132">
        <f>COUNTIF(ParicipationMai1[[#This Row],[1]:[31]],Code27)</f>
        <v>0</v>
      </c>
      <c r="BD40" s="132">
        <f>COUNTIF(ParicipationMai1[[#This Row],[1]:[31]],Code28)</f>
        <v>0</v>
      </c>
      <c r="BE40" s="132">
        <f>COUNTIF(ParicipationMai1[[#This Row],[1]:[31]],code30)</f>
        <v>0</v>
      </c>
      <c r="BF40" s="132">
        <f>COUNTIF(ParicipationMai1[[#This Row],[1]:[31]],Code31)</f>
        <v>0</v>
      </c>
      <c r="BG40" s="132">
        <f>COUNTIF(ParicipationMai1[[#This Row],[1]:[31]],code21)</f>
        <v>0</v>
      </c>
      <c r="BH40" s="132">
        <f>COUNTIF(ParicipationMai1[[#This Row],[1]:[31]],Code24)</f>
        <v>0</v>
      </c>
      <c r="BI40" s="579">
        <f>COUNTIF(ParicipationMai1[[#This Row],[1]:[31]],code18)</f>
        <v>0</v>
      </c>
      <c r="BJ40" s="579">
        <f>COUNTIF(ParicipationMai1[[#This Row],[1]:[31]],code19)</f>
        <v>0</v>
      </c>
      <c r="BK40" s="579">
        <f>COUNTIF(ParicipationMai1[[#This Row],[1]:[31]],code20)</f>
        <v>0</v>
      </c>
      <c r="BL40" s="547">
        <f>COUNTIF(ParicipationMai1[[#This Row],[1]:[31]],code29)</f>
        <v>0</v>
      </c>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547"/>
      <c r="CV40" s="590">
        <f t="shared" si="0"/>
        <v>0</v>
      </c>
      <c r="CW40" s="573">
        <f t="shared" si="1"/>
        <v>0</v>
      </c>
      <c r="CX40" s="132">
        <f t="shared" si="2"/>
        <v>0</v>
      </c>
      <c r="CY40" s="500">
        <f t="shared" si="3"/>
        <v>0</v>
      </c>
    </row>
    <row r="41" spans="1:104">
      <c r="A41" s="406" t="s">
        <v>382</v>
      </c>
      <c r="B41" s="540" t="str">
        <f>IFERROR(VLOOKUP(ParicipationMai1[[#This Row],[Référence]],ListeÉtudiants1[],18,FALSE),"")</f>
        <v>CEBIN AMANDINE</v>
      </c>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542"/>
      <c r="AH41" s="131">
        <f>COUNTIF(ParicipationMai1[[1]:[31]],Code1)</f>
        <v>0</v>
      </c>
      <c r="AI41" s="311">
        <f>COUNTIF(ParicipationMai1[[1]:[31]],code22)</f>
        <v>0</v>
      </c>
      <c r="AJ41" s="131">
        <f>COUNTIF(ParicipationMai1[[#This Row],[1]:[31]],Code2)</f>
        <v>0</v>
      </c>
      <c r="AK41" s="131">
        <f>COUNTIF(ParicipationMai1[[#This Row],[1]:[31]],Code3)</f>
        <v>0</v>
      </c>
      <c r="AL41" s="131">
        <f>COUNTIF(ParicipationMai1[[#This Row],[1]:[31]],Code4)</f>
        <v>0</v>
      </c>
      <c r="AM41" s="131">
        <f>COUNTIF(ParicipationMai1[[#This Row],[1]:[31]],Code5)</f>
        <v>0</v>
      </c>
      <c r="AN41" s="131">
        <f>COUNTIF(ParicipationMai1[[#This Row],[1]:[31]],Code23)</f>
        <v>0</v>
      </c>
      <c r="AO41" s="131">
        <f>COUNTIF(ParicipationMai1[[#This Row],[1]:[31]],Code6)</f>
        <v>0</v>
      </c>
      <c r="AP41" s="131">
        <f>COUNTIF(ParicipationMai1[[#This Row],[1]:[31]],Code7)</f>
        <v>0</v>
      </c>
      <c r="AQ41" s="131">
        <f>COUNTIF(ParicipationMai1[[#This Row],[1]:[31]],Code8)</f>
        <v>0</v>
      </c>
      <c r="AR41" s="131">
        <f>COUNTIF(ParicipationMai1[[#This Row],[1]:[31]],Code9)</f>
        <v>0</v>
      </c>
      <c r="AS41" s="131">
        <f>COUNTIF(ParicipationMai1[[#This Row],[1]:[31]],Code10)</f>
        <v>0</v>
      </c>
      <c r="AT41" s="131">
        <f>COUNTIF(ParicipationMai1[[#This Row],[1]:[31]],Code11)</f>
        <v>0</v>
      </c>
      <c r="AU41" s="131">
        <f>COUNTIF(ParicipationMai1[[#This Row],[1]:[31]],Code12)</f>
        <v>0</v>
      </c>
      <c r="AV41" s="131">
        <f>COUNTIF(ParicipationMai1[[#This Row],[1]:[31]],Code13)</f>
        <v>0</v>
      </c>
      <c r="AW41" s="131">
        <f>COUNTIF(ParicipationMai1[[#This Row],[1]:[31]],Code14)</f>
        <v>0</v>
      </c>
      <c r="AX41" s="131">
        <f>COUNTIF(ParicipationMai1[[#This Row],[1]:[31]],Code15)</f>
        <v>0</v>
      </c>
      <c r="AY41" s="131">
        <f>COUNTIF(ParicipationMai1[[#This Row],[1]:[31]],Code16)</f>
        <v>0</v>
      </c>
      <c r="AZ41" s="131">
        <f>COUNTIF(ParicipationMai1[[#This Row],[1]:[31]],Code17)</f>
        <v>0</v>
      </c>
      <c r="BA41" s="131">
        <f>COUNTIF(ParicipationMai1[[#This Row],[1]:[31]],Code26)</f>
        <v>0</v>
      </c>
      <c r="BB41" s="131">
        <f>COUNTIF(ParicipationMai1[[#This Row],[1]:[31]],Code27)</f>
        <v>0</v>
      </c>
      <c r="BC41" s="131">
        <f>COUNTIF(ParicipationMai1[[#This Row],[1]:[31]],Code27)</f>
        <v>0</v>
      </c>
      <c r="BD41" s="131">
        <f>COUNTIF(ParicipationMai1[[#This Row],[1]:[31]],Code28)</f>
        <v>0</v>
      </c>
      <c r="BE41" s="131">
        <f>COUNTIF(ParicipationMai1[[#This Row],[1]:[31]],code30)</f>
        <v>0</v>
      </c>
      <c r="BF41" s="131">
        <f>COUNTIF(ParicipationMai1[[#This Row],[1]:[31]],Code31)</f>
        <v>0</v>
      </c>
      <c r="BG41" s="131">
        <f>COUNTIF(ParicipationMai1[[#This Row],[1]:[31]],code21)</f>
        <v>0</v>
      </c>
      <c r="BH41" s="131">
        <f>COUNTIF(ParicipationMai1[[#This Row],[1]:[31]],Code24)</f>
        <v>0</v>
      </c>
      <c r="BI41" s="568">
        <f>COUNTIF(ParicipationMai1[[#This Row],[1]:[31]],code18)</f>
        <v>0</v>
      </c>
      <c r="BJ41" s="568">
        <f>COUNTIF(ParicipationMai1[[#This Row],[1]:[31]],code19)</f>
        <v>0</v>
      </c>
      <c r="BK41" s="568">
        <f>COUNTIF(ParicipationMai1[[#This Row],[1]:[31]],code20)</f>
        <v>0</v>
      </c>
      <c r="BL41" s="548">
        <f>COUNTIF(ParicipationMai1[[#This Row],[1]:[31]],code29)</f>
        <v>0</v>
      </c>
      <c r="BM41" s="131"/>
      <c r="BN41" s="131"/>
      <c r="BO41" s="131"/>
      <c r="BP41" s="131"/>
      <c r="BQ41" s="131"/>
      <c r="BR41" s="131"/>
      <c r="BS41" s="131"/>
      <c r="BT41" s="131"/>
      <c r="BU41" s="131"/>
      <c r="BV41" s="131"/>
      <c r="BW41" s="131"/>
      <c r="BX41" s="131"/>
      <c r="BY41" s="131"/>
      <c r="BZ41" s="131"/>
      <c r="CA41" s="131"/>
      <c r="CB41" s="131"/>
      <c r="CC41" s="131"/>
      <c r="CD41" s="131"/>
      <c r="CE41" s="131"/>
      <c r="CF41" s="131"/>
      <c r="CG41" s="131"/>
      <c r="CH41" s="131"/>
      <c r="CI41" s="131"/>
      <c r="CJ41" s="131"/>
      <c r="CK41" s="131"/>
      <c r="CL41" s="131"/>
      <c r="CM41" s="131"/>
      <c r="CN41" s="131"/>
      <c r="CO41" s="131"/>
      <c r="CP41" s="131"/>
      <c r="CQ41" s="131"/>
      <c r="CR41" s="131"/>
      <c r="CS41" s="131"/>
      <c r="CT41" s="131"/>
      <c r="CU41" s="548"/>
      <c r="CV41" s="592">
        <f t="shared" si="0"/>
        <v>0</v>
      </c>
      <c r="CW41" s="575">
        <f t="shared" si="1"/>
        <v>0</v>
      </c>
      <c r="CX41" s="131">
        <f t="shared" si="2"/>
        <v>0</v>
      </c>
      <c r="CY41" s="170">
        <f t="shared" si="3"/>
        <v>0</v>
      </c>
    </row>
    <row r="42" spans="1:104">
      <c r="A42" s="405" t="s">
        <v>383</v>
      </c>
      <c r="B42" s="537" t="str">
        <f>IFERROR(VLOOKUP(ParicipationMai1[[#This Row],[Référence]],ListeÉtudiants1[],18,FALSE),"")</f>
        <v>CHARPAGNE MORGANE</v>
      </c>
      <c r="C42" s="405"/>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546"/>
      <c r="AH42" s="132">
        <f>COUNTIF(ParicipationMai1[[1]:[31]],Code1)</f>
        <v>0</v>
      </c>
      <c r="AI42" s="538">
        <f>COUNTIF(ParicipationMai1[[1]:[31]],code22)</f>
        <v>0</v>
      </c>
      <c r="AJ42" s="132">
        <f>COUNTIF(ParicipationMai1[[#This Row],[1]:[31]],Code2)</f>
        <v>0</v>
      </c>
      <c r="AK42" s="132">
        <f>COUNTIF(ParicipationMai1[[#This Row],[1]:[31]],Code3)</f>
        <v>0</v>
      </c>
      <c r="AL42" s="132">
        <f>COUNTIF(ParicipationMai1[[#This Row],[1]:[31]],Code4)</f>
        <v>0</v>
      </c>
      <c r="AM42" s="132">
        <f>COUNTIF(ParicipationMai1[[#This Row],[1]:[31]],Code5)</f>
        <v>0</v>
      </c>
      <c r="AN42" s="132">
        <f>COUNTIF(ParicipationMai1[[#This Row],[1]:[31]],Code23)</f>
        <v>0</v>
      </c>
      <c r="AO42" s="132">
        <f>COUNTIF(ParicipationMai1[[#This Row],[1]:[31]],Code6)</f>
        <v>0</v>
      </c>
      <c r="AP42" s="132">
        <f>COUNTIF(ParicipationMai1[[#This Row],[1]:[31]],Code7)</f>
        <v>0</v>
      </c>
      <c r="AQ42" s="132">
        <f>COUNTIF(ParicipationMai1[[#This Row],[1]:[31]],Code8)</f>
        <v>0</v>
      </c>
      <c r="AR42" s="132">
        <f>COUNTIF(ParicipationMai1[[#This Row],[1]:[31]],Code9)</f>
        <v>0</v>
      </c>
      <c r="AS42" s="132">
        <f>COUNTIF(ParicipationMai1[[#This Row],[1]:[31]],Code10)</f>
        <v>0</v>
      </c>
      <c r="AT42" s="132">
        <f>COUNTIF(ParicipationMai1[[#This Row],[1]:[31]],Code11)</f>
        <v>0</v>
      </c>
      <c r="AU42" s="132">
        <f>COUNTIF(ParicipationMai1[[#This Row],[1]:[31]],Code12)</f>
        <v>0</v>
      </c>
      <c r="AV42" s="132">
        <f>COUNTIF(ParicipationMai1[[#This Row],[1]:[31]],Code13)</f>
        <v>0</v>
      </c>
      <c r="AW42" s="132">
        <f>COUNTIF(ParicipationMai1[[#This Row],[1]:[31]],Code14)</f>
        <v>0</v>
      </c>
      <c r="AX42" s="132">
        <f>COUNTIF(ParicipationMai1[[#This Row],[1]:[31]],Code15)</f>
        <v>0</v>
      </c>
      <c r="AY42" s="132">
        <f>COUNTIF(ParicipationMai1[[#This Row],[1]:[31]],Code16)</f>
        <v>0</v>
      </c>
      <c r="AZ42" s="132">
        <f>COUNTIF(ParicipationMai1[[#This Row],[1]:[31]],Code17)</f>
        <v>0</v>
      </c>
      <c r="BA42" s="132">
        <f>COUNTIF(ParicipationMai1[[#This Row],[1]:[31]],Code26)</f>
        <v>0</v>
      </c>
      <c r="BB42" s="132">
        <f>COUNTIF(ParicipationMai1[[#This Row],[1]:[31]],Code27)</f>
        <v>0</v>
      </c>
      <c r="BC42" s="132">
        <f>COUNTIF(ParicipationMai1[[#This Row],[1]:[31]],Code27)</f>
        <v>0</v>
      </c>
      <c r="BD42" s="132">
        <f>COUNTIF(ParicipationMai1[[#This Row],[1]:[31]],Code28)</f>
        <v>0</v>
      </c>
      <c r="BE42" s="132">
        <f>COUNTIF(ParicipationMai1[[#This Row],[1]:[31]],code30)</f>
        <v>0</v>
      </c>
      <c r="BF42" s="132">
        <f>COUNTIF(ParicipationMai1[[#This Row],[1]:[31]],Code31)</f>
        <v>0</v>
      </c>
      <c r="BG42" s="132">
        <f>COUNTIF(ParicipationMai1[[#This Row],[1]:[31]],code21)</f>
        <v>0</v>
      </c>
      <c r="BH42" s="132">
        <f>COUNTIF(ParicipationMai1[[#This Row],[1]:[31]],Code24)</f>
        <v>0</v>
      </c>
      <c r="BI42" s="579">
        <f>COUNTIF(ParicipationMai1[[#This Row],[1]:[31]],code18)</f>
        <v>0</v>
      </c>
      <c r="BJ42" s="579">
        <f>COUNTIF(ParicipationMai1[[#This Row],[1]:[31]],code19)</f>
        <v>0</v>
      </c>
      <c r="BK42" s="579">
        <f>COUNTIF(ParicipationMai1[[#This Row],[1]:[31]],code20)</f>
        <v>0</v>
      </c>
      <c r="BL42" s="547">
        <f>COUNTIF(ParicipationMai1[[#This Row],[1]:[31]],code29)</f>
        <v>0</v>
      </c>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547"/>
      <c r="CV42" s="590">
        <f t="shared" si="0"/>
        <v>0</v>
      </c>
      <c r="CW42" s="573">
        <f t="shared" si="1"/>
        <v>0</v>
      </c>
      <c r="CX42" s="132">
        <f t="shared" si="2"/>
        <v>0</v>
      </c>
      <c r="CY42" s="500">
        <f t="shared" si="3"/>
        <v>0</v>
      </c>
    </row>
    <row r="43" spans="1:104">
      <c r="A43" s="406" t="s">
        <v>384</v>
      </c>
      <c r="B43" s="540" t="str">
        <f>IFERROR(VLOOKUP(ParicipationMai1[[#This Row],[Référence]],ListeÉtudiants1[],18,FALSE),"")</f>
        <v>CIRACI AYLA</v>
      </c>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542"/>
      <c r="AH43" s="131">
        <f>COUNTIF(ParicipationMai1[[1]:[31]],Code1)</f>
        <v>0</v>
      </c>
      <c r="AI43" s="311">
        <f>COUNTIF(ParicipationMai1[[1]:[31]],code22)</f>
        <v>0</v>
      </c>
      <c r="AJ43" s="131">
        <f>COUNTIF(ParicipationMai1[[#This Row],[1]:[31]],Code2)</f>
        <v>0</v>
      </c>
      <c r="AK43" s="131">
        <f>COUNTIF(ParicipationMai1[[#This Row],[1]:[31]],Code3)</f>
        <v>0</v>
      </c>
      <c r="AL43" s="131">
        <f>COUNTIF(ParicipationMai1[[#This Row],[1]:[31]],Code4)</f>
        <v>0</v>
      </c>
      <c r="AM43" s="131">
        <f>COUNTIF(ParicipationMai1[[#This Row],[1]:[31]],Code5)</f>
        <v>0</v>
      </c>
      <c r="AN43" s="131">
        <f>COUNTIF(ParicipationMai1[[#This Row],[1]:[31]],Code23)</f>
        <v>0</v>
      </c>
      <c r="AO43" s="131">
        <f>COUNTIF(ParicipationMai1[[#This Row],[1]:[31]],Code6)</f>
        <v>0</v>
      </c>
      <c r="AP43" s="131">
        <f>COUNTIF(ParicipationMai1[[#This Row],[1]:[31]],Code7)</f>
        <v>0</v>
      </c>
      <c r="AQ43" s="131">
        <f>COUNTIF(ParicipationMai1[[#This Row],[1]:[31]],Code8)</f>
        <v>0</v>
      </c>
      <c r="AR43" s="131">
        <f>COUNTIF(ParicipationMai1[[#This Row],[1]:[31]],Code9)</f>
        <v>0</v>
      </c>
      <c r="AS43" s="131">
        <f>COUNTIF(ParicipationMai1[[#This Row],[1]:[31]],Code10)</f>
        <v>0</v>
      </c>
      <c r="AT43" s="131">
        <f>COUNTIF(ParicipationMai1[[#This Row],[1]:[31]],Code11)</f>
        <v>0</v>
      </c>
      <c r="AU43" s="131">
        <f>COUNTIF(ParicipationMai1[[#This Row],[1]:[31]],Code12)</f>
        <v>0</v>
      </c>
      <c r="AV43" s="131">
        <f>COUNTIF(ParicipationMai1[[#This Row],[1]:[31]],Code13)</f>
        <v>0</v>
      </c>
      <c r="AW43" s="131">
        <f>COUNTIF(ParicipationMai1[[#This Row],[1]:[31]],Code14)</f>
        <v>0</v>
      </c>
      <c r="AX43" s="131">
        <f>COUNTIF(ParicipationMai1[[#This Row],[1]:[31]],Code15)</f>
        <v>0</v>
      </c>
      <c r="AY43" s="131">
        <f>COUNTIF(ParicipationMai1[[#This Row],[1]:[31]],Code16)</f>
        <v>0</v>
      </c>
      <c r="AZ43" s="131">
        <f>COUNTIF(ParicipationMai1[[#This Row],[1]:[31]],Code17)</f>
        <v>0</v>
      </c>
      <c r="BA43" s="131">
        <f>COUNTIF(ParicipationMai1[[#This Row],[1]:[31]],Code26)</f>
        <v>0</v>
      </c>
      <c r="BB43" s="131">
        <f>COUNTIF(ParicipationMai1[[#This Row],[1]:[31]],Code27)</f>
        <v>0</v>
      </c>
      <c r="BC43" s="131">
        <f>COUNTIF(ParicipationMai1[[#This Row],[1]:[31]],Code27)</f>
        <v>0</v>
      </c>
      <c r="BD43" s="131">
        <f>COUNTIF(ParicipationMai1[[#This Row],[1]:[31]],Code28)</f>
        <v>0</v>
      </c>
      <c r="BE43" s="131">
        <f>COUNTIF(ParicipationMai1[[#This Row],[1]:[31]],code30)</f>
        <v>0</v>
      </c>
      <c r="BF43" s="131">
        <f>COUNTIF(ParicipationMai1[[#This Row],[1]:[31]],Code31)</f>
        <v>0</v>
      </c>
      <c r="BG43" s="131">
        <f>COUNTIF(ParicipationMai1[[#This Row],[1]:[31]],code21)</f>
        <v>0</v>
      </c>
      <c r="BH43" s="131">
        <f>COUNTIF(ParicipationMai1[[#This Row],[1]:[31]],Code24)</f>
        <v>0</v>
      </c>
      <c r="BI43" s="568">
        <f>COUNTIF(ParicipationMai1[[#This Row],[1]:[31]],code18)</f>
        <v>0</v>
      </c>
      <c r="BJ43" s="568">
        <f>COUNTIF(ParicipationMai1[[#This Row],[1]:[31]],code19)</f>
        <v>0</v>
      </c>
      <c r="BK43" s="568">
        <f>COUNTIF(ParicipationMai1[[#This Row],[1]:[31]],code20)</f>
        <v>0</v>
      </c>
      <c r="BL43" s="548">
        <f>COUNTIF(ParicipationMai1[[#This Row],[1]:[31]],code29)</f>
        <v>0</v>
      </c>
      <c r="BM43" s="131"/>
      <c r="BN43" s="131"/>
      <c r="BO43" s="131"/>
      <c r="BP43" s="131"/>
      <c r="BQ43" s="131"/>
      <c r="BR43" s="131"/>
      <c r="BS43" s="131"/>
      <c r="BT43" s="131"/>
      <c r="BU43" s="131"/>
      <c r="BV43" s="131"/>
      <c r="BW43" s="131"/>
      <c r="BX43" s="131"/>
      <c r="BY43" s="131"/>
      <c r="BZ43" s="131"/>
      <c r="CA43" s="131"/>
      <c r="CB43" s="131"/>
      <c r="CC43" s="131"/>
      <c r="CD43" s="131"/>
      <c r="CE43" s="131"/>
      <c r="CF43" s="131"/>
      <c r="CG43" s="131"/>
      <c r="CH43" s="131"/>
      <c r="CI43" s="131"/>
      <c r="CJ43" s="131"/>
      <c r="CK43" s="131"/>
      <c r="CL43" s="131"/>
      <c r="CM43" s="131"/>
      <c r="CN43" s="131"/>
      <c r="CO43" s="131"/>
      <c r="CP43" s="131"/>
      <c r="CQ43" s="131"/>
      <c r="CR43" s="131"/>
      <c r="CS43" s="131"/>
      <c r="CT43" s="131"/>
      <c r="CU43" s="548"/>
      <c r="CV43" s="592">
        <f t="shared" si="0"/>
        <v>0</v>
      </c>
      <c r="CW43" s="575">
        <f t="shared" si="1"/>
        <v>0</v>
      </c>
      <c r="CX43" s="131">
        <f t="shared" si="2"/>
        <v>0</v>
      </c>
      <c r="CY43" s="170">
        <f t="shared" si="3"/>
        <v>0</v>
      </c>
    </row>
    <row r="44" spans="1:104">
      <c r="A44" s="405" t="s">
        <v>385</v>
      </c>
      <c r="B44" s="537" t="str">
        <f>IFERROR(VLOOKUP(ParicipationMai1[[#This Row],[Référence]],ListeÉtudiants1[],18,FALSE),"")</f>
        <v>CLARY VERONIQUE</v>
      </c>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546"/>
      <c r="AH44" s="132">
        <f>COUNTIF(ParicipationMai1[[1]:[31]],Code1)</f>
        <v>0</v>
      </c>
      <c r="AI44" s="538">
        <f>COUNTIF(ParicipationMai1[[1]:[31]],code22)</f>
        <v>0</v>
      </c>
      <c r="AJ44" s="132">
        <f>COUNTIF(ParicipationMai1[[#This Row],[1]:[31]],Code2)</f>
        <v>0</v>
      </c>
      <c r="AK44" s="132">
        <f>COUNTIF(ParicipationMai1[[#This Row],[1]:[31]],Code3)</f>
        <v>0</v>
      </c>
      <c r="AL44" s="132">
        <f>COUNTIF(ParicipationMai1[[#This Row],[1]:[31]],Code4)</f>
        <v>0</v>
      </c>
      <c r="AM44" s="132">
        <f>COUNTIF(ParicipationMai1[[#This Row],[1]:[31]],Code5)</f>
        <v>0</v>
      </c>
      <c r="AN44" s="132">
        <f>COUNTIF(ParicipationMai1[[#This Row],[1]:[31]],Code23)</f>
        <v>0</v>
      </c>
      <c r="AO44" s="132">
        <f>COUNTIF(ParicipationMai1[[#This Row],[1]:[31]],Code6)</f>
        <v>0</v>
      </c>
      <c r="AP44" s="132">
        <f>COUNTIF(ParicipationMai1[[#This Row],[1]:[31]],Code7)</f>
        <v>0</v>
      </c>
      <c r="AQ44" s="132">
        <f>COUNTIF(ParicipationMai1[[#This Row],[1]:[31]],Code8)</f>
        <v>0</v>
      </c>
      <c r="AR44" s="132">
        <f>COUNTIF(ParicipationMai1[[#This Row],[1]:[31]],Code9)</f>
        <v>0</v>
      </c>
      <c r="AS44" s="132">
        <f>COUNTIF(ParicipationMai1[[#This Row],[1]:[31]],Code10)</f>
        <v>0</v>
      </c>
      <c r="AT44" s="132">
        <f>COUNTIF(ParicipationMai1[[#This Row],[1]:[31]],Code11)</f>
        <v>0</v>
      </c>
      <c r="AU44" s="132">
        <f>COUNTIF(ParicipationMai1[[#This Row],[1]:[31]],Code12)</f>
        <v>0</v>
      </c>
      <c r="AV44" s="132">
        <f>COUNTIF(ParicipationMai1[[#This Row],[1]:[31]],Code13)</f>
        <v>0</v>
      </c>
      <c r="AW44" s="132">
        <f>COUNTIF(ParicipationMai1[[#This Row],[1]:[31]],Code14)</f>
        <v>0</v>
      </c>
      <c r="AX44" s="132">
        <f>COUNTIF(ParicipationMai1[[#This Row],[1]:[31]],Code15)</f>
        <v>0</v>
      </c>
      <c r="AY44" s="132">
        <f>COUNTIF(ParicipationMai1[[#This Row],[1]:[31]],Code16)</f>
        <v>0</v>
      </c>
      <c r="AZ44" s="132">
        <f>COUNTIF(ParicipationMai1[[#This Row],[1]:[31]],Code17)</f>
        <v>0</v>
      </c>
      <c r="BA44" s="132">
        <f>COUNTIF(ParicipationMai1[[#This Row],[1]:[31]],Code26)</f>
        <v>0</v>
      </c>
      <c r="BB44" s="132">
        <f>COUNTIF(ParicipationMai1[[#This Row],[1]:[31]],Code27)</f>
        <v>0</v>
      </c>
      <c r="BC44" s="132">
        <f>COUNTIF(ParicipationMai1[[#This Row],[1]:[31]],Code27)</f>
        <v>0</v>
      </c>
      <c r="BD44" s="132">
        <f>COUNTIF(ParicipationMai1[[#This Row],[1]:[31]],Code28)</f>
        <v>0</v>
      </c>
      <c r="BE44" s="132">
        <f>COUNTIF(ParicipationMai1[[#This Row],[1]:[31]],code30)</f>
        <v>0</v>
      </c>
      <c r="BF44" s="132">
        <f>COUNTIF(ParicipationMai1[[#This Row],[1]:[31]],Code31)</f>
        <v>0</v>
      </c>
      <c r="BG44" s="132">
        <f>COUNTIF(ParicipationMai1[[#This Row],[1]:[31]],code21)</f>
        <v>0</v>
      </c>
      <c r="BH44" s="132">
        <f>COUNTIF(ParicipationMai1[[#This Row],[1]:[31]],Code24)</f>
        <v>0</v>
      </c>
      <c r="BI44" s="579">
        <f>COUNTIF(ParicipationMai1[[#This Row],[1]:[31]],code18)</f>
        <v>0</v>
      </c>
      <c r="BJ44" s="579">
        <f>COUNTIF(ParicipationMai1[[#This Row],[1]:[31]],code19)</f>
        <v>0</v>
      </c>
      <c r="BK44" s="579">
        <f>COUNTIF(ParicipationMai1[[#This Row],[1]:[31]],code20)</f>
        <v>0</v>
      </c>
      <c r="BL44" s="547">
        <f>COUNTIF(ParicipationMai1[[#This Row],[1]:[31]],code29)</f>
        <v>0</v>
      </c>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547"/>
      <c r="CV44" s="590">
        <f t="shared" si="0"/>
        <v>0</v>
      </c>
      <c r="CW44" s="573">
        <f t="shared" si="1"/>
        <v>0</v>
      </c>
      <c r="CX44" s="132">
        <f t="shared" si="2"/>
        <v>0</v>
      </c>
      <c r="CY44" s="500">
        <f t="shared" si="3"/>
        <v>0</v>
      </c>
    </row>
    <row r="45" spans="1:104">
      <c r="A45" s="406" t="s">
        <v>386</v>
      </c>
      <c r="B45" s="540" t="str">
        <f>IFERROR(VLOOKUP(ParicipationMai1[[#This Row],[Référence]],ListeÉtudiants1[],18,FALSE),"")</f>
        <v>CLAUDIN LAURENE</v>
      </c>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542"/>
      <c r="AH45" s="131">
        <f>COUNTIF(ParicipationMai1[[1]:[31]],Code1)</f>
        <v>0</v>
      </c>
      <c r="AI45" s="311">
        <f>COUNTIF(ParicipationMai1[[1]:[31]],code22)</f>
        <v>0</v>
      </c>
      <c r="AJ45" s="131">
        <f>COUNTIF(ParicipationMai1[[#This Row],[1]:[31]],Code2)</f>
        <v>0</v>
      </c>
      <c r="AK45" s="131">
        <f>COUNTIF(ParicipationMai1[[#This Row],[1]:[31]],Code3)</f>
        <v>0</v>
      </c>
      <c r="AL45" s="131">
        <f>COUNTIF(ParicipationMai1[[#This Row],[1]:[31]],Code4)</f>
        <v>0</v>
      </c>
      <c r="AM45" s="131">
        <f>COUNTIF(ParicipationMai1[[#This Row],[1]:[31]],Code5)</f>
        <v>0</v>
      </c>
      <c r="AN45" s="131">
        <f>COUNTIF(ParicipationMai1[[#This Row],[1]:[31]],Code23)</f>
        <v>0</v>
      </c>
      <c r="AO45" s="131">
        <f>COUNTIF(ParicipationMai1[[#This Row],[1]:[31]],Code6)</f>
        <v>0</v>
      </c>
      <c r="AP45" s="131">
        <f>COUNTIF(ParicipationMai1[[#This Row],[1]:[31]],Code7)</f>
        <v>0</v>
      </c>
      <c r="AQ45" s="131">
        <f>COUNTIF(ParicipationMai1[[#This Row],[1]:[31]],Code8)</f>
        <v>0</v>
      </c>
      <c r="AR45" s="131">
        <f>COUNTIF(ParicipationMai1[[#This Row],[1]:[31]],Code9)</f>
        <v>0</v>
      </c>
      <c r="AS45" s="131">
        <f>COUNTIF(ParicipationMai1[[#This Row],[1]:[31]],Code10)</f>
        <v>0</v>
      </c>
      <c r="AT45" s="131">
        <f>COUNTIF(ParicipationMai1[[#This Row],[1]:[31]],Code11)</f>
        <v>0</v>
      </c>
      <c r="AU45" s="131">
        <f>COUNTIF(ParicipationMai1[[#This Row],[1]:[31]],Code12)</f>
        <v>0</v>
      </c>
      <c r="AV45" s="131">
        <f>COUNTIF(ParicipationMai1[[#This Row],[1]:[31]],Code13)</f>
        <v>0</v>
      </c>
      <c r="AW45" s="131">
        <f>COUNTIF(ParicipationMai1[[#This Row],[1]:[31]],Code14)</f>
        <v>0</v>
      </c>
      <c r="AX45" s="131">
        <f>COUNTIF(ParicipationMai1[[#This Row],[1]:[31]],Code15)</f>
        <v>0</v>
      </c>
      <c r="AY45" s="131">
        <f>COUNTIF(ParicipationMai1[[#This Row],[1]:[31]],Code16)</f>
        <v>0</v>
      </c>
      <c r="AZ45" s="131">
        <f>COUNTIF(ParicipationMai1[[#This Row],[1]:[31]],Code17)</f>
        <v>0</v>
      </c>
      <c r="BA45" s="131">
        <f>COUNTIF(ParicipationMai1[[#This Row],[1]:[31]],Code26)</f>
        <v>0</v>
      </c>
      <c r="BB45" s="131">
        <f>COUNTIF(ParicipationMai1[[#This Row],[1]:[31]],Code27)</f>
        <v>0</v>
      </c>
      <c r="BC45" s="131">
        <f>COUNTIF(ParicipationMai1[[#This Row],[1]:[31]],Code27)</f>
        <v>0</v>
      </c>
      <c r="BD45" s="131">
        <f>COUNTIF(ParicipationMai1[[#This Row],[1]:[31]],Code28)</f>
        <v>0</v>
      </c>
      <c r="BE45" s="131">
        <f>COUNTIF(ParicipationMai1[[#This Row],[1]:[31]],code30)</f>
        <v>0</v>
      </c>
      <c r="BF45" s="131">
        <f>COUNTIF(ParicipationMai1[[#This Row],[1]:[31]],Code31)</f>
        <v>0</v>
      </c>
      <c r="BG45" s="131">
        <f>COUNTIF(ParicipationMai1[[#This Row],[1]:[31]],code21)</f>
        <v>0</v>
      </c>
      <c r="BH45" s="131">
        <f>COUNTIF(ParicipationMai1[[#This Row],[1]:[31]],Code24)</f>
        <v>0</v>
      </c>
      <c r="BI45" s="568">
        <f>COUNTIF(ParicipationMai1[[#This Row],[1]:[31]],code18)</f>
        <v>0</v>
      </c>
      <c r="BJ45" s="568">
        <f>COUNTIF(ParicipationMai1[[#This Row],[1]:[31]],code19)</f>
        <v>0</v>
      </c>
      <c r="BK45" s="568">
        <f>COUNTIF(ParicipationMai1[[#This Row],[1]:[31]],code20)</f>
        <v>0</v>
      </c>
      <c r="BL45" s="548">
        <f>COUNTIF(ParicipationMai1[[#This Row],[1]:[31]],code29)</f>
        <v>0</v>
      </c>
      <c r="BM45" s="131"/>
      <c r="BN45" s="131"/>
      <c r="BO45" s="131"/>
      <c r="BP45" s="131"/>
      <c r="BQ45" s="131"/>
      <c r="BR45" s="131"/>
      <c r="BS45" s="131"/>
      <c r="BT45" s="131"/>
      <c r="BU45" s="131"/>
      <c r="BV45" s="131"/>
      <c r="BW45" s="131"/>
      <c r="BX45" s="131"/>
      <c r="BY45" s="131"/>
      <c r="BZ45" s="131"/>
      <c r="CA45" s="131"/>
      <c r="CB45" s="131"/>
      <c r="CC45" s="131"/>
      <c r="CD45" s="131"/>
      <c r="CE45" s="131"/>
      <c r="CF45" s="131"/>
      <c r="CG45" s="131"/>
      <c r="CH45" s="131"/>
      <c r="CI45" s="131"/>
      <c r="CJ45" s="131"/>
      <c r="CK45" s="131"/>
      <c r="CL45" s="131"/>
      <c r="CM45" s="131"/>
      <c r="CN45" s="131"/>
      <c r="CO45" s="131"/>
      <c r="CP45" s="131"/>
      <c r="CQ45" s="131"/>
      <c r="CR45" s="131"/>
      <c r="CS45" s="131"/>
      <c r="CT45" s="131"/>
      <c r="CU45" s="548"/>
      <c r="CV45" s="592">
        <f t="shared" si="0"/>
        <v>0</v>
      </c>
      <c r="CW45" s="575">
        <f t="shared" si="1"/>
        <v>0</v>
      </c>
      <c r="CX45" s="131">
        <f t="shared" si="2"/>
        <v>0</v>
      </c>
      <c r="CY45" s="170">
        <f t="shared" si="3"/>
        <v>0</v>
      </c>
    </row>
    <row r="46" spans="1:104">
      <c r="A46" s="405" t="s">
        <v>387</v>
      </c>
      <c r="B46" s="537" t="str">
        <f>IFERROR(VLOOKUP(ParicipationMai1[[#This Row],[Référence]],ListeÉtudiants1[],18,FALSE),"")</f>
        <v>CORDEREIX MARIE</v>
      </c>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546"/>
      <c r="AH46" s="132">
        <f>COUNTIF(ParicipationMai1[[1]:[31]],Code1)</f>
        <v>0</v>
      </c>
      <c r="AI46" s="538">
        <f>COUNTIF(ParicipationMai1[[1]:[31]],code22)</f>
        <v>0</v>
      </c>
      <c r="AJ46" s="132">
        <f>COUNTIF(ParicipationMai1[[#This Row],[1]:[31]],Code2)</f>
        <v>0</v>
      </c>
      <c r="AK46" s="132">
        <f>COUNTIF(ParicipationMai1[[#This Row],[1]:[31]],Code3)</f>
        <v>0</v>
      </c>
      <c r="AL46" s="132">
        <f>COUNTIF(ParicipationMai1[[#This Row],[1]:[31]],Code4)</f>
        <v>0</v>
      </c>
      <c r="AM46" s="132">
        <f>COUNTIF(ParicipationMai1[[#This Row],[1]:[31]],Code5)</f>
        <v>0</v>
      </c>
      <c r="AN46" s="132">
        <f>COUNTIF(ParicipationMai1[[#This Row],[1]:[31]],Code23)</f>
        <v>0</v>
      </c>
      <c r="AO46" s="132">
        <f>COUNTIF(ParicipationMai1[[#This Row],[1]:[31]],Code6)</f>
        <v>0</v>
      </c>
      <c r="AP46" s="132">
        <f>COUNTIF(ParicipationMai1[[#This Row],[1]:[31]],Code7)</f>
        <v>0</v>
      </c>
      <c r="AQ46" s="132">
        <f>COUNTIF(ParicipationMai1[[#This Row],[1]:[31]],Code8)</f>
        <v>0</v>
      </c>
      <c r="AR46" s="132">
        <f>COUNTIF(ParicipationMai1[[#This Row],[1]:[31]],Code9)</f>
        <v>0</v>
      </c>
      <c r="AS46" s="132">
        <f>COUNTIF(ParicipationMai1[[#This Row],[1]:[31]],Code10)</f>
        <v>0</v>
      </c>
      <c r="AT46" s="132">
        <f>COUNTIF(ParicipationMai1[[#This Row],[1]:[31]],Code11)</f>
        <v>0</v>
      </c>
      <c r="AU46" s="132">
        <f>COUNTIF(ParicipationMai1[[#This Row],[1]:[31]],Code12)</f>
        <v>0</v>
      </c>
      <c r="AV46" s="132">
        <f>COUNTIF(ParicipationMai1[[#This Row],[1]:[31]],Code13)</f>
        <v>0</v>
      </c>
      <c r="AW46" s="132">
        <f>COUNTIF(ParicipationMai1[[#This Row],[1]:[31]],Code14)</f>
        <v>0</v>
      </c>
      <c r="AX46" s="132">
        <f>COUNTIF(ParicipationMai1[[#This Row],[1]:[31]],Code15)</f>
        <v>0</v>
      </c>
      <c r="AY46" s="132">
        <f>COUNTIF(ParicipationMai1[[#This Row],[1]:[31]],Code16)</f>
        <v>0</v>
      </c>
      <c r="AZ46" s="132">
        <f>COUNTIF(ParicipationMai1[[#This Row],[1]:[31]],Code17)</f>
        <v>0</v>
      </c>
      <c r="BA46" s="132">
        <f>COUNTIF(ParicipationMai1[[#This Row],[1]:[31]],Code26)</f>
        <v>0</v>
      </c>
      <c r="BB46" s="132">
        <f>COUNTIF(ParicipationMai1[[#This Row],[1]:[31]],Code27)</f>
        <v>0</v>
      </c>
      <c r="BC46" s="132">
        <f>COUNTIF(ParicipationMai1[[#This Row],[1]:[31]],Code27)</f>
        <v>0</v>
      </c>
      <c r="BD46" s="132">
        <f>COUNTIF(ParicipationMai1[[#This Row],[1]:[31]],Code28)</f>
        <v>0</v>
      </c>
      <c r="BE46" s="132">
        <f>COUNTIF(ParicipationMai1[[#This Row],[1]:[31]],code30)</f>
        <v>0</v>
      </c>
      <c r="BF46" s="132">
        <f>COUNTIF(ParicipationMai1[[#This Row],[1]:[31]],Code31)</f>
        <v>0</v>
      </c>
      <c r="BG46" s="132">
        <f>COUNTIF(ParicipationMai1[[#This Row],[1]:[31]],code21)</f>
        <v>0</v>
      </c>
      <c r="BH46" s="132">
        <f>COUNTIF(ParicipationMai1[[#This Row],[1]:[31]],Code24)</f>
        <v>0</v>
      </c>
      <c r="BI46" s="579">
        <f>COUNTIF(ParicipationMai1[[#This Row],[1]:[31]],code18)</f>
        <v>0</v>
      </c>
      <c r="BJ46" s="579">
        <f>COUNTIF(ParicipationMai1[[#This Row],[1]:[31]],code19)</f>
        <v>0</v>
      </c>
      <c r="BK46" s="579">
        <f>COUNTIF(ParicipationMai1[[#This Row],[1]:[31]],code20)</f>
        <v>0</v>
      </c>
      <c r="BL46" s="547">
        <f>COUNTIF(ParicipationMai1[[#This Row],[1]:[31]],code29)</f>
        <v>0</v>
      </c>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32"/>
      <c r="CQ46" s="132"/>
      <c r="CR46" s="132"/>
      <c r="CS46" s="132"/>
      <c r="CT46" s="132"/>
      <c r="CU46" s="547"/>
      <c r="CV46" s="590">
        <f t="shared" si="0"/>
        <v>0</v>
      </c>
      <c r="CW46" s="573">
        <f t="shared" si="1"/>
        <v>0</v>
      </c>
      <c r="CX46" s="132">
        <f t="shared" si="2"/>
        <v>0</v>
      </c>
      <c r="CY46" s="500">
        <f t="shared" si="3"/>
        <v>0</v>
      </c>
    </row>
    <row r="47" spans="1:104">
      <c r="A47" s="406" t="s">
        <v>388</v>
      </c>
      <c r="B47" s="540" t="str">
        <f>IFERROR(VLOOKUP(ParicipationMai1[[#This Row],[Référence]],ListeÉtudiants1[],18,FALSE),"")</f>
        <v>CORNELIS  ESTELLE</v>
      </c>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542"/>
      <c r="AH47" s="131">
        <f>COUNTIF(ParicipationMai1[[1]:[31]],Code1)</f>
        <v>0</v>
      </c>
      <c r="AI47" s="311">
        <f>COUNTIF(ParicipationMai1[[1]:[31]],code22)</f>
        <v>0</v>
      </c>
      <c r="AJ47" s="131">
        <f>COUNTIF(ParicipationMai1[[#This Row],[1]:[31]],Code2)</f>
        <v>0</v>
      </c>
      <c r="AK47" s="131">
        <f>COUNTIF(ParicipationMai1[[#This Row],[1]:[31]],Code3)</f>
        <v>0</v>
      </c>
      <c r="AL47" s="131">
        <f>COUNTIF(ParicipationMai1[[#This Row],[1]:[31]],Code4)</f>
        <v>0</v>
      </c>
      <c r="AM47" s="131">
        <f>COUNTIF(ParicipationMai1[[#This Row],[1]:[31]],Code5)</f>
        <v>0</v>
      </c>
      <c r="AN47" s="131">
        <f>COUNTIF(ParicipationMai1[[#This Row],[1]:[31]],Code23)</f>
        <v>0</v>
      </c>
      <c r="AO47" s="131">
        <f>COUNTIF(ParicipationMai1[[#This Row],[1]:[31]],Code6)</f>
        <v>0</v>
      </c>
      <c r="AP47" s="131">
        <f>COUNTIF(ParicipationMai1[[#This Row],[1]:[31]],Code7)</f>
        <v>0</v>
      </c>
      <c r="AQ47" s="131">
        <f>COUNTIF(ParicipationMai1[[#This Row],[1]:[31]],Code8)</f>
        <v>0</v>
      </c>
      <c r="AR47" s="131">
        <f>COUNTIF(ParicipationMai1[[#This Row],[1]:[31]],Code9)</f>
        <v>0</v>
      </c>
      <c r="AS47" s="131">
        <f>COUNTIF(ParicipationMai1[[#This Row],[1]:[31]],Code10)</f>
        <v>0</v>
      </c>
      <c r="AT47" s="131">
        <f>COUNTIF(ParicipationMai1[[#This Row],[1]:[31]],Code11)</f>
        <v>0</v>
      </c>
      <c r="AU47" s="131">
        <f>COUNTIF(ParicipationMai1[[#This Row],[1]:[31]],Code12)</f>
        <v>0</v>
      </c>
      <c r="AV47" s="131">
        <f>COUNTIF(ParicipationMai1[[#This Row],[1]:[31]],Code13)</f>
        <v>0</v>
      </c>
      <c r="AW47" s="131">
        <f>COUNTIF(ParicipationMai1[[#This Row],[1]:[31]],Code14)</f>
        <v>0</v>
      </c>
      <c r="AX47" s="131">
        <f>COUNTIF(ParicipationMai1[[#This Row],[1]:[31]],Code15)</f>
        <v>0</v>
      </c>
      <c r="AY47" s="131">
        <f>COUNTIF(ParicipationMai1[[#This Row],[1]:[31]],Code16)</f>
        <v>0</v>
      </c>
      <c r="AZ47" s="131">
        <f>COUNTIF(ParicipationMai1[[#This Row],[1]:[31]],Code17)</f>
        <v>0</v>
      </c>
      <c r="BA47" s="131">
        <f>COUNTIF(ParicipationMai1[[#This Row],[1]:[31]],Code26)</f>
        <v>0</v>
      </c>
      <c r="BB47" s="131">
        <f>COUNTIF(ParicipationMai1[[#This Row],[1]:[31]],Code27)</f>
        <v>0</v>
      </c>
      <c r="BC47" s="131">
        <f>COUNTIF(ParicipationMai1[[#This Row],[1]:[31]],Code27)</f>
        <v>0</v>
      </c>
      <c r="BD47" s="131">
        <f>COUNTIF(ParicipationMai1[[#This Row],[1]:[31]],Code28)</f>
        <v>0</v>
      </c>
      <c r="BE47" s="131">
        <f>COUNTIF(ParicipationMai1[[#This Row],[1]:[31]],code30)</f>
        <v>0</v>
      </c>
      <c r="BF47" s="131">
        <f>COUNTIF(ParicipationMai1[[#This Row],[1]:[31]],Code31)</f>
        <v>0</v>
      </c>
      <c r="BG47" s="131">
        <f>COUNTIF(ParicipationMai1[[#This Row],[1]:[31]],code21)</f>
        <v>0</v>
      </c>
      <c r="BH47" s="131">
        <f>COUNTIF(ParicipationMai1[[#This Row],[1]:[31]],Code24)</f>
        <v>0</v>
      </c>
      <c r="BI47" s="568">
        <f>COUNTIF(ParicipationMai1[[#This Row],[1]:[31]],code18)</f>
        <v>0</v>
      </c>
      <c r="BJ47" s="568">
        <f>COUNTIF(ParicipationMai1[[#This Row],[1]:[31]],code19)</f>
        <v>0</v>
      </c>
      <c r="BK47" s="568">
        <f>COUNTIF(ParicipationMai1[[#This Row],[1]:[31]],code20)</f>
        <v>0</v>
      </c>
      <c r="BL47" s="548">
        <f>COUNTIF(ParicipationMai1[[#This Row],[1]:[31]],code29)</f>
        <v>0</v>
      </c>
      <c r="BM47" s="131"/>
      <c r="BN47" s="131"/>
      <c r="BO47" s="131"/>
      <c r="BP47" s="131"/>
      <c r="BQ47" s="131"/>
      <c r="BR47" s="131"/>
      <c r="BS47" s="131"/>
      <c r="BT47" s="131"/>
      <c r="BU47" s="131"/>
      <c r="BV47" s="131"/>
      <c r="BW47" s="131"/>
      <c r="BX47" s="131"/>
      <c r="BY47" s="131"/>
      <c r="BZ47" s="131"/>
      <c r="CA47" s="131"/>
      <c r="CB47" s="131"/>
      <c r="CC47" s="131"/>
      <c r="CD47" s="131"/>
      <c r="CE47" s="131"/>
      <c r="CF47" s="131"/>
      <c r="CG47" s="131"/>
      <c r="CH47" s="131"/>
      <c r="CI47" s="131"/>
      <c r="CJ47" s="131"/>
      <c r="CK47" s="131"/>
      <c r="CL47" s="131"/>
      <c r="CM47" s="131"/>
      <c r="CN47" s="131"/>
      <c r="CO47" s="131"/>
      <c r="CP47" s="131"/>
      <c r="CQ47" s="131"/>
      <c r="CR47" s="131"/>
      <c r="CS47" s="131"/>
      <c r="CT47" s="131"/>
      <c r="CU47" s="548"/>
      <c r="CV47" s="592">
        <f t="shared" si="0"/>
        <v>0</v>
      </c>
      <c r="CW47" s="575">
        <f t="shared" si="1"/>
        <v>0</v>
      </c>
      <c r="CX47" s="131">
        <f t="shared" si="2"/>
        <v>0</v>
      </c>
      <c r="CY47" s="170">
        <f t="shared" si="3"/>
        <v>0</v>
      </c>
    </row>
    <row r="48" spans="1:104">
      <c r="A48" s="405" t="s">
        <v>389</v>
      </c>
      <c r="B48" s="537" t="str">
        <f>IFERROR(VLOOKUP(ParicipationMai1[[#This Row],[Référence]],ListeÉtudiants1[],18,FALSE),"")</f>
        <v>COULIBALY COLLO</v>
      </c>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546"/>
      <c r="AH48" s="132">
        <f>COUNTIF(ParicipationMai1[[1]:[31]],Code1)</f>
        <v>0</v>
      </c>
      <c r="AI48" s="538">
        <f>COUNTIF(ParicipationMai1[[1]:[31]],code22)</f>
        <v>0</v>
      </c>
      <c r="AJ48" s="132">
        <f>COUNTIF(ParicipationMai1[[#This Row],[1]:[31]],Code2)</f>
        <v>0</v>
      </c>
      <c r="AK48" s="132">
        <f>COUNTIF(ParicipationMai1[[#This Row],[1]:[31]],Code3)</f>
        <v>0</v>
      </c>
      <c r="AL48" s="132">
        <f>COUNTIF(ParicipationMai1[[#This Row],[1]:[31]],Code4)</f>
        <v>0</v>
      </c>
      <c r="AM48" s="132">
        <f>COUNTIF(ParicipationMai1[[#This Row],[1]:[31]],Code5)</f>
        <v>0</v>
      </c>
      <c r="AN48" s="132">
        <f>COUNTIF(ParicipationMai1[[#This Row],[1]:[31]],Code23)</f>
        <v>0</v>
      </c>
      <c r="AO48" s="132">
        <f>COUNTIF(ParicipationMai1[[#This Row],[1]:[31]],Code6)</f>
        <v>0</v>
      </c>
      <c r="AP48" s="132">
        <f>COUNTIF(ParicipationMai1[[#This Row],[1]:[31]],Code7)</f>
        <v>0</v>
      </c>
      <c r="AQ48" s="132">
        <f>COUNTIF(ParicipationMai1[[#This Row],[1]:[31]],Code8)</f>
        <v>0</v>
      </c>
      <c r="AR48" s="132">
        <f>COUNTIF(ParicipationMai1[[#This Row],[1]:[31]],Code9)</f>
        <v>0</v>
      </c>
      <c r="AS48" s="132">
        <f>COUNTIF(ParicipationMai1[[#This Row],[1]:[31]],Code10)</f>
        <v>0</v>
      </c>
      <c r="AT48" s="132">
        <f>COUNTIF(ParicipationMai1[[#This Row],[1]:[31]],Code11)</f>
        <v>0</v>
      </c>
      <c r="AU48" s="132">
        <f>COUNTIF(ParicipationMai1[[#This Row],[1]:[31]],Code12)</f>
        <v>0</v>
      </c>
      <c r="AV48" s="132">
        <f>COUNTIF(ParicipationMai1[[#This Row],[1]:[31]],Code13)</f>
        <v>0</v>
      </c>
      <c r="AW48" s="132">
        <f>COUNTIF(ParicipationMai1[[#This Row],[1]:[31]],Code14)</f>
        <v>0</v>
      </c>
      <c r="AX48" s="132">
        <f>COUNTIF(ParicipationMai1[[#This Row],[1]:[31]],Code15)</f>
        <v>0</v>
      </c>
      <c r="AY48" s="132">
        <f>COUNTIF(ParicipationMai1[[#This Row],[1]:[31]],Code16)</f>
        <v>0</v>
      </c>
      <c r="AZ48" s="132">
        <f>COUNTIF(ParicipationMai1[[#This Row],[1]:[31]],Code17)</f>
        <v>0</v>
      </c>
      <c r="BA48" s="132">
        <f>COUNTIF(ParicipationMai1[[#This Row],[1]:[31]],Code26)</f>
        <v>0</v>
      </c>
      <c r="BB48" s="132">
        <f>COUNTIF(ParicipationMai1[[#This Row],[1]:[31]],Code27)</f>
        <v>0</v>
      </c>
      <c r="BC48" s="132">
        <f>COUNTIF(ParicipationMai1[[#This Row],[1]:[31]],Code27)</f>
        <v>0</v>
      </c>
      <c r="BD48" s="132">
        <f>COUNTIF(ParicipationMai1[[#This Row],[1]:[31]],Code28)</f>
        <v>0</v>
      </c>
      <c r="BE48" s="132">
        <f>COUNTIF(ParicipationMai1[[#This Row],[1]:[31]],code30)</f>
        <v>0</v>
      </c>
      <c r="BF48" s="132">
        <f>COUNTIF(ParicipationMai1[[#This Row],[1]:[31]],Code31)</f>
        <v>0</v>
      </c>
      <c r="BG48" s="132">
        <f>COUNTIF(ParicipationMai1[[#This Row],[1]:[31]],code21)</f>
        <v>0</v>
      </c>
      <c r="BH48" s="132">
        <f>COUNTIF(ParicipationMai1[[#This Row],[1]:[31]],Code24)</f>
        <v>0</v>
      </c>
      <c r="BI48" s="579">
        <f>COUNTIF(ParicipationMai1[[#This Row],[1]:[31]],code18)</f>
        <v>0</v>
      </c>
      <c r="BJ48" s="579">
        <f>COUNTIF(ParicipationMai1[[#This Row],[1]:[31]],code19)</f>
        <v>0</v>
      </c>
      <c r="BK48" s="579">
        <f>COUNTIF(ParicipationMai1[[#This Row],[1]:[31]],code20)</f>
        <v>0</v>
      </c>
      <c r="BL48" s="547">
        <f>COUNTIF(ParicipationMai1[[#This Row],[1]:[31]],code29)</f>
        <v>0</v>
      </c>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547"/>
      <c r="CV48" s="590">
        <f t="shared" si="0"/>
        <v>0</v>
      </c>
      <c r="CW48" s="573">
        <f t="shared" si="1"/>
        <v>0</v>
      </c>
      <c r="CX48" s="132">
        <f t="shared" si="2"/>
        <v>0</v>
      </c>
      <c r="CY48" s="500">
        <f t="shared" si="3"/>
        <v>0</v>
      </c>
    </row>
    <row r="49" spans="1:103">
      <c r="A49" s="406" t="s">
        <v>390</v>
      </c>
      <c r="B49" s="540" t="str">
        <f>IFERROR(VLOOKUP(ParicipationMai1[[#This Row],[Référence]],ListeÉtudiants1[],18,FALSE),"")</f>
        <v>DAGNET ANNAH</v>
      </c>
      <c r="C49" s="406"/>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542"/>
      <c r="AH49" s="131">
        <f>COUNTIF(ParicipationMai1[[1]:[31]],Code1)</f>
        <v>0</v>
      </c>
      <c r="AI49" s="311">
        <f>COUNTIF(ParicipationMai1[[1]:[31]],code22)</f>
        <v>0</v>
      </c>
      <c r="AJ49" s="131">
        <f>COUNTIF(ParicipationMai1[[#This Row],[1]:[31]],Code2)</f>
        <v>0</v>
      </c>
      <c r="AK49" s="131">
        <f>COUNTIF(ParicipationMai1[[#This Row],[1]:[31]],Code3)</f>
        <v>0</v>
      </c>
      <c r="AL49" s="131">
        <f>COUNTIF(ParicipationMai1[[#This Row],[1]:[31]],Code4)</f>
        <v>0</v>
      </c>
      <c r="AM49" s="131">
        <f>COUNTIF(ParicipationMai1[[#This Row],[1]:[31]],Code5)</f>
        <v>0</v>
      </c>
      <c r="AN49" s="131">
        <f>COUNTIF(ParicipationMai1[[#This Row],[1]:[31]],Code23)</f>
        <v>0</v>
      </c>
      <c r="AO49" s="131">
        <f>COUNTIF(ParicipationMai1[[#This Row],[1]:[31]],Code6)</f>
        <v>0</v>
      </c>
      <c r="AP49" s="131">
        <f>COUNTIF(ParicipationMai1[[#This Row],[1]:[31]],Code7)</f>
        <v>0</v>
      </c>
      <c r="AQ49" s="131">
        <f>COUNTIF(ParicipationMai1[[#This Row],[1]:[31]],Code8)</f>
        <v>0</v>
      </c>
      <c r="AR49" s="131">
        <f>COUNTIF(ParicipationMai1[[#This Row],[1]:[31]],Code9)</f>
        <v>0</v>
      </c>
      <c r="AS49" s="131">
        <f>COUNTIF(ParicipationMai1[[#This Row],[1]:[31]],Code10)</f>
        <v>0</v>
      </c>
      <c r="AT49" s="131">
        <f>COUNTIF(ParicipationMai1[[#This Row],[1]:[31]],Code11)</f>
        <v>0</v>
      </c>
      <c r="AU49" s="131">
        <f>COUNTIF(ParicipationMai1[[#This Row],[1]:[31]],Code12)</f>
        <v>0</v>
      </c>
      <c r="AV49" s="131">
        <f>COUNTIF(ParicipationMai1[[#This Row],[1]:[31]],Code13)</f>
        <v>0</v>
      </c>
      <c r="AW49" s="131">
        <f>COUNTIF(ParicipationMai1[[#This Row],[1]:[31]],Code14)</f>
        <v>0</v>
      </c>
      <c r="AX49" s="131">
        <f>COUNTIF(ParicipationMai1[[#This Row],[1]:[31]],Code15)</f>
        <v>0</v>
      </c>
      <c r="AY49" s="131">
        <f>COUNTIF(ParicipationMai1[[#This Row],[1]:[31]],Code16)</f>
        <v>0</v>
      </c>
      <c r="AZ49" s="131">
        <f>COUNTIF(ParicipationMai1[[#This Row],[1]:[31]],Code17)</f>
        <v>0</v>
      </c>
      <c r="BA49" s="131">
        <f>COUNTIF(ParicipationMai1[[#This Row],[1]:[31]],Code26)</f>
        <v>0</v>
      </c>
      <c r="BB49" s="131">
        <f>COUNTIF(ParicipationMai1[[#This Row],[1]:[31]],Code27)</f>
        <v>0</v>
      </c>
      <c r="BC49" s="131">
        <f>COUNTIF(ParicipationMai1[[#This Row],[1]:[31]],Code27)</f>
        <v>0</v>
      </c>
      <c r="BD49" s="131">
        <f>COUNTIF(ParicipationMai1[[#This Row],[1]:[31]],Code28)</f>
        <v>0</v>
      </c>
      <c r="BE49" s="131">
        <f>COUNTIF(ParicipationMai1[[#This Row],[1]:[31]],code30)</f>
        <v>0</v>
      </c>
      <c r="BF49" s="131">
        <f>COUNTIF(ParicipationMai1[[#This Row],[1]:[31]],Code31)</f>
        <v>0</v>
      </c>
      <c r="BG49" s="131">
        <f>COUNTIF(ParicipationMai1[[#This Row],[1]:[31]],code21)</f>
        <v>0</v>
      </c>
      <c r="BH49" s="131">
        <f>COUNTIF(ParicipationMai1[[#This Row],[1]:[31]],Code24)</f>
        <v>0</v>
      </c>
      <c r="BI49" s="568">
        <f>COUNTIF(ParicipationMai1[[#This Row],[1]:[31]],code18)</f>
        <v>0</v>
      </c>
      <c r="BJ49" s="568">
        <f>COUNTIF(ParicipationMai1[[#This Row],[1]:[31]],code19)</f>
        <v>0</v>
      </c>
      <c r="BK49" s="568">
        <f>COUNTIF(ParicipationMai1[[#This Row],[1]:[31]],code20)</f>
        <v>0</v>
      </c>
      <c r="BL49" s="548">
        <f>COUNTIF(ParicipationMai1[[#This Row],[1]:[31]],code29)</f>
        <v>0</v>
      </c>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c r="CS49" s="131"/>
      <c r="CT49" s="131"/>
      <c r="CU49" s="548"/>
      <c r="CV49" s="592">
        <f t="shared" si="0"/>
        <v>0</v>
      </c>
      <c r="CW49" s="575">
        <f t="shared" si="1"/>
        <v>0</v>
      </c>
      <c r="CX49" s="131">
        <f t="shared" si="2"/>
        <v>0</v>
      </c>
      <c r="CY49" s="170">
        <f t="shared" si="3"/>
        <v>0</v>
      </c>
    </row>
    <row r="50" spans="1:103">
      <c r="A50" s="405" t="s">
        <v>391</v>
      </c>
      <c r="B50" s="537" t="str">
        <f>IFERROR(VLOOKUP(ParicipationMai1[[#This Row],[Référence]],ListeÉtudiants1[],18,FALSE),"")</f>
        <v>DAHMANI LUANA</v>
      </c>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546"/>
      <c r="AH50" s="132">
        <f>COUNTIF(ParicipationMai1[[1]:[31]],Code1)</f>
        <v>0</v>
      </c>
      <c r="AI50" s="538">
        <f>COUNTIF(ParicipationMai1[[1]:[31]],code22)</f>
        <v>0</v>
      </c>
      <c r="AJ50" s="132">
        <f>COUNTIF(ParicipationMai1[[#This Row],[1]:[31]],Code2)</f>
        <v>0</v>
      </c>
      <c r="AK50" s="132">
        <f>COUNTIF(ParicipationMai1[[#This Row],[1]:[31]],Code3)</f>
        <v>0</v>
      </c>
      <c r="AL50" s="132">
        <f>COUNTIF(ParicipationMai1[[#This Row],[1]:[31]],Code4)</f>
        <v>0</v>
      </c>
      <c r="AM50" s="132">
        <f>COUNTIF(ParicipationMai1[[#This Row],[1]:[31]],Code5)</f>
        <v>0</v>
      </c>
      <c r="AN50" s="132">
        <f>COUNTIF(ParicipationMai1[[#This Row],[1]:[31]],Code23)</f>
        <v>0</v>
      </c>
      <c r="AO50" s="132">
        <f>COUNTIF(ParicipationMai1[[#This Row],[1]:[31]],Code6)</f>
        <v>0</v>
      </c>
      <c r="AP50" s="132">
        <f>COUNTIF(ParicipationMai1[[#This Row],[1]:[31]],Code7)</f>
        <v>0</v>
      </c>
      <c r="AQ50" s="132">
        <f>COUNTIF(ParicipationMai1[[#This Row],[1]:[31]],Code8)</f>
        <v>0</v>
      </c>
      <c r="AR50" s="132">
        <f>COUNTIF(ParicipationMai1[[#This Row],[1]:[31]],Code9)</f>
        <v>0</v>
      </c>
      <c r="AS50" s="132">
        <f>COUNTIF(ParicipationMai1[[#This Row],[1]:[31]],Code10)</f>
        <v>0</v>
      </c>
      <c r="AT50" s="132">
        <f>COUNTIF(ParicipationMai1[[#This Row],[1]:[31]],Code11)</f>
        <v>0</v>
      </c>
      <c r="AU50" s="132">
        <f>COUNTIF(ParicipationMai1[[#This Row],[1]:[31]],Code12)</f>
        <v>0</v>
      </c>
      <c r="AV50" s="132">
        <f>COUNTIF(ParicipationMai1[[#This Row],[1]:[31]],Code13)</f>
        <v>0</v>
      </c>
      <c r="AW50" s="132">
        <f>COUNTIF(ParicipationMai1[[#This Row],[1]:[31]],Code14)</f>
        <v>0</v>
      </c>
      <c r="AX50" s="132">
        <f>COUNTIF(ParicipationMai1[[#This Row],[1]:[31]],Code15)</f>
        <v>0</v>
      </c>
      <c r="AY50" s="132">
        <f>COUNTIF(ParicipationMai1[[#This Row],[1]:[31]],Code16)</f>
        <v>0</v>
      </c>
      <c r="AZ50" s="132">
        <f>COUNTIF(ParicipationMai1[[#This Row],[1]:[31]],Code17)</f>
        <v>0</v>
      </c>
      <c r="BA50" s="132">
        <f>COUNTIF(ParicipationMai1[[#This Row],[1]:[31]],Code26)</f>
        <v>0</v>
      </c>
      <c r="BB50" s="132">
        <f>COUNTIF(ParicipationMai1[[#This Row],[1]:[31]],Code27)</f>
        <v>0</v>
      </c>
      <c r="BC50" s="132">
        <f>COUNTIF(ParicipationMai1[[#This Row],[1]:[31]],Code27)</f>
        <v>0</v>
      </c>
      <c r="BD50" s="132">
        <f>COUNTIF(ParicipationMai1[[#This Row],[1]:[31]],Code28)</f>
        <v>0</v>
      </c>
      <c r="BE50" s="132">
        <f>COUNTIF(ParicipationMai1[[#This Row],[1]:[31]],code30)</f>
        <v>0</v>
      </c>
      <c r="BF50" s="132">
        <f>COUNTIF(ParicipationMai1[[#This Row],[1]:[31]],Code31)</f>
        <v>0</v>
      </c>
      <c r="BG50" s="132">
        <f>COUNTIF(ParicipationMai1[[#This Row],[1]:[31]],code21)</f>
        <v>0</v>
      </c>
      <c r="BH50" s="132">
        <f>COUNTIF(ParicipationMai1[[#This Row],[1]:[31]],Code24)</f>
        <v>0</v>
      </c>
      <c r="BI50" s="579">
        <f>COUNTIF(ParicipationMai1[[#This Row],[1]:[31]],code18)</f>
        <v>0</v>
      </c>
      <c r="BJ50" s="579">
        <f>COUNTIF(ParicipationMai1[[#This Row],[1]:[31]],code19)</f>
        <v>0</v>
      </c>
      <c r="BK50" s="579">
        <f>COUNTIF(ParicipationMai1[[#This Row],[1]:[31]],code20)</f>
        <v>0</v>
      </c>
      <c r="BL50" s="547">
        <f>COUNTIF(ParicipationMai1[[#This Row],[1]:[31]],code29)</f>
        <v>0</v>
      </c>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547"/>
      <c r="CV50" s="590">
        <f t="shared" si="0"/>
        <v>0</v>
      </c>
      <c r="CW50" s="573">
        <f t="shared" si="1"/>
        <v>0</v>
      </c>
      <c r="CX50" s="132">
        <f t="shared" si="2"/>
        <v>0</v>
      </c>
      <c r="CY50" s="500">
        <f t="shared" si="3"/>
        <v>0</v>
      </c>
    </row>
    <row r="51" spans="1:103">
      <c r="A51" s="406" t="s">
        <v>392</v>
      </c>
      <c r="B51" s="540" t="str">
        <f>IFERROR(VLOOKUP(ParicipationMai1[[#This Row],[Référence]],ListeÉtudiants1[],18,FALSE),"")</f>
        <v>DALI SOUAD</v>
      </c>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542"/>
      <c r="AH51" s="131">
        <f>COUNTIF(ParicipationMai1[[1]:[31]],Code1)</f>
        <v>0</v>
      </c>
      <c r="AI51" s="311">
        <f>COUNTIF(ParicipationMai1[[1]:[31]],code22)</f>
        <v>0</v>
      </c>
      <c r="AJ51" s="131">
        <f>COUNTIF(ParicipationMai1[[#This Row],[1]:[31]],Code2)</f>
        <v>0</v>
      </c>
      <c r="AK51" s="131">
        <f>COUNTIF(ParicipationMai1[[#This Row],[1]:[31]],Code3)</f>
        <v>0</v>
      </c>
      <c r="AL51" s="131">
        <f>COUNTIF(ParicipationMai1[[#This Row],[1]:[31]],Code4)</f>
        <v>0</v>
      </c>
      <c r="AM51" s="131">
        <f>COUNTIF(ParicipationMai1[[#This Row],[1]:[31]],Code5)</f>
        <v>0</v>
      </c>
      <c r="AN51" s="131">
        <f>COUNTIF(ParicipationMai1[[#This Row],[1]:[31]],Code23)</f>
        <v>0</v>
      </c>
      <c r="AO51" s="131">
        <f>COUNTIF(ParicipationMai1[[#This Row],[1]:[31]],Code6)</f>
        <v>0</v>
      </c>
      <c r="AP51" s="131">
        <f>COUNTIF(ParicipationMai1[[#This Row],[1]:[31]],Code7)</f>
        <v>0</v>
      </c>
      <c r="AQ51" s="131">
        <f>COUNTIF(ParicipationMai1[[#This Row],[1]:[31]],Code8)</f>
        <v>0</v>
      </c>
      <c r="AR51" s="131">
        <f>COUNTIF(ParicipationMai1[[#This Row],[1]:[31]],Code9)</f>
        <v>0</v>
      </c>
      <c r="AS51" s="131">
        <f>COUNTIF(ParicipationMai1[[#This Row],[1]:[31]],Code10)</f>
        <v>0</v>
      </c>
      <c r="AT51" s="131">
        <f>COUNTIF(ParicipationMai1[[#This Row],[1]:[31]],Code11)</f>
        <v>0</v>
      </c>
      <c r="AU51" s="131">
        <f>COUNTIF(ParicipationMai1[[#This Row],[1]:[31]],Code12)</f>
        <v>0</v>
      </c>
      <c r="AV51" s="131">
        <f>COUNTIF(ParicipationMai1[[#This Row],[1]:[31]],Code13)</f>
        <v>0</v>
      </c>
      <c r="AW51" s="131">
        <f>COUNTIF(ParicipationMai1[[#This Row],[1]:[31]],Code14)</f>
        <v>0</v>
      </c>
      <c r="AX51" s="131">
        <f>COUNTIF(ParicipationMai1[[#This Row],[1]:[31]],Code15)</f>
        <v>0</v>
      </c>
      <c r="AY51" s="131">
        <f>COUNTIF(ParicipationMai1[[#This Row],[1]:[31]],Code16)</f>
        <v>0</v>
      </c>
      <c r="AZ51" s="131">
        <f>COUNTIF(ParicipationMai1[[#This Row],[1]:[31]],Code17)</f>
        <v>0</v>
      </c>
      <c r="BA51" s="131">
        <f>COUNTIF(ParicipationMai1[[#This Row],[1]:[31]],Code26)</f>
        <v>0</v>
      </c>
      <c r="BB51" s="131">
        <f>COUNTIF(ParicipationMai1[[#This Row],[1]:[31]],Code27)</f>
        <v>0</v>
      </c>
      <c r="BC51" s="131">
        <f>COUNTIF(ParicipationMai1[[#This Row],[1]:[31]],Code27)</f>
        <v>0</v>
      </c>
      <c r="BD51" s="131">
        <f>COUNTIF(ParicipationMai1[[#This Row],[1]:[31]],Code28)</f>
        <v>0</v>
      </c>
      <c r="BE51" s="131">
        <f>COUNTIF(ParicipationMai1[[#This Row],[1]:[31]],code30)</f>
        <v>0</v>
      </c>
      <c r="BF51" s="131">
        <f>COUNTIF(ParicipationMai1[[#This Row],[1]:[31]],Code31)</f>
        <v>0</v>
      </c>
      <c r="BG51" s="131">
        <f>COUNTIF(ParicipationMai1[[#This Row],[1]:[31]],code21)</f>
        <v>0</v>
      </c>
      <c r="BH51" s="131">
        <f>COUNTIF(ParicipationMai1[[#This Row],[1]:[31]],Code24)</f>
        <v>0</v>
      </c>
      <c r="BI51" s="568">
        <f>COUNTIF(ParicipationMai1[[#This Row],[1]:[31]],code18)</f>
        <v>0</v>
      </c>
      <c r="BJ51" s="568">
        <f>COUNTIF(ParicipationMai1[[#This Row],[1]:[31]],code19)</f>
        <v>0</v>
      </c>
      <c r="BK51" s="568">
        <f>COUNTIF(ParicipationMai1[[#This Row],[1]:[31]],code20)</f>
        <v>0</v>
      </c>
      <c r="BL51" s="548">
        <f>COUNTIF(ParicipationMai1[[#This Row],[1]:[31]],code29)</f>
        <v>0</v>
      </c>
      <c r="BM51" s="131"/>
      <c r="BN51" s="131"/>
      <c r="BO51" s="131"/>
      <c r="BP51" s="131"/>
      <c r="BQ51" s="131"/>
      <c r="BR51" s="131"/>
      <c r="BS51" s="131"/>
      <c r="BT51" s="131"/>
      <c r="BU51" s="131"/>
      <c r="BV51" s="131"/>
      <c r="BW51" s="131"/>
      <c r="BX51" s="131"/>
      <c r="BY51" s="131"/>
      <c r="BZ51" s="131"/>
      <c r="CA51" s="131"/>
      <c r="CB51" s="131"/>
      <c r="CC51" s="131"/>
      <c r="CD51" s="131"/>
      <c r="CE51" s="131"/>
      <c r="CF51" s="131"/>
      <c r="CG51" s="131"/>
      <c r="CH51" s="131"/>
      <c r="CI51" s="131"/>
      <c r="CJ51" s="131"/>
      <c r="CK51" s="131"/>
      <c r="CL51" s="131"/>
      <c r="CM51" s="131"/>
      <c r="CN51" s="131"/>
      <c r="CO51" s="131"/>
      <c r="CP51" s="131"/>
      <c r="CQ51" s="131"/>
      <c r="CR51" s="131"/>
      <c r="CS51" s="131"/>
      <c r="CT51" s="131"/>
      <c r="CU51" s="548"/>
      <c r="CV51" s="592">
        <f t="shared" si="0"/>
        <v>0</v>
      </c>
      <c r="CW51" s="575">
        <f t="shared" si="1"/>
        <v>0</v>
      </c>
      <c r="CX51" s="131">
        <f t="shared" si="2"/>
        <v>0</v>
      </c>
      <c r="CY51" s="170">
        <f t="shared" si="3"/>
        <v>0</v>
      </c>
    </row>
    <row r="52" spans="1:103">
      <c r="A52" s="405" t="s">
        <v>393</v>
      </c>
      <c r="B52" s="537" t="str">
        <f>IFERROR(VLOOKUP(ParicipationMai1[[#This Row],[Référence]],ListeÉtudiants1[],18,FALSE),"")</f>
        <v>DANION LUCIE</v>
      </c>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546"/>
      <c r="AH52" s="132">
        <f>COUNTIF(ParicipationMai1[[1]:[31]],Code1)</f>
        <v>0</v>
      </c>
      <c r="AI52" s="538">
        <f>COUNTIF(ParicipationMai1[[1]:[31]],code22)</f>
        <v>0</v>
      </c>
      <c r="AJ52" s="132">
        <f>COUNTIF(ParicipationMai1[[#This Row],[1]:[31]],Code2)</f>
        <v>0</v>
      </c>
      <c r="AK52" s="132">
        <f>COUNTIF(ParicipationMai1[[#This Row],[1]:[31]],Code3)</f>
        <v>0</v>
      </c>
      <c r="AL52" s="132">
        <f>COUNTIF(ParicipationMai1[[#This Row],[1]:[31]],Code4)</f>
        <v>0</v>
      </c>
      <c r="AM52" s="132">
        <f>COUNTIF(ParicipationMai1[[#This Row],[1]:[31]],Code5)</f>
        <v>0</v>
      </c>
      <c r="AN52" s="132">
        <f>COUNTIF(ParicipationMai1[[#This Row],[1]:[31]],Code23)</f>
        <v>0</v>
      </c>
      <c r="AO52" s="132">
        <f>COUNTIF(ParicipationMai1[[#This Row],[1]:[31]],Code6)</f>
        <v>0</v>
      </c>
      <c r="AP52" s="132">
        <f>COUNTIF(ParicipationMai1[[#This Row],[1]:[31]],Code7)</f>
        <v>0</v>
      </c>
      <c r="AQ52" s="132">
        <f>COUNTIF(ParicipationMai1[[#This Row],[1]:[31]],Code8)</f>
        <v>0</v>
      </c>
      <c r="AR52" s="132">
        <f>COUNTIF(ParicipationMai1[[#This Row],[1]:[31]],Code9)</f>
        <v>0</v>
      </c>
      <c r="AS52" s="132">
        <f>COUNTIF(ParicipationMai1[[#This Row],[1]:[31]],Code10)</f>
        <v>0</v>
      </c>
      <c r="AT52" s="132">
        <f>COUNTIF(ParicipationMai1[[#This Row],[1]:[31]],Code11)</f>
        <v>0</v>
      </c>
      <c r="AU52" s="132">
        <f>COUNTIF(ParicipationMai1[[#This Row],[1]:[31]],Code12)</f>
        <v>0</v>
      </c>
      <c r="AV52" s="132">
        <f>COUNTIF(ParicipationMai1[[#This Row],[1]:[31]],Code13)</f>
        <v>0</v>
      </c>
      <c r="AW52" s="132">
        <f>COUNTIF(ParicipationMai1[[#This Row],[1]:[31]],Code14)</f>
        <v>0</v>
      </c>
      <c r="AX52" s="132">
        <f>COUNTIF(ParicipationMai1[[#This Row],[1]:[31]],Code15)</f>
        <v>0</v>
      </c>
      <c r="AY52" s="132">
        <f>COUNTIF(ParicipationMai1[[#This Row],[1]:[31]],Code16)</f>
        <v>0</v>
      </c>
      <c r="AZ52" s="132">
        <f>COUNTIF(ParicipationMai1[[#This Row],[1]:[31]],Code17)</f>
        <v>0</v>
      </c>
      <c r="BA52" s="132">
        <f>COUNTIF(ParicipationMai1[[#This Row],[1]:[31]],Code26)</f>
        <v>0</v>
      </c>
      <c r="BB52" s="132">
        <f>COUNTIF(ParicipationMai1[[#This Row],[1]:[31]],Code27)</f>
        <v>0</v>
      </c>
      <c r="BC52" s="132">
        <f>COUNTIF(ParicipationMai1[[#This Row],[1]:[31]],Code27)</f>
        <v>0</v>
      </c>
      <c r="BD52" s="132">
        <f>COUNTIF(ParicipationMai1[[#This Row],[1]:[31]],Code28)</f>
        <v>0</v>
      </c>
      <c r="BE52" s="132">
        <f>COUNTIF(ParicipationMai1[[#This Row],[1]:[31]],code30)</f>
        <v>0</v>
      </c>
      <c r="BF52" s="132">
        <f>COUNTIF(ParicipationMai1[[#This Row],[1]:[31]],Code31)</f>
        <v>0</v>
      </c>
      <c r="BG52" s="132">
        <f>COUNTIF(ParicipationMai1[[#This Row],[1]:[31]],code21)</f>
        <v>0</v>
      </c>
      <c r="BH52" s="132">
        <f>COUNTIF(ParicipationMai1[[#This Row],[1]:[31]],Code24)</f>
        <v>0</v>
      </c>
      <c r="BI52" s="579">
        <f>COUNTIF(ParicipationMai1[[#This Row],[1]:[31]],code18)</f>
        <v>0</v>
      </c>
      <c r="BJ52" s="579">
        <f>COUNTIF(ParicipationMai1[[#This Row],[1]:[31]],code19)</f>
        <v>0</v>
      </c>
      <c r="BK52" s="579">
        <f>COUNTIF(ParicipationMai1[[#This Row],[1]:[31]],code20)</f>
        <v>0</v>
      </c>
      <c r="BL52" s="547">
        <f>COUNTIF(ParicipationMai1[[#This Row],[1]:[31]],code29)</f>
        <v>0</v>
      </c>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547"/>
      <c r="CV52" s="594">
        <f t="shared" si="0"/>
        <v>0</v>
      </c>
      <c r="CW52" s="573">
        <f t="shared" si="1"/>
        <v>0</v>
      </c>
      <c r="CX52" s="132">
        <f t="shared" si="2"/>
        <v>0</v>
      </c>
      <c r="CY52" s="500">
        <f t="shared" si="3"/>
        <v>0</v>
      </c>
    </row>
    <row r="53" spans="1:103">
      <c r="A53" s="406" t="s">
        <v>394</v>
      </c>
      <c r="B53" s="540" t="str">
        <f>IFERROR(VLOOKUP(ParicipationMai1[[#This Row],[Référence]],ListeÉtudiants1[],18,FALSE),"")</f>
        <v>DE LUISE STELLA</v>
      </c>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542"/>
      <c r="AH53" s="131">
        <f>COUNTIF(ParicipationMai1[[1]:[31]],Code1)</f>
        <v>0</v>
      </c>
      <c r="AI53" s="311">
        <f>COUNTIF(ParicipationMai1[[1]:[31]],code22)</f>
        <v>0</v>
      </c>
      <c r="AJ53" s="131">
        <f>COUNTIF(ParicipationMai1[[#This Row],[1]:[31]],Code2)</f>
        <v>0</v>
      </c>
      <c r="AK53" s="131">
        <f>COUNTIF(ParicipationMai1[[#This Row],[1]:[31]],Code3)</f>
        <v>0</v>
      </c>
      <c r="AL53" s="131">
        <f>COUNTIF(ParicipationMai1[[#This Row],[1]:[31]],Code4)</f>
        <v>0</v>
      </c>
      <c r="AM53" s="131">
        <f>COUNTIF(ParicipationMai1[[#This Row],[1]:[31]],Code5)</f>
        <v>0</v>
      </c>
      <c r="AN53" s="131">
        <f>COUNTIF(ParicipationMai1[[#This Row],[1]:[31]],Code23)</f>
        <v>0</v>
      </c>
      <c r="AO53" s="131">
        <f>COUNTIF(ParicipationMai1[[#This Row],[1]:[31]],Code6)</f>
        <v>0</v>
      </c>
      <c r="AP53" s="131">
        <f>COUNTIF(ParicipationMai1[[#This Row],[1]:[31]],Code7)</f>
        <v>0</v>
      </c>
      <c r="AQ53" s="131">
        <f>COUNTIF(ParicipationMai1[[#This Row],[1]:[31]],Code8)</f>
        <v>0</v>
      </c>
      <c r="AR53" s="131">
        <f>COUNTIF(ParicipationMai1[[#This Row],[1]:[31]],Code9)</f>
        <v>0</v>
      </c>
      <c r="AS53" s="131">
        <f>COUNTIF(ParicipationMai1[[#This Row],[1]:[31]],Code10)</f>
        <v>0</v>
      </c>
      <c r="AT53" s="131">
        <f>COUNTIF(ParicipationMai1[[#This Row],[1]:[31]],Code11)</f>
        <v>0</v>
      </c>
      <c r="AU53" s="131">
        <f>COUNTIF(ParicipationMai1[[#This Row],[1]:[31]],Code12)</f>
        <v>0</v>
      </c>
      <c r="AV53" s="131">
        <f>COUNTIF(ParicipationMai1[[#This Row],[1]:[31]],Code13)</f>
        <v>0</v>
      </c>
      <c r="AW53" s="131">
        <f>COUNTIF(ParicipationMai1[[#This Row],[1]:[31]],Code14)</f>
        <v>0</v>
      </c>
      <c r="AX53" s="131">
        <f>COUNTIF(ParicipationMai1[[#This Row],[1]:[31]],Code15)</f>
        <v>0</v>
      </c>
      <c r="AY53" s="131">
        <f>COUNTIF(ParicipationMai1[[#This Row],[1]:[31]],Code16)</f>
        <v>0</v>
      </c>
      <c r="AZ53" s="131">
        <f>COUNTIF(ParicipationMai1[[#This Row],[1]:[31]],Code17)</f>
        <v>0</v>
      </c>
      <c r="BA53" s="131">
        <f>COUNTIF(ParicipationMai1[[#This Row],[1]:[31]],Code26)</f>
        <v>0</v>
      </c>
      <c r="BB53" s="131">
        <f>COUNTIF(ParicipationMai1[[#This Row],[1]:[31]],Code27)</f>
        <v>0</v>
      </c>
      <c r="BC53" s="131">
        <f>COUNTIF(ParicipationMai1[[#This Row],[1]:[31]],Code27)</f>
        <v>0</v>
      </c>
      <c r="BD53" s="131">
        <f>COUNTIF(ParicipationMai1[[#This Row],[1]:[31]],Code28)</f>
        <v>0</v>
      </c>
      <c r="BE53" s="131">
        <f>COUNTIF(ParicipationMai1[[#This Row],[1]:[31]],code30)</f>
        <v>0</v>
      </c>
      <c r="BF53" s="131">
        <f>COUNTIF(ParicipationMai1[[#This Row],[1]:[31]],Code31)</f>
        <v>0</v>
      </c>
      <c r="BG53" s="131">
        <f>COUNTIF(ParicipationMai1[[#This Row],[1]:[31]],code21)</f>
        <v>0</v>
      </c>
      <c r="BH53" s="131">
        <f>COUNTIF(ParicipationMai1[[#This Row],[1]:[31]],Code24)</f>
        <v>0</v>
      </c>
      <c r="BI53" s="568">
        <f>COUNTIF(ParicipationMai1[[#This Row],[1]:[31]],code18)</f>
        <v>0</v>
      </c>
      <c r="BJ53" s="568">
        <f>COUNTIF(ParicipationMai1[[#This Row],[1]:[31]],code19)</f>
        <v>0</v>
      </c>
      <c r="BK53" s="568">
        <f>COUNTIF(ParicipationMai1[[#This Row],[1]:[31]],code20)</f>
        <v>0</v>
      </c>
      <c r="BL53" s="548">
        <f>COUNTIF(ParicipationMai1[[#This Row],[1]:[31]],code29)</f>
        <v>0</v>
      </c>
      <c r="BM53" s="131"/>
      <c r="BN53" s="131"/>
      <c r="BO53" s="131"/>
      <c r="BP53" s="131"/>
      <c r="BQ53" s="131"/>
      <c r="BR53" s="131"/>
      <c r="BS53" s="131"/>
      <c r="BT53" s="131"/>
      <c r="BU53" s="131"/>
      <c r="BV53" s="131"/>
      <c r="BW53" s="131"/>
      <c r="BX53" s="131"/>
      <c r="BY53" s="131"/>
      <c r="BZ53" s="131"/>
      <c r="CA53" s="131"/>
      <c r="CB53" s="131"/>
      <c r="CC53" s="131"/>
      <c r="CD53" s="131"/>
      <c r="CE53" s="131"/>
      <c r="CF53" s="131"/>
      <c r="CG53" s="131"/>
      <c r="CH53" s="131"/>
      <c r="CI53" s="131"/>
      <c r="CJ53" s="131"/>
      <c r="CK53" s="131"/>
      <c r="CL53" s="131"/>
      <c r="CM53" s="131"/>
      <c r="CN53" s="131"/>
      <c r="CO53" s="131"/>
      <c r="CP53" s="131"/>
      <c r="CQ53" s="131"/>
      <c r="CR53" s="131"/>
      <c r="CS53" s="131"/>
      <c r="CT53" s="131"/>
      <c r="CU53" s="548"/>
      <c r="CV53" s="596">
        <f t="shared" si="0"/>
        <v>0</v>
      </c>
      <c r="CW53" s="575">
        <f t="shared" si="1"/>
        <v>0</v>
      </c>
      <c r="CX53" s="131">
        <f t="shared" si="2"/>
        <v>0</v>
      </c>
      <c r="CY53" s="170">
        <f t="shared" si="3"/>
        <v>0</v>
      </c>
    </row>
    <row r="54" spans="1:103">
      <c r="A54" s="405" t="s">
        <v>395</v>
      </c>
      <c r="B54" s="537" t="str">
        <f>IFERROR(VLOOKUP(ParicipationMai1[[#This Row],[Référence]],ListeÉtudiants1[],18,FALSE),"")</f>
        <v>DIAOUNE MAJULA</v>
      </c>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546"/>
      <c r="AH54" s="132">
        <f>COUNTIF(ParicipationMai1[[1]:[31]],Code1)</f>
        <v>0</v>
      </c>
      <c r="AI54" s="538">
        <f>COUNTIF(ParicipationMai1[[1]:[31]],code22)</f>
        <v>0</v>
      </c>
      <c r="AJ54" s="132">
        <f>COUNTIF(ParicipationMai1[[#This Row],[1]:[31]],Code2)</f>
        <v>0</v>
      </c>
      <c r="AK54" s="132">
        <f>COUNTIF(ParicipationMai1[[#This Row],[1]:[31]],Code3)</f>
        <v>0</v>
      </c>
      <c r="AL54" s="132">
        <f>COUNTIF(ParicipationMai1[[#This Row],[1]:[31]],Code4)</f>
        <v>0</v>
      </c>
      <c r="AM54" s="132">
        <f>COUNTIF(ParicipationMai1[[#This Row],[1]:[31]],Code5)</f>
        <v>0</v>
      </c>
      <c r="AN54" s="132">
        <f>COUNTIF(ParicipationMai1[[#This Row],[1]:[31]],Code23)</f>
        <v>0</v>
      </c>
      <c r="AO54" s="132">
        <f>COUNTIF(ParicipationMai1[[#This Row],[1]:[31]],Code6)</f>
        <v>0</v>
      </c>
      <c r="AP54" s="132">
        <f>COUNTIF(ParicipationMai1[[#This Row],[1]:[31]],Code7)</f>
        <v>0</v>
      </c>
      <c r="AQ54" s="132">
        <f>COUNTIF(ParicipationMai1[[#This Row],[1]:[31]],Code8)</f>
        <v>0</v>
      </c>
      <c r="AR54" s="132">
        <f>COUNTIF(ParicipationMai1[[#This Row],[1]:[31]],Code9)</f>
        <v>0</v>
      </c>
      <c r="AS54" s="132">
        <f>COUNTIF(ParicipationMai1[[#This Row],[1]:[31]],Code10)</f>
        <v>0</v>
      </c>
      <c r="AT54" s="132">
        <f>COUNTIF(ParicipationMai1[[#This Row],[1]:[31]],Code11)</f>
        <v>0</v>
      </c>
      <c r="AU54" s="132">
        <f>COUNTIF(ParicipationMai1[[#This Row],[1]:[31]],Code12)</f>
        <v>0</v>
      </c>
      <c r="AV54" s="132">
        <f>COUNTIF(ParicipationMai1[[#This Row],[1]:[31]],Code13)</f>
        <v>0</v>
      </c>
      <c r="AW54" s="132">
        <f>COUNTIF(ParicipationMai1[[#This Row],[1]:[31]],Code14)</f>
        <v>0</v>
      </c>
      <c r="AX54" s="132">
        <f>COUNTIF(ParicipationMai1[[#This Row],[1]:[31]],Code15)</f>
        <v>0</v>
      </c>
      <c r="AY54" s="132">
        <f>COUNTIF(ParicipationMai1[[#This Row],[1]:[31]],Code16)</f>
        <v>0</v>
      </c>
      <c r="AZ54" s="132">
        <f>COUNTIF(ParicipationMai1[[#This Row],[1]:[31]],Code17)</f>
        <v>0</v>
      </c>
      <c r="BA54" s="132">
        <f>COUNTIF(ParicipationMai1[[#This Row],[1]:[31]],Code26)</f>
        <v>0</v>
      </c>
      <c r="BB54" s="132">
        <f>COUNTIF(ParicipationMai1[[#This Row],[1]:[31]],Code27)</f>
        <v>0</v>
      </c>
      <c r="BC54" s="132">
        <f>COUNTIF(ParicipationMai1[[#This Row],[1]:[31]],Code27)</f>
        <v>0</v>
      </c>
      <c r="BD54" s="132">
        <f>COUNTIF(ParicipationMai1[[#This Row],[1]:[31]],Code28)</f>
        <v>0</v>
      </c>
      <c r="BE54" s="132">
        <f>COUNTIF(ParicipationMai1[[#This Row],[1]:[31]],code30)</f>
        <v>0</v>
      </c>
      <c r="BF54" s="132">
        <f>COUNTIF(ParicipationMai1[[#This Row],[1]:[31]],Code31)</f>
        <v>0</v>
      </c>
      <c r="BG54" s="132">
        <f>COUNTIF(ParicipationMai1[[#This Row],[1]:[31]],code21)</f>
        <v>0</v>
      </c>
      <c r="BH54" s="132">
        <f>COUNTIF(ParicipationMai1[[#This Row],[1]:[31]],Code24)</f>
        <v>0</v>
      </c>
      <c r="BI54" s="579">
        <f>COUNTIF(ParicipationMai1[[#This Row],[1]:[31]],code18)</f>
        <v>0</v>
      </c>
      <c r="BJ54" s="579">
        <f>COUNTIF(ParicipationMai1[[#This Row],[1]:[31]],code19)</f>
        <v>0</v>
      </c>
      <c r="BK54" s="579">
        <f>COUNTIF(ParicipationMai1[[#This Row],[1]:[31]],code20)</f>
        <v>0</v>
      </c>
      <c r="BL54" s="547">
        <f>COUNTIF(ParicipationMai1[[#This Row],[1]:[31]],code29)</f>
        <v>0</v>
      </c>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547"/>
      <c r="CV54" s="597">
        <f t="shared" si="0"/>
        <v>0</v>
      </c>
      <c r="CW54" s="573">
        <f t="shared" si="1"/>
        <v>0</v>
      </c>
      <c r="CX54" s="132">
        <f t="shared" si="2"/>
        <v>0</v>
      </c>
      <c r="CY54" s="500">
        <f t="shared" si="3"/>
        <v>0</v>
      </c>
    </row>
    <row r="55" spans="1:103">
      <c r="A55" s="406" t="s">
        <v>396</v>
      </c>
      <c r="B55" s="540" t="str">
        <f>IFERROR(VLOOKUP(ParicipationMai1[[#This Row],[Référence]],ListeÉtudiants1[],18,FALSE),"")</f>
        <v>DOS SANTOS SILVA CELIA</v>
      </c>
      <c r="C55" s="406"/>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542"/>
      <c r="AH55" s="131">
        <f>COUNTIF(ParicipationMai1[[1]:[31]],Code1)</f>
        <v>0</v>
      </c>
      <c r="AI55" s="311">
        <f>COUNTIF(ParicipationMai1[[1]:[31]],code22)</f>
        <v>0</v>
      </c>
      <c r="AJ55" s="131">
        <f>COUNTIF(ParicipationMai1[[#This Row],[1]:[31]],Code2)</f>
        <v>0</v>
      </c>
      <c r="AK55" s="131">
        <f>COUNTIF(ParicipationMai1[[#This Row],[1]:[31]],Code3)</f>
        <v>0</v>
      </c>
      <c r="AL55" s="131">
        <f>COUNTIF(ParicipationMai1[[#This Row],[1]:[31]],Code4)</f>
        <v>0</v>
      </c>
      <c r="AM55" s="131">
        <f>COUNTIF(ParicipationMai1[[#This Row],[1]:[31]],Code5)</f>
        <v>0</v>
      </c>
      <c r="AN55" s="131">
        <f>COUNTIF(ParicipationMai1[[#This Row],[1]:[31]],Code23)</f>
        <v>0</v>
      </c>
      <c r="AO55" s="131">
        <f>COUNTIF(ParicipationMai1[[#This Row],[1]:[31]],Code6)</f>
        <v>0</v>
      </c>
      <c r="AP55" s="131">
        <f>COUNTIF(ParicipationMai1[[#This Row],[1]:[31]],Code7)</f>
        <v>0</v>
      </c>
      <c r="AQ55" s="131">
        <f>COUNTIF(ParicipationMai1[[#This Row],[1]:[31]],Code8)</f>
        <v>0</v>
      </c>
      <c r="AR55" s="131">
        <f>COUNTIF(ParicipationMai1[[#This Row],[1]:[31]],Code9)</f>
        <v>0</v>
      </c>
      <c r="AS55" s="131">
        <f>COUNTIF(ParicipationMai1[[#This Row],[1]:[31]],Code10)</f>
        <v>0</v>
      </c>
      <c r="AT55" s="131">
        <f>COUNTIF(ParicipationMai1[[#This Row],[1]:[31]],Code11)</f>
        <v>0</v>
      </c>
      <c r="AU55" s="131">
        <f>COUNTIF(ParicipationMai1[[#This Row],[1]:[31]],Code12)</f>
        <v>0</v>
      </c>
      <c r="AV55" s="131">
        <f>COUNTIF(ParicipationMai1[[#This Row],[1]:[31]],Code13)</f>
        <v>0</v>
      </c>
      <c r="AW55" s="131">
        <f>COUNTIF(ParicipationMai1[[#This Row],[1]:[31]],Code14)</f>
        <v>0</v>
      </c>
      <c r="AX55" s="131">
        <f>COUNTIF(ParicipationMai1[[#This Row],[1]:[31]],Code15)</f>
        <v>0</v>
      </c>
      <c r="AY55" s="131">
        <f>COUNTIF(ParicipationMai1[[#This Row],[1]:[31]],Code16)</f>
        <v>0</v>
      </c>
      <c r="AZ55" s="131">
        <f>COUNTIF(ParicipationMai1[[#This Row],[1]:[31]],Code17)</f>
        <v>0</v>
      </c>
      <c r="BA55" s="131">
        <f>COUNTIF(ParicipationMai1[[#This Row],[1]:[31]],Code26)</f>
        <v>0</v>
      </c>
      <c r="BB55" s="131">
        <f>COUNTIF(ParicipationMai1[[#This Row],[1]:[31]],Code27)</f>
        <v>0</v>
      </c>
      <c r="BC55" s="131">
        <f>COUNTIF(ParicipationMai1[[#This Row],[1]:[31]],Code27)</f>
        <v>0</v>
      </c>
      <c r="BD55" s="131">
        <f>COUNTIF(ParicipationMai1[[#This Row],[1]:[31]],Code28)</f>
        <v>0</v>
      </c>
      <c r="BE55" s="131">
        <f>COUNTIF(ParicipationMai1[[#This Row],[1]:[31]],code30)</f>
        <v>0</v>
      </c>
      <c r="BF55" s="131">
        <f>COUNTIF(ParicipationMai1[[#This Row],[1]:[31]],Code31)</f>
        <v>0</v>
      </c>
      <c r="BG55" s="131">
        <f>COUNTIF(ParicipationMai1[[#This Row],[1]:[31]],code21)</f>
        <v>0</v>
      </c>
      <c r="BH55" s="131">
        <f>COUNTIF(ParicipationMai1[[#This Row],[1]:[31]],Code24)</f>
        <v>0</v>
      </c>
      <c r="BI55" s="568">
        <f>COUNTIF(ParicipationMai1[[#This Row],[1]:[31]],code18)</f>
        <v>0</v>
      </c>
      <c r="BJ55" s="568">
        <f>COUNTIF(ParicipationMai1[[#This Row],[1]:[31]],code19)</f>
        <v>0</v>
      </c>
      <c r="BK55" s="568">
        <f>COUNTIF(ParicipationMai1[[#This Row],[1]:[31]],code20)</f>
        <v>0</v>
      </c>
      <c r="BL55" s="548">
        <f>COUNTIF(ParicipationMai1[[#This Row],[1]:[31]],code29)</f>
        <v>0</v>
      </c>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548"/>
      <c r="CV55" s="596">
        <f t="shared" si="0"/>
        <v>0</v>
      </c>
      <c r="CW55" s="575">
        <f t="shared" si="1"/>
        <v>0</v>
      </c>
      <c r="CX55" s="131">
        <f t="shared" si="2"/>
        <v>0</v>
      </c>
      <c r="CY55" s="170">
        <f t="shared" si="3"/>
        <v>0</v>
      </c>
    </row>
    <row r="56" spans="1:103">
      <c r="A56" s="405" t="s">
        <v>397</v>
      </c>
      <c r="B56" s="537" t="str">
        <f>IFERROR(VLOOKUP(ParicipationMai1[[#This Row],[Référence]],ListeÉtudiants1[],18,FALSE),"")</f>
        <v>DOSSOU ESTELLE</v>
      </c>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546"/>
      <c r="AH56" s="132">
        <f>COUNTIF(ParicipationMai1[[1]:[31]],Code1)</f>
        <v>0</v>
      </c>
      <c r="AI56" s="538">
        <f>COUNTIF(ParicipationMai1[[1]:[31]],code22)</f>
        <v>0</v>
      </c>
      <c r="AJ56" s="132">
        <f>COUNTIF(ParicipationMai1[[#This Row],[1]:[31]],Code2)</f>
        <v>0</v>
      </c>
      <c r="AK56" s="132">
        <f>COUNTIF(ParicipationMai1[[#This Row],[1]:[31]],Code3)</f>
        <v>0</v>
      </c>
      <c r="AL56" s="132">
        <f>COUNTIF(ParicipationMai1[[#This Row],[1]:[31]],Code4)</f>
        <v>0</v>
      </c>
      <c r="AM56" s="132">
        <f>COUNTIF(ParicipationMai1[[#This Row],[1]:[31]],Code5)</f>
        <v>0</v>
      </c>
      <c r="AN56" s="132">
        <f>COUNTIF(ParicipationMai1[[#This Row],[1]:[31]],Code23)</f>
        <v>0</v>
      </c>
      <c r="AO56" s="132">
        <f>COUNTIF(ParicipationMai1[[#This Row],[1]:[31]],Code6)</f>
        <v>0</v>
      </c>
      <c r="AP56" s="132">
        <f>COUNTIF(ParicipationMai1[[#This Row],[1]:[31]],Code7)</f>
        <v>0</v>
      </c>
      <c r="AQ56" s="132">
        <f>COUNTIF(ParicipationMai1[[#This Row],[1]:[31]],Code8)</f>
        <v>0</v>
      </c>
      <c r="AR56" s="132">
        <f>COUNTIF(ParicipationMai1[[#This Row],[1]:[31]],Code9)</f>
        <v>0</v>
      </c>
      <c r="AS56" s="132">
        <f>COUNTIF(ParicipationMai1[[#This Row],[1]:[31]],Code10)</f>
        <v>0</v>
      </c>
      <c r="AT56" s="132">
        <f>COUNTIF(ParicipationMai1[[#This Row],[1]:[31]],Code11)</f>
        <v>0</v>
      </c>
      <c r="AU56" s="132">
        <f>COUNTIF(ParicipationMai1[[#This Row],[1]:[31]],Code12)</f>
        <v>0</v>
      </c>
      <c r="AV56" s="132">
        <f>COUNTIF(ParicipationMai1[[#This Row],[1]:[31]],Code13)</f>
        <v>0</v>
      </c>
      <c r="AW56" s="132">
        <f>COUNTIF(ParicipationMai1[[#This Row],[1]:[31]],Code14)</f>
        <v>0</v>
      </c>
      <c r="AX56" s="132">
        <f>COUNTIF(ParicipationMai1[[#This Row],[1]:[31]],Code15)</f>
        <v>0</v>
      </c>
      <c r="AY56" s="132">
        <f>COUNTIF(ParicipationMai1[[#This Row],[1]:[31]],Code16)</f>
        <v>0</v>
      </c>
      <c r="AZ56" s="132">
        <f>COUNTIF(ParicipationMai1[[#This Row],[1]:[31]],Code17)</f>
        <v>0</v>
      </c>
      <c r="BA56" s="132">
        <f>COUNTIF(ParicipationMai1[[#This Row],[1]:[31]],Code26)</f>
        <v>0</v>
      </c>
      <c r="BB56" s="132">
        <f>COUNTIF(ParicipationMai1[[#This Row],[1]:[31]],Code27)</f>
        <v>0</v>
      </c>
      <c r="BC56" s="132">
        <f>COUNTIF(ParicipationMai1[[#This Row],[1]:[31]],Code27)</f>
        <v>0</v>
      </c>
      <c r="BD56" s="132">
        <f>COUNTIF(ParicipationMai1[[#This Row],[1]:[31]],Code28)</f>
        <v>0</v>
      </c>
      <c r="BE56" s="132">
        <f>COUNTIF(ParicipationMai1[[#This Row],[1]:[31]],code30)</f>
        <v>0</v>
      </c>
      <c r="BF56" s="132">
        <f>COUNTIF(ParicipationMai1[[#This Row],[1]:[31]],Code31)</f>
        <v>0</v>
      </c>
      <c r="BG56" s="132">
        <f>COUNTIF(ParicipationMai1[[#This Row],[1]:[31]],code21)</f>
        <v>0</v>
      </c>
      <c r="BH56" s="132">
        <f>COUNTIF(ParicipationMai1[[#This Row],[1]:[31]],Code24)</f>
        <v>0</v>
      </c>
      <c r="BI56" s="579">
        <f>COUNTIF(ParicipationMai1[[#This Row],[1]:[31]],code18)</f>
        <v>0</v>
      </c>
      <c r="BJ56" s="579">
        <f>COUNTIF(ParicipationMai1[[#This Row],[1]:[31]],code19)</f>
        <v>0</v>
      </c>
      <c r="BK56" s="579">
        <f>COUNTIF(ParicipationMai1[[#This Row],[1]:[31]],code20)</f>
        <v>0</v>
      </c>
      <c r="BL56" s="547">
        <f>COUNTIF(ParicipationMai1[[#This Row],[1]:[31]],code29)</f>
        <v>0</v>
      </c>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547"/>
      <c r="CV56" s="597">
        <f t="shared" si="0"/>
        <v>0</v>
      </c>
      <c r="CW56" s="573">
        <f t="shared" si="1"/>
        <v>0</v>
      </c>
      <c r="CX56" s="132">
        <f t="shared" si="2"/>
        <v>0</v>
      </c>
      <c r="CY56" s="500">
        <f t="shared" si="3"/>
        <v>0</v>
      </c>
    </row>
    <row r="57" spans="1:103">
      <c r="A57" s="406" t="s">
        <v>398</v>
      </c>
      <c r="B57" s="540" t="str">
        <f>IFERROR(VLOOKUP(ParicipationMai1[[#This Row],[Référence]],ListeÉtudiants1[],18,FALSE),"")</f>
        <v>DUFFO FELIX</v>
      </c>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542"/>
      <c r="AH57" s="131">
        <f>COUNTIF(ParicipationMai1[[1]:[31]],Code1)</f>
        <v>0</v>
      </c>
      <c r="AI57" s="311">
        <f>COUNTIF(ParicipationMai1[[1]:[31]],code22)</f>
        <v>0</v>
      </c>
      <c r="AJ57" s="131">
        <f>COUNTIF(ParicipationMai1[[#This Row],[1]:[31]],Code2)</f>
        <v>0</v>
      </c>
      <c r="AK57" s="131">
        <f>COUNTIF(ParicipationMai1[[#This Row],[1]:[31]],Code3)</f>
        <v>0</v>
      </c>
      <c r="AL57" s="131">
        <f>COUNTIF(ParicipationMai1[[#This Row],[1]:[31]],Code4)</f>
        <v>0</v>
      </c>
      <c r="AM57" s="131">
        <f>COUNTIF(ParicipationMai1[[#This Row],[1]:[31]],Code5)</f>
        <v>0</v>
      </c>
      <c r="AN57" s="131">
        <f>COUNTIF(ParicipationMai1[[#This Row],[1]:[31]],Code23)</f>
        <v>0</v>
      </c>
      <c r="AO57" s="131">
        <f>COUNTIF(ParicipationMai1[[#This Row],[1]:[31]],Code6)</f>
        <v>0</v>
      </c>
      <c r="AP57" s="131">
        <f>COUNTIF(ParicipationMai1[[#This Row],[1]:[31]],Code7)</f>
        <v>0</v>
      </c>
      <c r="AQ57" s="131">
        <f>COUNTIF(ParicipationMai1[[#This Row],[1]:[31]],Code8)</f>
        <v>0</v>
      </c>
      <c r="AR57" s="131">
        <f>COUNTIF(ParicipationMai1[[#This Row],[1]:[31]],Code9)</f>
        <v>0</v>
      </c>
      <c r="AS57" s="131">
        <f>COUNTIF(ParicipationMai1[[#This Row],[1]:[31]],Code10)</f>
        <v>0</v>
      </c>
      <c r="AT57" s="131">
        <f>COUNTIF(ParicipationMai1[[#This Row],[1]:[31]],Code11)</f>
        <v>0</v>
      </c>
      <c r="AU57" s="131">
        <f>COUNTIF(ParicipationMai1[[#This Row],[1]:[31]],Code12)</f>
        <v>0</v>
      </c>
      <c r="AV57" s="131">
        <f>COUNTIF(ParicipationMai1[[#This Row],[1]:[31]],Code13)</f>
        <v>0</v>
      </c>
      <c r="AW57" s="131">
        <f>COUNTIF(ParicipationMai1[[#This Row],[1]:[31]],Code14)</f>
        <v>0</v>
      </c>
      <c r="AX57" s="131">
        <f>COUNTIF(ParicipationMai1[[#This Row],[1]:[31]],Code15)</f>
        <v>0</v>
      </c>
      <c r="AY57" s="131">
        <f>COUNTIF(ParicipationMai1[[#This Row],[1]:[31]],Code16)</f>
        <v>0</v>
      </c>
      <c r="AZ57" s="131">
        <f>COUNTIF(ParicipationMai1[[#This Row],[1]:[31]],Code17)</f>
        <v>0</v>
      </c>
      <c r="BA57" s="131">
        <f>COUNTIF(ParicipationMai1[[#This Row],[1]:[31]],Code26)</f>
        <v>0</v>
      </c>
      <c r="BB57" s="131">
        <f>COUNTIF(ParicipationMai1[[#This Row],[1]:[31]],Code27)</f>
        <v>0</v>
      </c>
      <c r="BC57" s="131">
        <f>COUNTIF(ParicipationMai1[[#This Row],[1]:[31]],Code27)</f>
        <v>0</v>
      </c>
      <c r="BD57" s="131">
        <f>COUNTIF(ParicipationMai1[[#This Row],[1]:[31]],Code28)</f>
        <v>0</v>
      </c>
      <c r="BE57" s="131">
        <f>COUNTIF(ParicipationMai1[[#This Row],[1]:[31]],code30)</f>
        <v>0</v>
      </c>
      <c r="BF57" s="131">
        <f>COUNTIF(ParicipationMai1[[#This Row],[1]:[31]],Code31)</f>
        <v>0</v>
      </c>
      <c r="BG57" s="131">
        <f>COUNTIF(ParicipationMai1[[#This Row],[1]:[31]],code21)</f>
        <v>0</v>
      </c>
      <c r="BH57" s="131">
        <f>COUNTIF(ParicipationMai1[[#This Row],[1]:[31]],Code24)</f>
        <v>0</v>
      </c>
      <c r="BI57" s="568">
        <f>COUNTIF(ParicipationMai1[[#This Row],[1]:[31]],code18)</f>
        <v>0</v>
      </c>
      <c r="BJ57" s="568">
        <f>COUNTIF(ParicipationMai1[[#This Row],[1]:[31]],code19)</f>
        <v>0</v>
      </c>
      <c r="BK57" s="568">
        <f>COUNTIF(ParicipationMai1[[#This Row],[1]:[31]],code20)</f>
        <v>0</v>
      </c>
      <c r="BL57" s="548">
        <f>COUNTIF(ParicipationMai1[[#This Row],[1]:[31]],code29)</f>
        <v>0</v>
      </c>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548"/>
      <c r="CV57" s="595">
        <f t="shared" si="0"/>
        <v>0</v>
      </c>
      <c r="CW57" s="575">
        <f t="shared" si="1"/>
        <v>0</v>
      </c>
      <c r="CX57" s="131">
        <f t="shared" si="2"/>
        <v>0</v>
      </c>
      <c r="CY57" s="170">
        <f t="shared" si="3"/>
        <v>0</v>
      </c>
    </row>
    <row r="58" spans="1:103">
      <c r="A58" s="405" t="s">
        <v>399</v>
      </c>
      <c r="B58" s="537" t="str">
        <f>IFERROR(VLOOKUP(ParicipationMai1[[#This Row],[Référence]],ListeÉtudiants1[],18,FALSE),"")</f>
        <v>DUPUY JULINE</v>
      </c>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546"/>
      <c r="AH58" s="132">
        <f>COUNTIF(ParicipationMai1[[1]:[31]],Code1)</f>
        <v>0</v>
      </c>
      <c r="AI58" s="538">
        <f>COUNTIF(ParicipationMai1[[1]:[31]],code22)</f>
        <v>0</v>
      </c>
      <c r="AJ58" s="132">
        <f>COUNTIF(ParicipationMai1[[#This Row],[1]:[31]],Code2)</f>
        <v>0</v>
      </c>
      <c r="AK58" s="132">
        <f>COUNTIF(ParicipationMai1[[#This Row],[1]:[31]],Code3)</f>
        <v>0</v>
      </c>
      <c r="AL58" s="132">
        <f>COUNTIF(ParicipationMai1[[#This Row],[1]:[31]],Code4)</f>
        <v>0</v>
      </c>
      <c r="AM58" s="132">
        <f>COUNTIF(ParicipationMai1[[#This Row],[1]:[31]],Code5)</f>
        <v>0</v>
      </c>
      <c r="AN58" s="132">
        <f>COUNTIF(ParicipationMai1[[#This Row],[1]:[31]],Code23)</f>
        <v>0</v>
      </c>
      <c r="AO58" s="132">
        <f>COUNTIF(ParicipationMai1[[#This Row],[1]:[31]],Code6)</f>
        <v>0</v>
      </c>
      <c r="AP58" s="132">
        <f>COUNTIF(ParicipationMai1[[#This Row],[1]:[31]],Code7)</f>
        <v>0</v>
      </c>
      <c r="AQ58" s="132">
        <f>COUNTIF(ParicipationMai1[[#This Row],[1]:[31]],Code8)</f>
        <v>0</v>
      </c>
      <c r="AR58" s="132">
        <f>COUNTIF(ParicipationMai1[[#This Row],[1]:[31]],Code9)</f>
        <v>0</v>
      </c>
      <c r="AS58" s="132">
        <f>COUNTIF(ParicipationMai1[[#This Row],[1]:[31]],Code10)</f>
        <v>0</v>
      </c>
      <c r="AT58" s="132">
        <f>COUNTIF(ParicipationMai1[[#This Row],[1]:[31]],Code11)</f>
        <v>0</v>
      </c>
      <c r="AU58" s="132">
        <f>COUNTIF(ParicipationMai1[[#This Row],[1]:[31]],Code12)</f>
        <v>0</v>
      </c>
      <c r="AV58" s="132">
        <f>COUNTIF(ParicipationMai1[[#This Row],[1]:[31]],Code13)</f>
        <v>0</v>
      </c>
      <c r="AW58" s="132">
        <f>COUNTIF(ParicipationMai1[[#This Row],[1]:[31]],Code14)</f>
        <v>0</v>
      </c>
      <c r="AX58" s="132">
        <f>COUNTIF(ParicipationMai1[[#This Row],[1]:[31]],Code15)</f>
        <v>0</v>
      </c>
      <c r="AY58" s="132">
        <f>COUNTIF(ParicipationMai1[[#This Row],[1]:[31]],Code16)</f>
        <v>0</v>
      </c>
      <c r="AZ58" s="132">
        <f>COUNTIF(ParicipationMai1[[#This Row],[1]:[31]],Code17)</f>
        <v>0</v>
      </c>
      <c r="BA58" s="132">
        <f>COUNTIF(ParicipationMai1[[#This Row],[1]:[31]],Code26)</f>
        <v>0</v>
      </c>
      <c r="BB58" s="132">
        <f>COUNTIF(ParicipationMai1[[#This Row],[1]:[31]],Code27)</f>
        <v>0</v>
      </c>
      <c r="BC58" s="132">
        <f>COUNTIF(ParicipationMai1[[#This Row],[1]:[31]],Code27)</f>
        <v>0</v>
      </c>
      <c r="BD58" s="132">
        <f>COUNTIF(ParicipationMai1[[#This Row],[1]:[31]],Code28)</f>
        <v>0</v>
      </c>
      <c r="BE58" s="132">
        <f>COUNTIF(ParicipationMai1[[#This Row],[1]:[31]],code30)</f>
        <v>0</v>
      </c>
      <c r="BF58" s="132">
        <f>COUNTIF(ParicipationMai1[[#This Row],[1]:[31]],Code31)</f>
        <v>0</v>
      </c>
      <c r="BG58" s="132">
        <f>COUNTIF(ParicipationMai1[[#This Row],[1]:[31]],code21)</f>
        <v>0</v>
      </c>
      <c r="BH58" s="132">
        <f>COUNTIF(ParicipationMai1[[#This Row],[1]:[31]],Code24)</f>
        <v>0</v>
      </c>
      <c r="BI58" s="579">
        <f>COUNTIF(ParicipationMai1[[#This Row],[1]:[31]],code18)</f>
        <v>0</v>
      </c>
      <c r="BJ58" s="579">
        <f>COUNTIF(ParicipationMai1[[#This Row],[1]:[31]],code19)</f>
        <v>0</v>
      </c>
      <c r="BK58" s="579">
        <f>COUNTIF(ParicipationMai1[[#This Row],[1]:[31]],code20)</f>
        <v>0</v>
      </c>
      <c r="BL58" s="547">
        <f>COUNTIF(ParicipationMai1[[#This Row],[1]:[31]],code29)</f>
        <v>0</v>
      </c>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132"/>
      <c r="CQ58" s="132"/>
      <c r="CR58" s="132"/>
      <c r="CS58" s="132"/>
      <c r="CT58" s="132"/>
      <c r="CU58" s="547"/>
      <c r="CV58" s="597">
        <f t="shared" si="0"/>
        <v>0</v>
      </c>
      <c r="CW58" s="573">
        <f t="shared" si="1"/>
        <v>0</v>
      </c>
      <c r="CX58" s="132">
        <f t="shared" si="2"/>
        <v>0</v>
      </c>
      <c r="CY58" s="500">
        <f t="shared" si="3"/>
        <v>0</v>
      </c>
    </row>
    <row r="59" spans="1:103">
      <c r="A59" s="406" t="s">
        <v>400</v>
      </c>
      <c r="B59" s="540" t="str">
        <f>IFERROR(VLOOKUP(ParicipationMai1[[#This Row],[Référence]],ListeÉtudiants1[],18,FALSE),"")</f>
        <v>EDERY JEFFREY</v>
      </c>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542"/>
      <c r="AH59" s="131">
        <f>COUNTIF(ParicipationMai1[[1]:[31]],Code1)</f>
        <v>0</v>
      </c>
      <c r="AI59" s="311">
        <f>COUNTIF(ParicipationMai1[[1]:[31]],code22)</f>
        <v>0</v>
      </c>
      <c r="AJ59" s="131">
        <f>COUNTIF(ParicipationMai1[[#This Row],[1]:[31]],Code2)</f>
        <v>0</v>
      </c>
      <c r="AK59" s="131">
        <f>COUNTIF(ParicipationMai1[[#This Row],[1]:[31]],Code3)</f>
        <v>0</v>
      </c>
      <c r="AL59" s="131">
        <f>COUNTIF(ParicipationMai1[[#This Row],[1]:[31]],Code4)</f>
        <v>0</v>
      </c>
      <c r="AM59" s="131">
        <f>COUNTIF(ParicipationMai1[[#This Row],[1]:[31]],Code5)</f>
        <v>0</v>
      </c>
      <c r="AN59" s="131">
        <f>COUNTIF(ParicipationMai1[[#This Row],[1]:[31]],Code23)</f>
        <v>0</v>
      </c>
      <c r="AO59" s="131">
        <f>COUNTIF(ParicipationMai1[[#This Row],[1]:[31]],Code6)</f>
        <v>0</v>
      </c>
      <c r="AP59" s="131">
        <f>COUNTIF(ParicipationMai1[[#This Row],[1]:[31]],Code7)</f>
        <v>0</v>
      </c>
      <c r="AQ59" s="131">
        <f>COUNTIF(ParicipationMai1[[#This Row],[1]:[31]],Code8)</f>
        <v>0</v>
      </c>
      <c r="AR59" s="131">
        <f>COUNTIF(ParicipationMai1[[#This Row],[1]:[31]],Code9)</f>
        <v>0</v>
      </c>
      <c r="AS59" s="131">
        <f>COUNTIF(ParicipationMai1[[#This Row],[1]:[31]],Code10)</f>
        <v>0</v>
      </c>
      <c r="AT59" s="131">
        <f>COUNTIF(ParicipationMai1[[#This Row],[1]:[31]],Code11)</f>
        <v>0</v>
      </c>
      <c r="AU59" s="131">
        <f>COUNTIF(ParicipationMai1[[#This Row],[1]:[31]],Code12)</f>
        <v>0</v>
      </c>
      <c r="AV59" s="131">
        <f>COUNTIF(ParicipationMai1[[#This Row],[1]:[31]],Code13)</f>
        <v>0</v>
      </c>
      <c r="AW59" s="131">
        <f>COUNTIF(ParicipationMai1[[#This Row],[1]:[31]],Code14)</f>
        <v>0</v>
      </c>
      <c r="AX59" s="131">
        <f>COUNTIF(ParicipationMai1[[#This Row],[1]:[31]],Code15)</f>
        <v>0</v>
      </c>
      <c r="AY59" s="131">
        <f>COUNTIF(ParicipationMai1[[#This Row],[1]:[31]],Code16)</f>
        <v>0</v>
      </c>
      <c r="AZ59" s="131">
        <f>COUNTIF(ParicipationMai1[[#This Row],[1]:[31]],Code17)</f>
        <v>0</v>
      </c>
      <c r="BA59" s="131">
        <f>COUNTIF(ParicipationMai1[[#This Row],[1]:[31]],Code26)</f>
        <v>0</v>
      </c>
      <c r="BB59" s="131">
        <f>COUNTIF(ParicipationMai1[[#This Row],[1]:[31]],Code27)</f>
        <v>0</v>
      </c>
      <c r="BC59" s="131">
        <f>COUNTIF(ParicipationMai1[[#This Row],[1]:[31]],Code27)</f>
        <v>0</v>
      </c>
      <c r="BD59" s="131">
        <f>COUNTIF(ParicipationMai1[[#This Row],[1]:[31]],Code28)</f>
        <v>0</v>
      </c>
      <c r="BE59" s="131">
        <f>COUNTIF(ParicipationMai1[[#This Row],[1]:[31]],code30)</f>
        <v>0</v>
      </c>
      <c r="BF59" s="131">
        <f>COUNTIF(ParicipationMai1[[#This Row],[1]:[31]],Code31)</f>
        <v>0</v>
      </c>
      <c r="BG59" s="131">
        <f>COUNTIF(ParicipationMai1[[#This Row],[1]:[31]],code21)</f>
        <v>0</v>
      </c>
      <c r="BH59" s="131">
        <f>COUNTIF(ParicipationMai1[[#This Row],[1]:[31]],Code24)</f>
        <v>0</v>
      </c>
      <c r="BI59" s="568">
        <f>COUNTIF(ParicipationMai1[[#This Row],[1]:[31]],code18)</f>
        <v>0</v>
      </c>
      <c r="BJ59" s="568">
        <f>COUNTIF(ParicipationMai1[[#This Row],[1]:[31]],code19)</f>
        <v>0</v>
      </c>
      <c r="BK59" s="568">
        <f>COUNTIF(ParicipationMai1[[#This Row],[1]:[31]],code20)</f>
        <v>0</v>
      </c>
      <c r="BL59" s="548">
        <f>COUNTIF(ParicipationMai1[[#This Row],[1]:[31]],code29)</f>
        <v>0</v>
      </c>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131"/>
      <c r="CQ59" s="131"/>
      <c r="CR59" s="131"/>
      <c r="CS59" s="131"/>
      <c r="CT59" s="131"/>
      <c r="CU59" s="548"/>
      <c r="CV59" s="595">
        <f t="shared" si="0"/>
        <v>0</v>
      </c>
      <c r="CW59" s="575">
        <f t="shared" si="1"/>
        <v>0</v>
      </c>
      <c r="CX59" s="131">
        <f t="shared" si="2"/>
        <v>0</v>
      </c>
      <c r="CY59" s="170">
        <f t="shared" si="3"/>
        <v>0</v>
      </c>
    </row>
    <row r="60" spans="1:103">
      <c r="A60" s="405" t="s">
        <v>401</v>
      </c>
      <c r="B60" s="537" t="str">
        <f>IFERROR(VLOOKUP(ParicipationMai1[[#This Row],[Référence]],ListeÉtudiants1[],18,FALSE),"")</f>
        <v>EL MAZGHI GHITA</v>
      </c>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546"/>
      <c r="AH60" s="132">
        <f>COUNTIF(ParicipationMai1[[1]:[31]],Code1)</f>
        <v>0</v>
      </c>
      <c r="AI60" s="538">
        <f>COUNTIF(ParicipationMai1[[1]:[31]],code22)</f>
        <v>0</v>
      </c>
      <c r="AJ60" s="132">
        <f>COUNTIF(ParicipationMai1[[#This Row],[1]:[31]],Code2)</f>
        <v>0</v>
      </c>
      <c r="AK60" s="132">
        <f>COUNTIF(ParicipationMai1[[#This Row],[1]:[31]],Code3)</f>
        <v>0</v>
      </c>
      <c r="AL60" s="132">
        <f>COUNTIF(ParicipationMai1[[#This Row],[1]:[31]],Code4)</f>
        <v>0</v>
      </c>
      <c r="AM60" s="132">
        <f>COUNTIF(ParicipationMai1[[#This Row],[1]:[31]],Code5)</f>
        <v>0</v>
      </c>
      <c r="AN60" s="132">
        <f>COUNTIF(ParicipationMai1[[#This Row],[1]:[31]],Code23)</f>
        <v>0</v>
      </c>
      <c r="AO60" s="132">
        <f>COUNTIF(ParicipationMai1[[#This Row],[1]:[31]],Code6)</f>
        <v>0</v>
      </c>
      <c r="AP60" s="132">
        <f>COUNTIF(ParicipationMai1[[#This Row],[1]:[31]],Code7)</f>
        <v>0</v>
      </c>
      <c r="AQ60" s="132">
        <f>COUNTIF(ParicipationMai1[[#This Row],[1]:[31]],Code8)</f>
        <v>0</v>
      </c>
      <c r="AR60" s="132">
        <f>COUNTIF(ParicipationMai1[[#This Row],[1]:[31]],Code9)</f>
        <v>0</v>
      </c>
      <c r="AS60" s="132">
        <f>COUNTIF(ParicipationMai1[[#This Row],[1]:[31]],Code10)</f>
        <v>0</v>
      </c>
      <c r="AT60" s="132">
        <f>COUNTIF(ParicipationMai1[[#This Row],[1]:[31]],Code11)</f>
        <v>0</v>
      </c>
      <c r="AU60" s="132">
        <f>COUNTIF(ParicipationMai1[[#This Row],[1]:[31]],Code12)</f>
        <v>0</v>
      </c>
      <c r="AV60" s="132">
        <f>COUNTIF(ParicipationMai1[[#This Row],[1]:[31]],Code13)</f>
        <v>0</v>
      </c>
      <c r="AW60" s="132">
        <f>COUNTIF(ParicipationMai1[[#This Row],[1]:[31]],Code14)</f>
        <v>0</v>
      </c>
      <c r="AX60" s="132">
        <f>COUNTIF(ParicipationMai1[[#This Row],[1]:[31]],Code15)</f>
        <v>0</v>
      </c>
      <c r="AY60" s="132">
        <f>COUNTIF(ParicipationMai1[[#This Row],[1]:[31]],Code16)</f>
        <v>0</v>
      </c>
      <c r="AZ60" s="132">
        <f>COUNTIF(ParicipationMai1[[#This Row],[1]:[31]],Code17)</f>
        <v>0</v>
      </c>
      <c r="BA60" s="132">
        <f>COUNTIF(ParicipationMai1[[#This Row],[1]:[31]],Code26)</f>
        <v>0</v>
      </c>
      <c r="BB60" s="132">
        <f>COUNTIF(ParicipationMai1[[#This Row],[1]:[31]],Code27)</f>
        <v>0</v>
      </c>
      <c r="BC60" s="132">
        <f>COUNTIF(ParicipationMai1[[#This Row],[1]:[31]],Code27)</f>
        <v>0</v>
      </c>
      <c r="BD60" s="132">
        <f>COUNTIF(ParicipationMai1[[#This Row],[1]:[31]],Code28)</f>
        <v>0</v>
      </c>
      <c r="BE60" s="132">
        <f>COUNTIF(ParicipationMai1[[#This Row],[1]:[31]],code30)</f>
        <v>0</v>
      </c>
      <c r="BF60" s="132">
        <f>COUNTIF(ParicipationMai1[[#This Row],[1]:[31]],Code31)</f>
        <v>0</v>
      </c>
      <c r="BG60" s="132">
        <f>COUNTIF(ParicipationMai1[[#This Row],[1]:[31]],code21)</f>
        <v>0</v>
      </c>
      <c r="BH60" s="132">
        <f>COUNTIF(ParicipationMai1[[#This Row],[1]:[31]],Code24)</f>
        <v>0</v>
      </c>
      <c r="BI60" s="579">
        <f>COUNTIF(ParicipationMai1[[#This Row],[1]:[31]],code18)</f>
        <v>0</v>
      </c>
      <c r="BJ60" s="579">
        <f>COUNTIF(ParicipationMai1[[#This Row],[1]:[31]],code19)</f>
        <v>0</v>
      </c>
      <c r="BK60" s="579">
        <f>COUNTIF(ParicipationMai1[[#This Row],[1]:[31]],code20)</f>
        <v>0</v>
      </c>
      <c r="BL60" s="547">
        <f>COUNTIF(ParicipationMai1[[#This Row],[1]:[31]],code29)</f>
        <v>0</v>
      </c>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547"/>
      <c r="CV60" s="594">
        <f t="shared" si="0"/>
        <v>0</v>
      </c>
      <c r="CW60" s="573">
        <f t="shared" si="1"/>
        <v>0</v>
      </c>
      <c r="CX60" s="132">
        <f t="shared" si="2"/>
        <v>0</v>
      </c>
      <c r="CY60" s="500">
        <f t="shared" si="3"/>
        <v>0</v>
      </c>
    </row>
    <row r="61" spans="1:103">
      <c r="A61" s="406" t="s">
        <v>402</v>
      </c>
      <c r="B61" s="540" t="str">
        <f>IFERROR(VLOOKUP(ParicipationMai1[[#This Row],[Référence]],ListeÉtudiants1[],18,FALSE),"")</f>
        <v>ELIE ODILE</v>
      </c>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542"/>
      <c r="AH61" s="131">
        <f>COUNTIF(ParicipationMai1[[1]:[31]],Code1)</f>
        <v>0</v>
      </c>
      <c r="AI61" s="311">
        <f>COUNTIF(ParicipationMai1[[1]:[31]],code22)</f>
        <v>0</v>
      </c>
      <c r="AJ61" s="131">
        <f>COUNTIF(ParicipationMai1[[#This Row],[1]:[31]],Code2)</f>
        <v>0</v>
      </c>
      <c r="AK61" s="131">
        <f>COUNTIF(ParicipationMai1[[#This Row],[1]:[31]],Code3)</f>
        <v>0</v>
      </c>
      <c r="AL61" s="131">
        <f>COUNTIF(ParicipationMai1[[#This Row],[1]:[31]],Code4)</f>
        <v>0</v>
      </c>
      <c r="AM61" s="131">
        <f>COUNTIF(ParicipationMai1[[#This Row],[1]:[31]],Code5)</f>
        <v>0</v>
      </c>
      <c r="AN61" s="131">
        <f>COUNTIF(ParicipationMai1[[#This Row],[1]:[31]],Code23)</f>
        <v>0</v>
      </c>
      <c r="AO61" s="131">
        <f>COUNTIF(ParicipationMai1[[#This Row],[1]:[31]],Code6)</f>
        <v>0</v>
      </c>
      <c r="AP61" s="131">
        <f>COUNTIF(ParicipationMai1[[#This Row],[1]:[31]],Code7)</f>
        <v>0</v>
      </c>
      <c r="AQ61" s="131">
        <f>COUNTIF(ParicipationMai1[[#This Row],[1]:[31]],Code8)</f>
        <v>0</v>
      </c>
      <c r="AR61" s="131">
        <f>COUNTIF(ParicipationMai1[[#This Row],[1]:[31]],Code9)</f>
        <v>0</v>
      </c>
      <c r="AS61" s="131">
        <f>COUNTIF(ParicipationMai1[[#This Row],[1]:[31]],Code10)</f>
        <v>0</v>
      </c>
      <c r="AT61" s="131">
        <f>COUNTIF(ParicipationMai1[[#This Row],[1]:[31]],Code11)</f>
        <v>0</v>
      </c>
      <c r="AU61" s="131">
        <f>COUNTIF(ParicipationMai1[[#This Row],[1]:[31]],Code12)</f>
        <v>0</v>
      </c>
      <c r="AV61" s="131">
        <f>COUNTIF(ParicipationMai1[[#This Row],[1]:[31]],Code13)</f>
        <v>0</v>
      </c>
      <c r="AW61" s="131">
        <f>COUNTIF(ParicipationMai1[[#This Row],[1]:[31]],Code14)</f>
        <v>0</v>
      </c>
      <c r="AX61" s="131">
        <f>COUNTIF(ParicipationMai1[[#This Row],[1]:[31]],Code15)</f>
        <v>0</v>
      </c>
      <c r="AY61" s="131">
        <f>COUNTIF(ParicipationMai1[[#This Row],[1]:[31]],Code16)</f>
        <v>0</v>
      </c>
      <c r="AZ61" s="131">
        <f>COUNTIF(ParicipationMai1[[#This Row],[1]:[31]],Code17)</f>
        <v>0</v>
      </c>
      <c r="BA61" s="131">
        <f>COUNTIF(ParicipationMai1[[#This Row],[1]:[31]],Code26)</f>
        <v>0</v>
      </c>
      <c r="BB61" s="131">
        <f>COUNTIF(ParicipationMai1[[#This Row],[1]:[31]],Code27)</f>
        <v>0</v>
      </c>
      <c r="BC61" s="131">
        <f>COUNTIF(ParicipationMai1[[#This Row],[1]:[31]],Code27)</f>
        <v>0</v>
      </c>
      <c r="BD61" s="131">
        <f>COUNTIF(ParicipationMai1[[#This Row],[1]:[31]],Code28)</f>
        <v>0</v>
      </c>
      <c r="BE61" s="131">
        <f>COUNTIF(ParicipationMai1[[#This Row],[1]:[31]],code30)</f>
        <v>0</v>
      </c>
      <c r="BF61" s="131">
        <f>COUNTIF(ParicipationMai1[[#This Row],[1]:[31]],Code31)</f>
        <v>0</v>
      </c>
      <c r="BG61" s="131">
        <f>COUNTIF(ParicipationMai1[[#This Row],[1]:[31]],code21)</f>
        <v>0</v>
      </c>
      <c r="BH61" s="131">
        <f>COUNTIF(ParicipationMai1[[#This Row],[1]:[31]],Code24)</f>
        <v>0</v>
      </c>
      <c r="BI61" s="568">
        <f>COUNTIF(ParicipationMai1[[#This Row],[1]:[31]],code18)</f>
        <v>0</v>
      </c>
      <c r="BJ61" s="568">
        <f>COUNTIF(ParicipationMai1[[#This Row],[1]:[31]],code19)</f>
        <v>0</v>
      </c>
      <c r="BK61" s="568">
        <f>COUNTIF(ParicipationMai1[[#This Row],[1]:[31]],code20)</f>
        <v>0</v>
      </c>
      <c r="BL61" s="548">
        <f>COUNTIF(ParicipationMai1[[#This Row],[1]:[31]],code29)</f>
        <v>0</v>
      </c>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1"/>
      <c r="CJ61" s="131"/>
      <c r="CK61" s="131"/>
      <c r="CL61" s="131"/>
      <c r="CM61" s="131"/>
      <c r="CN61" s="131"/>
      <c r="CO61" s="131"/>
      <c r="CP61" s="131"/>
      <c r="CQ61" s="131"/>
      <c r="CR61" s="131"/>
      <c r="CS61" s="131"/>
      <c r="CT61" s="131"/>
      <c r="CU61" s="548"/>
      <c r="CV61" s="596">
        <f t="shared" si="0"/>
        <v>0</v>
      </c>
      <c r="CW61" s="575">
        <f t="shared" si="1"/>
        <v>0</v>
      </c>
      <c r="CX61" s="131">
        <f t="shared" si="2"/>
        <v>0</v>
      </c>
      <c r="CY61" s="170">
        <f t="shared" si="3"/>
        <v>0</v>
      </c>
    </row>
    <row r="62" spans="1:103">
      <c r="A62" s="405" t="s">
        <v>403</v>
      </c>
      <c r="B62" s="537" t="str">
        <f>IFERROR(VLOOKUP(ParicipationMai1[[#This Row],[Référence]],ListeÉtudiants1[],18,FALSE),"")</f>
        <v>ETIENNE MYLENE</v>
      </c>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546"/>
      <c r="AH62" s="132">
        <f>COUNTIF(ParicipationMai1[[1]:[31]],Code1)</f>
        <v>0</v>
      </c>
      <c r="AI62" s="538">
        <f>COUNTIF(ParicipationMai1[[1]:[31]],code22)</f>
        <v>0</v>
      </c>
      <c r="AJ62" s="132">
        <f>COUNTIF(ParicipationMai1[[#This Row],[1]:[31]],Code2)</f>
        <v>0</v>
      </c>
      <c r="AK62" s="132">
        <f>COUNTIF(ParicipationMai1[[#This Row],[1]:[31]],Code3)</f>
        <v>0</v>
      </c>
      <c r="AL62" s="132">
        <f>COUNTIF(ParicipationMai1[[#This Row],[1]:[31]],Code4)</f>
        <v>0</v>
      </c>
      <c r="AM62" s="132">
        <f>COUNTIF(ParicipationMai1[[#This Row],[1]:[31]],Code5)</f>
        <v>0</v>
      </c>
      <c r="AN62" s="132">
        <f>COUNTIF(ParicipationMai1[[#This Row],[1]:[31]],Code23)</f>
        <v>0</v>
      </c>
      <c r="AO62" s="132">
        <f>COUNTIF(ParicipationMai1[[#This Row],[1]:[31]],Code6)</f>
        <v>0</v>
      </c>
      <c r="AP62" s="132">
        <f>COUNTIF(ParicipationMai1[[#This Row],[1]:[31]],Code7)</f>
        <v>0</v>
      </c>
      <c r="AQ62" s="132">
        <f>COUNTIF(ParicipationMai1[[#This Row],[1]:[31]],Code8)</f>
        <v>0</v>
      </c>
      <c r="AR62" s="132">
        <f>COUNTIF(ParicipationMai1[[#This Row],[1]:[31]],Code9)</f>
        <v>0</v>
      </c>
      <c r="AS62" s="132">
        <f>COUNTIF(ParicipationMai1[[#This Row],[1]:[31]],Code10)</f>
        <v>0</v>
      </c>
      <c r="AT62" s="132">
        <f>COUNTIF(ParicipationMai1[[#This Row],[1]:[31]],Code11)</f>
        <v>0</v>
      </c>
      <c r="AU62" s="132">
        <f>COUNTIF(ParicipationMai1[[#This Row],[1]:[31]],Code12)</f>
        <v>0</v>
      </c>
      <c r="AV62" s="132">
        <f>COUNTIF(ParicipationMai1[[#This Row],[1]:[31]],Code13)</f>
        <v>0</v>
      </c>
      <c r="AW62" s="132">
        <f>COUNTIF(ParicipationMai1[[#This Row],[1]:[31]],Code14)</f>
        <v>0</v>
      </c>
      <c r="AX62" s="132">
        <f>COUNTIF(ParicipationMai1[[#This Row],[1]:[31]],Code15)</f>
        <v>0</v>
      </c>
      <c r="AY62" s="132">
        <f>COUNTIF(ParicipationMai1[[#This Row],[1]:[31]],Code16)</f>
        <v>0</v>
      </c>
      <c r="AZ62" s="132">
        <f>COUNTIF(ParicipationMai1[[#This Row],[1]:[31]],Code17)</f>
        <v>0</v>
      </c>
      <c r="BA62" s="132">
        <f>COUNTIF(ParicipationMai1[[#This Row],[1]:[31]],Code26)</f>
        <v>0</v>
      </c>
      <c r="BB62" s="132">
        <f>COUNTIF(ParicipationMai1[[#This Row],[1]:[31]],Code27)</f>
        <v>0</v>
      </c>
      <c r="BC62" s="132">
        <f>COUNTIF(ParicipationMai1[[#This Row],[1]:[31]],Code27)</f>
        <v>0</v>
      </c>
      <c r="BD62" s="132">
        <f>COUNTIF(ParicipationMai1[[#This Row],[1]:[31]],Code28)</f>
        <v>0</v>
      </c>
      <c r="BE62" s="132">
        <f>COUNTIF(ParicipationMai1[[#This Row],[1]:[31]],code30)</f>
        <v>0</v>
      </c>
      <c r="BF62" s="132">
        <f>COUNTIF(ParicipationMai1[[#This Row],[1]:[31]],Code31)</f>
        <v>0</v>
      </c>
      <c r="BG62" s="132">
        <f>COUNTIF(ParicipationMai1[[#This Row],[1]:[31]],code21)</f>
        <v>0</v>
      </c>
      <c r="BH62" s="132">
        <f>COUNTIF(ParicipationMai1[[#This Row],[1]:[31]],Code24)</f>
        <v>0</v>
      </c>
      <c r="BI62" s="579">
        <f>COUNTIF(ParicipationMai1[[#This Row],[1]:[31]],code18)</f>
        <v>0</v>
      </c>
      <c r="BJ62" s="579">
        <f>COUNTIF(ParicipationMai1[[#This Row],[1]:[31]],code19)</f>
        <v>0</v>
      </c>
      <c r="BK62" s="579">
        <f>COUNTIF(ParicipationMai1[[#This Row],[1]:[31]],code20)</f>
        <v>0</v>
      </c>
      <c r="BL62" s="547">
        <f>COUNTIF(ParicipationMai1[[#This Row],[1]:[31]],code29)</f>
        <v>0</v>
      </c>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547"/>
      <c r="CV62" s="597">
        <f t="shared" si="0"/>
        <v>0</v>
      </c>
      <c r="CW62" s="573">
        <f t="shared" si="1"/>
        <v>0</v>
      </c>
      <c r="CX62" s="132">
        <f t="shared" si="2"/>
        <v>0</v>
      </c>
      <c r="CY62" s="500">
        <f t="shared" si="3"/>
        <v>0</v>
      </c>
    </row>
    <row r="63" spans="1:103">
      <c r="A63" s="406" t="s">
        <v>404</v>
      </c>
      <c r="B63" s="540" t="str">
        <f>IFERROR(VLOOKUP(ParicipationMai1[[#This Row],[Référence]],ListeÉtudiants1[],18,FALSE),"")</f>
        <v>FIRPION ALLISON</v>
      </c>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542"/>
      <c r="AH63" s="131">
        <f>COUNTIF(ParicipationMai1[[1]:[31]],Code1)</f>
        <v>0</v>
      </c>
      <c r="AI63" s="311">
        <f>COUNTIF(ParicipationMai1[[1]:[31]],code22)</f>
        <v>0</v>
      </c>
      <c r="AJ63" s="131">
        <f>COUNTIF(ParicipationMai1[[#This Row],[1]:[31]],Code2)</f>
        <v>0</v>
      </c>
      <c r="AK63" s="131">
        <f>COUNTIF(ParicipationMai1[[#This Row],[1]:[31]],Code3)</f>
        <v>0</v>
      </c>
      <c r="AL63" s="131">
        <f>COUNTIF(ParicipationMai1[[#This Row],[1]:[31]],Code4)</f>
        <v>0</v>
      </c>
      <c r="AM63" s="131">
        <f>COUNTIF(ParicipationMai1[[#This Row],[1]:[31]],Code5)</f>
        <v>0</v>
      </c>
      <c r="AN63" s="131">
        <f>COUNTIF(ParicipationMai1[[#This Row],[1]:[31]],Code23)</f>
        <v>0</v>
      </c>
      <c r="AO63" s="131">
        <f>COUNTIF(ParicipationMai1[[#This Row],[1]:[31]],Code6)</f>
        <v>0</v>
      </c>
      <c r="AP63" s="131">
        <f>COUNTIF(ParicipationMai1[[#This Row],[1]:[31]],Code7)</f>
        <v>0</v>
      </c>
      <c r="AQ63" s="131">
        <f>COUNTIF(ParicipationMai1[[#This Row],[1]:[31]],Code8)</f>
        <v>0</v>
      </c>
      <c r="AR63" s="131">
        <f>COUNTIF(ParicipationMai1[[#This Row],[1]:[31]],Code9)</f>
        <v>0</v>
      </c>
      <c r="AS63" s="131">
        <f>COUNTIF(ParicipationMai1[[#This Row],[1]:[31]],Code10)</f>
        <v>0</v>
      </c>
      <c r="AT63" s="131">
        <f>COUNTIF(ParicipationMai1[[#This Row],[1]:[31]],Code11)</f>
        <v>0</v>
      </c>
      <c r="AU63" s="131">
        <f>COUNTIF(ParicipationMai1[[#This Row],[1]:[31]],Code12)</f>
        <v>0</v>
      </c>
      <c r="AV63" s="131">
        <f>COUNTIF(ParicipationMai1[[#This Row],[1]:[31]],Code13)</f>
        <v>0</v>
      </c>
      <c r="AW63" s="131">
        <f>COUNTIF(ParicipationMai1[[#This Row],[1]:[31]],Code14)</f>
        <v>0</v>
      </c>
      <c r="AX63" s="131">
        <f>COUNTIF(ParicipationMai1[[#This Row],[1]:[31]],Code15)</f>
        <v>0</v>
      </c>
      <c r="AY63" s="131">
        <f>COUNTIF(ParicipationMai1[[#This Row],[1]:[31]],Code16)</f>
        <v>0</v>
      </c>
      <c r="AZ63" s="131">
        <f>COUNTIF(ParicipationMai1[[#This Row],[1]:[31]],Code17)</f>
        <v>0</v>
      </c>
      <c r="BA63" s="131">
        <f>COUNTIF(ParicipationMai1[[#This Row],[1]:[31]],Code26)</f>
        <v>0</v>
      </c>
      <c r="BB63" s="131">
        <f>COUNTIF(ParicipationMai1[[#This Row],[1]:[31]],Code27)</f>
        <v>0</v>
      </c>
      <c r="BC63" s="131">
        <f>COUNTIF(ParicipationMai1[[#This Row],[1]:[31]],Code27)</f>
        <v>0</v>
      </c>
      <c r="BD63" s="131">
        <f>COUNTIF(ParicipationMai1[[#This Row],[1]:[31]],Code28)</f>
        <v>0</v>
      </c>
      <c r="BE63" s="131">
        <f>COUNTIF(ParicipationMai1[[#This Row],[1]:[31]],code30)</f>
        <v>0</v>
      </c>
      <c r="BF63" s="131">
        <f>COUNTIF(ParicipationMai1[[#This Row],[1]:[31]],Code31)</f>
        <v>0</v>
      </c>
      <c r="BG63" s="131">
        <f>COUNTIF(ParicipationMai1[[#This Row],[1]:[31]],code21)</f>
        <v>0</v>
      </c>
      <c r="BH63" s="131">
        <f>COUNTIF(ParicipationMai1[[#This Row],[1]:[31]],Code24)</f>
        <v>0</v>
      </c>
      <c r="BI63" s="568">
        <f>COUNTIF(ParicipationMai1[[#This Row],[1]:[31]],code18)</f>
        <v>0</v>
      </c>
      <c r="BJ63" s="568">
        <f>COUNTIF(ParicipationMai1[[#This Row],[1]:[31]],code19)</f>
        <v>0</v>
      </c>
      <c r="BK63" s="568">
        <f>COUNTIF(ParicipationMai1[[#This Row],[1]:[31]],code20)</f>
        <v>0</v>
      </c>
      <c r="BL63" s="548">
        <f>COUNTIF(ParicipationMai1[[#This Row],[1]:[31]],code29)</f>
        <v>0</v>
      </c>
      <c r="BM63" s="131"/>
      <c r="BN63" s="131"/>
      <c r="BO63" s="131"/>
      <c r="BP63" s="131"/>
      <c r="BQ63" s="131"/>
      <c r="BR63" s="131"/>
      <c r="BS63" s="131"/>
      <c r="BT63" s="131"/>
      <c r="BU63" s="131"/>
      <c r="BV63" s="131"/>
      <c r="BW63" s="131"/>
      <c r="BX63" s="131"/>
      <c r="BY63" s="131"/>
      <c r="BZ63" s="131"/>
      <c r="CA63" s="131"/>
      <c r="CB63" s="131"/>
      <c r="CC63" s="131"/>
      <c r="CD63" s="131"/>
      <c r="CE63" s="131"/>
      <c r="CF63" s="131"/>
      <c r="CG63" s="131"/>
      <c r="CH63" s="131"/>
      <c r="CI63" s="131"/>
      <c r="CJ63" s="131"/>
      <c r="CK63" s="131"/>
      <c r="CL63" s="131"/>
      <c r="CM63" s="131"/>
      <c r="CN63" s="131"/>
      <c r="CO63" s="131"/>
      <c r="CP63" s="131"/>
      <c r="CQ63" s="131"/>
      <c r="CR63" s="131"/>
      <c r="CS63" s="131"/>
      <c r="CT63" s="131"/>
      <c r="CU63" s="548"/>
      <c r="CV63" s="596">
        <f t="shared" si="0"/>
        <v>0</v>
      </c>
      <c r="CW63" s="575">
        <f t="shared" si="1"/>
        <v>0</v>
      </c>
      <c r="CX63" s="131">
        <f t="shared" si="2"/>
        <v>0</v>
      </c>
      <c r="CY63" s="170">
        <f t="shared" si="3"/>
        <v>0</v>
      </c>
    </row>
    <row r="64" spans="1:103">
      <c r="A64" s="405" t="s">
        <v>405</v>
      </c>
      <c r="B64" s="537" t="str">
        <f>IFERROR(VLOOKUP(ParicipationMai1[[#This Row],[Référence]],ListeÉtudiants1[],18,FALSE),"")</f>
        <v>GARGIULO  LUCIE</v>
      </c>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546"/>
      <c r="AH64" s="132">
        <f>COUNTIF(ParicipationMai1[[1]:[31]],Code1)</f>
        <v>0</v>
      </c>
      <c r="AI64" s="538">
        <f>COUNTIF(ParicipationMai1[[1]:[31]],code22)</f>
        <v>0</v>
      </c>
      <c r="AJ64" s="132">
        <f>COUNTIF(ParicipationMai1[[#This Row],[1]:[31]],Code2)</f>
        <v>0</v>
      </c>
      <c r="AK64" s="132">
        <f>COUNTIF(ParicipationMai1[[#This Row],[1]:[31]],Code3)</f>
        <v>0</v>
      </c>
      <c r="AL64" s="132">
        <f>COUNTIF(ParicipationMai1[[#This Row],[1]:[31]],Code4)</f>
        <v>0</v>
      </c>
      <c r="AM64" s="132">
        <f>COUNTIF(ParicipationMai1[[#This Row],[1]:[31]],Code5)</f>
        <v>0</v>
      </c>
      <c r="AN64" s="132">
        <f>COUNTIF(ParicipationMai1[[#This Row],[1]:[31]],Code23)</f>
        <v>0</v>
      </c>
      <c r="AO64" s="132">
        <f>COUNTIF(ParicipationMai1[[#This Row],[1]:[31]],Code6)</f>
        <v>0</v>
      </c>
      <c r="AP64" s="132">
        <f>COUNTIF(ParicipationMai1[[#This Row],[1]:[31]],Code7)</f>
        <v>0</v>
      </c>
      <c r="AQ64" s="132">
        <f>COUNTIF(ParicipationMai1[[#This Row],[1]:[31]],Code8)</f>
        <v>0</v>
      </c>
      <c r="AR64" s="132">
        <f>COUNTIF(ParicipationMai1[[#This Row],[1]:[31]],Code9)</f>
        <v>0</v>
      </c>
      <c r="AS64" s="132">
        <f>COUNTIF(ParicipationMai1[[#This Row],[1]:[31]],Code10)</f>
        <v>0</v>
      </c>
      <c r="AT64" s="132">
        <f>COUNTIF(ParicipationMai1[[#This Row],[1]:[31]],Code11)</f>
        <v>0</v>
      </c>
      <c r="AU64" s="132">
        <f>COUNTIF(ParicipationMai1[[#This Row],[1]:[31]],Code12)</f>
        <v>0</v>
      </c>
      <c r="AV64" s="132">
        <f>COUNTIF(ParicipationMai1[[#This Row],[1]:[31]],Code13)</f>
        <v>0</v>
      </c>
      <c r="AW64" s="132">
        <f>COUNTIF(ParicipationMai1[[#This Row],[1]:[31]],Code14)</f>
        <v>0</v>
      </c>
      <c r="AX64" s="132">
        <f>COUNTIF(ParicipationMai1[[#This Row],[1]:[31]],Code15)</f>
        <v>0</v>
      </c>
      <c r="AY64" s="132">
        <f>COUNTIF(ParicipationMai1[[#This Row],[1]:[31]],Code16)</f>
        <v>0</v>
      </c>
      <c r="AZ64" s="132">
        <f>COUNTIF(ParicipationMai1[[#This Row],[1]:[31]],Code17)</f>
        <v>0</v>
      </c>
      <c r="BA64" s="132">
        <f>COUNTIF(ParicipationMai1[[#This Row],[1]:[31]],Code26)</f>
        <v>0</v>
      </c>
      <c r="BB64" s="132">
        <f>COUNTIF(ParicipationMai1[[#This Row],[1]:[31]],Code27)</f>
        <v>0</v>
      </c>
      <c r="BC64" s="132">
        <f>COUNTIF(ParicipationMai1[[#This Row],[1]:[31]],Code27)</f>
        <v>0</v>
      </c>
      <c r="BD64" s="132">
        <f>COUNTIF(ParicipationMai1[[#This Row],[1]:[31]],Code28)</f>
        <v>0</v>
      </c>
      <c r="BE64" s="132">
        <f>COUNTIF(ParicipationMai1[[#This Row],[1]:[31]],code30)</f>
        <v>0</v>
      </c>
      <c r="BF64" s="132">
        <f>COUNTIF(ParicipationMai1[[#This Row],[1]:[31]],Code31)</f>
        <v>0</v>
      </c>
      <c r="BG64" s="132">
        <f>COUNTIF(ParicipationMai1[[#This Row],[1]:[31]],code21)</f>
        <v>0</v>
      </c>
      <c r="BH64" s="132">
        <f>COUNTIF(ParicipationMai1[[#This Row],[1]:[31]],Code24)</f>
        <v>0</v>
      </c>
      <c r="BI64" s="579">
        <f>COUNTIF(ParicipationMai1[[#This Row],[1]:[31]],code18)</f>
        <v>0</v>
      </c>
      <c r="BJ64" s="579">
        <f>COUNTIF(ParicipationMai1[[#This Row],[1]:[31]],code19)</f>
        <v>0</v>
      </c>
      <c r="BK64" s="579">
        <f>COUNTIF(ParicipationMai1[[#This Row],[1]:[31]],code20)</f>
        <v>0</v>
      </c>
      <c r="BL64" s="547">
        <f>COUNTIF(ParicipationMai1[[#This Row],[1]:[31]],code29)</f>
        <v>0</v>
      </c>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547"/>
      <c r="CV64" s="590">
        <f t="shared" si="0"/>
        <v>0</v>
      </c>
      <c r="CW64" s="573">
        <f t="shared" si="1"/>
        <v>0</v>
      </c>
      <c r="CX64" s="132">
        <f t="shared" si="2"/>
        <v>0</v>
      </c>
      <c r="CY64" s="500">
        <f t="shared" si="3"/>
        <v>0</v>
      </c>
    </row>
    <row r="65" spans="1:103">
      <c r="A65" s="406" t="s">
        <v>406</v>
      </c>
      <c r="B65" s="540" t="str">
        <f>IFERROR(VLOOKUP(ParicipationMai1[[#This Row],[Référence]],ListeÉtudiants1[],18,FALSE),"")</f>
        <v>GASQUET ANTOINE</v>
      </c>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542"/>
      <c r="AH65" s="131">
        <f>COUNTIF(ParicipationMai1[[1]:[31]],Code1)</f>
        <v>0</v>
      </c>
      <c r="AI65" s="311">
        <f>COUNTIF(ParicipationMai1[[1]:[31]],code22)</f>
        <v>0</v>
      </c>
      <c r="AJ65" s="131">
        <f>COUNTIF(ParicipationMai1[[#This Row],[1]:[31]],Code2)</f>
        <v>0</v>
      </c>
      <c r="AK65" s="131">
        <f>COUNTIF(ParicipationMai1[[#This Row],[1]:[31]],Code3)</f>
        <v>0</v>
      </c>
      <c r="AL65" s="131">
        <f>COUNTIF(ParicipationMai1[[#This Row],[1]:[31]],Code4)</f>
        <v>0</v>
      </c>
      <c r="AM65" s="131">
        <f>COUNTIF(ParicipationMai1[[#This Row],[1]:[31]],Code5)</f>
        <v>0</v>
      </c>
      <c r="AN65" s="131">
        <f>COUNTIF(ParicipationMai1[[#This Row],[1]:[31]],Code23)</f>
        <v>0</v>
      </c>
      <c r="AO65" s="131">
        <f>COUNTIF(ParicipationMai1[[#This Row],[1]:[31]],Code6)</f>
        <v>0</v>
      </c>
      <c r="AP65" s="131">
        <f>COUNTIF(ParicipationMai1[[#This Row],[1]:[31]],Code7)</f>
        <v>0</v>
      </c>
      <c r="AQ65" s="131">
        <f>COUNTIF(ParicipationMai1[[#This Row],[1]:[31]],Code8)</f>
        <v>0</v>
      </c>
      <c r="AR65" s="131">
        <f>COUNTIF(ParicipationMai1[[#This Row],[1]:[31]],Code9)</f>
        <v>0</v>
      </c>
      <c r="AS65" s="131">
        <f>COUNTIF(ParicipationMai1[[#This Row],[1]:[31]],Code10)</f>
        <v>0</v>
      </c>
      <c r="AT65" s="131">
        <f>COUNTIF(ParicipationMai1[[#This Row],[1]:[31]],Code11)</f>
        <v>0</v>
      </c>
      <c r="AU65" s="131">
        <f>COUNTIF(ParicipationMai1[[#This Row],[1]:[31]],Code12)</f>
        <v>0</v>
      </c>
      <c r="AV65" s="131">
        <f>COUNTIF(ParicipationMai1[[#This Row],[1]:[31]],Code13)</f>
        <v>0</v>
      </c>
      <c r="AW65" s="131">
        <f>COUNTIF(ParicipationMai1[[#This Row],[1]:[31]],Code14)</f>
        <v>0</v>
      </c>
      <c r="AX65" s="131">
        <f>COUNTIF(ParicipationMai1[[#This Row],[1]:[31]],Code15)</f>
        <v>0</v>
      </c>
      <c r="AY65" s="131">
        <f>COUNTIF(ParicipationMai1[[#This Row],[1]:[31]],Code16)</f>
        <v>0</v>
      </c>
      <c r="AZ65" s="131">
        <f>COUNTIF(ParicipationMai1[[#This Row],[1]:[31]],Code17)</f>
        <v>0</v>
      </c>
      <c r="BA65" s="131">
        <f>COUNTIF(ParicipationMai1[[#This Row],[1]:[31]],Code26)</f>
        <v>0</v>
      </c>
      <c r="BB65" s="131">
        <f>COUNTIF(ParicipationMai1[[#This Row],[1]:[31]],Code27)</f>
        <v>0</v>
      </c>
      <c r="BC65" s="131">
        <f>COUNTIF(ParicipationMai1[[#This Row],[1]:[31]],Code27)</f>
        <v>0</v>
      </c>
      <c r="BD65" s="131">
        <f>COUNTIF(ParicipationMai1[[#This Row],[1]:[31]],Code28)</f>
        <v>0</v>
      </c>
      <c r="BE65" s="131">
        <f>COUNTIF(ParicipationMai1[[#This Row],[1]:[31]],code30)</f>
        <v>0</v>
      </c>
      <c r="BF65" s="131">
        <f>COUNTIF(ParicipationMai1[[#This Row],[1]:[31]],Code31)</f>
        <v>0</v>
      </c>
      <c r="BG65" s="131">
        <f>COUNTIF(ParicipationMai1[[#This Row],[1]:[31]],code21)</f>
        <v>0</v>
      </c>
      <c r="BH65" s="131">
        <f>COUNTIF(ParicipationMai1[[#This Row],[1]:[31]],Code24)</f>
        <v>0</v>
      </c>
      <c r="BI65" s="568">
        <f>COUNTIF(ParicipationMai1[[#This Row],[1]:[31]],code18)</f>
        <v>0</v>
      </c>
      <c r="BJ65" s="568">
        <f>COUNTIF(ParicipationMai1[[#This Row],[1]:[31]],code19)</f>
        <v>0</v>
      </c>
      <c r="BK65" s="568">
        <f>COUNTIF(ParicipationMai1[[#This Row],[1]:[31]],code20)</f>
        <v>0</v>
      </c>
      <c r="BL65" s="548">
        <f>COUNTIF(ParicipationMai1[[#This Row],[1]:[31]],code29)</f>
        <v>0</v>
      </c>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c r="CS65" s="131"/>
      <c r="CT65" s="131"/>
      <c r="CU65" s="548"/>
      <c r="CV65" s="592">
        <f t="shared" si="0"/>
        <v>0</v>
      </c>
      <c r="CW65" s="575">
        <f t="shared" si="1"/>
        <v>0</v>
      </c>
      <c r="CX65" s="131">
        <f t="shared" si="2"/>
        <v>0</v>
      </c>
      <c r="CY65" s="170">
        <f t="shared" si="3"/>
        <v>0</v>
      </c>
    </row>
    <row r="66" spans="1:103">
      <c r="A66" s="405" t="s">
        <v>407</v>
      </c>
      <c r="B66" s="537" t="str">
        <f>IFERROR(VLOOKUP(ParicipationMai1[[#This Row],[Référence]],ListeÉtudiants1[],18,FALSE),"")</f>
        <v>GATIBELZA LESLEY</v>
      </c>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546"/>
      <c r="AH66" s="132">
        <f>COUNTIF(ParicipationMai1[[1]:[31]],Code1)</f>
        <v>0</v>
      </c>
      <c r="AI66" s="538">
        <f>COUNTIF(ParicipationMai1[[1]:[31]],code22)</f>
        <v>0</v>
      </c>
      <c r="AJ66" s="132">
        <f>COUNTIF(ParicipationMai1[[#This Row],[1]:[31]],Code2)</f>
        <v>0</v>
      </c>
      <c r="AK66" s="132">
        <f>COUNTIF(ParicipationMai1[[#This Row],[1]:[31]],Code3)</f>
        <v>0</v>
      </c>
      <c r="AL66" s="132">
        <f>COUNTIF(ParicipationMai1[[#This Row],[1]:[31]],Code4)</f>
        <v>0</v>
      </c>
      <c r="AM66" s="132">
        <f>COUNTIF(ParicipationMai1[[#This Row],[1]:[31]],Code5)</f>
        <v>0</v>
      </c>
      <c r="AN66" s="132">
        <f>COUNTIF(ParicipationMai1[[#This Row],[1]:[31]],Code23)</f>
        <v>0</v>
      </c>
      <c r="AO66" s="132">
        <f>COUNTIF(ParicipationMai1[[#This Row],[1]:[31]],Code6)</f>
        <v>0</v>
      </c>
      <c r="AP66" s="132">
        <f>COUNTIF(ParicipationMai1[[#This Row],[1]:[31]],Code7)</f>
        <v>0</v>
      </c>
      <c r="AQ66" s="132">
        <f>COUNTIF(ParicipationMai1[[#This Row],[1]:[31]],Code8)</f>
        <v>0</v>
      </c>
      <c r="AR66" s="132">
        <f>COUNTIF(ParicipationMai1[[#This Row],[1]:[31]],Code9)</f>
        <v>0</v>
      </c>
      <c r="AS66" s="132">
        <f>COUNTIF(ParicipationMai1[[#This Row],[1]:[31]],Code10)</f>
        <v>0</v>
      </c>
      <c r="AT66" s="132">
        <f>COUNTIF(ParicipationMai1[[#This Row],[1]:[31]],Code11)</f>
        <v>0</v>
      </c>
      <c r="AU66" s="132">
        <f>COUNTIF(ParicipationMai1[[#This Row],[1]:[31]],Code12)</f>
        <v>0</v>
      </c>
      <c r="AV66" s="132">
        <f>COUNTIF(ParicipationMai1[[#This Row],[1]:[31]],Code13)</f>
        <v>0</v>
      </c>
      <c r="AW66" s="132">
        <f>COUNTIF(ParicipationMai1[[#This Row],[1]:[31]],Code14)</f>
        <v>0</v>
      </c>
      <c r="AX66" s="132">
        <f>COUNTIF(ParicipationMai1[[#This Row],[1]:[31]],Code15)</f>
        <v>0</v>
      </c>
      <c r="AY66" s="132">
        <f>COUNTIF(ParicipationMai1[[#This Row],[1]:[31]],Code16)</f>
        <v>0</v>
      </c>
      <c r="AZ66" s="132">
        <f>COUNTIF(ParicipationMai1[[#This Row],[1]:[31]],Code17)</f>
        <v>0</v>
      </c>
      <c r="BA66" s="132">
        <f>COUNTIF(ParicipationMai1[[#This Row],[1]:[31]],Code26)</f>
        <v>0</v>
      </c>
      <c r="BB66" s="132">
        <f>COUNTIF(ParicipationMai1[[#This Row],[1]:[31]],Code27)</f>
        <v>0</v>
      </c>
      <c r="BC66" s="132">
        <f>COUNTIF(ParicipationMai1[[#This Row],[1]:[31]],Code27)</f>
        <v>0</v>
      </c>
      <c r="BD66" s="132">
        <f>COUNTIF(ParicipationMai1[[#This Row],[1]:[31]],Code28)</f>
        <v>0</v>
      </c>
      <c r="BE66" s="132">
        <f>COUNTIF(ParicipationMai1[[#This Row],[1]:[31]],code30)</f>
        <v>0</v>
      </c>
      <c r="BF66" s="132">
        <f>COUNTIF(ParicipationMai1[[#This Row],[1]:[31]],Code31)</f>
        <v>0</v>
      </c>
      <c r="BG66" s="132">
        <f>COUNTIF(ParicipationMai1[[#This Row],[1]:[31]],code21)</f>
        <v>0</v>
      </c>
      <c r="BH66" s="132">
        <f>COUNTIF(ParicipationMai1[[#This Row],[1]:[31]],Code24)</f>
        <v>0</v>
      </c>
      <c r="BI66" s="579">
        <f>COUNTIF(ParicipationMai1[[#This Row],[1]:[31]],code18)</f>
        <v>0</v>
      </c>
      <c r="BJ66" s="579">
        <f>COUNTIF(ParicipationMai1[[#This Row],[1]:[31]],code19)</f>
        <v>0</v>
      </c>
      <c r="BK66" s="579">
        <f>COUNTIF(ParicipationMai1[[#This Row],[1]:[31]],code20)</f>
        <v>0</v>
      </c>
      <c r="BL66" s="547">
        <f>COUNTIF(ParicipationMai1[[#This Row],[1]:[31]],code29)</f>
        <v>0</v>
      </c>
      <c r="BM66" s="132"/>
      <c r="BN66" s="132"/>
      <c r="BO66" s="132"/>
      <c r="BP66" s="132"/>
      <c r="BQ66" s="132"/>
      <c r="BR66" s="132"/>
      <c r="BS66" s="132"/>
      <c r="BT66" s="132"/>
      <c r="BU66" s="132"/>
      <c r="BV66" s="132"/>
      <c r="BW66" s="132"/>
      <c r="BX66" s="132"/>
      <c r="BY66" s="132"/>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547"/>
      <c r="CV66" s="590">
        <f t="shared" si="0"/>
        <v>0</v>
      </c>
      <c r="CW66" s="573">
        <f t="shared" si="1"/>
        <v>0</v>
      </c>
      <c r="CX66" s="132">
        <f t="shared" si="2"/>
        <v>0</v>
      </c>
      <c r="CY66" s="500">
        <f t="shared" si="3"/>
        <v>0</v>
      </c>
    </row>
    <row r="67" spans="1:103">
      <c r="A67" s="406" t="s">
        <v>408</v>
      </c>
      <c r="B67" s="540" t="str">
        <f>IFERROR(VLOOKUP(ParicipationMai1[[#This Row],[Référence]],ListeÉtudiants1[],18,FALSE),"")</f>
        <v>GOMES SEMEDO LUCY</v>
      </c>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542"/>
      <c r="AH67" s="131">
        <f>COUNTIF(ParicipationMai1[[1]:[31]],Code1)</f>
        <v>0</v>
      </c>
      <c r="AI67" s="311">
        <f>COUNTIF(ParicipationMai1[[1]:[31]],code22)</f>
        <v>0</v>
      </c>
      <c r="AJ67" s="131">
        <f>COUNTIF(ParicipationMai1[[#This Row],[1]:[31]],Code2)</f>
        <v>0</v>
      </c>
      <c r="AK67" s="131">
        <f>COUNTIF(ParicipationMai1[[#This Row],[1]:[31]],Code3)</f>
        <v>0</v>
      </c>
      <c r="AL67" s="131">
        <f>COUNTIF(ParicipationMai1[[#This Row],[1]:[31]],Code4)</f>
        <v>0</v>
      </c>
      <c r="AM67" s="131">
        <f>COUNTIF(ParicipationMai1[[#This Row],[1]:[31]],Code5)</f>
        <v>0</v>
      </c>
      <c r="AN67" s="131">
        <f>COUNTIF(ParicipationMai1[[#This Row],[1]:[31]],Code23)</f>
        <v>0</v>
      </c>
      <c r="AO67" s="131">
        <f>COUNTIF(ParicipationMai1[[#This Row],[1]:[31]],Code6)</f>
        <v>0</v>
      </c>
      <c r="AP67" s="131">
        <f>COUNTIF(ParicipationMai1[[#This Row],[1]:[31]],Code7)</f>
        <v>0</v>
      </c>
      <c r="AQ67" s="131">
        <f>COUNTIF(ParicipationMai1[[#This Row],[1]:[31]],Code8)</f>
        <v>0</v>
      </c>
      <c r="AR67" s="131">
        <f>COUNTIF(ParicipationMai1[[#This Row],[1]:[31]],Code9)</f>
        <v>0</v>
      </c>
      <c r="AS67" s="131">
        <f>COUNTIF(ParicipationMai1[[#This Row],[1]:[31]],Code10)</f>
        <v>0</v>
      </c>
      <c r="AT67" s="131">
        <f>COUNTIF(ParicipationMai1[[#This Row],[1]:[31]],Code11)</f>
        <v>0</v>
      </c>
      <c r="AU67" s="131">
        <f>COUNTIF(ParicipationMai1[[#This Row],[1]:[31]],Code12)</f>
        <v>0</v>
      </c>
      <c r="AV67" s="131">
        <f>COUNTIF(ParicipationMai1[[#This Row],[1]:[31]],Code13)</f>
        <v>0</v>
      </c>
      <c r="AW67" s="131">
        <f>COUNTIF(ParicipationMai1[[#This Row],[1]:[31]],Code14)</f>
        <v>0</v>
      </c>
      <c r="AX67" s="131">
        <f>COUNTIF(ParicipationMai1[[#This Row],[1]:[31]],Code15)</f>
        <v>0</v>
      </c>
      <c r="AY67" s="131">
        <f>COUNTIF(ParicipationMai1[[#This Row],[1]:[31]],Code16)</f>
        <v>0</v>
      </c>
      <c r="AZ67" s="131">
        <f>COUNTIF(ParicipationMai1[[#This Row],[1]:[31]],Code17)</f>
        <v>0</v>
      </c>
      <c r="BA67" s="131">
        <f>COUNTIF(ParicipationMai1[[#This Row],[1]:[31]],Code26)</f>
        <v>0</v>
      </c>
      <c r="BB67" s="131">
        <f>COUNTIF(ParicipationMai1[[#This Row],[1]:[31]],Code27)</f>
        <v>0</v>
      </c>
      <c r="BC67" s="131">
        <f>COUNTIF(ParicipationMai1[[#This Row],[1]:[31]],Code27)</f>
        <v>0</v>
      </c>
      <c r="BD67" s="131">
        <f>COUNTIF(ParicipationMai1[[#This Row],[1]:[31]],Code28)</f>
        <v>0</v>
      </c>
      <c r="BE67" s="131">
        <f>COUNTIF(ParicipationMai1[[#This Row],[1]:[31]],code30)</f>
        <v>0</v>
      </c>
      <c r="BF67" s="131">
        <f>COUNTIF(ParicipationMai1[[#This Row],[1]:[31]],Code31)</f>
        <v>0</v>
      </c>
      <c r="BG67" s="131">
        <f>COUNTIF(ParicipationMai1[[#This Row],[1]:[31]],code21)</f>
        <v>0</v>
      </c>
      <c r="BH67" s="131">
        <f>COUNTIF(ParicipationMai1[[#This Row],[1]:[31]],Code24)</f>
        <v>0</v>
      </c>
      <c r="BI67" s="568">
        <f>COUNTIF(ParicipationMai1[[#This Row],[1]:[31]],code18)</f>
        <v>0</v>
      </c>
      <c r="BJ67" s="568">
        <f>COUNTIF(ParicipationMai1[[#This Row],[1]:[31]],code19)</f>
        <v>0</v>
      </c>
      <c r="BK67" s="568">
        <f>COUNTIF(ParicipationMai1[[#This Row],[1]:[31]],code20)</f>
        <v>0</v>
      </c>
      <c r="BL67" s="548">
        <f>COUNTIF(ParicipationMai1[[#This Row],[1]:[31]],code29)</f>
        <v>0</v>
      </c>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c r="CS67" s="131"/>
      <c r="CT67" s="131"/>
      <c r="CU67" s="548"/>
      <c r="CV67" s="592">
        <f t="shared" si="0"/>
        <v>0</v>
      </c>
      <c r="CW67" s="575">
        <f t="shared" si="1"/>
        <v>0</v>
      </c>
      <c r="CX67" s="131">
        <f t="shared" si="2"/>
        <v>0</v>
      </c>
      <c r="CY67" s="170">
        <f t="shared" si="3"/>
        <v>0</v>
      </c>
    </row>
    <row r="68" spans="1:103">
      <c r="A68" s="405" t="s">
        <v>409</v>
      </c>
      <c r="B68" s="537" t="str">
        <f>IFERROR(VLOOKUP(ParicipationMai1[[#This Row],[Référence]],ListeÉtudiants1[],18,FALSE),"")</f>
        <v>GORDON  MAIVA</v>
      </c>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546"/>
      <c r="AH68" s="132">
        <f>COUNTIF(ParicipationMai1[[1]:[31]],Code1)</f>
        <v>0</v>
      </c>
      <c r="AI68" s="538">
        <f>COUNTIF(ParicipationMai1[[1]:[31]],code22)</f>
        <v>0</v>
      </c>
      <c r="AJ68" s="132">
        <f>COUNTIF(ParicipationMai1[[#This Row],[1]:[31]],Code2)</f>
        <v>0</v>
      </c>
      <c r="AK68" s="132">
        <f>COUNTIF(ParicipationMai1[[#This Row],[1]:[31]],Code3)</f>
        <v>0</v>
      </c>
      <c r="AL68" s="132">
        <f>COUNTIF(ParicipationMai1[[#This Row],[1]:[31]],Code4)</f>
        <v>0</v>
      </c>
      <c r="AM68" s="132">
        <f>COUNTIF(ParicipationMai1[[#This Row],[1]:[31]],Code5)</f>
        <v>0</v>
      </c>
      <c r="AN68" s="132">
        <f>COUNTIF(ParicipationMai1[[#This Row],[1]:[31]],Code23)</f>
        <v>0</v>
      </c>
      <c r="AO68" s="132">
        <f>COUNTIF(ParicipationMai1[[#This Row],[1]:[31]],Code6)</f>
        <v>0</v>
      </c>
      <c r="AP68" s="132">
        <f>COUNTIF(ParicipationMai1[[#This Row],[1]:[31]],Code7)</f>
        <v>0</v>
      </c>
      <c r="AQ68" s="132">
        <f>COUNTIF(ParicipationMai1[[#This Row],[1]:[31]],Code8)</f>
        <v>0</v>
      </c>
      <c r="AR68" s="132">
        <f>COUNTIF(ParicipationMai1[[#This Row],[1]:[31]],Code9)</f>
        <v>0</v>
      </c>
      <c r="AS68" s="132">
        <f>COUNTIF(ParicipationMai1[[#This Row],[1]:[31]],Code10)</f>
        <v>0</v>
      </c>
      <c r="AT68" s="132">
        <f>COUNTIF(ParicipationMai1[[#This Row],[1]:[31]],Code11)</f>
        <v>0</v>
      </c>
      <c r="AU68" s="132">
        <f>COUNTIF(ParicipationMai1[[#This Row],[1]:[31]],Code12)</f>
        <v>0</v>
      </c>
      <c r="AV68" s="132">
        <f>COUNTIF(ParicipationMai1[[#This Row],[1]:[31]],Code13)</f>
        <v>0</v>
      </c>
      <c r="AW68" s="132">
        <f>COUNTIF(ParicipationMai1[[#This Row],[1]:[31]],Code14)</f>
        <v>0</v>
      </c>
      <c r="AX68" s="132">
        <f>COUNTIF(ParicipationMai1[[#This Row],[1]:[31]],Code15)</f>
        <v>0</v>
      </c>
      <c r="AY68" s="132">
        <f>COUNTIF(ParicipationMai1[[#This Row],[1]:[31]],Code16)</f>
        <v>0</v>
      </c>
      <c r="AZ68" s="132">
        <f>COUNTIF(ParicipationMai1[[#This Row],[1]:[31]],Code17)</f>
        <v>0</v>
      </c>
      <c r="BA68" s="132">
        <f>COUNTIF(ParicipationMai1[[#This Row],[1]:[31]],Code26)</f>
        <v>0</v>
      </c>
      <c r="BB68" s="132">
        <f>COUNTIF(ParicipationMai1[[#This Row],[1]:[31]],Code27)</f>
        <v>0</v>
      </c>
      <c r="BC68" s="132">
        <f>COUNTIF(ParicipationMai1[[#This Row],[1]:[31]],Code27)</f>
        <v>0</v>
      </c>
      <c r="BD68" s="132">
        <f>COUNTIF(ParicipationMai1[[#This Row],[1]:[31]],Code28)</f>
        <v>0</v>
      </c>
      <c r="BE68" s="132">
        <f>COUNTIF(ParicipationMai1[[#This Row],[1]:[31]],code30)</f>
        <v>0</v>
      </c>
      <c r="BF68" s="132">
        <f>COUNTIF(ParicipationMai1[[#This Row],[1]:[31]],Code31)</f>
        <v>0</v>
      </c>
      <c r="BG68" s="132">
        <f>COUNTIF(ParicipationMai1[[#This Row],[1]:[31]],code21)</f>
        <v>0</v>
      </c>
      <c r="BH68" s="132">
        <f>COUNTIF(ParicipationMai1[[#This Row],[1]:[31]],Code24)</f>
        <v>0</v>
      </c>
      <c r="BI68" s="579">
        <f>COUNTIF(ParicipationMai1[[#This Row],[1]:[31]],code18)</f>
        <v>0</v>
      </c>
      <c r="BJ68" s="579">
        <f>COUNTIF(ParicipationMai1[[#This Row],[1]:[31]],code19)</f>
        <v>0</v>
      </c>
      <c r="BK68" s="579">
        <f>COUNTIF(ParicipationMai1[[#This Row],[1]:[31]],code20)</f>
        <v>0</v>
      </c>
      <c r="BL68" s="547">
        <f>COUNTIF(ParicipationMai1[[#This Row],[1]:[31]],code29)</f>
        <v>0</v>
      </c>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547"/>
      <c r="CV68" s="590">
        <f t="shared" si="0"/>
        <v>0</v>
      </c>
      <c r="CW68" s="573">
        <f t="shared" si="1"/>
        <v>0</v>
      </c>
      <c r="CX68" s="132">
        <f t="shared" si="2"/>
        <v>0</v>
      </c>
      <c r="CY68" s="500">
        <f t="shared" si="3"/>
        <v>0</v>
      </c>
    </row>
    <row r="69" spans="1:103">
      <c r="A69" s="406" t="s">
        <v>410</v>
      </c>
      <c r="B69" s="540" t="str">
        <f>IFERROR(VLOOKUP(ParicipationMai1[[#This Row],[Référence]],ListeÉtudiants1[],18,FALSE),"")</f>
        <v>GRANCHON-RIOLZIR DOROTHEE</v>
      </c>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542"/>
      <c r="AH69" s="131">
        <f>COUNTIF(ParicipationMai1[[1]:[31]],Code1)</f>
        <v>0</v>
      </c>
      <c r="AI69" s="311">
        <f>COUNTIF(ParicipationMai1[[1]:[31]],code22)</f>
        <v>0</v>
      </c>
      <c r="AJ69" s="131">
        <f>COUNTIF(ParicipationMai1[[#This Row],[1]:[31]],Code2)</f>
        <v>0</v>
      </c>
      <c r="AK69" s="131">
        <f>COUNTIF(ParicipationMai1[[#This Row],[1]:[31]],Code3)</f>
        <v>0</v>
      </c>
      <c r="AL69" s="131">
        <f>COUNTIF(ParicipationMai1[[#This Row],[1]:[31]],Code4)</f>
        <v>0</v>
      </c>
      <c r="AM69" s="131">
        <f>COUNTIF(ParicipationMai1[[#This Row],[1]:[31]],Code5)</f>
        <v>0</v>
      </c>
      <c r="AN69" s="131">
        <f>COUNTIF(ParicipationMai1[[#This Row],[1]:[31]],Code23)</f>
        <v>0</v>
      </c>
      <c r="AO69" s="131">
        <f>COUNTIF(ParicipationMai1[[#This Row],[1]:[31]],Code6)</f>
        <v>0</v>
      </c>
      <c r="AP69" s="131">
        <f>COUNTIF(ParicipationMai1[[#This Row],[1]:[31]],Code7)</f>
        <v>0</v>
      </c>
      <c r="AQ69" s="131">
        <f>COUNTIF(ParicipationMai1[[#This Row],[1]:[31]],Code8)</f>
        <v>0</v>
      </c>
      <c r="AR69" s="131">
        <f>COUNTIF(ParicipationMai1[[#This Row],[1]:[31]],Code9)</f>
        <v>0</v>
      </c>
      <c r="AS69" s="131">
        <f>COUNTIF(ParicipationMai1[[#This Row],[1]:[31]],Code10)</f>
        <v>0</v>
      </c>
      <c r="AT69" s="131">
        <f>COUNTIF(ParicipationMai1[[#This Row],[1]:[31]],Code11)</f>
        <v>0</v>
      </c>
      <c r="AU69" s="131">
        <f>COUNTIF(ParicipationMai1[[#This Row],[1]:[31]],Code12)</f>
        <v>0</v>
      </c>
      <c r="AV69" s="131">
        <f>COUNTIF(ParicipationMai1[[#This Row],[1]:[31]],Code13)</f>
        <v>0</v>
      </c>
      <c r="AW69" s="131">
        <f>COUNTIF(ParicipationMai1[[#This Row],[1]:[31]],Code14)</f>
        <v>0</v>
      </c>
      <c r="AX69" s="131">
        <f>COUNTIF(ParicipationMai1[[#This Row],[1]:[31]],Code15)</f>
        <v>0</v>
      </c>
      <c r="AY69" s="131">
        <f>COUNTIF(ParicipationMai1[[#This Row],[1]:[31]],Code16)</f>
        <v>0</v>
      </c>
      <c r="AZ69" s="131">
        <f>COUNTIF(ParicipationMai1[[#This Row],[1]:[31]],Code17)</f>
        <v>0</v>
      </c>
      <c r="BA69" s="131">
        <f>COUNTIF(ParicipationMai1[[#This Row],[1]:[31]],Code26)</f>
        <v>0</v>
      </c>
      <c r="BB69" s="131">
        <f>COUNTIF(ParicipationMai1[[#This Row],[1]:[31]],Code27)</f>
        <v>0</v>
      </c>
      <c r="BC69" s="131">
        <f>COUNTIF(ParicipationMai1[[#This Row],[1]:[31]],Code27)</f>
        <v>0</v>
      </c>
      <c r="BD69" s="131">
        <f>COUNTIF(ParicipationMai1[[#This Row],[1]:[31]],Code28)</f>
        <v>0</v>
      </c>
      <c r="BE69" s="131">
        <f>COUNTIF(ParicipationMai1[[#This Row],[1]:[31]],code30)</f>
        <v>0</v>
      </c>
      <c r="BF69" s="131">
        <f>COUNTIF(ParicipationMai1[[#This Row],[1]:[31]],Code31)</f>
        <v>0</v>
      </c>
      <c r="BG69" s="131">
        <f>COUNTIF(ParicipationMai1[[#This Row],[1]:[31]],code21)</f>
        <v>0</v>
      </c>
      <c r="BH69" s="131">
        <f>COUNTIF(ParicipationMai1[[#This Row],[1]:[31]],Code24)</f>
        <v>0</v>
      </c>
      <c r="BI69" s="568">
        <f>COUNTIF(ParicipationMai1[[#This Row],[1]:[31]],code18)</f>
        <v>0</v>
      </c>
      <c r="BJ69" s="568">
        <f>COUNTIF(ParicipationMai1[[#This Row],[1]:[31]],code19)</f>
        <v>0</v>
      </c>
      <c r="BK69" s="568">
        <f>COUNTIF(ParicipationMai1[[#This Row],[1]:[31]],code20)</f>
        <v>0</v>
      </c>
      <c r="BL69" s="548">
        <f>COUNTIF(ParicipationMai1[[#This Row],[1]:[31]],code29)</f>
        <v>0</v>
      </c>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c r="CS69" s="131"/>
      <c r="CT69" s="131"/>
      <c r="CU69" s="548"/>
      <c r="CV69" s="592">
        <f t="shared" si="0"/>
        <v>0</v>
      </c>
      <c r="CW69" s="575">
        <f t="shared" si="1"/>
        <v>0</v>
      </c>
      <c r="CX69" s="131">
        <f t="shared" si="2"/>
        <v>0</v>
      </c>
      <c r="CY69" s="170">
        <f t="shared" si="3"/>
        <v>0</v>
      </c>
    </row>
    <row r="70" spans="1:103">
      <c r="A70" s="405" t="s">
        <v>411</v>
      </c>
      <c r="B70" s="537" t="str">
        <f>IFERROR(VLOOKUP(ParicipationMai1[[#This Row],[Référence]],ListeÉtudiants1[],18,FALSE),"")</f>
        <v>GROEVIUS EMILIE</v>
      </c>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546"/>
      <c r="AH70" s="132">
        <f>COUNTIF(ParicipationMai1[[1]:[31]],Code1)</f>
        <v>0</v>
      </c>
      <c r="AI70" s="538">
        <f>COUNTIF(ParicipationMai1[[1]:[31]],code22)</f>
        <v>0</v>
      </c>
      <c r="AJ70" s="132">
        <f>COUNTIF(ParicipationMai1[[#This Row],[1]:[31]],Code2)</f>
        <v>0</v>
      </c>
      <c r="AK70" s="132">
        <f>COUNTIF(ParicipationMai1[[#This Row],[1]:[31]],Code3)</f>
        <v>0</v>
      </c>
      <c r="AL70" s="132">
        <f>COUNTIF(ParicipationMai1[[#This Row],[1]:[31]],Code4)</f>
        <v>0</v>
      </c>
      <c r="AM70" s="132">
        <f>COUNTIF(ParicipationMai1[[#This Row],[1]:[31]],Code5)</f>
        <v>0</v>
      </c>
      <c r="AN70" s="132">
        <f>COUNTIF(ParicipationMai1[[#This Row],[1]:[31]],Code23)</f>
        <v>0</v>
      </c>
      <c r="AO70" s="132">
        <f>COUNTIF(ParicipationMai1[[#This Row],[1]:[31]],Code6)</f>
        <v>0</v>
      </c>
      <c r="AP70" s="132">
        <f>COUNTIF(ParicipationMai1[[#This Row],[1]:[31]],Code7)</f>
        <v>0</v>
      </c>
      <c r="AQ70" s="132">
        <f>COUNTIF(ParicipationMai1[[#This Row],[1]:[31]],Code8)</f>
        <v>0</v>
      </c>
      <c r="AR70" s="132">
        <f>COUNTIF(ParicipationMai1[[#This Row],[1]:[31]],Code9)</f>
        <v>0</v>
      </c>
      <c r="AS70" s="132">
        <f>COUNTIF(ParicipationMai1[[#This Row],[1]:[31]],Code10)</f>
        <v>0</v>
      </c>
      <c r="AT70" s="132">
        <f>COUNTIF(ParicipationMai1[[#This Row],[1]:[31]],Code11)</f>
        <v>0</v>
      </c>
      <c r="AU70" s="132">
        <f>COUNTIF(ParicipationMai1[[#This Row],[1]:[31]],Code12)</f>
        <v>0</v>
      </c>
      <c r="AV70" s="132">
        <f>COUNTIF(ParicipationMai1[[#This Row],[1]:[31]],Code13)</f>
        <v>0</v>
      </c>
      <c r="AW70" s="132">
        <f>COUNTIF(ParicipationMai1[[#This Row],[1]:[31]],Code14)</f>
        <v>0</v>
      </c>
      <c r="AX70" s="132">
        <f>COUNTIF(ParicipationMai1[[#This Row],[1]:[31]],Code15)</f>
        <v>0</v>
      </c>
      <c r="AY70" s="132">
        <f>COUNTIF(ParicipationMai1[[#This Row],[1]:[31]],Code16)</f>
        <v>0</v>
      </c>
      <c r="AZ70" s="132">
        <f>COUNTIF(ParicipationMai1[[#This Row],[1]:[31]],Code17)</f>
        <v>0</v>
      </c>
      <c r="BA70" s="132">
        <f>COUNTIF(ParicipationMai1[[#This Row],[1]:[31]],Code26)</f>
        <v>0</v>
      </c>
      <c r="BB70" s="132">
        <f>COUNTIF(ParicipationMai1[[#This Row],[1]:[31]],Code27)</f>
        <v>0</v>
      </c>
      <c r="BC70" s="132">
        <f>COUNTIF(ParicipationMai1[[#This Row],[1]:[31]],Code27)</f>
        <v>0</v>
      </c>
      <c r="BD70" s="132">
        <f>COUNTIF(ParicipationMai1[[#This Row],[1]:[31]],Code28)</f>
        <v>0</v>
      </c>
      <c r="BE70" s="132">
        <f>COUNTIF(ParicipationMai1[[#This Row],[1]:[31]],code30)</f>
        <v>0</v>
      </c>
      <c r="BF70" s="132">
        <f>COUNTIF(ParicipationMai1[[#This Row],[1]:[31]],Code31)</f>
        <v>0</v>
      </c>
      <c r="BG70" s="132">
        <f>COUNTIF(ParicipationMai1[[#This Row],[1]:[31]],code21)</f>
        <v>0</v>
      </c>
      <c r="BH70" s="132">
        <f>COUNTIF(ParicipationMai1[[#This Row],[1]:[31]],Code24)</f>
        <v>0</v>
      </c>
      <c r="BI70" s="579">
        <f>COUNTIF(ParicipationMai1[[#This Row],[1]:[31]],code18)</f>
        <v>0</v>
      </c>
      <c r="BJ70" s="579">
        <f>COUNTIF(ParicipationMai1[[#This Row],[1]:[31]],code19)</f>
        <v>0</v>
      </c>
      <c r="BK70" s="579">
        <f>COUNTIF(ParicipationMai1[[#This Row],[1]:[31]],code20)</f>
        <v>0</v>
      </c>
      <c r="BL70" s="547">
        <f>COUNTIF(ParicipationMai1[[#This Row],[1]:[31]],code29)</f>
        <v>0</v>
      </c>
      <c r="BM70" s="132"/>
      <c r="BN70" s="132"/>
      <c r="BO70" s="132"/>
      <c r="BP70" s="132"/>
      <c r="BQ70" s="132"/>
      <c r="BR70" s="132"/>
      <c r="BS70" s="132"/>
      <c r="BT70" s="132"/>
      <c r="BU70" s="132"/>
      <c r="BV70" s="132"/>
      <c r="BW70" s="132"/>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547"/>
      <c r="CV70" s="590">
        <f t="shared" si="0"/>
        <v>0</v>
      </c>
      <c r="CW70" s="573">
        <f t="shared" si="1"/>
        <v>0</v>
      </c>
      <c r="CX70" s="132">
        <f t="shared" si="2"/>
        <v>0</v>
      </c>
      <c r="CY70" s="500">
        <f t="shared" si="3"/>
        <v>0</v>
      </c>
    </row>
    <row r="71" spans="1:103">
      <c r="A71" s="406" t="s">
        <v>412</v>
      </c>
      <c r="B71" s="540" t="str">
        <f>IFERROR(VLOOKUP(ParicipationMai1[[#This Row],[Référence]],ListeÉtudiants1[],18,FALSE),"")</f>
        <v>GUECHI DOUNIA</v>
      </c>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542"/>
      <c r="AH71" s="131">
        <f>COUNTIF(ParicipationMai1[[1]:[31]],Code1)</f>
        <v>0</v>
      </c>
      <c r="AI71" s="311">
        <f>COUNTIF(ParicipationMai1[[1]:[31]],code22)</f>
        <v>0</v>
      </c>
      <c r="AJ71" s="131">
        <f>COUNTIF(ParicipationMai1[[#This Row],[1]:[31]],Code2)</f>
        <v>0</v>
      </c>
      <c r="AK71" s="131">
        <f>COUNTIF(ParicipationMai1[[#This Row],[1]:[31]],Code3)</f>
        <v>0</v>
      </c>
      <c r="AL71" s="131">
        <f>COUNTIF(ParicipationMai1[[#This Row],[1]:[31]],Code4)</f>
        <v>0</v>
      </c>
      <c r="AM71" s="131">
        <f>COUNTIF(ParicipationMai1[[#This Row],[1]:[31]],Code5)</f>
        <v>0</v>
      </c>
      <c r="AN71" s="131">
        <f>COUNTIF(ParicipationMai1[[#This Row],[1]:[31]],Code23)</f>
        <v>0</v>
      </c>
      <c r="AO71" s="131">
        <f>COUNTIF(ParicipationMai1[[#This Row],[1]:[31]],Code6)</f>
        <v>0</v>
      </c>
      <c r="AP71" s="131">
        <f>COUNTIF(ParicipationMai1[[#This Row],[1]:[31]],Code7)</f>
        <v>0</v>
      </c>
      <c r="AQ71" s="131">
        <f>COUNTIF(ParicipationMai1[[#This Row],[1]:[31]],Code8)</f>
        <v>0</v>
      </c>
      <c r="AR71" s="131">
        <f>COUNTIF(ParicipationMai1[[#This Row],[1]:[31]],Code9)</f>
        <v>0</v>
      </c>
      <c r="AS71" s="131">
        <f>COUNTIF(ParicipationMai1[[#This Row],[1]:[31]],Code10)</f>
        <v>0</v>
      </c>
      <c r="AT71" s="131">
        <f>COUNTIF(ParicipationMai1[[#This Row],[1]:[31]],Code11)</f>
        <v>0</v>
      </c>
      <c r="AU71" s="131">
        <f>COUNTIF(ParicipationMai1[[#This Row],[1]:[31]],Code12)</f>
        <v>0</v>
      </c>
      <c r="AV71" s="131">
        <f>COUNTIF(ParicipationMai1[[#This Row],[1]:[31]],Code13)</f>
        <v>0</v>
      </c>
      <c r="AW71" s="131">
        <f>COUNTIF(ParicipationMai1[[#This Row],[1]:[31]],Code14)</f>
        <v>0</v>
      </c>
      <c r="AX71" s="131">
        <f>COUNTIF(ParicipationMai1[[#This Row],[1]:[31]],Code15)</f>
        <v>0</v>
      </c>
      <c r="AY71" s="131">
        <f>COUNTIF(ParicipationMai1[[#This Row],[1]:[31]],Code16)</f>
        <v>0</v>
      </c>
      <c r="AZ71" s="131">
        <f>COUNTIF(ParicipationMai1[[#This Row],[1]:[31]],Code17)</f>
        <v>0</v>
      </c>
      <c r="BA71" s="131">
        <f>COUNTIF(ParicipationMai1[[#This Row],[1]:[31]],Code26)</f>
        <v>0</v>
      </c>
      <c r="BB71" s="131">
        <f>COUNTIF(ParicipationMai1[[#This Row],[1]:[31]],Code27)</f>
        <v>0</v>
      </c>
      <c r="BC71" s="131">
        <f>COUNTIF(ParicipationMai1[[#This Row],[1]:[31]],Code27)</f>
        <v>0</v>
      </c>
      <c r="BD71" s="131">
        <f>COUNTIF(ParicipationMai1[[#This Row],[1]:[31]],Code28)</f>
        <v>0</v>
      </c>
      <c r="BE71" s="131">
        <f>COUNTIF(ParicipationMai1[[#This Row],[1]:[31]],code30)</f>
        <v>0</v>
      </c>
      <c r="BF71" s="131">
        <f>COUNTIF(ParicipationMai1[[#This Row],[1]:[31]],Code31)</f>
        <v>0</v>
      </c>
      <c r="BG71" s="131">
        <f>COUNTIF(ParicipationMai1[[#This Row],[1]:[31]],code21)</f>
        <v>0</v>
      </c>
      <c r="BH71" s="131">
        <f>COUNTIF(ParicipationMai1[[#This Row],[1]:[31]],Code24)</f>
        <v>0</v>
      </c>
      <c r="BI71" s="568">
        <f>COUNTIF(ParicipationMai1[[#This Row],[1]:[31]],code18)</f>
        <v>0</v>
      </c>
      <c r="BJ71" s="568">
        <f>COUNTIF(ParicipationMai1[[#This Row],[1]:[31]],code19)</f>
        <v>0</v>
      </c>
      <c r="BK71" s="568">
        <f>COUNTIF(ParicipationMai1[[#This Row],[1]:[31]],code20)</f>
        <v>0</v>
      </c>
      <c r="BL71" s="548">
        <f>COUNTIF(ParicipationMai1[[#This Row],[1]:[31]],code29)</f>
        <v>0</v>
      </c>
      <c r="BM71" s="131"/>
      <c r="BN71" s="131"/>
      <c r="BO71" s="131"/>
      <c r="BP71" s="131"/>
      <c r="BQ71" s="131"/>
      <c r="BR71" s="131"/>
      <c r="BS71" s="131"/>
      <c r="BT71" s="131"/>
      <c r="BU71" s="131"/>
      <c r="BV71" s="131"/>
      <c r="BW71" s="131"/>
      <c r="BX71" s="131"/>
      <c r="BY71" s="131"/>
      <c r="BZ71" s="131"/>
      <c r="CA71" s="131"/>
      <c r="CB71" s="131"/>
      <c r="CC71" s="131"/>
      <c r="CD71" s="131"/>
      <c r="CE71" s="131"/>
      <c r="CF71" s="131"/>
      <c r="CG71" s="131"/>
      <c r="CH71" s="131"/>
      <c r="CI71" s="131"/>
      <c r="CJ71" s="131"/>
      <c r="CK71" s="131"/>
      <c r="CL71" s="131"/>
      <c r="CM71" s="131"/>
      <c r="CN71" s="131"/>
      <c r="CO71" s="131"/>
      <c r="CP71" s="131"/>
      <c r="CQ71" s="131"/>
      <c r="CR71" s="131"/>
      <c r="CS71" s="131"/>
      <c r="CT71" s="131"/>
      <c r="CU71" s="548"/>
      <c r="CV71" s="592">
        <f t="shared" si="0"/>
        <v>0</v>
      </c>
      <c r="CW71" s="575">
        <f t="shared" si="1"/>
        <v>0</v>
      </c>
      <c r="CX71" s="131">
        <f t="shared" si="2"/>
        <v>0</v>
      </c>
      <c r="CY71" s="170">
        <f t="shared" si="3"/>
        <v>0</v>
      </c>
    </row>
    <row r="72" spans="1:103">
      <c r="A72" s="405" t="s">
        <v>413</v>
      </c>
      <c r="B72" s="537" t="str">
        <f>IFERROR(VLOOKUP(ParicipationMai1[[#This Row],[Référence]],ListeÉtudiants1[],18,FALSE),"")</f>
        <v>HASSANI CHERINE</v>
      </c>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546"/>
      <c r="AH72" s="132">
        <f>COUNTIF(ParicipationMai1[[1]:[31]],Code1)</f>
        <v>0</v>
      </c>
      <c r="AI72" s="538">
        <f>COUNTIF(ParicipationMai1[[1]:[31]],code22)</f>
        <v>0</v>
      </c>
      <c r="AJ72" s="132">
        <f>COUNTIF(ParicipationMai1[[#This Row],[1]:[31]],Code2)</f>
        <v>0</v>
      </c>
      <c r="AK72" s="132">
        <f>COUNTIF(ParicipationMai1[[#This Row],[1]:[31]],Code3)</f>
        <v>0</v>
      </c>
      <c r="AL72" s="132">
        <f>COUNTIF(ParicipationMai1[[#This Row],[1]:[31]],Code4)</f>
        <v>0</v>
      </c>
      <c r="AM72" s="132">
        <f>COUNTIF(ParicipationMai1[[#This Row],[1]:[31]],Code5)</f>
        <v>0</v>
      </c>
      <c r="AN72" s="132">
        <f>COUNTIF(ParicipationMai1[[#This Row],[1]:[31]],Code23)</f>
        <v>0</v>
      </c>
      <c r="AO72" s="132">
        <f>COUNTIF(ParicipationMai1[[#This Row],[1]:[31]],Code6)</f>
        <v>0</v>
      </c>
      <c r="AP72" s="132">
        <f>COUNTIF(ParicipationMai1[[#This Row],[1]:[31]],Code7)</f>
        <v>0</v>
      </c>
      <c r="AQ72" s="132">
        <f>COUNTIF(ParicipationMai1[[#This Row],[1]:[31]],Code8)</f>
        <v>0</v>
      </c>
      <c r="AR72" s="132">
        <f>COUNTIF(ParicipationMai1[[#This Row],[1]:[31]],Code9)</f>
        <v>0</v>
      </c>
      <c r="AS72" s="132">
        <f>COUNTIF(ParicipationMai1[[#This Row],[1]:[31]],Code10)</f>
        <v>0</v>
      </c>
      <c r="AT72" s="132">
        <f>COUNTIF(ParicipationMai1[[#This Row],[1]:[31]],Code11)</f>
        <v>0</v>
      </c>
      <c r="AU72" s="132">
        <f>COUNTIF(ParicipationMai1[[#This Row],[1]:[31]],Code12)</f>
        <v>0</v>
      </c>
      <c r="AV72" s="132">
        <f>COUNTIF(ParicipationMai1[[#This Row],[1]:[31]],Code13)</f>
        <v>0</v>
      </c>
      <c r="AW72" s="132">
        <f>COUNTIF(ParicipationMai1[[#This Row],[1]:[31]],Code14)</f>
        <v>0</v>
      </c>
      <c r="AX72" s="132">
        <f>COUNTIF(ParicipationMai1[[#This Row],[1]:[31]],Code15)</f>
        <v>0</v>
      </c>
      <c r="AY72" s="132">
        <f>COUNTIF(ParicipationMai1[[#This Row],[1]:[31]],Code16)</f>
        <v>0</v>
      </c>
      <c r="AZ72" s="132">
        <f>COUNTIF(ParicipationMai1[[#This Row],[1]:[31]],Code17)</f>
        <v>0</v>
      </c>
      <c r="BA72" s="132">
        <f>COUNTIF(ParicipationMai1[[#This Row],[1]:[31]],Code26)</f>
        <v>0</v>
      </c>
      <c r="BB72" s="132">
        <f>COUNTIF(ParicipationMai1[[#This Row],[1]:[31]],Code27)</f>
        <v>0</v>
      </c>
      <c r="BC72" s="132">
        <f>COUNTIF(ParicipationMai1[[#This Row],[1]:[31]],Code27)</f>
        <v>0</v>
      </c>
      <c r="BD72" s="132">
        <f>COUNTIF(ParicipationMai1[[#This Row],[1]:[31]],Code28)</f>
        <v>0</v>
      </c>
      <c r="BE72" s="132">
        <f>COUNTIF(ParicipationMai1[[#This Row],[1]:[31]],code30)</f>
        <v>0</v>
      </c>
      <c r="BF72" s="132">
        <f>COUNTIF(ParicipationMai1[[#This Row],[1]:[31]],Code31)</f>
        <v>0</v>
      </c>
      <c r="BG72" s="132">
        <f>COUNTIF(ParicipationMai1[[#This Row],[1]:[31]],code21)</f>
        <v>0</v>
      </c>
      <c r="BH72" s="132">
        <f>COUNTIF(ParicipationMai1[[#This Row],[1]:[31]],Code24)</f>
        <v>0</v>
      </c>
      <c r="BI72" s="579">
        <f>COUNTIF(ParicipationMai1[[#This Row],[1]:[31]],code18)</f>
        <v>0</v>
      </c>
      <c r="BJ72" s="579">
        <f>COUNTIF(ParicipationMai1[[#This Row],[1]:[31]],code19)</f>
        <v>0</v>
      </c>
      <c r="BK72" s="579">
        <f>COUNTIF(ParicipationMai1[[#This Row],[1]:[31]],code20)</f>
        <v>0</v>
      </c>
      <c r="BL72" s="547">
        <f>COUNTIF(ParicipationMai1[[#This Row],[1]:[31]],code29)</f>
        <v>0</v>
      </c>
      <c r="BM72" s="132"/>
      <c r="BN72" s="132"/>
      <c r="BO72" s="132"/>
      <c r="BP72" s="132"/>
      <c r="BQ72" s="132"/>
      <c r="BR72" s="132"/>
      <c r="BS72" s="132"/>
      <c r="BT72" s="132"/>
      <c r="BU72" s="132"/>
      <c r="BV72" s="132"/>
      <c r="BW72" s="132"/>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599">
        <f t="shared" si="0"/>
        <v>0</v>
      </c>
      <c r="CW72" s="573">
        <f t="shared" si="1"/>
        <v>0</v>
      </c>
      <c r="CX72" s="132">
        <f t="shared" si="2"/>
        <v>0</v>
      </c>
      <c r="CY72" s="500">
        <f t="shared" si="3"/>
        <v>0</v>
      </c>
    </row>
    <row r="73" spans="1:103">
      <c r="A73" s="406" t="s">
        <v>414</v>
      </c>
      <c r="B73" s="540" t="str">
        <f>IFERROR(VLOOKUP(ParicipationMai1[[#This Row],[Référence]],ListeÉtudiants1[],18,FALSE),"")</f>
        <v>HERMANN-MANETTE  CORALIE</v>
      </c>
      <c r="C73" s="406"/>
      <c r="D73" s="406"/>
      <c r="E73" s="406"/>
      <c r="F73" s="406"/>
      <c r="G73" s="406"/>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542"/>
      <c r="AH73" s="131">
        <f>COUNTIF(ParicipationMai1[[1]:[31]],Code1)</f>
        <v>0</v>
      </c>
      <c r="AI73" s="311">
        <f>COUNTIF(ParicipationMai1[[1]:[31]],code22)</f>
        <v>0</v>
      </c>
      <c r="AJ73" s="131">
        <f>COUNTIF(ParicipationMai1[[#This Row],[1]:[31]],Code2)</f>
        <v>0</v>
      </c>
      <c r="AK73" s="131">
        <f>COUNTIF(ParicipationMai1[[#This Row],[1]:[31]],Code3)</f>
        <v>0</v>
      </c>
      <c r="AL73" s="131">
        <f>COUNTIF(ParicipationMai1[[#This Row],[1]:[31]],Code4)</f>
        <v>0</v>
      </c>
      <c r="AM73" s="131">
        <f>COUNTIF(ParicipationMai1[[#This Row],[1]:[31]],Code5)</f>
        <v>0</v>
      </c>
      <c r="AN73" s="131">
        <f>COUNTIF(ParicipationMai1[[#This Row],[1]:[31]],Code23)</f>
        <v>0</v>
      </c>
      <c r="AO73" s="131">
        <f>COUNTIF(ParicipationMai1[[#This Row],[1]:[31]],Code6)</f>
        <v>0</v>
      </c>
      <c r="AP73" s="131">
        <f>COUNTIF(ParicipationMai1[[#This Row],[1]:[31]],Code7)</f>
        <v>0</v>
      </c>
      <c r="AQ73" s="131">
        <f>COUNTIF(ParicipationMai1[[#This Row],[1]:[31]],Code8)</f>
        <v>0</v>
      </c>
      <c r="AR73" s="131">
        <f>COUNTIF(ParicipationMai1[[#This Row],[1]:[31]],Code9)</f>
        <v>0</v>
      </c>
      <c r="AS73" s="131">
        <f>COUNTIF(ParicipationMai1[[#This Row],[1]:[31]],Code10)</f>
        <v>0</v>
      </c>
      <c r="AT73" s="131">
        <f>COUNTIF(ParicipationMai1[[#This Row],[1]:[31]],Code11)</f>
        <v>0</v>
      </c>
      <c r="AU73" s="131">
        <f>COUNTIF(ParicipationMai1[[#This Row],[1]:[31]],Code12)</f>
        <v>0</v>
      </c>
      <c r="AV73" s="131">
        <f>COUNTIF(ParicipationMai1[[#This Row],[1]:[31]],Code13)</f>
        <v>0</v>
      </c>
      <c r="AW73" s="131">
        <f>COUNTIF(ParicipationMai1[[#This Row],[1]:[31]],Code14)</f>
        <v>0</v>
      </c>
      <c r="AX73" s="131">
        <f>COUNTIF(ParicipationMai1[[#This Row],[1]:[31]],Code15)</f>
        <v>0</v>
      </c>
      <c r="AY73" s="131">
        <f>COUNTIF(ParicipationMai1[[#This Row],[1]:[31]],Code16)</f>
        <v>0</v>
      </c>
      <c r="AZ73" s="131">
        <f>COUNTIF(ParicipationMai1[[#This Row],[1]:[31]],Code17)</f>
        <v>0</v>
      </c>
      <c r="BA73" s="131">
        <f>COUNTIF(ParicipationMai1[[#This Row],[1]:[31]],Code26)</f>
        <v>0</v>
      </c>
      <c r="BB73" s="131">
        <f>COUNTIF(ParicipationMai1[[#This Row],[1]:[31]],Code27)</f>
        <v>0</v>
      </c>
      <c r="BC73" s="131">
        <f>COUNTIF(ParicipationMai1[[#This Row],[1]:[31]],Code27)</f>
        <v>0</v>
      </c>
      <c r="BD73" s="131">
        <f>COUNTIF(ParicipationMai1[[#This Row],[1]:[31]],Code28)</f>
        <v>0</v>
      </c>
      <c r="BE73" s="131">
        <f>COUNTIF(ParicipationMai1[[#This Row],[1]:[31]],code30)</f>
        <v>0</v>
      </c>
      <c r="BF73" s="131">
        <f>COUNTIF(ParicipationMai1[[#This Row],[1]:[31]],Code31)</f>
        <v>0</v>
      </c>
      <c r="BG73" s="131">
        <f>COUNTIF(ParicipationMai1[[#This Row],[1]:[31]],code21)</f>
        <v>0</v>
      </c>
      <c r="BH73" s="131">
        <f>COUNTIF(ParicipationMai1[[#This Row],[1]:[31]],Code24)</f>
        <v>0</v>
      </c>
      <c r="BI73" s="568">
        <f>COUNTIF(ParicipationMai1[[#This Row],[1]:[31]],code18)</f>
        <v>0</v>
      </c>
      <c r="BJ73" s="568">
        <f>COUNTIF(ParicipationMai1[[#This Row],[1]:[31]],code19)</f>
        <v>0</v>
      </c>
      <c r="BK73" s="568">
        <f>COUNTIF(ParicipationMai1[[#This Row],[1]:[31]],code20)</f>
        <v>0</v>
      </c>
      <c r="BL73" s="548">
        <f>COUNTIF(ParicipationMai1[[#This Row],[1]:[31]],code29)</f>
        <v>0</v>
      </c>
      <c r="BM73" s="131"/>
      <c r="BN73" s="131"/>
      <c r="BO73" s="131"/>
      <c r="BP73" s="131"/>
      <c r="BQ73" s="131"/>
      <c r="BR73" s="131"/>
      <c r="BS73" s="131"/>
      <c r="BT73" s="131"/>
      <c r="BU73" s="131"/>
      <c r="BV73" s="131"/>
      <c r="BW73" s="131"/>
      <c r="BX73" s="131"/>
      <c r="BY73" s="131"/>
      <c r="BZ73" s="131"/>
      <c r="CA73" s="131"/>
      <c r="CB73" s="131"/>
      <c r="CC73" s="131"/>
      <c r="CD73" s="131"/>
      <c r="CE73" s="131"/>
      <c r="CF73" s="131"/>
      <c r="CG73" s="131"/>
      <c r="CH73" s="131"/>
      <c r="CI73" s="131"/>
      <c r="CJ73" s="131"/>
      <c r="CK73" s="131"/>
      <c r="CL73" s="131"/>
      <c r="CM73" s="131"/>
      <c r="CN73" s="131"/>
      <c r="CO73" s="131"/>
      <c r="CP73" s="131"/>
      <c r="CQ73" s="131"/>
      <c r="CR73" s="131"/>
      <c r="CS73" s="131"/>
      <c r="CT73" s="131"/>
      <c r="CU73" s="548"/>
      <c r="CV73" s="592">
        <f t="shared" si="0"/>
        <v>0</v>
      </c>
      <c r="CW73" s="575">
        <f t="shared" si="1"/>
        <v>0</v>
      </c>
      <c r="CX73" s="131">
        <f t="shared" si="2"/>
        <v>0</v>
      </c>
      <c r="CY73" s="170">
        <f t="shared" si="3"/>
        <v>0</v>
      </c>
    </row>
    <row r="74" spans="1:103">
      <c r="A74" s="405" t="s">
        <v>415</v>
      </c>
      <c r="B74" s="537" t="str">
        <f>IFERROR(VLOOKUP(ParicipationMai1[[#This Row],[Référence]],ListeÉtudiants1[],18,FALSE),"")</f>
        <v>HOSTI MATHIAS</v>
      </c>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546"/>
      <c r="AH74" s="132">
        <f>COUNTIF(ParicipationMai1[[1]:[31]],Code1)</f>
        <v>0</v>
      </c>
      <c r="AI74" s="538">
        <f>COUNTIF(ParicipationMai1[[1]:[31]],code22)</f>
        <v>0</v>
      </c>
      <c r="AJ74" s="132">
        <f>COUNTIF(ParicipationMai1[[#This Row],[1]:[31]],Code2)</f>
        <v>0</v>
      </c>
      <c r="AK74" s="132">
        <f>COUNTIF(ParicipationMai1[[#This Row],[1]:[31]],Code3)</f>
        <v>0</v>
      </c>
      <c r="AL74" s="132">
        <f>COUNTIF(ParicipationMai1[[#This Row],[1]:[31]],Code4)</f>
        <v>0</v>
      </c>
      <c r="AM74" s="132">
        <f>COUNTIF(ParicipationMai1[[#This Row],[1]:[31]],Code5)</f>
        <v>0</v>
      </c>
      <c r="AN74" s="132">
        <f>COUNTIF(ParicipationMai1[[#This Row],[1]:[31]],Code23)</f>
        <v>0</v>
      </c>
      <c r="AO74" s="132">
        <f>COUNTIF(ParicipationMai1[[#This Row],[1]:[31]],Code6)</f>
        <v>0</v>
      </c>
      <c r="AP74" s="132">
        <f>COUNTIF(ParicipationMai1[[#This Row],[1]:[31]],Code7)</f>
        <v>0</v>
      </c>
      <c r="AQ74" s="132">
        <f>COUNTIF(ParicipationMai1[[#This Row],[1]:[31]],Code8)</f>
        <v>0</v>
      </c>
      <c r="AR74" s="132">
        <f>COUNTIF(ParicipationMai1[[#This Row],[1]:[31]],Code9)</f>
        <v>0</v>
      </c>
      <c r="AS74" s="132">
        <f>COUNTIF(ParicipationMai1[[#This Row],[1]:[31]],Code10)</f>
        <v>0</v>
      </c>
      <c r="AT74" s="132">
        <f>COUNTIF(ParicipationMai1[[#This Row],[1]:[31]],Code11)</f>
        <v>0</v>
      </c>
      <c r="AU74" s="132">
        <f>COUNTIF(ParicipationMai1[[#This Row],[1]:[31]],Code12)</f>
        <v>0</v>
      </c>
      <c r="AV74" s="132">
        <f>COUNTIF(ParicipationMai1[[#This Row],[1]:[31]],Code13)</f>
        <v>0</v>
      </c>
      <c r="AW74" s="132">
        <f>COUNTIF(ParicipationMai1[[#This Row],[1]:[31]],Code14)</f>
        <v>0</v>
      </c>
      <c r="AX74" s="132">
        <f>COUNTIF(ParicipationMai1[[#This Row],[1]:[31]],Code15)</f>
        <v>0</v>
      </c>
      <c r="AY74" s="132">
        <f>COUNTIF(ParicipationMai1[[#This Row],[1]:[31]],Code16)</f>
        <v>0</v>
      </c>
      <c r="AZ74" s="132">
        <f>COUNTIF(ParicipationMai1[[#This Row],[1]:[31]],Code17)</f>
        <v>0</v>
      </c>
      <c r="BA74" s="132">
        <f>COUNTIF(ParicipationMai1[[#This Row],[1]:[31]],Code26)</f>
        <v>0</v>
      </c>
      <c r="BB74" s="132">
        <f>COUNTIF(ParicipationMai1[[#This Row],[1]:[31]],Code27)</f>
        <v>0</v>
      </c>
      <c r="BC74" s="132">
        <f>COUNTIF(ParicipationMai1[[#This Row],[1]:[31]],Code27)</f>
        <v>0</v>
      </c>
      <c r="BD74" s="132">
        <f>COUNTIF(ParicipationMai1[[#This Row],[1]:[31]],Code28)</f>
        <v>0</v>
      </c>
      <c r="BE74" s="132">
        <f>COUNTIF(ParicipationMai1[[#This Row],[1]:[31]],code30)</f>
        <v>0</v>
      </c>
      <c r="BF74" s="132">
        <f>COUNTIF(ParicipationMai1[[#This Row],[1]:[31]],Code31)</f>
        <v>0</v>
      </c>
      <c r="BG74" s="132">
        <f>COUNTIF(ParicipationMai1[[#This Row],[1]:[31]],code21)</f>
        <v>0</v>
      </c>
      <c r="BH74" s="132">
        <f>COUNTIF(ParicipationMai1[[#This Row],[1]:[31]],Code24)</f>
        <v>0</v>
      </c>
      <c r="BI74" s="579">
        <f>COUNTIF(ParicipationMai1[[#This Row],[1]:[31]],code18)</f>
        <v>0</v>
      </c>
      <c r="BJ74" s="579">
        <f>COUNTIF(ParicipationMai1[[#This Row],[1]:[31]],code19)</f>
        <v>0</v>
      </c>
      <c r="BK74" s="579">
        <f>COUNTIF(ParicipationMai1[[#This Row],[1]:[31]],code20)</f>
        <v>0</v>
      </c>
      <c r="BL74" s="547">
        <f>COUNTIF(ParicipationMai1[[#This Row],[1]:[31]],code29)</f>
        <v>0</v>
      </c>
      <c r="BM74" s="132"/>
      <c r="BN74" s="132"/>
      <c r="BO74" s="132"/>
      <c r="BP74" s="132"/>
      <c r="BQ74" s="132"/>
      <c r="BR74" s="132"/>
      <c r="BS74" s="132"/>
      <c r="BT74" s="132"/>
      <c r="BU74" s="132"/>
      <c r="BV74" s="132"/>
      <c r="BW74" s="132"/>
      <c r="BX74" s="132"/>
      <c r="BY74" s="132"/>
      <c r="BZ74" s="132"/>
      <c r="CA74" s="132"/>
      <c r="CB74" s="132"/>
      <c r="CC74" s="132"/>
      <c r="CD74" s="132"/>
      <c r="CE74" s="132"/>
      <c r="CF74" s="132"/>
      <c r="CG74" s="132"/>
      <c r="CH74" s="132"/>
      <c r="CI74" s="132"/>
      <c r="CJ74" s="132"/>
      <c r="CK74" s="132"/>
      <c r="CL74" s="132"/>
      <c r="CM74" s="132"/>
      <c r="CN74" s="132"/>
      <c r="CO74" s="132"/>
      <c r="CP74" s="132"/>
      <c r="CQ74" s="132"/>
      <c r="CR74" s="132"/>
      <c r="CS74" s="132"/>
      <c r="CT74" s="132"/>
      <c r="CU74" s="547"/>
      <c r="CV74" s="590">
        <f t="shared" si="0"/>
        <v>0</v>
      </c>
      <c r="CW74" s="573">
        <f t="shared" si="1"/>
        <v>0</v>
      </c>
      <c r="CX74" s="132">
        <f t="shared" si="2"/>
        <v>0</v>
      </c>
      <c r="CY74" s="500">
        <f t="shared" si="3"/>
        <v>0</v>
      </c>
    </row>
    <row r="75" spans="1:103">
      <c r="A75" s="406" t="s">
        <v>416</v>
      </c>
      <c r="B75" s="540" t="str">
        <f>IFERROR(VLOOKUP(ParicipationMai1[[#This Row],[Référence]],ListeÉtudiants1[],18,FALSE),"")</f>
        <v>ITSOTSO MEGGIE</v>
      </c>
      <c r="C75" s="406"/>
      <c r="D75" s="406"/>
      <c r="E75" s="406"/>
      <c r="F75" s="406"/>
      <c r="G75" s="406"/>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542"/>
      <c r="AH75" s="131">
        <f>COUNTIF(ParicipationMai1[[1]:[31]],Code1)</f>
        <v>0</v>
      </c>
      <c r="AI75" s="311">
        <f>COUNTIF(ParicipationMai1[[1]:[31]],code22)</f>
        <v>0</v>
      </c>
      <c r="AJ75" s="131">
        <f>COUNTIF(ParicipationMai1[[#This Row],[1]:[31]],Code2)</f>
        <v>0</v>
      </c>
      <c r="AK75" s="131">
        <f>COUNTIF(ParicipationMai1[[#This Row],[1]:[31]],Code3)</f>
        <v>0</v>
      </c>
      <c r="AL75" s="131">
        <f>COUNTIF(ParicipationMai1[[#This Row],[1]:[31]],Code4)</f>
        <v>0</v>
      </c>
      <c r="AM75" s="131">
        <f>COUNTIF(ParicipationMai1[[#This Row],[1]:[31]],Code5)</f>
        <v>0</v>
      </c>
      <c r="AN75" s="131">
        <f>COUNTIF(ParicipationMai1[[#This Row],[1]:[31]],Code23)</f>
        <v>0</v>
      </c>
      <c r="AO75" s="131">
        <f>COUNTIF(ParicipationMai1[[#This Row],[1]:[31]],Code6)</f>
        <v>0</v>
      </c>
      <c r="AP75" s="131">
        <f>COUNTIF(ParicipationMai1[[#This Row],[1]:[31]],Code7)</f>
        <v>0</v>
      </c>
      <c r="AQ75" s="131">
        <f>COUNTIF(ParicipationMai1[[#This Row],[1]:[31]],Code8)</f>
        <v>0</v>
      </c>
      <c r="AR75" s="131">
        <f>COUNTIF(ParicipationMai1[[#This Row],[1]:[31]],Code9)</f>
        <v>0</v>
      </c>
      <c r="AS75" s="131">
        <f>COUNTIF(ParicipationMai1[[#This Row],[1]:[31]],Code10)</f>
        <v>0</v>
      </c>
      <c r="AT75" s="131">
        <f>COUNTIF(ParicipationMai1[[#This Row],[1]:[31]],Code11)</f>
        <v>0</v>
      </c>
      <c r="AU75" s="131">
        <f>COUNTIF(ParicipationMai1[[#This Row],[1]:[31]],Code12)</f>
        <v>0</v>
      </c>
      <c r="AV75" s="131">
        <f>COUNTIF(ParicipationMai1[[#This Row],[1]:[31]],Code13)</f>
        <v>0</v>
      </c>
      <c r="AW75" s="131">
        <f>COUNTIF(ParicipationMai1[[#This Row],[1]:[31]],Code14)</f>
        <v>0</v>
      </c>
      <c r="AX75" s="131">
        <f>COUNTIF(ParicipationMai1[[#This Row],[1]:[31]],Code15)</f>
        <v>0</v>
      </c>
      <c r="AY75" s="131">
        <f>COUNTIF(ParicipationMai1[[#This Row],[1]:[31]],Code16)</f>
        <v>0</v>
      </c>
      <c r="AZ75" s="131">
        <f>COUNTIF(ParicipationMai1[[#This Row],[1]:[31]],Code17)</f>
        <v>0</v>
      </c>
      <c r="BA75" s="131">
        <f>COUNTIF(ParicipationMai1[[#This Row],[1]:[31]],Code26)</f>
        <v>0</v>
      </c>
      <c r="BB75" s="131">
        <f>COUNTIF(ParicipationMai1[[#This Row],[1]:[31]],Code27)</f>
        <v>0</v>
      </c>
      <c r="BC75" s="131">
        <f>COUNTIF(ParicipationMai1[[#This Row],[1]:[31]],Code27)</f>
        <v>0</v>
      </c>
      <c r="BD75" s="131">
        <f>COUNTIF(ParicipationMai1[[#This Row],[1]:[31]],Code28)</f>
        <v>0</v>
      </c>
      <c r="BE75" s="131">
        <f>COUNTIF(ParicipationMai1[[#This Row],[1]:[31]],code30)</f>
        <v>0</v>
      </c>
      <c r="BF75" s="131">
        <f>COUNTIF(ParicipationMai1[[#This Row],[1]:[31]],Code31)</f>
        <v>0</v>
      </c>
      <c r="BG75" s="131">
        <f>COUNTIF(ParicipationMai1[[#This Row],[1]:[31]],code21)</f>
        <v>0</v>
      </c>
      <c r="BH75" s="131">
        <f>COUNTIF(ParicipationMai1[[#This Row],[1]:[31]],Code24)</f>
        <v>0</v>
      </c>
      <c r="BI75" s="568">
        <f>COUNTIF(ParicipationMai1[[#This Row],[1]:[31]],code18)</f>
        <v>0</v>
      </c>
      <c r="BJ75" s="568">
        <f>COUNTIF(ParicipationMai1[[#This Row],[1]:[31]],code19)</f>
        <v>0</v>
      </c>
      <c r="BK75" s="568">
        <f>COUNTIF(ParicipationMai1[[#This Row],[1]:[31]],code20)</f>
        <v>0</v>
      </c>
      <c r="BL75" s="548">
        <f>COUNTIF(ParicipationMai1[[#This Row],[1]:[31]],code29)</f>
        <v>0</v>
      </c>
      <c r="BM75" s="131"/>
      <c r="BN75" s="131"/>
      <c r="BO75" s="131"/>
      <c r="BP75" s="131"/>
      <c r="BQ75" s="131"/>
      <c r="BR75" s="131"/>
      <c r="BS75" s="131"/>
      <c r="BT75" s="131"/>
      <c r="BU75" s="131"/>
      <c r="BV75" s="131"/>
      <c r="BW75" s="131"/>
      <c r="BX75" s="131"/>
      <c r="BY75" s="131"/>
      <c r="BZ75" s="131"/>
      <c r="CA75" s="131"/>
      <c r="CB75" s="131"/>
      <c r="CC75" s="131"/>
      <c r="CD75" s="131"/>
      <c r="CE75" s="131"/>
      <c r="CF75" s="131"/>
      <c r="CG75" s="131"/>
      <c r="CH75" s="131"/>
      <c r="CI75" s="131"/>
      <c r="CJ75" s="131"/>
      <c r="CK75" s="131"/>
      <c r="CL75" s="131"/>
      <c r="CM75" s="131"/>
      <c r="CN75" s="131"/>
      <c r="CO75" s="131"/>
      <c r="CP75" s="131"/>
      <c r="CQ75" s="131"/>
      <c r="CR75" s="131"/>
      <c r="CS75" s="131"/>
      <c r="CT75" s="131"/>
      <c r="CU75" s="548"/>
      <c r="CV75" s="592">
        <f t="shared" ref="CV75:CV138" si="4">SUM((AH75*1)+(AI75*1.5)+(AJ75*2)+(AK75*3)+(AP75*5)+(AQ75*6)+(AR75*7)+(AU75*2)+(AX75*3)+(AY75*4)+(AZ75*5)+(BB75*3)+(BA75*2)+(BG75*2)+(BC75*2)+(BD75*2))</f>
        <v>0</v>
      </c>
      <c r="CW75" s="575">
        <f t="shared" ref="CW75:CW138" si="5">SUM((AN75*1)+(AM75*2)+(AO75*3)+(AP75*4)+(AT75*5)+(AU75*7)+(AV75*7)+(AW75*7)+(AX75*4)+(AY75*3)+(BB75*2)+(BC75*4)+(AZ75*1)+(BG75*2)+(BA75*5)+(BD75*1))</f>
        <v>0</v>
      </c>
      <c r="CX75" s="131">
        <f t="shared" ref="CX75:CX138" si="6">BH75*1+BL75*3</f>
        <v>0</v>
      </c>
      <c r="CY75" s="170">
        <f t="shared" si="3"/>
        <v>0</v>
      </c>
    </row>
    <row r="76" spans="1:103">
      <c r="A76" s="405" t="s">
        <v>417</v>
      </c>
      <c r="B76" s="537" t="str">
        <f>IFERROR(VLOOKUP(ParicipationMai1[[#This Row],[Référence]],ListeÉtudiants1[],18,FALSE),"")</f>
        <v>JACQUIN  LAURENE</v>
      </c>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546"/>
      <c r="AH76" s="132">
        <f>COUNTIF(ParicipationMai1[[1]:[31]],Code1)</f>
        <v>0</v>
      </c>
      <c r="AI76" s="538">
        <f>COUNTIF(ParicipationMai1[[1]:[31]],code22)</f>
        <v>0</v>
      </c>
      <c r="AJ76" s="132">
        <f>COUNTIF(ParicipationMai1[[#This Row],[1]:[31]],Code2)</f>
        <v>0</v>
      </c>
      <c r="AK76" s="132">
        <f>COUNTIF(ParicipationMai1[[#This Row],[1]:[31]],Code3)</f>
        <v>0</v>
      </c>
      <c r="AL76" s="132">
        <f>COUNTIF(ParicipationMai1[[#This Row],[1]:[31]],Code4)</f>
        <v>0</v>
      </c>
      <c r="AM76" s="132">
        <f>COUNTIF(ParicipationMai1[[#This Row],[1]:[31]],Code5)</f>
        <v>0</v>
      </c>
      <c r="AN76" s="132">
        <f>COUNTIF(ParicipationMai1[[#This Row],[1]:[31]],Code23)</f>
        <v>0</v>
      </c>
      <c r="AO76" s="132">
        <f>COUNTIF(ParicipationMai1[[#This Row],[1]:[31]],Code6)</f>
        <v>0</v>
      </c>
      <c r="AP76" s="132">
        <f>COUNTIF(ParicipationMai1[[#This Row],[1]:[31]],Code7)</f>
        <v>0</v>
      </c>
      <c r="AQ76" s="132">
        <f>COUNTIF(ParicipationMai1[[#This Row],[1]:[31]],Code8)</f>
        <v>0</v>
      </c>
      <c r="AR76" s="132">
        <f>COUNTIF(ParicipationMai1[[#This Row],[1]:[31]],Code9)</f>
        <v>0</v>
      </c>
      <c r="AS76" s="132">
        <f>COUNTIF(ParicipationMai1[[#This Row],[1]:[31]],Code10)</f>
        <v>0</v>
      </c>
      <c r="AT76" s="132">
        <f>COUNTIF(ParicipationMai1[[#This Row],[1]:[31]],Code11)</f>
        <v>0</v>
      </c>
      <c r="AU76" s="132">
        <f>COUNTIF(ParicipationMai1[[#This Row],[1]:[31]],Code12)</f>
        <v>0</v>
      </c>
      <c r="AV76" s="132">
        <f>COUNTIF(ParicipationMai1[[#This Row],[1]:[31]],Code13)</f>
        <v>0</v>
      </c>
      <c r="AW76" s="132">
        <f>COUNTIF(ParicipationMai1[[#This Row],[1]:[31]],Code14)</f>
        <v>0</v>
      </c>
      <c r="AX76" s="132">
        <f>COUNTIF(ParicipationMai1[[#This Row],[1]:[31]],Code15)</f>
        <v>0</v>
      </c>
      <c r="AY76" s="132">
        <f>COUNTIF(ParicipationMai1[[#This Row],[1]:[31]],Code16)</f>
        <v>0</v>
      </c>
      <c r="AZ76" s="132">
        <f>COUNTIF(ParicipationMai1[[#This Row],[1]:[31]],Code17)</f>
        <v>0</v>
      </c>
      <c r="BA76" s="132">
        <f>COUNTIF(ParicipationMai1[[#This Row],[1]:[31]],Code26)</f>
        <v>0</v>
      </c>
      <c r="BB76" s="132">
        <f>COUNTIF(ParicipationMai1[[#This Row],[1]:[31]],Code27)</f>
        <v>0</v>
      </c>
      <c r="BC76" s="132">
        <f>COUNTIF(ParicipationMai1[[#This Row],[1]:[31]],Code27)</f>
        <v>0</v>
      </c>
      <c r="BD76" s="132">
        <f>COUNTIF(ParicipationMai1[[#This Row],[1]:[31]],Code28)</f>
        <v>0</v>
      </c>
      <c r="BE76" s="132">
        <f>COUNTIF(ParicipationMai1[[#This Row],[1]:[31]],code30)</f>
        <v>0</v>
      </c>
      <c r="BF76" s="132">
        <f>COUNTIF(ParicipationMai1[[#This Row],[1]:[31]],Code31)</f>
        <v>0</v>
      </c>
      <c r="BG76" s="132">
        <f>COUNTIF(ParicipationMai1[[#This Row],[1]:[31]],code21)</f>
        <v>0</v>
      </c>
      <c r="BH76" s="132">
        <f>COUNTIF(ParicipationMai1[[#This Row],[1]:[31]],Code24)</f>
        <v>0</v>
      </c>
      <c r="BI76" s="579">
        <f>COUNTIF(ParicipationMai1[[#This Row],[1]:[31]],code18)</f>
        <v>0</v>
      </c>
      <c r="BJ76" s="579">
        <f>COUNTIF(ParicipationMai1[[#This Row],[1]:[31]],code19)</f>
        <v>0</v>
      </c>
      <c r="BK76" s="579">
        <f>COUNTIF(ParicipationMai1[[#This Row],[1]:[31]],code20)</f>
        <v>0</v>
      </c>
      <c r="BL76" s="547">
        <f>COUNTIF(ParicipationMai1[[#This Row],[1]:[31]],code29)</f>
        <v>0</v>
      </c>
      <c r="BM76" s="132"/>
      <c r="BN76" s="132"/>
      <c r="BO76" s="132"/>
      <c r="BP76" s="132"/>
      <c r="BQ76" s="132"/>
      <c r="BR76" s="132"/>
      <c r="BS76" s="132"/>
      <c r="BT76" s="132"/>
      <c r="BU76" s="132"/>
      <c r="BV76" s="132"/>
      <c r="BW76" s="132"/>
      <c r="BX76" s="132"/>
      <c r="BY76" s="132"/>
      <c r="BZ76" s="132"/>
      <c r="CA76" s="132"/>
      <c r="CB76" s="132"/>
      <c r="CC76" s="132"/>
      <c r="CD76" s="132"/>
      <c r="CE76" s="132"/>
      <c r="CF76" s="132"/>
      <c r="CG76" s="132"/>
      <c r="CH76" s="132"/>
      <c r="CI76" s="132"/>
      <c r="CJ76" s="132"/>
      <c r="CK76" s="132"/>
      <c r="CL76" s="132"/>
      <c r="CM76" s="132"/>
      <c r="CN76" s="132"/>
      <c r="CO76" s="132"/>
      <c r="CP76" s="132"/>
      <c r="CQ76" s="132"/>
      <c r="CR76" s="132"/>
      <c r="CS76" s="132"/>
      <c r="CT76" s="132"/>
      <c r="CU76" s="547"/>
      <c r="CV76" s="590">
        <f t="shared" si="4"/>
        <v>0</v>
      </c>
      <c r="CW76" s="573">
        <f t="shared" si="5"/>
        <v>0</v>
      </c>
      <c r="CX76" s="132">
        <f t="shared" si="6"/>
        <v>0</v>
      </c>
      <c r="CY76" s="500">
        <f t="shared" ref="CY76:CY139" si="7">SUM((BI76*7),(BJ76*10),(BK76*12))</f>
        <v>0</v>
      </c>
    </row>
    <row r="77" spans="1:103">
      <c r="A77" s="406" t="s">
        <v>418</v>
      </c>
      <c r="B77" s="540" t="str">
        <f>IFERROR(VLOOKUP(ParicipationMai1[[#This Row],[Référence]],ListeÉtudiants1[],18,FALSE),"")</f>
        <v>JOSEPH PALOUNA</v>
      </c>
      <c r="C77" s="406"/>
      <c r="D77" s="406"/>
      <c r="E77" s="406"/>
      <c r="F77" s="406"/>
      <c r="G77" s="406"/>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542"/>
      <c r="AH77" s="131">
        <f>COUNTIF(ParicipationMai1[[1]:[31]],Code1)</f>
        <v>0</v>
      </c>
      <c r="AI77" s="311">
        <f>COUNTIF(ParicipationMai1[[1]:[31]],code22)</f>
        <v>0</v>
      </c>
      <c r="AJ77" s="131">
        <f>COUNTIF(ParicipationMai1[[#This Row],[1]:[31]],Code2)</f>
        <v>0</v>
      </c>
      <c r="AK77" s="131">
        <f>COUNTIF(ParicipationMai1[[#This Row],[1]:[31]],Code3)</f>
        <v>0</v>
      </c>
      <c r="AL77" s="131">
        <f>COUNTIF(ParicipationMai1[[#This Row],[1]:[31]],Code4)</f>
        <v>0</v>
      </c>
      <c r="AM77" s="131">
        <f>COUNTIF(ParicipationMai1[[#This Row],[1]:[31]],Code5)</f>
        <v>0</v>
      </c>
      <c r="AN77" s="131">
        <f>COUNTIF(ParicipationMai1[[#This Row],[1]:[31]],Code23)</f>
        <v>0</v>
      </c>
      <c r="AO77" s="131">
        <f>COUNTIF(ParicipationMai1[[#This Row],[1]:[31]],Code6)</f>
        <v>0</v>
      </c>
      <c r="AP77" s="131">
        <f>COUNTIF(ParicipationMai1[[#This Row],[1]:[31]],Code7)</f>
        <v>0</v>
      </c>
      <c r="AQ77" s="131">
        <f>COUNTIF(ParicipationMai1[[#This Row],[1]:[31]],Code8)</f>
        <v>0</v>
      </c>
      <c r="AR77" s="131">
        <f>COUNTIF(ParicipationMai1[[#This Row],[1]:[31]],Code9)</f>
        <v>0</v>
      </c>
      <c r="AS77" s="131">
        <f>COUNTIF(ParicipationMai1[[#This Row],[1]:[31]],Code10)</f>
        <v>0</v>
      </c>
      <c r="AT77" s="131">
        <f>COUNTIF(ParicipationMai1[[#This Row],[1]:[31]],Code11)</f>
        <v>0</v>
      </c>
      <c r="AU77" s="131">
        <f>COUNTIF(ParicipationMai1[[#This Row],[1]:[31]],Code12)</f>
        <v>0</v>
      </c>
      <c r="AV77" s="131">
        <f>COUNTIF(ParicipationMai1[[#This Row],[1]:[31]],Code13)</f>
        <v>0</v>
      </c>
      <c r="AW77" s="131">
        <f>COUNTIF(ParicipationMai1[[#This Row],[1]:[31]],Code14)</f>
        <v>0</v>
      </c>
      <c r="AX77" s="131">
        <f>COUNTIF(ParicipationMai1[[#This Row],[1]:[31]],Code15)</f>
        <v>0</v>
      </c>
      <c r="AY77" s="131">
        <f>COUNTIF(ParicipationMai1[[#This Row],[1]:[31]],Code16)</f>
        <v>0</v>
      </c>
      <c r="AZ77" s="131">
        <f>COUNTIF(ParicipationMai1[[#This Row],[1]:[31]],Code17)</f>
        <v>0</v>
      </c>
      <c r="BA77" s="131">
        <f>COUNTIF(ParicipationMai1[[#This Row],[1]:[31]],Code26)</f>
        <v>0</v>
      </c>
      <c r="BB77" s="131">
        <f>COUNTIF(ParicipationMai1[[#This Row],[1]:[31]],Code27)</f>
        <v>0</v>
      </c>
      <c r="BC77" s="131">
        <f>COUNTIF(ParicipationMai1[[#This Row],[1]:[31]],Code27)</f>
        <v>0</v>
      </c>
      <c r="BD77" s="131">
        <f>COUNTIF(ParicipationMai1[[#This Row],[1]:[31]],Code28)</f>
        <v>0</v>
      </c>
      <c r="BE77" s="131">
        <f>COUNTIF(ParicipationMai1[[#This Row],[1]:[31]],code30)</f>
        <v>0</v>
      </c>
      <c r="BF77" s="131">
        <f>COUNTIF(ParicipationMai1[[#This Row],[1]:[31]],Code31)</f>
        <v>0</v>
      </c>
      <c r="BG77" s="131">
        <f>COUNTIF(ParicipationMai1[[#This Row],[1]:[31]],code21)</f>
        <v>0</v>
      </c>
      <c r="BH77" s="131">
        <f>COUNTIF(ParicipationMai1[[#This Row],[1]:[31]],Code24)</f>
        <v>0</v>
      </c>
      <c r="BI77" s="568">
        <f>COUNTIF(ParicipationMai1[[#This Row],[1]:[31]],code18)</f>
        <v>0</v>
      </c>
      <c r="BJ77" s="568">
        <f>COUNTIF(ParicipationMai1[[#This Row],[1]:[31]],code19)</f>
        <v>0</v>
      </c>
      <c r="BK77" s="568">
        <f>COUNTIF(ParicipationMai1[[#This Row],[1]:[31]],code20)</f>
        <v>0</v>
      </c>
      <c r="BL77" s="548">
        <f>COUNTIF(ParicipationMai1[[#This Row],[1]:[31]],code29)</f>
        <v>0</v>
      </c>
      <c r="BM77" s="131"/>
      <c r="BN77" s="131"/>
      <c r="BO77" s="131"/>
      <c r="BP77" s="131"/>
      <c r="BQ77" s="131"/>
      <c r="BR77" s="131"/>
      <c r="BS77" s="131"/>
      <c r="BT77" s="131"/>
      <c r="BU77" s="131"/>
      <c r="BV77" s="131"/>
      <c r="BW77" s="131"/>
      <c r="BX77" s="131"/>
      <c r="BY77" s="131"/>
      <c r="BZ77" s="131"/>
      <c r="CA77" s="131"/>
      <c r="CB77" s="131"/>
      <c r="CC77" s="131"/>
      <c r="CD77" s="131"/>
      <c r="CE77" s="131"/>
      <c r="CF77" s="131"/>
      <c r="CG77" s="131"/>
      <c r="CH77" s="131"/>
      <c r="CI77" s="131"/>
      <c r="CJ77" s="131"/>
      <c r="CK77" s="131"/>
      <c r="CL77" s="131"/>
      <c r="CM77" s="131"/>
      <c r="CN77" s="131"/>
      <c r="CO77" s="131"/>
      <c r="CP77" s="131"/>
      <c r="CQ77" s="131"/>
      <c r="CR77" s="131"/>
      <c r="CS77" s="131"/>
      <c r="CT77" s="131"/>
      <c r="CU77" s="548"/>
      <c r="CV77" s="592">
        <f t="shared" si="4"/>
        <v>0</v>
      </c>
      <c r="CW77" s="575">
        <f t="shared" si="5"/>
        <v>0</v>
      </c>
      <c r="CX77" s="131">
        <f t="shared" si="6"/>
        <v>0</v>
      </c>
      <c r="CY77" s="170">
        <f t="shared" si="7"/>
        <v>0</v>
      </c>
    </row>
    <row r="78" spans="1:103">
      <c r="A78" s="405" t="s">
        <v>419</v>
      </c>
      <c r="B78" s="537" t="str">
        <f>IFERROR(VLOOKUP(ParicipationMai1[[#This Row],[Référence]],ListeÉtudiants1[],18,FALSE),"")</f>
        <v>JUAN DORINE</v>
      </c>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546"/>
      <c r="AH78" s="132">
        <f>COUNTIF(ParicipationMai1[[1]:[31]],Code1)</f>
        <v>0</v>
      </c>
      <c r="AI78" s="538">
        <f>COUNTIF(ParicipationMai1[[1]:[31]],code22)</f>
        <v>0</v>
      </c>
      <c r="AJ78" s="132">
        <f>COUNTIF(ParicipationMai1[[#This Row],[1]:[31]],Code2)</f>
        <v>0</v>
      </c>
      <c r="AK78" s="132">
        <f>COUNTIF(ParicipationMai1[[#This Row],[1]:[31]],Code3)</f>
        <v>0</v>
      </c>
      <c r="AL78" s="132">
        <f>COUNTIF(ParicipationMai1[[#This Row],[1]:[31]],Code4)</f>
        <v>0</v>
      </c>
      <c r="AM78" s="132">
        <f>COUNTIF(ParicipationMai1[[#This Row],[1]:[31]],Code5)</f>
        <v>0</v>
      </c>
      <c r="AN78" s="132">
        <f>COUNTIF(ParicipationMai1[[#This Row],[1]:[31]],Code23)</f>
        <v>0</v>
      </c>
      <c r="AO78" s="132">
        <f>COUNTIF(ParicipationMai1[[#This Row],[1]:[31]],Code6)</f>
        <v>0</v>
      </c>
      <c r="AP78" s="132">
        <f>COUNTIF(ParicipationMai1[[#This Row],[1]:[31]],Code7)</f>
        <v>0</v>
      </c>
      <c r="AQ78" s="132">
        <f>COUNTIF(ParicipationMai1[[#This Row],[1]:[31]],Code8)</f>
        <v>0</v>
      </c>
      <c r="AR78" s="132">
        <f>COUNTIF(ParicipationMai1[[#This Row],[1]:[31]],Code9)</f>
        <v>0</v>
      </c>
      <c r="AS78" s="132">
        <f>COUNTIF(ParicipationMai1[[#This Row],[1]:[31]],Code10)</f>
        <v>0</v>
      </c>
      <c r="AT78" s="132">
        <f>COUNTIF(ParicipationMai1[[#This Row],[1]:[31]],Code11)</f>
        <v>0</v>
      </c>
      <c r="AU78" s="132">
        <f>COUNTIF(ParicipationMai1[[#This Row],[1]:[31]],Code12)</f>
        <v>0</v>
      </c>
      <c r="AV78" s="132">
        <f>COUNTIF(ParicipationMai1[[#This Row],[1]:[31]],Code13)</f>
        <v>0</v>
      </c>
      <c r="AW78" s="132">
        <f>COUNTIF(ParicipationMai1[[#This Row],[1]:[31]],Code14)</f>
        <v>0</v>
      </c>
      <c r="AX78" s="132">
        <f>COUNTIF(ParicipationMai1[[#This Row],[1]:[31]],Code15)</f>
        <v>0</v>
      </c>
      <c r="AY78" s="132">
        <f>COUNTIF(ParicipationMai1[[#This Row],[1]:[31]],Code16)</f>
        <v>0</v>
      </c>
      <c r="AZ78" s="132">
        <f>COUNTIF(ParicipationMai1[[#This Row],[1]:[31]],Code17)</f>
        <v>0</v>
      </c>
      <c r="BA78" s="132">
        <f>COUNTIF(ParicipationMai1[[#This Row],[1]:[31]],Code26)</f>
        <v>0</v>
      </c>
      <c r="BB78" s="132">
        <f>COUNTIF(ParicipationMai1[[#This Row],[1]:[31]],Code27)</f>
        <v>0</v>
      </c>
      <c r="BC78" s="132">
        <f>COUNTIF(ParicipationMai1[[#This Row],[1]:[31]],Code27)</f>
        <v>0</v>
      </c>
      <c r="BD78" s="132">
        <f>COUNTIF(ParicipationMai1[[#This Row],[1]:[31]],Code28)</f>
        <v>0</v>
      </c>
      <c r="BE78" s="132">
        <f>COUNTIF(ParicipationMai1[[#This Row],[1]:[31]],code30)</f>
        <v>0</v>
      </c>
      <c r="BF78" s="132">
        <f>COUNTIF(ParicipationMai1[[#This Row],[1]:[31]],Code31)</f>
        <v>0</v>
      </c>
      <c r="BG78" s="132">
        <f>COUNTIF(ParicipationMai1[[#This Row],[1]:[31]],code21)</f>
        <v>0</v>
      </c>
      <c r="BH78" s="132">
        <f>COUNTIF(ParicipationMai1[[#This Row],[1]:[31]],Code24)</f>
        <v>0</v>
      </c>
      <c r="BI78" s="579">
        <f>COUNTIF(ParicipationMai1[[#This Row],[1]:[31]],code18)</f>
        <v>0</v>
      </c>
      <c r="BJ78" s="579">
        <f>COUNTIF(ParicipationMai1[[#This Row],[1]:[31]],code19)</f>
        <v>0</v>
      </c>
      <c r="BK78" s="579">
        <f>COUNTIF(ParicipationMai1[[#This Row],[1]:[31]],code20)</f>
        <v>0</v>
      </c>
      <c r="BL78" s="547">
        <f>COUNTIF(ParicipationMai1[[#This Row],[1]:[31]],code29)</f>
        <v>0</v>
      </c>
      <c r="BM78" s="132"/>
      <c r="BN78" s="132"/>
      <c r="BO78" s="132"/>
      <c r="BP78" s="132"/>
      <c r="BQ78" s="132"/>
      <c r="BR78" s="132"/>
      <c r="BS78" s="132"/>
      <c r="BT78" s="132"/>
      <c r="BU78" s="132"/>
      <c r="BV78" s="132"/>
      <c r="BW78" s="132"/>
      <c r="BX78" s="132"/>
      <c r="BY78" s="132"/>
      <c r="BZ78" s="132"/>
      <c r="CA78" s="132"/>
      <c r="CB78" s="132"/>
      <c r="CC78" s="132"/>
      <c r="CD78" s="132"/>
      <c r="CE78" s="132"/>
      <c r="CF78" s="132"/>
      <c r="CG78" s="132"/>
      <c r="CH78" s="132"/>
      <c r="CI78" s="132"/>
      <c r="CJ78" s="132"/>
      <c r="CK78" s="132"/>
      <c r="CL78" s="132"/>
      <c r="CM78" s="132"/>
      <c r="CN78" s="132"/>
      <c r="CO78" s="132"/>
      <c r="CP78" s="132"/>
      <c r="CQ78" s="132"/>
      <c r="CR78" s="132"/>
      <c r="CS78" s="132"/>
      <c r="CT78" s="132"/>
      <c r="CU78" s="547"/>
      <c r="CV78" s="590">
        <f t="shared" si="4"/>
        <v>0</v>
      </c>
      <c r="CW78" s="573">
        <f t="shared" si="5"/>
        <v>0</v>
      </c>
      <c r="CX78" s="132">
        <f t="shared" si="6"/>
        <v>0</v>
      </c>
      <c r="CY78" s="500">
        <f t="shared" si="7"/>
        <v>0</v>
      </c>
    </row>
    <row r="79" spans="1:103">
      <c r="A79" s="406" t="s">
        <v>420</v>
      </c>
      <c r="B79" s="540" t="str">
        <f>IFERROR(VLOOKUP(ParicipationMai1[[#This Row],[Référence]],ListeÉtudiants1[],18,FALSE),"")</f>
        <v>KABOL HELENA</v>
      </c>
      <c r="C79" s="406"/>
      <c r="D79" s="406"/>
      <c r="E79" s="406"/>
      <c r="F79" s="406"/>
      <c r="G79" s="406"/>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542"/>
      <c r="AH79" s="131">
        <f>COUNTIF(ParicipationMai1[[1]:[31]],Code1)</f>
        <v>0</v>
      </c>
      <c r="AI79" s="311">
        <f>COUNTIF(ParicipationMai1[[1]:[31]],code22)</f>
        <v>0</v>
      </c>
      <c r="AJ79" s="131">
        <f>COUNTIF(ParicipationMai1[[#This Row],[1]:[31]],Code2)</f>
        <v>0</v>
      </c>
      <c r="AK79" s="131">
        <f>COUNTIF(ParicipationMai1[[#This Row],[1]:[31]],Code3)</f>
        <v>0</v>
      </c>
      <c r="AL79" s="131">
        <f>COUNTIF(ParicipationMai1[[#This Row],[1]:[31]],Code4)</f>
        <v>0</v>
      </c>
      <c r="AM79" s="131">
        <f>COUNTIF(ParicipationMai1[[#This Row],[1]:[31]],Code5)</f>
        <v>0</v>
      </c>
      <c r="AN79" s="131">
        <f>COUNTIF(ParicipationMai1[[#This Row],[1]:[31]],Code23)</f>
        <v>0</v>
      </c>
      <c r="AO79" s="131">
        <f>COUNTIF(ParicipationMai1[[#This Row],[1]:[31]],Code6)</f>
        <v>0</v>
      </c>
      <c r="AP79" s="131">
        <f>COUNTIF(ParicipationMai1[[#This Row],[1]:[31]],Code7)</f>
        <v>0</v>
      </c>
      <c r="AQ79" s="131">
        <f>COUNTIF(ParicipationMai1[[#This Row],[1]:[31]],Code8)</f>
        <v>0</v>
      </c>
      <c r="AR79" s="131">
        <f>COUNTIF(ParicipationMai1[[#This Row],[1]:[31]],Code9)</f>
        <v>0</v>
      </c>
      <c r="AS79" s="131">
        <f>COUNTIF(ParicipationMai1[[#This Row],[1]:[31]],Code10)</f>
        <v>0</v>
      </c>
      <c r="AT79" s="131">
        <f>COUNTIF(ParicipationMai1[[#This Row],[1]:[31]],Code11)</f>
        <v>0</v>
      </c>
      <c r="AU79" s="131">
        <f>COUNTIF(ParicipationMai1[[#This Row],[1]:[31]],Code12)</f>
        <v>0</v>
      </c>
      <c r="AV79" s="131">
        <f>COUNTIF(ParicipationMai1[[#This Row],[1]:[31]],Code13)</f>
        <v>0</v>
      </c>
      <c r="AW79" s="131">
        <f>COUNTIF(ParicipationMai1[[#This Row],[1]:[31]],Code14)</f>
        <v>0</v>
      </c>
      <c r="AX79" s="131">
        <f>COUNTIF(ParicipationMai1[[#This Row],[1]:[31]],Code15)</f>
        <v>0</v>
      </c>
      <c r="AY79" s="131">
        <f>COUNTIF(ParicipationMai1[[#This Row],[1]:[31]],Code16)</f>
        <v>0</v>
      </c>
      <c r="AZ79" s="131">
        <f>COUNTIF(ParicipationMai1[[#This Row],[1]:[31]],Code17)</f>
        <v>0</v>
      </c>
      <c r="BA79" s="131">
        <f>COUNTIF(ParicipationMai1[[#This Row],[1]:[31]],Code26)</f>
        <v>0</v>
      </c>
      <c r="BB79" s="131">
        <f>COUNTIF(ParicipationMai1[[#This Row],[1]:[31]],Code27)</f>
        <v>0</v>
      </c>
      <c r="BC79" s="131">
        <f>COUNTIF(ParicipationMai1[[#This Row],[1]:[31]],Code27)</f>
        <v>0</v>
      </c>
      <c r="BD79" s="131">
        <f>COUNTIF(ParicipationMai1[[#This Row],[1]:[31]],Code28)</f>
        <v>0</v>
      </c>
      <c r="BE79" s="131">
        <f>COUNTIF(ParicipationMai1[[#This Row],[1]:[31]],code30)</f>
        <v>0</v>
      </c>
      <c r="BF79" s="131">
        <f>COUNTIF(ParicipationMai1[[#This Row],[1]:[31]],Code31)</f>
        <v>0</v>
      </c>
      <c r="BG79" s="131">
        <f>COUNTIF(ParicipationMai1[[#This Row],[1]:[31]],code21)</f>
        <v>0</v>
      </c>
      <c r="BH79" s="131">
        <f>COUNTIF(ParicipationMai1[[#This Row],[1]:[31]],Code24)</f>
        <v>0</v>
      </c>
      <c r="BI79" s="568">
        <f>COUNTIF(ParicipationMai1[[#This Row],[1]:[31]],code18)</f>
        <v>0</v>
      </c>
      <c r="BJ79" s="568">
        <f>COUNTIF(ParicipationMai1[[#This Row],[1]:[31]],code19)</f>
        <v>0</v>
      </c>
      <c r="BK79" s="568">
        <f>COUNTIF(ParicipationMai1[[#This Row],[1]:[31]],code20)</f>
        <v>0</v>
      </c>
      <c r="BL79" s="548">
        <f>COUNTIF(ParicipationMai1[[#This Row],[1]:[31]],code29)</f>
        <v>0</v>
      </c>
      <c r="BM79" s="131"/>
      <c r="BN79" s="131"/>
      <c r="BO79" s="131"/>
      <c r="BP79" s="131"/>
      <c r="BQ79" s="131"/>
      <c r="BR79" s="131"/>
      <c r="BS79" s="131"/>
      <c r="BT79" s="131"/>
      <c r="BU79" s="131"/>
      <c r="BV79" s="131"/>
      <c r="BW79" s="131"/>
      <c r="BX79" s="131"/>
      <c r="BY79" s="131"/>
      <c r="BZ79" s="131"/>
      <c r="CA79" s="131"/>
      <c r="CB79" s="131"/>
      <c r="CC79" s="131"/>
      <c r="CD79" s="131"/>
      <c r="CE79" s="131"/>
      <c r="CF79" s="131"/>
      <c r="CG79" s="131"/>
      <c r="CH79" s="131"/>
      <c r="CI79" s="131"/>
      <c r="CJ79" s="131"/>
      <c r="CK79" s="131"/>
      <c r="CL79" s="131"/>
      <c r="CM79" s="131"/>
      <c r="CN79" s="131"/>
      <c r="CO79" s="131"/>
      <c r="CP79" s="131"/>
      <c r="CQ79" s="131"/>
      <c r="CR79" s="131"/>
      <c r="CS79" s="131"/>
      <c r="CT79" s="131"/>
      <c r="CU79" s="548"/>
      <c r="CV79" s="592">
        <f t="shared" si="4"/>
        <v>0</v>
      </c>
      <c r="CW79" s="575">
        <f t="shared" si="5"/>
        <v>0</v>
      </c>
      <c r="CX79" s="131">
        <f t="shared" si="6"/>
        <v>0</v>
      </c>
      <c r="CY79" s="170">
        <f t="shared" si="7"/>
        <v>0</v>
      </c>
    </row>
    <row r="80" spans="1:103">
      <c r="A80" s="405" t="s">
        <v>421</v>
      </c>
      <c r="B80" s="537" t="str">
        <f>IFERROR(VLOOKUP(ParicipationMai1[[#This Row],[Référence]],ListeÉtudiants1[],18,FALSE),"")</f>
        <v>KANTE TIGUIDA</v>
      </c>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546"/>
      <c r="AH80" s="132">
        <f>COUNTIF(ParicipationMai1[[1]:[31]],Code1)</f>
        <v>0</v>
      </c>
      <c r="AI80" s="538">
        <f>COUNTIF(ParicipationMai1[[1]:[31]],code22)</f>
        <v>0</v>
      </c>
      <c r="AJ80" s="132">
        <f>COUNTIF(ParicipationMai1[[#This Row],[1]:[31]],Code2)</f>
        <v>0</v>
      </c>
      <c r="AK80" s="132">
        <f>COUNTIF(ParicipationMai1[[#This Row],[1]:[31]],Code3)</f>
        <v>0</v>
      </c>
      <c r="AL80" s="132">
        <f>COUNTIF(ParicipationMai1[[#This Row],[1]:[31]],Code4)</f>
        <v>0</v>
      </c>
      <c r="AM80" s="132">
        <f>COUNTIF(ParicipationMai1[[#This Row],[1]:[31]],Code5)</f>
        <v>0</v>
      </c>
      <c r="AN80" s="132">
        <f>COUNTIF(ParicipationMai1[[#This Row],[1]:[31]],Code23)</f>
        <v>0</v>
      </c>
      <c r="AO80" s="132">
        <f>COUNTIF(ParicipationMai1[[#This Row],[1]:[31]],Code6)</f>
        <v>0</v>
      </c>
      <c r="AP80" s="132">
        <f>COUNTIF(ParicipationMai1[[#This Row],[1]:[31]],Code7)</f>
        <v>0</v>
      </c>
      <c r="AQ80" s="132">
        <f>COUNTIF(ParicipationMai1[[#This Row],[1]:[31]],Code8)</f>
        <v>0</v>
      </c>
      <c r="AR80" s="132">
        <f>COUNTIF(ParicipationMai1[[#This Row],[1]:[31]],Code9)</f>
        <v>0</v>
      </c>
      <c r="AS80" s="132">
        <f>COUNTIF(ParicipationMai1[[#This Row],[1]:[31]],Code10)</f>
        <v>0</v>
      </c>
      <c r="AT80" s="132">
        <f>COUNTIF(ParicipationMai1[[#This Row],[1]:[31]],Code11)</f>
        <v>0</v>
      </c>
      <c r="AU80" s="132">
        <f>COUNTIF(ParicipationMai1[[#This Row],[1]:[31]],Code12)</f>
        <v>0</v>
      </c>
      <c r="AV80" s="132">
        <f>COUNTIF(ParicipationMai1[[#This Row],[1]:[31]],Code13)</f>
        <v>0</v>
      </c>
      <c r="AW80" s="132">
        <f>COUNTIF(ParicipationMai1[[#This Row],[1]:[31]],Code14)</f>
        <v>0</v>
      </c>
      <c r="AX80" s="132">
        <f>COUNTIF(ParicipationMai1[[#This Row],[1]:[31]],Code15)</f>
        <v>0</v>
      </c>
      <c r="AY80" s="132">
        <f>COUNTIF(ParicipationMai1[[#This Row],[1]:[31]],Code16)</f>
        <v>0</v>
      </c>
      <c r="AZ80" s="132">
        <f>COUNTIF(ParicipationMai1[[#This Row],[1]:[31]],Code17)</f>
        <v>0</v>
      </c>
      <c r="BA80" s="132">
        <f>COUNTIF(ParicipationMai1[[#This Row],[1]:[31]],Code26)</f>
        <v>0</v>
      </c>
      <c r="BB80" s="132">
        <f>COUNTIF(ParicipationMai1[[#This Row],[1]:[31]],Code27)</f>
        <v>0</v>
      </c>
      <c r="BC80" s="132">
        <f>COUNTIF(ParicipationMai1[[#This Row],[1]:[31]],Code27)</f>
        <v>0</v>
      </c>
      <c r="BD80" s="132">
        <f>COUNTIF(ParicipationMai1[[#This Row],[1]:[31]],Code28)</f>
        <v>0</v>
      </c>
      <c r="BE80" s="132">
        <f>COUNTIF(ParicipationMai1[[#This Row],[1]:[31]],code30)</f>
        <v>0</v>
      </c>
      <c r="BF80" s="132">
        <f>COUNTIF(ParicipationMai1[[#This Row],[1]:[31]],Code31)</f>
        <v>0</v>
      </c>
      <c r="BG80" s="132">
        <f>COUNTIF(ParicipationMai1[[#This Row],[1]:[31]],code21)</f>
        <v>0</v>
      </c>
      <c r="BH80" s="132">
        <f>COUNTIF(ParicipationMai1[[#This Row],[1]:[31]],Code24)</f>
        <v>0</v>
      </c>
      <c r="BI80" s="579">
        <f>COUNTIF(ParicipationMai1[[#This Row],[1]:[31]],code18)</f>
        <v>0</v>
      </c>
      <c r="BJ80" s="579">
        <f>COUNTIF(ParicipationMai1[[#This Row],[1]:[31]],code19)</f>
        <v>0</v>
      </c>
      <c r="BK80" s="579">
        <f>COUNTIF(ParicipationMai1[[#This Row],[1]:[31]],code20)</f>
        <v>0</v>
      </c>
      <c r="BL80" s="547">
        <f>COUNTIF(ParicipationMai1[[#This Row],[1]:[31]],code29)</f>
        <v>0</v>
      </c>
      <c r="BM80" s="132"/>
      <c r="BN80" s="132"/>
      <c r="BO80" s="132"/>
      <c r="BP80" s="132"/>
      <c r="BQ80" s="132"/>
      <c r="BR80" s="132"/>
      <c r="BS80" s="132"/>
      <c r="BT80" s="132"/>
      <c r="BU80" s="132"/>
      <c r="BV80" s="132"/>
      <c r="BW80" s="132"/>
      <c r="BX80" s="132"/>
      <c r="BY80" s="132"/>
      <c r="BZ80" s="132"/>
      <c r="CA80" s="132"/>
      <c r="CB80" s="132"/>
      <c r="CC80" s="132"/>
      <c r="CD80" s="132"/>
      <c r="CE80" s="132"/>
      <c r="CF80" s="132"/>
      <c r="CG80" s="132"/>
      <c r="CH80" s="132"/>
      <c r="CI80" s="132"/>
      <c r="CJ80" s="132"/>
      <c r="CK80" s="132"/>
      <c r="CL80" s="132"/>
      <c r="CM80" s="132"/>
      <c r="CN80" s="132"/>
      <c r="CO80" s="132"/>
      <c r="CP80" s="132"/>
      <c r="CQ80" s="132"/>
      <c r="CR80" s="132"/>
      <c r="CS80" s="132"/>
      <c r="CT80" s="132"/>
      <c r="CU80" s="547"/>
      <c r="CV80" s="590">
        <f t="shared" si="4"/>
        <v>0</v>
      </c>
      <c r="CW80" s="573">
        <f t="shared" si="5"/>
        <v>0</v>
      </c>
      <c r="CX80" s="132">
        <f t="shared" si="6"/>
        <v>0</v>
      </c>
      <c r="CY80" s="500">
        <f t="shared" si="7"/>
        <v>0</v>
      </c>
    </row>
    <row r="81" spans="1:103">
      <c r="A81" s="406" t="s">
        <v>422</v>
      </c>
      <c r="B81" s="540" t="str">
        <f>IFERROR(VLOOKUP(ParicipationMai1[[#This Row],[Référence]],ListeÉtudiants1[],18,FALSE),"")</f>
        <v>KERMESH NELLY</v>
      </c>
      <c r="C81" s="406"/>
      <c r="D81" s="406"/>
      <c r="E81" s="406"/>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542"/>
      <c r="AH81" s="131">
        <f>COUNTIF(ParicipationMai1[[1]:[31]],Code1)</f>
        <v>0</v>
      </c>
      <c r="AI81" s="311">
        <f>COUNTIF(ParicipationMai1[[1]:[31]],code22)</f>
        <v>0</v>
      </c>
      <c r="AJ81" s="131">
        <f>COUNTIF(ParicipationMai1[[#This Row],[1]:[31]],Code2)</f>
        <v>0</v>
      </c>
      <c r="AK81" s="131">
        <f>COUNTIF(ParicipationMai1[[#This Row],[1]:[31]],Code3)</f>
        <v>0</v>
      </c>
      <c r="AL81" s="131">
        <f>COUNTIF(ParicipationMai1[[#This Row],[1]:[31]],Code4)</f>
        <v>0</v>
      </c>
      <c r="AM81" s="131">
        <f>COUNTIF(ParicipationMai1[[#This Row],[1]:[31]],Code5)</f>
        <v>0</v>
      </c>
      <c r="AN81" s="131">
        <f>COUNTIF(ParicipationMai1[[#This Row],[1]:[31]],Code23)</f>
        <v>0</v>
      </c>
      <c r="AO81" s="131">
        <f>COUNTIF(ParicipationMai1[[#This Row],[1]:[31]],Code6)</f>
        <v>0</v>
      </c>
      <c r="AP81" s="131">
        <f>COUNTIF(ParicipationMai1[[#This Row],[1]:[31]],Code7)</f>
        <v>0</v>
      </c>
      <c r="AQ81" s="131">
        <f>COUNTIF(ParicipationMai1[[#This Row],[1]:[31]],Code8)</f>
        <v>0</v>
      </c>
      <c r="AR81" s="131">
        <f>COUNTIF(ParicipationMai1[[#This Row],[1]:[31]],Code9)</f>
        <v>0</v>
      </c>
      <c r="AS81" s="131">
        <f>COUNTIF(ParicipationMai1[[#This Row],[1]:[31]],Code10)</f>
        <v>0</v>
      </c>
      <c r="AT81" s="131">
        <f>COUNTIF(ParicipationMai1[[#This Row],[1]:[31]],Code11)</f>
        <v>0</v>
      </c>
      <c r="AU81" s="131">
        <f>COUNTIF(ParicipationMai1[[#This Row],[1]:[31]],Code12)</f>
        <v>0</v>
      </c>
      <c r="AV81" s="131">
        <f>COUNTIF(ParicipationMai1[[#This Row],[1]:[31]],Code13)</f>
        <v>0</v>
      </c>
      <c r="AW81" s="131">
        <f>COUNTIF(ParicipationMai1[[#This Row],[1]:[31]],Code14)</f>
        <v>0</v>
      </c>
      <c r="AX81" s="131">
        <f>COUNTIF(ParicipationMai1[[#This Row],[1]:[31]],Code15)</f>
        <v>0</v>
      </c>
      <c r="AY81" s="131">
        <f>COUNTIF(ParicipationMai1[[#This Row],[1]:[31]],Code16)</f>
        <v>0</v>
      </c>
      <c r="AZ81" s="131">
        <f>COUNTIF(ParicipationMai1[[#This Row],[1]:[31]],Code17)</f>
        <v>0</v>
      </c>
      <c r="BA81" s="131">
        <f>COUNTIF(ParicipationMai1[[#This Row],[1]:[31]],Code26)</f>
        <v>0</v>
      </c>
      <c r="BB81" s="131">
        <f>COUNTIF(ParicipationMai1[[#This Row],[1]:[31]],Code27)</f>
        <v>0</v>
      </c>
      <c r="BC81" s="131">
        <f>COUNTIF(ParicipationMai1[[#This Row],[1]:[31]],Code27)</f>
        <v>0</v>
      </c>
      <c r="BD81" s="131">
        <f>COUNTIF(ParicipationMai1[[#This Row],[1]:[31]],Code28)</f>
        <v>0</v>
      </c>
      <c r="BE81" s="131">
        <f>COUNTIF(ParicipationMai1[[#This Row],[1]:[31]],code30)</f>
        <v>0</v>
      </c>
      <c r="BF81" s="131">
        <f>COUNTIF(ParicipationMai1[[#This Row],[1]:[31]],Code31)</f>
        <v>0</v>
      </c>
      <c r="BG81" s="131">
        <f>COUNTIF(ParicipationMai1[[#This Row],[1]:[31]],code21)</f>
        <v>0</v>
      </c>
      <c r="BH81" s="131">
        <f>COUNTIF(ParicipationMai1[[#This Row],[1]:[31]],Code24)</f>
        <v>0</v>
      </c>
      <c r="BI81" s="568">
        <f>COUNTIF(ParicipationMai1[[#This Row],[1]:[31]],code18)</f>
        <v>0</v>
      </c>
      <c r="BJ81" s="568">
        <f>COUNTIF(ParicipationMai1[[#This Row],[1]:[31]],code19)</f>
        <v>0</v>
      </c>
      <c r="BK81" s="568">
        <f>COUNTIF(ParicipationMai1[[#This Row],[1]:[31]],code20)</f>
        <v>0</v>
      </c>
      <c r="BL81" s="548">
        <f>COUNTIF(ParicipationMai1[[#This Row],[1]:[31]],code29)</f>
        <v>0</v>
      </c>
      <c r="BM81" s="131"/>
      <c r="BN81" s="131"/>
      <c r="BO81" s="131"/>
      <c r="BP81" s="131"/>
      <c r="BQ81" s="131"/>
      <c r="BR81" s="131"/>
      <c r="BS81" s="131"/>
      <c r="BT81" s="131"/>
      <c r="BU81" s="131"/>
      <c r="BV81" s="131"/>
      <c r="BW81" s="131"/>
      <c r="BX81" s="131"/>
      <c r="BY81" s="131"/>
      <c r="BZ81" s="131"/>
      <c r="CA81" s="131"/>
      <c r="CB81" s="131"/>
      <c r="CC81" s="131"/>
      <c r="CD81" s="131"/>
      <c r="CE81" s="131"/>
      <c r="CF81" s="131"/>
      <c r="CG81" s="131"/>
      <c r="CH81" s="131"/>
      <c r="CI81" s="131"/>
      <c r="CJ81" s="131"/>
      <c r="CK81" s="131"/>
      <c r="CL81" s="131"/>
      <c r="CM81" s="131"/>
      <c r="CN81" s="131"/>
      <c r="CO81" s="131"/>
      <c r="CP81" s="131"/>
      <c r="CQ81" s="131"/>
      <c r="CR81" s="131"/>
      <c r="CS81" s="131"/>
      <c r="CT81" s="131"/>
      <c r="CU81" s="548"/>
      <c r="CV81" s="592">
        <f t="shared" si="4"/>
        <v>0</v>
      </c>
      <c r="CW81" s="575">
        <f t="shared" si="5"/>
        <v>0</v>
      </c>
      <c r="CX81" s="131">
        <f t="shared" si="6"/>
        <v>0</v>
      </c>
      <c r="CY81" s="170">
        <f t="shared" si="7"/>
        <v>0</v>
      </c>
    </row>
    <row r="82" spans="1:103">
      <c r="A82" s="405" t="s">
        <v>423</v>
      </c>
      <c r="B82" s="537" t="str">
        <f>IFERROR(VLOOKUP(ParicipationMai1[[#This Row],[Référence]],ListeÉtudiants1[],18,FALSE),"")</f>
        <v>KESSIE INES</v>
      </c>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c r="AA82" s="405"/>
      <c r="AB82" s="405"/>
      <c r="AC82" s="405"/>
      <c r="AD82" s="405"/>
      <c r="AE82" s="405"/>
      <c r="AF82" s="405"/>
      <c r="AG82" s="546"/>
      <c r="AH82" s="132">
        <f>COUNTIF(ParicipationMai1[[1]:[31]],Code1)</f>
        <v>0</v>
      </c>
      <c r="AI82" s="538">
        <f>COUNTIF(ParicipationMai1[[1]:[31]],code22)</f>
        <v>0</v>
      </c>
      <c r="AJ82" s="132">
        <f>COUNTIF(ParicipationMai1[[#This Row],[1]:[31]],Code2)</f>
        <v>0</v>
      </c>
      <c r="AK82" s="132">
        <f>COUNTIF(ParicipationMai1[[#This Row],[1]:[31]],Code3)</f>
        <v>0</v>
      </c>
      <c r="AL82" s="132">
        <f>COUNTIF(ParicipationMai1[[#This Row],[1]:[31]],Code4)</f>
        <v>0</v>
      </c>
      <c r="AM82" s="132">
        <f>COUNTIF(ParicipationMai1[[#This Row],[1]:[31]],Code5)</f>
        <v>0</v>
      </c>
      <c r="AN82" s="132">
        <f>COUNTIF(ParicipationMai1[[#This Row],[1]:[31]],Code23)</f>
        <v>0</v>
      </c>
      <c r="AO82" s="132">
        <f>COUNTIF(ParicipationMai1[[#This Row],[1]:[31]],Code6)</f>
        <v>0</v>
      </c>
      <c r="AP82" s="132">
        <f>COUNTIF(ParicipationMai1[[#This Row],[1]:[31]],Code7)</f>
        <v>0</v>
      </c>
      <c r="AQ82" s="132">
        <f>COUNTIF(ParicipationMai1[[#This Row],[1]:[31]],Code8)</f>
        <v>0</v>
      </c>
      <c r="AR82" s="132">
        <f>COUNTIF(ParicipationMai1[[#This Row],[1]:[31]],Code9)</f>
        <v>0</v>
      </c>
      <c r="AS82" s="132">
        <f>COUNTIF(ParicipationMai1[[#This Row],[1]:[31]],Code10)</f>
        <v>0</v>
      </c>
      <c r="AT82" s="132">
        <f>COUNTIF(ParicipationMai1[[#This Row],[1]:[31]],Code11)</f>
        <v>0</v>
      </c>
      <c r="AU82" s="132">
        <f>COUNTIF(ParicipationMai1[[#This Row],[1]:[31]],Code12)</f>
        <v>0</v>
      </c>
      <c r="AV82" s="132">
        <f>COUNTIF(ParicipationMai1[[#This Row],[1]:[31]],Code13)</f>
        <v>0</v>
      </c>
      <c r="AW82" s="132">
        <f>COUNTIF(ParicipationMai1[[#This Row],[1]:[31]],Code14)</f>
        <v>0</v>
      </c>
      <c r="AX82" s="132">
        <f>COUNTIF(ParicipationMai1[[#This Row],[1]:[31]],Code15)</f>
        <v>0</v>
      </c>
      <c r="AY82" s="132">
        <f>COUNTIF(ParicipationMai1[[#This Row],[1]:[31]],Code16)</f>
        <v>0</v>
      </c>
      <c r="AZ82" s="132">
        <f>COUNTIF(ParicipationMai1[[#This Row],[1]:[31]],Code17)</f>
        <v>0</v>
      </c>
      <c r="BA82" s="132">
        <f>COUNTIF(ParicipationMai1[[#This Row],[1]:[31]],Code26)</f>
        <v>0</v>
      </c>
      <c r="BB82" s="132">
        <f>COUNTIF(ParicipationMai1[[#This Row],[1]:[31]],Code27)</f>
        <v>0</v>
      </c>
      <c r="BC82" s="132">
        <f>COUNTIF(ParicipationMai1[[#This Row],[1]:[31]],Code27)</f>
        <v>0</v>
      </c>
      <c r="BD82" s="132">
        <f>COUNTIF(ParicipationMai1[[#This Row],[1]:[31]],Code28)</f>
        <v>0</v>
      </c>
      <c r="BE82" s="132">
        <f>COUNTIF(ParicipationMai1[[#This Row],[1]:[31]],code30)</f>
        <v>0</v>
      </c>
      <c r="BF82" s="132">
        <f>COUNTIF(ParicipationMai1[[#This Row],[1]:[31]],Code31)</f>
        <v>0</v>
      </c>
      <c r="BG82" s="132">
        <f>COUNTIF(ParicipationMai1[[#This Row],[1]:[31]],code21)</f>
        <v>0</v>
      </c>
      <c r="BH82" s="132">
        <f>COUNTIF(ParicipationMai1[[#This Row],[1]:[31]],Code24)</f>
        <v>0</v>
      </c>
      <c r="BI82" s="579">
        <f>COUNTIF(ParicipationMai1[[#This Row],[1]:[31]],code18)</f>
        <v>0</v>
      </c>
      <c r="BJ82" s="579">
        <f>COUNTIF(ParicipationMai1[[#This Row],[1]:[31]],code19)</f>
        <v>0</v>
      </c>
      <c r="BK82" s="579">
        <f>COUNTIF(ParicipationMai1[[#This Row],[1]:[31]],code20)</f>
        <v>0</v>
      </c>
      <c r="BL82" s="547">
        <f>COUNTIF(ParicipationMai1[[#This Row],[1]:[31]],code29)</f>
        <v>0</v>
      </c>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547"/>
      <c r="CV82" s="590">
        <f t="shared" si="4"/>
        <v>0</v>
      </c>
      <c r="CW82" s="573">
        <f t="shared" si="5"/>
        <v>0</v>
      </c>
      <c r="CX82" s="132">
        <f t="shared" si="6"/>
        <v>0</v>
      </c>
      <c r="CY82" s="500">
        <f t="shared" si="7"/>
        <v>0</v>
      </c>
    </row>
    <row r="83" spans="1:103">
      <c r="A83" s="406" t="s">
        <v>424</v>
      </c>
      <c r="B83" s="540" t="str">
        <f>IFERROR(VLOOKUP(ParicipationMai1[[#This Row],[Référence]],ListeÉtudiants1[],18,FALSE),"")</f>
        <v>KIFIA ALI HILDA</v>
      </c>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542"/>
      <c r="AH83" s="131">
        <f>COUNTIF(ParicipationMai1[[1]:[31]],Code1)</f>
        <v>0</v>
      </c>
      <c r="AI83" s="311">
        <f>COUNTIF(ParicipationMai1[[1]:[31]],code22)</f>
        <v>0</v>
      </c>
      <c r="AJ83" s="131">
        <f>COUNTIF(ParicipationMai1[[#This Row],[1]:[31]],Code2)</f>
        <v>0</v>
      </c>
      <c r="AK83" s="131">
        <f>COUNTIF(ParicipationMai1[[#This Row],[1]:[31]],Code3)</f>
        <v>0</v>
      </c>
      <c r="AL83" s="131">
        <f>COUNTIF(ParicipationMai1[[#This Row],[1]:[31]],Code4)</f>
        <v>0</v>
      </c>
      <c r="AM83" s="131">
        <f>COUNTIF(ParicipationMai1[[#This Row],[1]:[31]],Code5)</f>
        <v>0</v>
      </c>
      <c r="AN83" s="131">
        <f>COUNTIF(ParicipationMai1[[#This Row],[1]:[31]],Code23)</f>
        <v>0</v>
      </c>
      <c r="AO83" s="131">
        <f>COUNTIF(ParicipationMai1[[#This Row],[1]:[31]],Code6)</f>
        <v>0</v>
      </c>
      <c r="AP83" s="131">
        <f>COUNTIF(ParicipationMai1[[#This Row],[1]:[31]],Code7)</f>
        <v>0</v>
      </c>
      <c r="AQ83" s="131">
        <f>COUNTIF(ParicipationMai1[[#This Row],[1]:[31]],Code8)</f>
        <v>0</v>
      </c>
      <c r="AR83" s="131">
        <f>COUNTIF(ParicipationMai1[[#This Row],[1]:[31]],Code9)</f>
        <v>0</v>
      </c>
      <c r="AS83" s="131">
        <f>COUNTIF(ParicipationMai1[[#This Row],[1]:[31]],Code10)</f>
        <v>0</v>
      </c>
      <c r="AT83" s="131">
        <f>COUNTIF(ParicipationMai1[[#This Row],[1]:[31]],Code11)</f>
        <v>0</v>
      </c>
      <c r="AU83" s="131">
        <f>COUNTIF(ParicipationMai1[[#This Row],[1]:[31]],Code12)</f>
        <v>0</v>
      </c>
      <c r="AV83" s="131">
        <f>COUNTIF(ParicipationMai1[[#This Row],[1]:[31]],Code13)</f>
        <v>0</v>
      </c>
      <c r="AW83" s="131">
        <f>COUNTIF(ParicipationMai1[[#This Row],[1]:[31]],Code14)</f>
        <v>0</v>
      </c>
      <c r="AX83" s="131">
        <f>COUNTIF(ParicipationMai1[[#This Row],[1]:[31]],Code15)</f>
        <v>0</v>
      </c>
      <c r="AY83" s="131">
        <f>COUNTIF(ParicipationMai1[[#This Row],[1]:[31]],Code16)</f>
        <v>0</v>
      </c>
      <c r="AZ83" s="131">
        <f>COUNTIF(ParicipationMai1[[#This Row],[1]:[31]],Code17)</f>
        <v>0</v>
      </c>
      <c r="BA83" s="131">
        <f>COUNTIF(ParicipationMai1[[#This Row],[1]:[31]],Code26)</f>
        <v>0</v>
      </c>
      <c r="BB83" s="131">
        <f>COUNTIF(ParicipationMai1[[#This Row],[1]:[31]],Code27)</f>
        <v>0</v>
      </c>
      <c r="BC83" s="131">
        <f>COUNTIF(ParicipationMai1[[#This Row],[1]:[31]],Code27)</f>
        <v>0</v>
      </c>
      <c r="BD83" s="131">
        <f>COUNTIF(ParicipationMai1[[#This Row],[1]:[31]],Code28)</f>
        <v>0</v>
      </c>
      <c r="BE83" s="131">
        <f>COUNTIF(ParicipationMai1[[#This Row],[1]:[31]],code30)</f>
        <v>0</v>
      </c>
      <c r="BF83" s="131">
        <f>COUNTIF(ParicipationMai1[[#This Row],[1]:[31]],Code31)</f>
        <v>0</v>
      </c>
      <c r="BG83" s="131">
        <f>COUNTIF(ParicipationMai1[[#This Row],[1]:[31]],code21)</f>
        <v>0</v>
      </c>
      <c r="BH83" s="131">
        <f>COUNTIF(ParicipationMai1[[#This Row],[1]:[31]],Code24)</f>
        <v>0</v>
      </c>
      <c r="BI83" s="568">
        <f>COUNTIF(ParicipationMai1[[#This Row],[1]:[31]],code18)</f>
        <v>0</v>
      </c>
      <c r="BJ83" s="568">
        <f>COUNTIF(ParicipationMai1[[#This Row],[1]:[31]],code19)</f>
        <v>0</v>
      </c>
      <c r="BK83" s="568">
        <f>COUNTIF(ParicipationMai1[[#This Row],[1]:[31]],code20)</f>
        <v>0</v>
      </c>
      <c r="BL83" s="548">
        <f>COUNTIF(ParicipationMai1[[#This Row],[1]:[31]],code29)</f>
        <v>0</v>
      </c>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548"/>
      <c r="CV83" s="592">
        <f t="shared" si="4"/>
        <v>0</v>
      </c>
      <c r="CW83" s="575">
        <f t="shared" si="5"/>
        <v>0</v>
      </c>
      <c r="CX83" s="131">
        <f t="shared" si="6"/>
        <v>0</v>
      </c>
      <c r="CY83" s="170">
        <f t="shared" si="7"/>
        <v>0</v>
      </c>
    </row>
    <row r="84" spans="1:103">
      <c r="A84" s="405" t="s">
        <v>425</v>
      </c>
      <c r="B84" s="537" t="str">
        <f>IFERROR(VLOOKUP(ParicipationMai1[[#This Row],[Référence]],ListeÉtudiants1[],18,FALSE),"")</f>
        <v>KONATE FATOUMATA</v>
      </c>
      <c r="C84" s="405"/>
      <c r="D84" s="405"/>
      <c r="E84" s="405"/>
      <c r="F84" s="405"/>
      <c r="G84" s="405"/>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546"/>
      <c r="AH84" s="132">
        <f>COUNTIF(ParicipationMai1[[1]:[31]],Code1)</f>
        <v>0</v>
      </c>
      <c r="AI84" s="538">
        <f>COUNTIF(ParicipationMai1[[1]:[31]],code22)</f>
        <v>0</v>
      </c>
      <c r="AJ84" s="132">
        <f>COUNTIF(ParicipationMai1[[#This Row],[1]:[31]],Code2)</f>
        <v>0</v>
      </c>
      <c r="AK84" s="132">
        <f>COUNTIF(ParicipationMai1[[#This Row],[1]:[31]],Code3)</f>
        <v>0</v>
      </c>
      <c r="AL84" s="132">
        <f>COUNTIF(ParicipationMai1[[#This Row],[1]:[31]],Code4)</f>
        <v>0</v>
      </c>
      <c r="AM84" s="132">
        <f>COUNTIF(ParicipationMai1[[#This Row],[1]:[31]],Code5)</f>
        <v>0</v>
      </c>
      <c r="AN84" s="132">
        <f>COUNTIF(ParicipationMai1[[#This Row],[1]:[31]],Code23)</f>
        <v>0</v>
      </c>
      <c r="AO84" s="132">
        <f>COUNTIF(ParicipationMai1[[#This Row],[1]:[31]],Code6)</f>
        <v>0</v>
      </c>
      <c r="AP84" s="132">
        <f>COUNTIF(ParicipationMai1[[#This Row],[1]:[31]],Code7)</f>
        <v>0</v>
      </c>
      <c r="AQ84" s="132">
        <f>COUNTIF(ParicipationMai1[[#This Row],[1]:[31]],Code8)</f>
        <v>0</v>
      </c>
      <c r="AR84" s="132">
        <f>COUNTIF(ParicipationMai1[[#This Row],[1]:[31]],Code9)</f>
        <v>0</v>
      </c>
      <c r="AS84" s="132">
        <f>COUNTIF(ParicipationMai1[[#This Row],[1]:[31]],Code10)</f>
        <v>0</v>
      </c>
      <c r="AT84" s="132">
        <f>COUNTIF(ParicipationMai1[[#This Row],[1]:[31]],Code11)</f>
        <v>0</v>
      </c>
      <c r="AU84" s="132">
        <f>COUNTIF(ParicipationMai1[[#This Row],[1]:[31]],Code12)</f>
        <v>0</v>
      </c>
      <c r="AV84" s="132">
        <f>COUNTIF(ParicipationMai1[[#This Row],[1]:[31]],Code13)</f>
        <v>0</v>
      </c>
      <c r="AW84" s="132">
        <f>COUNTIF(ParicipationMai1[[#This Row],[1]:[31]],Code14)</f>
        <v>0</v>
      </c>
      <c r="AX84" s="132">
        <f>COUNTIF(ParicipationMai1[[#This Row],[1]:[31]],Code15)</f>
        <v>0</v>
      </c>
      <c r="AY84" s="132">
        <f>COUNTIF(ParicipationMai1[[#This Row],[1]:[31]],Code16)</f>
        <v>0</v>
      </c>
      <c r="AZ84" s="132">
        <f>COUNTIF(ParicipationMai1[[#This Row],[1]:[31]],Code17)</f>
        <v>0</v>
      </c>
      <c r="BA84" s="132">
        <f>COUNTIF(ParicipationMai1[[#This Row],[1]:[31]],Code26)</f>
        <v>0</v>
      </c>
      <c r="BB84" s="132">
        <f>COUNTIF(ParicipationMai1[[#This Row],[1]:[31]],Code27)</f>
        <v>0</v>
      </c>
      <c r="BC84" s="132">
        <f>COUNTIF(ParicipationMai1[[#This Row],[1]:[31]],Code27)</f>
        <v>0</v>
      </c>
      <c r="BD84" s="132">
        <f>COUNTIF(ParicipationMai1[[#This Row],[1]:[31]],Code28)</f>
        <v>0</v>
      </c>
      <c r="BE84" s="132">
        <f>COUNTIF(ParicipationMai1[[#This Row],[1]:[31]],code30)</f>
        <v>0</v>
      </c>
      <c r="BF84" s="132">
        <f>COUNTIF(ParicipationMai1[[#This Row],[1]:[31]],Code31)</f>
        <v>0</v>
      </c>
      <c r="BG84" s="132">
        <f>COUNTIF(ParicipationMai1[[#This Row],[1]:[31]],code21)</f>
        <v>0</v>
      </c>
      <c r="BH84" s="132">
        <f>COUNTIF(ParicipationMai1[[#This Row],[1]:[31]],Code24)</f>
        <v>0</v>
      </c>
      <c r="BI84" s="579">
        <f>COUNTIF(ParicipationMai1[[#This Row],[1]:[31]],code18)</f>
        <v>0</v>
      </c>
      <c r="BJ84" s="579">
        <f>COUNTIF(ParicipationMai1[[#This Row],[1]:[31]],code19)</f>
        <v>0</v>
      </c>
      <c r="BK84" s="579">
        <f>COUNTIF(ParicipationMai1[[#This Row],[1]:[31]],code20)</f>
        <v>0</v>
      </c>
      <c r="BL84" s="547">
        <f>COUNTIF(ParicipationMai1[[#This Row],[1]:[31]],code29)</f>
        <v>0</v>
      </c>
      <c r="BM84" s="132"/>
      <c r="BN84" s="132"/>
      <c r="BO84" s="132"/>
      <c r="BP84" s="132"/>
      <c r="BQ84" s="132"/>
      <c r="BR84" s="132"/>
      <c r="BS84" s="132"/>
      <c r="BT84" s="132"/>
      <c r="BU84" s="132"/>
      <c r="BV84" s="132"/>
      <c r="BW84" s="132"/>
      <c r="BX84" s="132"/>
      <c r="BY84" s="132"/>
      <c r="BZ84" s="132"/>
      <c r="CA84" s="132"/>
      <c r="CB84" s="132"/>
      <c r="CC84" s="132"/>
      <c r="CD84" s="132"/>
      <c r="CE84" s="132"/>
      <c r="CF84" s="132"/>
      <c r="CG84" s="132"/>
      <c r="CH84" s="132"/>
      <c r="CI84" s="132"/>
      <c r="CJ84" s="132"/>
      <c r="CK84" s="132"/>
      <c r="CL84" s="132"/>
      <c r="CM84" s="132"/>
      <c r="CN84" s="132"/>
      <c r="CO84" s="132"/>
      <c r="CP84" s="132"/>
      <c r="CQ84" s="132"/>
      <c r="CR84" s="132"/>
      <c r="CS84" s="132"/>
      <c r="CT84" s="132"/>
      <c r="CU84" s="547"/>
      <c r="CV84" s="590">
        <f t="shared" si="4"/>
        <v>0</v>
      </c>
      <c r="CW84" s="573">
        <f t="shared" si="5"/>
        <v>0</v>
      </c>
      <c r="CX84" s="132">
        <f t="shared" si="6"/>
        <v>0</v>
      </c>
      <c r="CY84" s="500">
        <f t="shared" si="7"/>
        <v>0</v>
      </c>
    </row>
    <row r="85" spans="1:103">
      <c r="A85" s="406" t="s">
        <v>426</v>
      </c>
      <c r="B85" s="540" t="str">
        <f>IFERROR(VLOOKUP(ParicipationMai1[[#This Row],[Référence]],ListeÉtudiants1[],18,FALSE),"")</f>
        <v>KRIR DINA</v>
      </c>
      <c r="C85" s="406"/>
      <c r="D85" s="406"/>
      <c r="E85" s="406"/>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542"/>
      <c r="AH85" s="131">
        <f>COUNTIF(ParicipationMai1[[1]:[31]],Code1)</f>
        <v>0</v>
      </c>
      <c r="AI85" s="311">
        <f>COUNTIF(ParicipationMai1[[1]:[31]],code22)</f>
        <v>0</v>
      </c>
      <c r="AJ85" s="131">
        <f>COUNTIF(ParicipationMai1[[#This Row],[1]:[31]],Code2)</f>
        <v>0</v>
      </c>
      <c r="AK85" s="131">
        <f>COUNTIF(ParicipationMai1[[#This Row],[1]:[31]],Code3)</f>
        <v>0</v>
      </c>
      <c r="AL85" s="131">
        <f>COUNTIF(ParicipationMai1[[#This Row],[1]:[31]],Code4)</f>
        <v>0</v>
      </c>
      <c r="AM85" s="131">
        <f>COUNTIF(ParicipationMai1[[#This Row],[1]:[31]],Code5)</f>
        <v>0</v>
      </c>
      <c r="AN85" s="131">
        <f>COUNTIF(ParicipationMai1[[#This Row],[1]:[31]],Code23)</f>
        <v>0</v>
      </c>
      <c r="AO85" s="131">
        <f>COUNTIF(ParicipationMai1[[#This Row],[1]:[31]],Code6)</f>
        <v>0</v>
      </c>
      <c r="AP85" s="131">
        <f>COUNTIF(ParicipationMai1[[#This Row],[1]:[31]],Code7)</f>
        <v>0</v>
      </c>
      <c r="AQ85" s="131">
        <f>COUNTIF(ParicipationMai1[[#This Row],[1]:[31]],Code8)</f>
        <v>0</v>
      </c>
      <c r="AR85" s="131">
        <f>COUNTIF(ParicipationMai1[[#This Row],[1]:[31]],Code9)</f>
        <v>0</v>
      </c>
      <c r="AS85" s="131">
        <f>COUNTIF(ParicipationMai1[[#This Row],[1]:[31]],Code10)</f>
        <v>0</v>
      </c>
      <c r="AT85" s="131">
        <f>COUNTIF(ParicipationMai1[[#This Row],[1]:[31]],Code11)</f>
        <v>0</v>
      </c>
      <c r="AU85" s="131">
        <f>COUNTIF(ParicipationMai1[[#This Row],[1]:[31]],Code12)</f>
        <v>0</v>
      </c>
      <c r="AV85" s="131">
        <f>COUNTIF(ParicipationMai1[[#This Row],[1]:[31]],Code13)</f>
        <v>0</v>
      </c>
      <c r="AW85" s="131">
        <f>COUNTIF(ParicipationMai1[[#This Row],[1]:[31]],Code14)</f>
        <v>0</v>
      </c>
      <c r="AX85" s="131">
        <f>COUNTIF(ParicipationMai1[[#This Row],[1]:[31]],Code15)</f>
        <v>0</v>
      </c>
      <c r="AY85" s="131">
        <f>COUNTIF(ParicipationMai1[[#This Row],[1]:[31]],Code16)</f>
        <v>0</v>
      </c>
      <c r="AZ85" s="131">
        <f>COUNTIF(ParicipationMai1[[#This Row],[1]:[31]],Code17)</f>
        <v>0</v>
      </c>
      <c r="BA85" s="131">
        <f>COUNTIF(ParicipationMai1[[#This Row],[1]:[31]],Code26)</f>
        <v>0</v>
      </c>
      <c r="BB85" s="131">
        <f>COUNTIF(ParicipationMai1[[#This Row],[1]:[31]],Code27)</f>
        <v>0</v>
      </c>
      <c r="BC85" s="131">
        <f>COUNTIF(ParicipationMai1[[#This Row],[1]:[31]],Code27)</f>
        <v>0</v>
      </c>
      <c r="BD85" s="131">
        <f>COUNTIF(ParicipationMai1[[#This Row],[1]:[31]],Code28)</f>
        <v>0</v>
      </c>
      <c r="BE85" s="131">
        <f>COUNTIF(ParicipationMai1[[#This Row],[1]:[31]],code30)</f>
        <v>0</v>
      </c>
      <c r="BF85" s="131">
        <f>COUNTIF(ParicipationMai1[[#This Row],[1]:[31]],Code31)</f>
        <v>0</v>
      </c>
      <c r="BG85" s="131">
        <f>COUNTIF(ParicipationMai1[[#This Row],[1]:[31]],code21)</f>
        <v>0</v>
      </c>
      <c r="BH85" s="131">
        <f>COUNTIF(ParicipationMai1[[#This Row],[1]:[31]],Code24)</f>
        <v>0</v>
      </c>
      <c r="BI85" s="568">
        <f>COUNTIF(ParicipationMai1[[#This Row],[1]:[31]],code18)</f>
        <v>0</v>
      </c>
      <c r="BJ85" s="568">
        <f>COUNTIF(ParicipationMai1[[#This Row],[1]:[31]],code19)</f>
        <v>0</v>
      </c>
      <c r="BK85" s="568">
        <f>COUNTIF(ParicipationMai1[[#This Row],[1]:[31]],code20)</f>
        <v>0</v>
      </c>
      <c r="BL85" s="548">
        <f>COUNTIF(ParicipationMai1[[#This Row],[1]:[31]],code29)</f>
        <v>0</v>
      </c>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548"/>
      <c r="CV85" s="592">
        <f t="shared" si="4"/>
        <v>0</v>
      </c>
      <c r="CW85" s="575">
        <f t="shared" si="5"/>
        <v>0</v>
      </c>
      <c r="CX85" s="131">
        <f t="shared" si="6"/>
        <v>0</v>
      </c>
      <c r="CY85" s="170">
        <f t="shared" si="7"/>
        <v>0</v>
      </c>
    </row>
    <row r="86" spans="1:103">
      <c r="A86" s="405" t="s">
        <v>427</v>
      </c>
      <c r="B86" s="537" t="str">
        <f>IFERROR(VLOOKUP(ParicipationMai1[[#This Row],[Référence]],ListeÉtudiants1[],18,FALSE),"")</f>
        <v>LACROIX LORRY</v>
      </c>
      <c r="C86" s="405"/>
      <c r="D86" s="405"/>
      <c r="E86" s="405"/>
      <c r="F86" s="405"/>
      <c r="G86" s="405"/>
      <c r="H86" s="405"/>
      <c r="I86" s="405"/>
      <c r="J86" s="405"/>
      <c r="K86" s="405"/>
      <c r="L86" s="405"/>
      <c r="M86" s="405"/>
      <c r="N86" s="405"/>
      <c r="O86" s="405"/>
      <c r="P86" s="405"/>
      <c r="Q86" s="405"/>
      <c r="R86" s="405"/>
      <c r="S86" s="405"/>
      <c r="T86" s="405"/>
      <c r="U86" s="405"/>
      <c r="V86" s="405"/>
      <c r="W86" s="405"/>
      <c r="X86" s="405"/>
      <c r="Y86" s="405"/>
      <c r="Z86" s="405"/>
      <c r="AA86" s="405"/>
      <c r="AB86" s="405"/>
      <c r="AC86" s="405"/>
      <c r="AD86" s="405"/>
      <c r="AE86" s="405"/>
      <c r="AF86" s="405"/>
      <c r="AG86" s="546"/>
      <c r="AH86" s="132">
        <f>COUNTIF(ParicipationMai1[[1]:[31]],Code1)</f>
        <v>0</v>
      </c>
      <c r="AI86" s="538">
        <f>COUNTIF(ParicipationMai1[[1]:[31]],code22)</f>
        <v>0</v>
      </c>
      <c r="AJ86" s="132">
        <f>COUNTIF(ParicipationMai1[[#This Row],[1]:[31]],Code2)</f>
        <v>0</v>
      </c>
      <c r="AK86" s="132">
        <f>COUNTIF(ParicipationMai1[[#This Row],[1]:[31]],Code3)</f>
        <v>0</v>
      </c>
      <c r="AL86" s="132">
        <f>COUNTIF(ParicipationMai1[[#This Row],[1]:[31]],Code4)</f>
        <v>0</v>
      </c>
      <c r="AM86" s="132">
        <f>COUNTIF(ParicipationMai1[[#This Row],[1]:[31]],Code5)</f>
        <v>0</v>
      </c>
      <c r="AN86" s="132">
        <f>COUNTIF(ParicipationMai1[[#This Row],[1]:[31]],Code23)</f>
        <v>0</v>
      </c>
      <c r="AO86" s="132">
        <f>COUNTIF(ParicipationMai1[[#This Row],[1]:[31]],Code6)</f>
        <v>0</v>
      </c>
      <c r="AP86" s="132">
        <f>COUNTIF(ParicipationMai1[[#This Row],[1]:[31]],Code7)</f>
        <v>0</v>
      </c>
      <c r="AQ86" s="132">
        <f>COUNTIF(ParicipationMai1[[#This Row],[1]:[31]],Code8)</f>
        <v>0</v>
      </c>
      <c r="AR86" s="132">
        <f>COUNTIF(ParicipationMai1[[#This Row],[1]:[31]],Code9)</f>
        <v>0</v>
      </c>
      <c r="AS86" s="132">
        <f>COUNTIF(ParicipationMai1[[#This Row],[1]:[31]],Code10)</f>
        <v>0</v>
      </c>
      <c r="AT86" s="132">
        <f>COUNTIF(ParicipationMai1[[#This Row],[1]:[31]],Code11)</f>
        <v>0</v>
      </c>
      <c r="AU86" s="132">
        <f>COUNTIF(ParicipationMai1[[#This Row],[1]:[31]],Code12)</f>
        <v>0</v>
      </c>
      <c r="AV86" s="132">
        <f>COUNTIF(ParicipationMai1[[#This Row],[1]:[31]],Code13)</f>
        <v>0</v>
      </c>
      <c r="AW86" s="132">
        <f>COUNTIF(ParicipationMai1[[#This Row],[1]:[31]],Code14)</f>
        <v>0</v>
      </c>
      <c r="AX86" s="132">
        <f>COUNTIF(ParicipationMai1[[#This Row],[1]:[31]],Code15)</f>
        <v>0</v>
      </c>
      <c r="AY86" s="132">
        <f>COUNTIF(ParicipationMai1[[#This Row],[1]:[31]],Code16)</f>
        <v>0</v>
      </c>
      <c r="AZ86" s="132">
        <f>COUNTIF(ParicipationMai1[[#This Row],[1]:[31]],Code17)</f>
        <v>0</v>
      </c>
      <c r="BA86" s="132">
        <f>COUNTIF(ParicipationMai1[[#This Row],[1]:[31]],Code26)</f>
        <v>0</v>
      </c>
      <c r="BB86" s="132">
        <f>COUNTIF(ParicipationMai1[[#This Row],[1]:[31]],Code27)</f>
        <v>0</v>
      </c>
      <c r="BC86" s="132">
        <f>COUNTIF(ParicipationMai1[[#This Row],[1]:[31]],Code27)</f>
        <v>0</v>
      </c>
      <c r="BD86" s="132">
        <f>COUNTIF(ParicipationMai1[[#This Row],[1]:[31]],Code28)</f>
        <v>0</v>
      </c>
      <c r="BE86" s="132">
        <f>COUNTIF(ParicipationMai1[[#This Row],[1]:[31]],code30)</f>
        <v>0</v>
      </c>
      <c r="BF86" s="132">
        <f>COUNTIF(ParicipationMai1[[#This Row],[1]:[31]],Code31)</f>
        <v>0</v>
      </c>
      <c r="BG86" s="132">
        <f>COUNTIF(ParicipationMai1[[#This Row],[1]:[31]],code21)</f>
        <v>0</v>
      </c>
      <c r="BH86" s="132">
        <f>COUNTIF(ParicipationMai1[[#This Row],[1]:[31]],Code24)</f>
        <v>0</v>
      </c>
      <c r="BI86" s="579">
        <f>COUNTIF(ParicipationMai1[[#This Row],[1]:[31]],code18)</f>
        <v>0</v>
      </c>
      <c r="BJ86" s="579">
        <f>COUNTIF(ParicipationMai1[[#This Row],[1]:[31]],code19)</f>
        <v>0</v>
      </c>
      <c r="BK86" s="579">
        <f>COUNTIF(ParicipationMai1[[#This Row],[1]:[31]],code20)</f>
        <v>0</v>
      </c>
      <c r="BL86" s="547">
        <f>COUNTIF(ParicipationMai1[[#This Row],[1]:[31]],code29)</f>
        <v>0</v>
      </c>
      <c r="BM86" s="132"/>
      <c r="BN86" s="132"/>
      <c r="BO86" s="132"/>
      <c r="BP86" s="132"/>
      <c r="BQ86" s="132"/>
      <c r="BR86" s="132"/>
      <c r="BS86" s="132"/>
      <c r="BT86" s="132"/>
      <c r="BU86" s="132"/>
      <c r="BV86" s="132"/>
      <c r="BW86" s="132"/>
      <c r="BX86" s="132"/>
      <c r="BY86" s="132"/>
      <c r="BZ86" s="132"/>
      <c r="CA86" s="132"/>
      <c r="CB86" s="132"/>
      <c r="CC86" s="132"/>
      <c r="CD86" s="132"/>
      <c r="CE86" s="132"/>
      <c r="CF86" s="132"/>
      <c r="CG86" s="132"/>
      <c r="CH86" s="132"/>
      <c r="CI86" s="132"/>
      <c r="CJ86" s="132"/>
      <c r="CK86" s="132"/>
      <c r="CL86" s="132"/>
      <c r="CM86" s="132"/>
      <c r="CN86" s="132"/>
      <c r="CO86" s="132"/>
      <c r="CP86" s="132"/>
      <c r="CQ86" s="132"/>
      <c r="CR86" s="132"/>
      <c r="CS86" s="132"/>
      <c r="CT86" s="132"/>
      <c r="CU86" s="547"/>
      <c r="CV86" s="590">
        <f t="shared" si="4"/>
        <v>0</v>
      </c>
      <c r="CW86" s="573">
        <f t="shared" si="5"/>
        <v>0</v>
      </c>
      <c r="CX86" s="132">
        <f t="shared" si="6"/>
        <v>0</v>
      </c>
      <c r="CY86" s="500">
        <f t="shared" si="7"/>
        <v>0</v>
      </c>
    </row>
    <row r="87" spans="1:103">
      <c r="A87" s="406" t="s">
        <v>428</v>
      </c>
      <c r="B87" s="540" t="str">
        <f>IFERROR(VLOOKUP(ParicipationMai1[[#This Row],[Référence]],ListeÉtudiants1[],18,FALSE),"")</f>
        <v>LADERVAL TATIANA</v>
      </c>
      <c r="C87" s="406"/>
      <c r="D87" s="406"/>
      <c r="E87" s="406"/>
      <c r="F87" s="406"/>
      <c r="G87" s="406"/>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542"/>
      <c r="AH87" s="131">
        <f>COUNTIF(ParicipationMai1[[1]:[31]],Code1)</f>
        <v>0</v>
      </c>
      <c r="AI87" s="311">
        <f>COUNTIF(ParicipationMai1[[1]:[31]],code22)</f>
        <v>0</v>
      </c>
      <c r="AJ87" s="131">
        <f>COUNTIF(ParicipationMai1[[#This Row],[1]:[31]],Code2)</f>
        <v>0</v>
      </c>
      <c r="AK87" s="131">
        <f>COUNTIF(ParicipationMai1[[#This Row],[1]:[31]],Code3)</f>
        <v>0</v>
      </c>
      <c r="AL87" s="131">
        <f>COUNTIF(ParicipationMai1[[#This Row],[1]:[31]],Code4)</f>
        <v>0</v>
      </c>
      <c r="AM87" s="131">
        <f>COUNTIF(ParicipationMai1[[#This Row],[1]:[31]],Code5)</f>
        <v>0</v>
      </c>
      <c r="AN87" s="131">
        <f>COUNTIF(ParicipationMai1[[#This Row],[1]:[31]],Code23)</f>
        <v>0</v>
      </c>
      <c r="AO87" s="131">
        <f>COUNTIF(ParicipationMai1[[#This Row],[1]:[31]],Code6)</f>
        <v>0</v>
      </c>
      <c r="AP87" s="131">
        <f>COUNTIF(ParicipationMai1[[#This Row],[1]:[31]],Code7)</f>
        <v>0</v>
      </c>
      <c r="AQ87" s="131">
        <f>COUNTIF(ParicipationMai1[[#This Row],[1]:[31]],Code8)</f>
        <v>0</v>
      </c>
      <c r="AR87" s="131">
        <f>COUNTIF(ParicipationMai1[[#This Row],[1]:[31]],Code9)</f>
        <v>0</v>
      </c>
      <c r="AS87" s="131">
        <f>COUNTIF(ParicipationMai1[[#This Row],[1]:[31]],Code10)</f>
        <v>0</v>
      </c>
      <c r="AT87" s="131">
        <f>COUNTIF(ParicipationMai1[[#This Row],[1]:[31]],Code11)</f>
        <v>0</v>
      </c>
      <c r="AU87" s="131">
        <f>COUNTIF(ParicipationMai1[[#This Row],[1]:[31]],Code12)</f>
        <v>0</v>
      </c>
      <c r="AV87" s="131">
        <f>COUNTIF(ParicipationMai1[[#This Row],[1]:[31]],Code13)</f>
        <v>0</v>
      </c>
      <c r="AW87" s="131">
        <f>COUNTIF(ParicipationMai1[[#This Row],[1]:[31]],Code14)</f>
        <v>0</v>
      </c>
      <c r="AX87" s="131">
        <f>COUNTIF(ParicipationMai1[[#This Row],[1]:[31]],Code15)</f>
        <v>0</v>
      </c>
      <c r="AY87" s="131">
        <f>COUNTIF(ParicipationMai1[[#This Row],[1]:[31]],Code16)</f>
        <v>0</v>
      </c>
      <c r="AZ87" s="131">
        <f>COUNTIF(ParicipationMai1[[#This Row],[1]:[31]],Code17)</f>
        <v>0</v>
      </c>
      <c r="BA87" s="131">
        <f>COUNTIF(ParicipationMai1[[#This Row],[1]:[31]],Code26)</f>
        <v>0</v>
      </c>
      <c r="BB87" s="131">
        <f>COUNTIF(ParicipationMai1[[#This Row],[1]:[31]],Code27)</f>
        <v>0</v>
      </c>
      <c r="BC87" s="131">
        <f>COUNTIF(ParicipationMai1[[#This Row],[1]:[31]],Code27)</f>
        <v>0</v>
      </c>
      <c r="BD87" s="131">
        <f>COUNTIF(ParicipationMai1[[#This Row],[1]:[31]],Code28)</f>
        <v>0</v>
      </c>
      <c r="BE87" s="131">
        <f>COUNTIF(ParicipationMai1[[#This Row],[1]:[31]],code30)</f>
        <v>0</v>
      </c>
      <c r="BF87" s="131">
        <f>COUNTIF(ParicipationMai1[[#This Row],[1]:[31]],Code31)</f>
        <v>0</v>
      </c>
      <c r="BG87" s="131">
        <f>COUNTIF(ParicipationMai1[[#This Row],[1]:[31]],code21)</f>
        <v>0</v>
      </c>
      <c r="BH87" s="131">
        <f>COUNTIF(ParicipationMai1[[#This Row],[1]:[31]],Code24)</f>
        <v>0</v>
      </c>
      <c r="BI87" s="568">
        <f>COUNTIF(ParicipationMai1[[#This Row],[1]:[31]],code18)</f>
        <v>0</v>
      </c>
      <c r="BJ87" s="568">
        <f>COUNTIF(ParicipationMai1[[#This Row],[1]:[31]],code19)</f>
        <v>0</v>
      </c>
      <c r="BK87" s="568">
        <f>COUNTIF(ParicipationMai1[[#This Row],[1]:[31]],code20)</f>
        <v>0</v>
      </c>
      <c r="BL87" s="548">
        <f>COUNTIF(ParicipationMai1[[#This Row],[1]:[31]],code29)</f>
        <v>0</v>
      </c>
      <c r="BM87" s="131"/>
      <c r="BN87" s="131"/>
      <c r="BO87" s="131"/>
      <c r="BP87" s="131"/>
      <c r="BQ87" s="131"/>
      <c r="BR87" s="131"/>
      <c r="BS87" s="131"/>
      <c r="BT87" s="131"/>
      <c r="BU87" s="131"/>
      <c r="BV87" s="131"/>
      <c r="BW87" s="131"/>
      <c r="BX87" s="131"/>
      <c r="BY87" s="131"/>
      <c r="BZ87" s="131"/>
      <c r="CA87" s="131"/>
      <c r="CB87" s="131"/>
      <c r="CC87" s="131"/>
      <c r="CD87" s="131"/>
      <c r="CE87" s="131"/>
      <c r="CF87" s="131"/>
      <c r="CG87" s="131"/>
      <c r="CH87" s="131"/>
      <c r="CI87" s="131"/>
      <c r="CJ87" s="131"/>
      <c r="CK87" s="131"/>
      <c r="CL87" s="131"/>
      <c r="CM87" s="131"/>
      <c r="CN87" s="131"/>
      <c r="CO87" s="131"/>
      <c r="CP87" s="131"/>
      <c r="CQ87" s="131"/>
      <c r="CR87" s="131"/>
      <c r="CS87" s="131"/>
      <c r="CT87" s="131"/>
      <c r="CU87" s="548"/>
      <c r="CV87" s="592">
        <f t="shared" si="4"/>
        <v>0</v>
      </c>
      <c r="CW87" s="575">
        <f t="shared" si="5"/>
        <v>0</v>
      </c>
      <c r="CX87" s="131">
        <f t="shared" si="6"/>
        <v>0</v>
      </c>
      <c r="CY87" s="170">
        <f t="shared" si="7"/>
        <v>0</v>
      </c>
    </row>
    <row r="88" spans="1:103">
      <c r="A88" s="405" t="s">
        <v>429</v>
      </c>
      <c r="B88" s="537" t="str">
        <f>IFERROR(VLOOKUP(ParicipationMai1[[#This Row],[Référence]],ListeÉtudiants1[],18,FALSE),"")</f>
        <v>LALARDIE EMMANUELLE</v>
      </c>
      <c r="C88" s="405"/>
      <c r="D88" s="405"/>
      <c r="E88" s="405"/>
      <c r="F88" s="405"/>
      <c r="G88" s="405"/>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546"/>
      <c r="AH88" s="132">
        <f>COUNTIF(ParicipationMai1[[1]:[31]],Code1)</f>
        <v>0</v>
      </c>
      <c r="AI88" s="538">
        <f>COUNTIF(ParicipationMai1[[1]:[31]],code22)</f>
        <v>0</v>
      </c>
      <c r="AJ88" s="132">
        <f>COUNTIF(ParicipationMai1[[#This Row],[1]:[31]],Code2)</f>
        <v>0</v>
      </c>
      <c r="AK88" s="132">
        <f>COUNTIF(ParicipationMai1[[#This Row],[1]:[31]],Code3)</f>
        <v>0</v>
      </c>
      <c r="AL88" s="132">
        <f>COUNTIF(ParicipationMai1[[#This Row],[1]:[31]],Code4)</f>
        <v>0</v>
      </c>
      <c r="AM88" s="132">
        <f>COUNTIF(ParicipationMai1[[#This Row],[1]:[31]],Code5)</f>
        <v>0</v>
      </c>
      <c r="AN88" s="132">
        <f>COUNTIF(ParicipationMai1[[#This Row],[1]:[31]],Code23)</f>
        <v>0</v>
      </c>
      <c r="AO88" s="132">
        <f>COUNTIF(ParicipationMai1[[#This Row],[1]:[31]],Code6)</f>
        <v>0</v>
      </c>
      <c r="AP88" s="132">
        <f>COUNTIF(ParicipationMai1[[#This Row],[1]:[31]],Code7)</f>
        <v>0</v>
      </c>
      <c r="AQ88" s="132">
        <f>COUNTIF(ParicipationMai1[[#This Row],[1]:[31]],Code8)</f>
        <v>0</v>
      </c>
      <c r="AR88" s="132">
        <f>COUNTIF(ParicipationMai1[[#This Row],[1]:[31]],Code9)</f>
        <v>0</v>
      </c>
      <c r="AS88" s="132">
        <f>COUNTIF(ParicipationMai1[[#This Row],[1]:[31]],Code10)</f>
        <v>0</v>
      </c>
      <c r="AT88" s="132">
        <f>COUNTIF(ParicipationMai1[[#This Row],[1]:[31]],Code11)</f>
        <v>0</v>
      </c>
      <c r="AU88" s="132">
        <f>COUNTIF(ParicipationMai1[[#This Row],[1]:[31]],Code12)</f>
        <v>0</v>
      </c>
      <c r="AV88" s="132">
        <f>COUNTIF(ParicipationMai1[[#This Row],[1]:[31]],Code13)</f>
        <v>0</v>
      </c>
      <c r="AW88" s="132">
        <f>COUNTIF(ParicipationMai1[[#This Row],[1]:[31]],Code14)</f>
        <v>0</v>
      </c>
      <c r="AX88" s="132">
        <f>COUNTIF(ParicipationMai1[[#This Row],[1]:[31]],Code15)</f>
        <v>0</v>
      </c>
      <c r="AY88" s="132">
        <f>COUNTIF(ParicipationMai1[[#This Row],[1]:[31]],Code16)</f>
        <v>0</v>
      </c>
      <c r="AZ88" s="132">
        <f>COUNTIF(ParicipationMai1[[#This Row],[1]:[31]],Code17)</f>
        <v>0</v>
      </c>
      <c r="BA88" s="132">
        <f>COUNTIF(ParicipationMai1[[#This Row],[1]:[31]],Code26)</f>
        <v>0</v>
      </c>
      <c r="BB88" s="132">
        <f>COUNTIF(ParicipationMai1[[#This Row],[1]:[31]],Code27)</f>
        <v>0</v>
      </c>
      <c r="BC88" s="132">
        <f>COUNTIF(ParicipationMai1[[#This Row],[1]:[31]],Code27)</f>
        <v>0</v>
      </c>
      <c r="BD88" s="132">
        <f>COUNTIF(ParicipationMai1[[#This Row],[1]:[31]],Code28)</f>
        <v>0</v>
      </c>
      <c r="BE88" s="132">
        <f>COUNTIF(ParicipationMai1[[#This Row],[1]:[31]],code30)</f>
        <v>0</v>
      </c>
      <c r="BF88" s="132">
        <f>COUNTIF(ParicipationMai1[[#This Row],[1]:[31]],Code31)</f>
        <v>0</v>
      </c>
      <c r="BG88" s="132">
        <f>COUNTIF(ParicipationMai1[[#This Row],[1]:[31]],code21)</f>
        <v>0</v>
      </c>
      <c r="BH88" s="132">
        <f>COUNTIF(ParicipationMai1[[#This Row],[1]:[31]],Code24)</f>
        <v>0</v>
      </c>
      <c r="BI88" s="579">
        <f>COUNTIF(ParicipationMai1[[#This Row],[1]:[31]],code18)</f>
        <v>0</v>
      </c>
      <c r="BJ88" s="579">
        <f>COUNTIF(ParicipationMai1[[#This Row],[1]:[31]],code19)</f>
        <v>0</v>
      </c>
      <c r="BK88" s="579">
        <f>COUNTIF(ParicipationMai1[[#This Row],[1]:[31]],code20)</f>
        <v>0</v>
      </c>
      <c r="BL88" s="547">
        <f>COUNTIF(ParicipationMai1[[#This Row],[1]:[31]],code29)</f>
        <v>0</v>
      </c>
      <c r="BM88" s="132"/>
      <c r="BN88" s="132"/>
      <c r="BO88" s="132"/>
      <c r="BP88" s="132"/>
      <c r="BQ88" s="132"/>
      <c r="BR88" s="132"/>
      <c r="BS88" s="132"/>
      <c r="BT88" s="132"/>
      <c r="BU88" s="132"/>
      <c r="BV88" s="132"/>
      <c r="BW88" s="132"/>
      <c r="BX88" s="132"/>
      <c r="BY88" s="132"/>
      <c r="BZ88" s="132"/>
      <c r="CA88" s="132"/>
      <c r="CB88" s="132"/>
      <c r="CC88" s="132"/>
      <c r="CD88" s="132"/>
      <c r="CE88" s="132"/>
      <c r="CF88" s="132"/>
      <c r="CG88" s="132"/>
      <c r="CH88" s="132"/>
      <c r="CI88" s="132"/>
      <c r="CJ88" s="132"/>
      <c r="CK88" s="132"/>
      <c r="CL88" s="132"/>
      <c r="CM88" s="132"/>
      <c r="CN88" s="132"/>
      <c r="CO88" s="132"/>
      <c r="CP88" s="132"/>
      <c r="CQ88" s="132"/>
      <c r="CR88" s="132"/>
      <c r="CS88" s="132"/>
      <c r="CT88" s="132"/>
      <c r="CU88" s="547"/>
      <c r="CV88" s="590">
        <f t="shared" si="4"/>
        <v>0</v>
      </c>
      <c r="CW88" s="573">
        <f t="shared" si="5"/>
        <v>0</v>
      </c>
      <c r="CX88" s="132">
        <f t="shared" si="6"/>
        <v>0</v>
      </c>
      <c r="CY88" s="500">
        <f t="shared" si="7"/>
        <v>0</v>
      </c>
    </row>
    <row r="89" spans="1:103">
      <c r="A89" s="406" t="s">
        <v>430</v>
      </c>
      <c r="B89" s="540" t="str">
        <f>IFERROR(VLOOKUP(ParicipationMai1[[#This Row],[Référence]],ListeÉtudiants1[],18,FALSE),"")</f>
        <v/>
      </c>
      <c r="C89" s="406"/>
      <c r="D89" s="406"/>
      <c r="E89" s="406"/>
      <c r="F89" s="406"/>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542"/>
      <c r="AH89" s="131">
        <f>COUNTIF(ParicipationMai1[[1]:[31]],Code1)</f>
        <v>0</v>
      </c>
      <c r="AI89" s="311">
        <f>COUNTIF(ParicipationMai1[[1]:[31]],code22)</f>
        <v>0</v>
      </c>
      <c r="AJ89" s="131">
        <f>COUNTIF(ParicipationMai1[[#This Row],[1]:[31]],Code2)</f>
        <v>0</v>
      </c>
      <c r="AK89" s="131">
        <f>COUNTIF(ParicipationMai1[[#This Row],[1]:[31]],Code3)</f>
        <v>0</v>
      </c>
      <c r="AL89" s="131">
        <f>COUNTIF(ParicipationMai1[[#This Row],[1]:[31]],Code4)</f>
        <v>0</v>
      </c>
      <c r="AM89" s="131">
        <f>COUNTIF(ParicipationMai1[[#This Row],[1]:[31]],Code5)</f>
        <v>0</v>
      </c>
      <c r="AN89" s="131">
        <f>COUNTIF(ParicipationMai1[[#This Row],[1]:[31]],Code23)</f>
        <v>0</v>
      </c>
      <c r="AO89" s="131">
        <f>COUNTIF(ParicipationMai1[[#This Row],[1]:[31]],Code6)</f>
        <v>0</v>
      </c>
      <c r="AP89" s="131">
        <f>COUNTIF(ParicipationMai1[[#This Row],[1]:[31]],Code7)</f>
        <v>0</v>
      </c>
      <c r="AQ89" s="131">
        <f>COUNTIF(ParicipationMai1[[#This Row],[1]:[31]],Code8)</f>
        <v>0</v>
      </c>
      <c r="AR89" s="131">
        <f>COUNTIF(ParicipationMai1[[#This Row],[1]:[31]],Code9)</f>
        <v>0</v>
      </c>
      <c r="AS89" s="131">
        <f>COUNTIF(ParicipationMai1[[#This Row],[1]:[31]],Code10)</f>
        <v>0</v>
      </c>
      <c r="AT89" s="131">
        <f>COUNTIF(ParicipationMai1[[#This Row],[1]:[31]],Code11)</f>
        <v>0</v>
      </c>
      <c r="AU89" s="131">
        <f>COUNTIF(ParicipationMai1[[#This Row],[1]:[31]],Code12)</f>
        <v>0</v>
      </c>
      <c r="AV89" s="131">
        <f>COUNTIF(ParicipationMai1[[#This Row],[1]:[31]],Code13)</f>
        <v>0</v>
      </c>
      <c r="AW89" s="131">
        <f>COUNTIF(ParicipationMai1[[#This Row],[1]:[31]],Code14)</f>
        <v>0</v>
      </c>
      <c r="AX89" s="131">
        <f>COUNTIF(ParicipationMai1[[#This Row],[1]:[31]],Code15)</f>
        <v>0</v>
      </c>
      <c r="AY89" s="131">
        <f>COUNTIF(ParicipationMai1[[#This Row],[1]:[31]],Code16)</f>
        <v>0</v>
      </c>
      <c r="AZ89" s="131">
        <f>COUNTIF(ParicipationMai1[[#This Row],[1]:[31]],Code17)</f>
        <v>0</v>
      </c>
      <c r="BA89" s="131">
        <f>COUNTIF(ParicipationMai1[[#This Row],[1]:[31]],Code26)</f>
        <v>0</v>
      </c>
      <c r="BB89" s="131">
        <f>COUNTIF(ParicipationMai1[[#This Row],[1]:[31]],Code27)</f>
        <v>0</v>
      </c>
      <c r="BC89" s="131">
        <f>COUNTIF(ParicipationMai1[[#This Row],[1]:[31]],Code27)</f>
        <v>0</v>
      </c>
      <c r="BD89" s="131">
        <f>COUNTIF(ParicipationMai1[[#This Row],[1]:[31]],Code28)</f>
        <v>0</v>
      </c>
      <c r="BE89" s="131">
        <f>COUNTIF(ParicipationMai1[[#This Row],[1]:[31]],code30)</f>
        <v>0</v>
      </c>
      <c r="BF89" s="131">
        <f>COUNTIF(ParicipationMai1[[#This Row],[1]:[31]],Code31)</f>
        <v>0</v>
      </c>
      <c r="BG89" s="131">
        <f>COUNTIF(ParicipationMai1[[#This Row],[1]:[31]],code21)</f>
        <v>0</v>
      </c>
      <c r="BH89" s="131">
        <f>COUNTIF(ParicipationMai1[[#This Row],[1]:[31]],Code24)</f>
        <v>0</v>
      </c>
      <c r="BI89" s="568">
        <f>COUNTIF(ParicipationMai1[[#This Row],[1]:[31]],code18)</f>
        <v>0</v>
      </c>
      <c r="BJ89" s="568">
        <f>COUNTIF(ParicipationMai1[[#This Row],[1]:[31]],code19)</f>
        <v>0</v>
      </c>
      <c r="BK89" s="568">
        <f>COUNTIF(ParicipationMai1[[#This Row],[1]:[31]],code20)</f>
        <v>0</v>
      </c>
      <c r="BL89" s="548">
        <f>COUNTIF(ParicipationMai1[[#This Row],[1]:[31]],code29)</f>
        <v>0</v>
      </c>
      <c r="BM89" s="131"/>
      <c r="BN89" s="131"/>
      <c r="BO89" s="131"/>
      <c r="BP89" s="131"/>
      <c r="BQ89" s="131"/>
      <c r="BR89" s="131"/>
      <c r="BS89" s="131"/>
      <c r="BT89" s="131"/>
      <c r="BU89" s="131"/>
      <c r="BV89" s="131"/>
      <c r="BW89" s="131"/>
      <c r="BX89" s="131"/>
      <c r="BY89" s="131"/>
      <c r="BZ89" s="131"/>
      <c r="CA89" s="131"/>
      <c r="CB89" s="131"/>
      <c r="CC89" s="131"/>
      <c r="CD89" s="131"/>
      <c r="CE89" s="131"/>
      <c r="CF89" s="131"/>
      <c r="CG89" s="131"/>
      <c r="CH89" s="131"/>
      <c r="CI89" s="131"/>
      <c r="CJ89" s="131"/>
      <c r="CK89" s="131"/>
      <c r="CL89" s="131"/>
      <c r="CM89" s="131"/>
      <c r="CN89" s="131"/>
      <c r="CO89" s="131"/>
      <c r="CP89" s="131"/>
      <c r="CQ89" s="131"/>
      <c r="CR89" s="131"/>
      <c r="CS89" s="131"/>
      <c r="CT89" s="131"/>
      <c r="CU89" s="548"/>
      <c r="CV89" s="592">
        <f t="shared" si="4"/>
        <v>0</v>
      </c>
      <c r="CW89" s="575">
        <f t="shared" si="5"/>
        <v>0</v>
      </c>
      <c r="CX89" s="131">
        <f t="shared" si="6"/>
        <v>0</v>
      </c>
      <c r="CY89" s="170">
        <f t="shared" si="7"/>
        <v>0</v>
      </c>
    </row>
    <row r="90" spans="1:103">
      <c r="A90" s="405" t="s">
        <v>431</v>
      </c>
      <c r="B90" s="537" t="str">
        <f>IFERROR(VLOOKUP(ParicipationMai1[[#This Row],[Référence]],ListeÉtudiants1[],18,FALSE),"")</f>
        <v>LAMETTE JENNYFER</v>
      </c>
      <c r="C90" s="405"/>
      <c r="D90" s="405"/>
      <c r="E90" s="405"/>
      <c r="F90" s="405"/>
      <c r="G90" s="405"/>
      <c r="H90" s="405"/>
      <c r="I90" s="405"/>
      <c r="J90" s="405"/>
      <c r="K90" s="405"/>
      <c r="L90" s="405"/>
      <c r="M90" s="405"/>
      <c r="N90" s="405"/>
      <c r="O90" s="405"/>
      <c r="P90" s="405"/>
      <c r="Q90" s="405"/>
      <c r="R90" s="405"/>
      <c r="S90" s="405"/>
      <c r="T90" s="405"/>
      <c r="U90" s="405"/>
      <c r="V90" s="405"/>
      <c r="W90" s="405"/>
      <c r="X90" s="405"/>
      <c r="Y90" s="405"/>
      <c r="Z90" s="405"/>
      <c r="AA90" s="405"/>
      <c r="AB90" s="405"/>
      <c r="AC90" s="405"/>
      <c r="AD90" s="405"/>
      <c r="AE90" s="405"/>
      <c r="AF90" s="405"/>
      <c r="AG90" s="546"/>
      <c r="AH90" s="132">
        <f>COUNTIF(ParicipationMai1[[1]:[31]],Code1)</f>
        <v>0</v>
      </c>
      <c r="AI90" s="538">
        <f>COUNTIF(ParicipationMai1[[1]:[31]],code22)</f>
        <v>0</v>
      </c>
      <c r="AJ90" s="132">
        <f>COUNTIF(ParicipationMai1[[#This Row],[1]:[31]],Code2)</f>
        <v>0</v>
      </c>
      <c r="AK90" s="132">
        <f>COUNTIF(ParicipationMai1[[#This Row],[1]:[31]],Code3)</f>
        <v>0</v>
      </c>
      <c r="AL90" s="132">
        <f>COUNTIF(ParicipationMai1[[#This Row],[1]:[31]],Code4)</f>
        <v>0</v>
      </c>
      <c r="AM90" s="132">
        <f>COUNTIF(ParicipationMai1[[#This Row],[1]:[31]],Code5)</f>
        <v>0</v>
      </c>
      <c r="AN90" s="132">
        <f>COUNTIF(ParicipationMai1[[#This Row],[1]:[31]],Code23)</f>
        <v>0</v>
      </c>
      <c r="AO90" s="132">
        <f>COUNTIF(ParicipationMai1[[#This Row],[1]:[31]],Code6)</f>
        <v>0</v>
      </c>
      <c r="AP90" s="132">
        <f>COUNTIF(ParicipationMai1[[#This Row],[1]:[31]],Code7)</f>
        <v>0</v>
      </c>
      <c r="AQ90" s="132">
        <f>COUNTIF(ParicipationMai1[[#This Row],[1]:[31]],Code8)</f>
        <v>0</v>
      </c>
      <c r="AR90" s="132">
        <f>COUNTIF(ParicipationMai1[[#This Row],[1]:[31]],Code9)</f>
        <v>0</v>
      </c>
      <c r="AS90" s="132">
        <f>COUNTIF(ParicipationMai1[[#This Row],[1]:[31]],Code10)</f>
        <v>0</v>
      </c>
      <c r="AT90" s="132">
        <f>COUNTIF(ParicipationMai1[[#This Row],[1]:[31]],Code11)</f>
        <v>0</v>
      </c>
      <c r="AU90" s="132">
        <f>COUNTIF(ParicipationMai1[[#This Row],[1]:[31]],Code12)</f>
        <v>0</v>
      </c>
      <c r="AV90" s="132">
        <f>COUNTIF(ParicipationMai1[[#This Row],[1]:[31]],Code13)</f>
        <v>0</v>
      </c>
      <c r="AW90" s="132">
        <f>COUNTIF(ParicipationMai1[[#This Row],[1]:[31]],Code14)</f>
        <v>0</v>
      </c>
      <c r="AX90" s="132">
        <f>COUNTIF(ParicipationMai1[[#This Row],[1]:[31]],Code15)</f>
        <v>0</v>
      </c>
      <c r="AY90" s="132">
        <f>COUNTIF(ParicipationMai1[[#This Row],[1]:[31]],Code16)</f>
        <v>0</v>
      </c>
      <c r="AZ90" s="132">
        <f>COUNTIF(ParicipationMai1[[#This Row],[1]:[31]],Code17)</f>
        <v>0</v>
      </c>
      <c r="BA90" s="132">
        <f>COUNTIF(ParicipationMai1[[#This Row],[1]:[31]],Code26)</f>
        <v>0</v>
      </c>
      <c r="BB90" s="132">
        <f>COUNTIF(ParicipationMai1[[#This Row],[1]:[31]],Code27)</f>
        <v>0</v>
      </c>
      <c r="BC90" s="132">
        <f>COUNTIF(ParicipationMai1[[#This Row],[1]:[31]],Code27)</f>
        <v>0</v>
      </c>
      <c r="BD90" s="132">
        <f>COUNTIF(ParicipationMai1[[#This Row],[1]:[31]],Code28)</f>
        <v>0</v>
      </c>
      <c r="BE90" s="132">
        <f>COUNTIF(ParicipationMai1[[#This Row],[1]:[31]],code30)</f>
        <v>0</v>
      </c>
      <c r="BF90" s="132">
        <f>COUNTIF(ParicipationMai1[[#This Row],[1]:[31]],Code31)</f>
        <v>0</v>
      </c>
      <c r="BG90" s="132">
        <f>COUNTIF(ParicipationMai1[[#This Row],[1]:[31]],code21)</f>
        <v>0</v>
      </c>
      <c r="BH90" s="132">
        <f>COUNTIF(ParicipationMai1[[#This Row],[1]:[31]],Code24)</f>
        <v>0</v>
      </c>
      <c r="BI90" s="579">
        <f>COUNTIF(ParicipationMai1[[#This Row],[1]:[31]],code18)</f>
        <v>0</v>
      </c>
      <c r="BJ90" s="579">
        <f>COUNTIF(ParicipationMai1[[#This Row],[1]:[31]],code19)</f>
        <v>0</v>
      </c>
      <c r="BK90" s="579">
        <f>COUNTIF(ParicipationMai1[[#This Row],[1]:[31]],code20)</f>
        <v>0</v>
      </c>
      <c r="BL90" s="547">
        <f>COUNTIF(ParicipationMai1[[#This Row],[1]:[31]],code29)</f>
        <v>0</v>
      </c>
      <c r="BM90" s="132"/>
      <c r="BN90" s="132"/>
      <c r="BO90" s="132"/>
      <c r="BP90" s="132"/>
      <c r="BQ90" s="132"/>
      <c r="BR90" s="132"/>
      <c r="BS90" s="132"/>
      <c r="BT90" s="132"/>
      <c r="BU90" s="132"/>
      <c r="BV90" s="132"/>
      <c r="BW90" s="132"/>
      <c r="BX90" s="132"/>
      <c r="BY90" s="132"/>
      <c r="BZ90" s="132"/>
      <c r="CA90" s="132"/>
      <c r="CB90" s="132"/>
      <c r="CC90" s="132"/>
      <c r="CD90" s="132"/>
      <c r="CE90" s="132"/>
      <c r="CF90" s="132"/>
      <c r="CG90" s="132"/>
      <c r="CH90" s="132"/>
      <c r="CI90" s="132"/>
      <c r="CJ90" s="132"/>
      <c r="CK90" s="132"/>
      <c r="CL90" s="132"/>
      <c r="CM90" s="132"/>
      <c r="CN90" s="132"/>
      <c r="CO90" s="132"/>
      <c r="CP90" s="132"/>
      <c r="CQ90" s="132"/>
      <c r="CR90" s="132"/>
      <c r="CS90" s="132"/>
      <c r="CT90" s="132"/>
      <c r="CU90" s="547"/>
      <c r="CV90" s="590">
        <f t="shared" si="4"/>
        <v>0</v>
      </c>
      <c r="CW90" s="573">
        <f t="shared" si="5"/>
        <v>0</v>
      </c>
      <c r="CX90" s="132">
        <f t="shared" si="6"/>
        <v>0</v>
      </c>
      <c r="CY90" s="500">
        <f t="shared" si="7"/>
        <v>0</v>
      </c>
    </row>
    <row r="91" spans="1:103">
      <c r="A91" s="406" t="s">
        <v>432</v>
      </c>
      <c r="B91" s="540" t="str">
        <f>IFERROR(VLOOKUP(ParicipationMai1[[#This Row],[Référence]],ListeÉtudiants1[],18,FALSE),"")</f>
        <v>LAMGHARI / DAHAN BOUCHRA</v>
      </c>
      <c r="C91" s="406"/>
      <c r="D91" s="406"/>
      <c r="E91" s="406"/>
      <c r="F91" s="406"/>
      <c r="G91" s="406"/>
      <c r="H91" s="406"/>
      <c r="I91" s="406"/>
      <c r="J91" s="406"/>
      <c r="K91" s="406"/>
      <c r="L91" s="406"/>
      <c r="M91" s="406"/>
      <c r="N91" s="406"/>
      <c r="O91" s="406"/>
      <c r="P91" s="406"/>
      <c r="Q91" s="406"/>
      <c r="R91" s="406"/>
      <c r="S91" s="406"/>
      <c r="T91" s="406"/>
      <c r="U91" s="406"/>
      <c r="V91" s="406"/>
      <c r="W91" s="406"/>
      <c r="X91" s="406"/>
      <c r="Y91" s="406"/>
      <c r="Z91" s="406"/>
      <c r="AA91" s="406"/>
      <c r="AB91" s="406"/>
      <c r="AC91" s="406"/>
      <c r="AD91" s="406"/>
      <c r="AE91" s="406"/>
      <c r="AF91" s="406"/>
      <c r="AG91" s="542"/>
      <c r="AH91" s="131">
        <f>COUNTIF(ParicipationMai1[[1]:[31]],Code1)</f>
        <v>0</v>
      </c>
      <c r="AI91" s="311">
        <f>COUNTIF(ParicipationMai1[[1]:[31]],code22)</f>
        <v>0</v>
      </c>
      <c r="AJ91" s="131">
        <f>COUNTIF(ParicipationMai1[[#This Row],[1]:[31]],Code2)</f>
        <v>0</v>
      </c>
      <c r="AK91" s="131">
        <f>COUNTIF(ParicipationMai1[[#This Row],[1]:[31]],Code3)</f>
        <v>0</v>
      </c>
      <c r="AL91" s="131">
        <f>COUNTIF(ParicipationMai1[[#This Row],[1]:[31]],Code4)</f>
        <v>0</v>
      </c>
      <c r="AM91" s="131">
        <f>COUNTIF(ParicipationMai1[[#This Row],[1]:[31]],Code5)</f>
        <v>0</v>
      </c>
      <c r="AN91" s="131">
        <f>COUNTIF(ParicipationMai1[[#This Row],[1]:[31]],Code23)</f>
        <v>0</v>
      </c>
      <c r="AO91" s="131">
        <f>COUNTIF(ParicipationMai1[[#This Row],[1]:[31]],Code6)</f>
        <v>0</v>
      </c>
      <c r="AP91" s="131">
        <f>COUNTIF(ParicipationMai1[[#This Row],[1]:[31]],Code7)</f>
        <v>0</v>
      </c>
      <c r="AQ91" s="131">
        <f>COUNTIF(ParicipationMai1[[#This Row],[1]:[31]],Code8)</f>
        <v>0</v>
      </c>
      <c r="AR91" s="131">
        <f>COUNTIF(ParicipationMai1[[#This Row],[1]:[31]],Code9)</f>
        <v>0</v>
      </c>
      <c r="AS91" s="131">
        <f>COUNTIF(ParicipationMai1[[#This Row],[1]:[31]],Code10)</f>
        <v>0</v>
      </c>
      <c r="AT91" s="131">
        <f>COUNTIF(ParicipationMai1[[#This Row],[1]:[31]],Code11)</f>
        <v>0</v>
      </c>
      <c r="AU91" s="131">
        <f>COUNTIF(ParicipationMai1[[#This Row],[1]:[31]],Code12)</f>
        <v>0</v>
      </c>
      <c r="AV91" s="131">
        <f>COUNTIF(ParicipationMai1[[#This Row],[1]:[31]],Code13)</f>
        <v>0</v>
      </c>
      <c r="AW91" s="131">
        <f>COUNTIF(ParicipationMai1[[#This Row],[1]:[31]],Code14)</f>
        <v>0</v>
      </c>
      <c r="AX91" s="131">
        <f>COUNTIF(ParicipationMai1[[#This Row],[1]:[31]],Code15)</f>
        <v>0</v>
      </c>
      <c r="AY91" s="131">
        <f>COUNTIF(ParicipationMai1[[#This Row],[1]:[31]],Code16)</f>
        <v>0</v>
      </c>
      <c r="AZ91" s="131">
        <f>COUNTIF(ParicipationMai1[[#This Row],[1]:[31]],Code17)</f>
        <v>0</v>
      </c>
      <c r="BA91" s="131">
        <f>COUNTIF(ParicipationMai1[[#This Row],[1]:[31]],Code26)</f>
        <v>0</v>
      </c>
      <c r="BB91" s="131">
        <f>COUNTIF(ParicipationMai1[[#This Row],[1]:[31]],Code27)</f>
        <v>0</v>
      </c>
      <c r="BC91" s="131">
        <f>COUNTIF(ParicipationMai1[[#This Row],[1]:[31]],Code27)</f>
        <v>0</v>
      </c>
      <c r="BD91" s="131">
        <f>COUNTIF(ParicipationMai1[[#This Row],[1]:[31]],Code28)</f>
        <v>0</v>
      </c>
      <c r="BE91" s="131">
        <f>COUNTIF(ParicipationMai1[[#This Row],[1]:[31]],code30)</f>
        <v>0</v>
      </c>
      <c r="BF91" s="131">
        <f>COUNTIF(ParicipationMai1[[#This Row],[1]:[31]],Code31)</f>
        <v>0</v>
      </c>
      <c r="BG91" s="131">
        <f>COUNTIF(ParicipationMai1[[#This Row],[1]:[31]],code21)</f>
        <v>0</v>
      </c>
      <c r="BH91" s="131">
        <f>COUNTIF(ParicipationMai1[[#This Row],[1]:[31]],Code24)</f>
        <v>0</v>
      </c>
      <c r="BI91" s="568">
        <f>COUNTIF(ParicipationMai1[[#This Row],[1]:[31]],code18)</f>
        <v>0</v>
      </c>
      <c r="BJ91" s="568">
        <f>COUNTIF(ParicipationMai1[[#This Row],[1]:[31]],code19)</f>
        <v>0</v>
      </c>
      <c r="BK91" s="568">
        <f>COUNTIF(ParicipationMai1[[#This Row],[1]:[31]],code20)</f>
        <v>0</v>
      </c>
      <c r="BL91" s="548">
        <f>COUNTIF(ParicipationMai1[[#This Row],[1]:[31]],code29)</f>
        <v>0</v>
      </c>
      <c r="BM91" s="131"/>
      <c r="BN91" s="131"/>
      <c r="BO91" s="131"/>
      <c r="BP91" s="131"/>
      <c r="BQ91" s="131"/>
      <c r="BR91" s="131"/>
      <c r="BS91" s="131"/>
      <c r="BT91" s="131"/>
      <c r="BU91" s="131"/>
      <c r="BV91" s="131"/>
      <c r="BW91" s="131"/>
      <c r="BX91" s="131"/>
      <c r="BY91" s="131"/>
      <c r="BZ91" s="131"/>
      <c r="CA91" s="131"/>
      <c r="CB91" s="131"/>
      <c r="CC91" s="131"/>
      <c r="CD91" s="131"/>
      <c r="CE91" s="131"/>
      <c r="CF91" s="131"/>
      <c r="CG91" s="131"/>
      <c r="CH91" s="131"/>
      <c r="CI91" s="131"/>
      <c r="CJ91" s="131"/>
      <c r="CK91" s="131"/>
      <c r="CL91" s="131"/>
      <c r="CM91" s="131"/>
      <c r="CN91" s="131"/>
      <c r="CO91" s="131"/>
      <c r="CP91" s="131"/>
      <c r="CQ91" s="131"/>
      <c r="CR91" s="131"/>
      <c r="CS91" s="131"/>
      <c r="CT91" s="131"/>
      <c r="CU91" s="548"/>
      <c r="CV91" s="592">
        <f t="shared" si="4"/>
        <v>0</v>
      </c>
      <c r="CW91" s="575">
        <f t="shared" si="5"/>
        <v>0</v>
      </c>
      <c r="CX91" s="131">
        <f t="shared" si="6"/>
        <v>0</v>
      </c>
      <c r="CY91" s="170">
        <f t="shared" si="7"/>
        <v>0</v>
      </c>
    </row>
    <row r="92" spans="1:103">
      <c r="A92" s="405" t="s">
        <v>433</v>
      </c>
      <c r="B92" s="537" t="str">
        <f>IFERROR(VLOOKUP(ParicipationMai1[[#This Row],[Référence]],ListeÉtudiants1[],18,FALSE),"")</f>
        <v>LAURENT GUILLAUME</v>
      </c>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546"/>
      <c r="AH92" s="132">
        <f>COUNTIF(ParicipationMai1[[1]:[31]],Code1)</f>
        <v>0</v>
      </c>
      <c r="AI92" s="538">
        <f>COUNTIF(ParicipationMai1[[1]:[31]],code22)</f>
        <v>0</v>
      </c>
      <c r="AJ92" s="132">
        <f>COUNTIF(ParicipationMai1[[#This Row],[1]:[31]],Code2)</f>
        <v>0</v>
      </c>
      <c r="AK92" s="132">
        <f>COUNTIF(ParicipationMai1[[#This Row],[1]:[31]],Code3)</f>
        <v>0</v>
      </c>
      <c r="AL92" s="132">
        <f>COUNTIF(ParicipationMai1[[#This Row],[1]:[31]],Code4)</f>
        <v>0</v>
      </c>
      <c r="AM92" s="132">
        <f>COUNTIF(ParicipationMai1[[#This Row],[1]:[31]],Code5)</f>
        <v>0</v>
      </c>
      <c r="AN92" s="132">
        <f>COUNTIF(ParicipationMai1[[#This Row],[1]:[31]],Code23)</f>
        <v>0</v>
      </c>
      <c r="AO92" s="132">
        <f>COUNTIF(ParicipationMai1[[#This Row],[1]:[31]],Code6)</f>
        <v>0</v>
      </c>
      <c r="AP92" s="132">
        <f>COUNTIF(ParicipationMai1[[#This Row],[1]:[31]],Code7)</f>
        <v>0</v>
      </c>
      <c r="AQ92" s="132">
        <f>COUNTIF(ParicipationMai1[[#This Row],[1]:[31]],Code8)</f>
        <v>0</v>
      </c>
      <c r="AR92" s="132">
        <f>COUNTIF(ParicipationMai1[[#This Row],[1]:[31]],Code9)</f>
        <v>0</v>
      </c>
      <c r="AS92" s="132">
        <f>COUNTIF(ParicipationMai1[[#This Row],[1]:[31]],Code10)</f>
        <v>0</v>
      </c>
      <c r="AT92" s="132">
        <f>COUNTIF(ParicipationMai1[[#This Row],[1]:[31]],Code11)</f>
        <v>0</v>
      </c>
      <c r="AU92" s="132">
        <f>COUNTIF(ParicipationMai1[[#This Row],[1]:[31]],Code12)</f>
        <v>0</v>
      </c>
      <c r="AV92" s="132">
        <f>COUNTIF(ParicipationMai1[[#This Row],[1]:[31]],Code13)</f>
        <v>0</v>
      </c>
      <c r="AW92" s="132">
        <f>COUNTIF(ParicipationMai1[[#This Row],[1]:[31]],Code14)</f>
        <v>0</v>
      </c>
      <c r="AX92" s="132">
        <f>COUNTIF(ParicipationMai1[[#This Row],[1]:[31]],Code15)</f>
        <v>0</v>
      </c>
      <c r="AY92" s="132">
        <f>COUNTIF(ParicipationMai1[[#This Row],[1]:[31]],Code16)</f>
        <v>0</v>
      </c>
      <c r="AZ92" s="132">
        <f>COUNTIF(ParicipationMai1[[#This Row],[1]:[31]],Code17)</f>
        <v>0</v>
      </c>
      <c r="BA92" s="132">
        <f>COUNTIF(ParicipationMai1[[#This Row],[1]:[31]],Code26)</f>
        <v>0</v>
      </c>
      <c r="BB92" s="132">
        <f>COUNTIF(ParicipationMai1[[#This Row],[1]:[31]],Code27)</f>
        <v>0</v>
      </c>
      <c r="BC92" s="132">
        <f>COUNTIF(ParicipationMai1[[#This Row],[1]:[31]],Code27)</f>
        <v>0</v>
      </c>
      <c r="BD92" s="132">
        <f>COUNTIF(ParicipationMai1[[#This Row],[1]:[31]],Code28)</f>
        <v>0</v>
      </c>
      <c r="BE92" s="132">
        <f>COUNTIF(ParicipationMai1[[#This Row],[1]:[31]],code30)</f>
        <v>0</v>
      </c>
      <c r="BF92" s="132">
        <f>COUNTIF(ParicipationMai1[[#This Row],[1]:[31]],Code31)</f>
        <v>0</v>
      </c>
      <c r="BG92" s="132">
        <f>COUNTIF(ParicipationMai1[[#This Row],[1]:[31]],code21)</f>
        <v>0</v>
      </c>
      <c r="BH92" s="132">
        <f>COUNTIF(ParicipationMai1[[#This Row],[1]:[31]],Code24)</f>
        <v>0</v>
      </c>
      <c r="BI92" s="579">
        <f>COUNTIF(ParicipationMai1[[#This Row],[1]:[31]],code18)</f>
        <v>0</v>
      </c>
      <c r="BJ92" s="579">
        <f>COUNTIF(ParicipationMai1[[#This Row],[1]:[31]],code19)</f>
        <v>0</v>
      </c>
      <c r="BK92" s="579">
        <f>COUNTIF(ParicipationMai1[[#This Row],[1]:[31]],code20)</f>
        <v>0</v>
      </c>
      <c r="BL92" s="547">
        <f>COUNTIF(ParicipationMai1[[#This Row],[1]:[31]],code29)</f>
        <v>0</v>
      </c>
      <c r="BM92" s="132"/>
      <c r="BN92" s="132"/>
      <c r="BO92" s="132"/>
      <c r="BP92" s="132"/>
      <c r="BQ92" s="132"/>
      <c r="BR92" s="132"/>
      <c r="BS92" s="132"/>
      <c r="BT92" s="132"/>
      <c r="BU92" s="132"/>
      <c r="BV92" s="132"/>
      <c r="BW92" s="132"/>
      <c r="BX92" s="132"/>
      <c r="BY92" s="132"/>
      <c r="BZ92" s="132"/>
      <c r="CA92" s="132"/>
      <c r="CB92" s="132"/>
      <c r="CC92" s="132"/>
      <c r="CD92" s="132"/>
      <c r="CE92" s="132"/>
      <c r="CF92" s="132"/>
      <c r="CG92" s="132"/>
      <c r="CH92" s="132"/>
      <c r="CI92" s="132"/>
      <c r="CJ92" s="132"/>
      <c r="CK92" s="132"/>
      <c r="CL92" s="132"/>
      <c r="CM92" s="132"/>
      <c r="CN92" s="132"/>
      <c r="CO92" s="132"/>
      <c r="CP92" s="132"/>
      <c r="CQ92" s="132"/>
      <c r="CR92" s="132"/>
      <c r="CS92" s="132"/>
      <c r="CT92" s="132"/>
      <c r="CU92" s="547"/>
      <c r="CV92" s="590">
        <f t="shared" si="4"/>
        <v>0</v>
      </c>
      <c r="CW92" s="573">
        <f t="shared" si="5"/>
        <v>0</v>
      </c>
      <c r="CX92" s="132">
        <f t="shared" si="6"/>
        <v>0</v>
      </c>
      <c r="CY92" s="500">
        <f t="shared" si="7"/>
        <v>0</v>
      </c>
    </row>
    <row r="93" spans="1:103">
      <c r="A93" s="406" t="s">
        <v>434</v>
      </c>
      <c r="B93" s="540" t="str">
        <f>IFERROR(VLOOKUP(ParicipationMai1[[#This Row],[Référence]],ListeÉtudiants1[],18,FALSE),"")</f>
        <v>LEMAIRE SHANONE</v>
      </c>
      <c r="C93" s="406"/>
      <c r="D93" s="406"/>
      <c r="E93" s="406"/>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c r="AG93" s="542"/>
      <c r="AH93" s="131">
        <f>COUNTIF(ParicipationMai1[[1]:[31]],Code1)</f>
        <v>0</v>
      </c>
      <c r="AI93" s="311">
        <f>COUNTIF(ParicipationMai1[[1]:[31]],code22)</f>
        <v>0</v>
      </c>
      <c r="AJ93" s="131">
        <f>COUNTIF(ParicipationMai1[[#This Row],[1]:[31]],Code2)</f>
        <v>0</v>
      </c>
      <c r="AK93" s="131">
        <f>COUNTIF(ParicipationMai1[[#This Row],[1]:[31]],Code3)</f>
        <v>0</v>
      </c>
      <c r="AL93" s="131">
        <f>COUNTIF(ParicipationMai1[[#This Row],[1]:[31]],Code4)</f>
        <v>0</v>
      </c>
      <c r="AM93" s="131">
        <f>COUNTIF(ParicipationMai1[[#This Row],[1]:[31]],Code5)</f>
        <v>0</v>
      </c>
      <c r="AN93" s="131">
        <f>COUNTIF(ParicipationMai1[[#This Row],[1]:[31]],Code23)</f>
        <v>0</v>
      </c>
      <c r="AO93" s="131">
        <f>COUNTIF(ParicipationMai1[[#This Row],[1]:[31]],Code6)</f>
        <v>0</v>
      </c>
      <c r="AP93" s="131">
        <f>COUNTIF(ParicipationMai1[[#This Row],[1]:[31]],Code7)</f>
        <v>0</v>
      </c>
      <c r="AQ93" s="131">
        <f>COUNTIF(ParicipationMai1[[#This Row],[1]:[31]],Code8)</f>
        <v>0</v>
      </c>
      <c r="AR93" s="131">
        <f>COUNTIF(ParicipationMai1[[#This Row],[1]:[31]],Code9)</f>
        <v>0</v>
      </c>
      <c r="AS93" s="131">
        <f>COUNTIF(ParicipationMai1[[#This Row],[1]:[31]],Code10)</f>
        <v>0</v>
      </c>
      <c r="AT93" s="131">
        <f>COUNTIF(ParicipationMai1[[#This Row],[1]:[31]],Code11)</f>
        <v>0</v>
      </c>
      <c r="AU93" s="131">
        <f>COUNTIF(ParicipationMai1[[#This Row],[1]:[31]],Code12)</f>
        <v>0</v>
      </c>
      <c r="AV93" s="131">
        <f>COUNTIF(ParicipationMai1[[#This Row],[1]:[31]],Code13)</f>
        <v>0</v>
      </c>
      <c r="AW93" s="131">
        <f>COUNTIF(ParicipationMai1[[#This Row],[1]:[31]],Code14)</f>
        <v>0</v>
      </c>
      <c r="AX93" s="131">
        <f>COUNTIF(ParicipationMai1[[#This Row],[1]:[31]],Code15)</f>
        <v>0</v>
      </c>
      <c r="AY93" s="131">
        <f>COUNTIF(ParicipationMai1[[#This Row],[1]:[31]],Code16)</f>
        <v>0</v>
      </c>
      <c r="AZ93" s="131">
        <f>COUNTIF(ParicipationMai1[[#This Row],[1]:[31]],Code17)</f>
        <v>0</v>
      </c>
      <c r="BA93" s="131">
        <f>COUNTIF(ParicipationMai1[[#This Row],[1]:[31]],Code26)</f>
        <v>0</v>
      </c>
      <c r="BB93" s="131">
        <f>COUNTIF(ParicipationMai1[[#This Row],[1]:[31]],Code27)</f>
        <v>0</v>
      </c>
      <c r="BC93" s="131">
        <f>COUNTIF(ParicipationMai1[[#This Row],[1]:[31]],Code27)</f>
        <v>0</v>
      </c>
      <c r="BD93" s="131">
        <f>COUNTIF(ParicipationMai1[[#This Row],[1]:[31]],Code28)</f>
        <v>0</v>
      </c>
      <c r="BE93" s="131">
        <f>COUNTIF(ParicipationMai1[[#This Row],[1]:[31]],code30)</f>
        <v>0</v>
      </c>
      <c r="BF93" s="131">
        <f>COUNTIF(ParicipationMai1[[#This Row],[1]:[31]],Code31)</f>
        <v>0</v>
      </c>
      <c r="BG93" s="131">
        <f>COUNTIF(ParicipationMai1[[#This Row],[1]:[31]],code21)</f>
        <v>0</v>
      </c>
      <c r="BH93" s="131">
        <f>COUNTIF(ParicipationMai1[[#This Row],[1]:[31]],Code24)</f>
        <v>0</v>
      </c>
      <c r="BI93" s="568">
        <f>COUNTIF(ParicipationMai1[[#This Row],[1]:[31]],code18)</f>
        <v>0</v>
      </c>
      <c r="BJ93" s="568">
        <f>COUNTIF(ParicipationMai1[[#This Row],[1]:[31]],code19)</f>
        <v>0</v>
      </c>
      <c r="BK93" s="568">
        <f>COUNTIF(ParicipationMai1[[#This Row],[1]:[31]],code20)</f>
        <v>0</v>
      </c>
      <c r="BL93" s="548">
        <f>COUNTIF(ParicipationMai1[[#This Row],[1]:[31]],code29)</f>
        <v>0</v>
      </c>
      <c r="BM93" s="131"/>
      <c r="BN93" s="131"/>
      <c r="BO93" s="131"/>
      <c r="BP93" s="131"/>
      <c r="BQ93" s="131"/>
      <c r="BR93" s="131"/>
      <c r="BS93" s="131"/>
      <c r="BT93" s="131"/>
      <c r="BU93" s="131"/>
      <c r="BV93" s="131"/>
      <c r="BW93" s="131"/>
      <c r="BX93" s="131"/>
      <c r="BY93" s="131"/>
      <c r="BZ93" s="131"/>
      <c r="CA93" s="131"/>
      <c r="CB93" s="131"/>
      <c r="CC93" s="131"/>
      <c r="CD93" s="131"/>
      <c r="CE93" s="131"/>
      <c r="CF93" s="131"/>
      <c r="CG93" s="131"/>
      <c r="CH93" s="131"/>
      <c r="CI93" s="131"/>
      <c r="CJ93" s="131"/>
      <c r="CK93" s="131"/>
      <c r="CL93" s="131"/>
      <c r="CM93" s="131"/>
      <c r="CN93" s="131"/>
      <c r="CO93" s="131"/>
      <c r="CP93" s="131"/>
      <c r="CQ93" s="131"/>
      <c r="CR93" s="131"/>
      <c r="CS93" s="131"/>
      <c r="CT93" s="131"/>
      <c r="CU93" s="548"/>
      <c r="CV93" s="592">
        <f t="shared" si="4"/>
        <v>0</v>
      </c>
      <c r="CW93" s="575">
        <f t="shared" si="5"/>
        <v>0</v>
      </c>
      <c r="CX93" s="131">
        <f t="shared" si="6"/>
        <v>0</v>
      </c>
      <c r="CY93" s="170">
        <f t="shared" si="7"/>
        <v>0</v>
      </c>
    </row>
    <row r="94" spans="1:103">
      <c r="A94" s="405" t="s">
        <v>435</v>
      </c>
      <c r="B94" s="537" t="str">
        <f>IFERROR(VLOOKUP(ParicipationMai1[[#This Row],[Référence]],ListeÉtudiants1[],18,FALSE),"")</f>
        <v>L'HERMITTE ROMAIN</v>
      </c>
      <c r="C94" s="405"/>
      <c r="D94" s="405"/>
      <c r="E94" s="405"/>
      <c r="F94" s="405"/>
      <c r="G94" s="405"/>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546"/>
      <c r="AH94" s="132">
        <f>COUNTIF(ParicipationMai1[[1]:[31]],Code1)</f>
        <v>0</v>
      </c>
      <c r="AI94" s="538">
        <f>COUNTIF(ParicipationMai1[[1]:[31]],code22)</f>
        <v>0</v>
      </c>
      <c r="AJ94" s="132">
        <f>COUNTIF(ParicipationMai1[[#This Row],[1]:[31]],Code2)</f>
        <v>0</v>
      </c>
      <c r="AK94" s="132">
        <f>COUNTIF(ParicipationMai1[[#This Row],[1]:[31]],Code3)</f>
        <v>0</v>
      </c>
      <c r="AL94" s="132">
        <f>COUNTIF(ParicipationMai1[[#This Row],[1]:[31]],Code4)</f>
        <v>0</v>
      </c>
      <c r="AM94" s="132">
        <f>COUNTIF(ParicipationMai1[[#This Row],[1]:[31]],Code5)</f>
        <v>0</v>
      </c>
      <c r="AN94" s="132">
        <f>COUNTIF(ParicipationMai1[[#This Row],[1]:[31]],Code23)</f>
        <v>0</v>
      </c>
      <c r="AO94" s="132">
        <f>COUNTIF(ParicipationMai1[[#This Row],[1]:[31]],Code6)</f>
        <v>0</v>
      </c>
      <c r="AP94" s="132">
        <f>COUNTIF(ParicipationMai1[[#This Row],[1]:[31]],Code7)</f>
        <v>0</v>
      </c>
      <c r="AQ94" s="132">
        <f>COUNTIF(ParicipationMai1[[#This Row],[1]:[31]],Code8)</f>
        <v>0</v>
      </c>
      <c r="AR94" s="132">
        <f>COUNTIF(ParicipationMai1[[#This Row],[1]:[31]],Code9)</f>
        <v>0</v>
      </c>
      <c r="AS94" s="132">
        <f>COUNTIF(ParicipationMai1[[#This Row],[1]:[31]],Code10)</f>
        <v>0</v>
      </c>
      <c r="AT94" s="132">
        <f>COUNTIF(ParicipationMai1[[#This Row],[1]:[31]],Code11)</f>
        <v>0</v>
      </c>
      <c r="AU94" s="132">
        <f>COUNTIF(ParicipationMai1[[#This Row],[1]:[31]],Code12)</f>
        <v>0</v>
      </c>
      <c r="AV94" s="132">
        <f>COUNTIF(ParicipationMai1[[#This Row],[1]:[31]],Code13)</f>
        <v>0</v>
      </c>
      <c r="AW94" s="132">
        <f>COUNTIF(ParicipationMai1[[#This Row],[1]:[31]],Code14)</f>
        <v>0</v>
      </c>
      <c r="AX94" s="132">
        <f>COUNTIF(ParicipationMai1[[#This Row],[1]:[31]],Code15)</f>
        <v>0</v>
      </c>
      <c r="AY94" s="132">
        <f>COUNTIF(ParicipationMai1[[#This Row],[1]:[31]],Code16)</f>
        <v>0</v>
      </c>
      <c r="AZ94" s="132">
        <f>COUNTIF(ParicipationMai1[[#This Row],[1]:[31]],Code17)</f>
        <v>0</v>
      </c>
      <c r="BA94" s="132">
        <f>COUNTIF(ParicipationMai1[[#This Row],[1]:[31]],Code26)</f>
        <v>0</v>
      </c>
      <c r="BB94" s="132">
        <f>COUNTIF(ParicipationMai1[[#This Row],[1]:[31]],Code27)</f>
        <v>0</v>
      </c>
      <c r="BC94" s="132">
        <f>COUNTIF(ParicipationMai1[[#This Row],[1]:[31]],Code27)</f>
        <v>0</v>
      </c>
      <c r="BD94" s="132">
        <f>COUNTIF(ParicipationMai1[[#This Row],[1]:[31]],Code28)</f>
        <v>0</v>
      </c>
      <c r="BE94" s="132">
        <f>COUNTIF(ParicipationMai1[[#This Row],[1]:[31]],code30)</f>
        <v>0</v>
      </c>
      <c r="BF94" s="132">
        <f>COUNTIF(ParicipationMai1[[#This Row],[1]:[31]],Code31)</f>
        <v>0</v>
      </c>
      <c r="BG94" s="132">
        <f>COUNTIF(ParicipationMai1[[#This Row],[1]:[31]],code21)</f>
        <v>0</v>
      </c>
      <c r="BH94" s="132">
        <f>COUNTIF(ParicipationMai1[[#This Row],[1]:[31]],Code24)</f>
        <v>0</v>
      </c>
      <c r="BI94" s="579">
        <f>COUNTIF(ParicipationMai1[[#This Row],[1]:[31]],code18)</f>
        <v>0</v>
      </c>
      <c r="BJ94" s="579">
        <f>COUNTIF(ParicipationMai1[[#This Row],[1]:[31]],code19)</f>
        <v>0</v>
      </c>
      <c r="BK94" s="579">
        <f>COUNTIF(ParicipationMai1[[#This Row],[1]:[31]],code20)</f>
        <v>0</v>
      </c>
      <c r="BL94" s="547">
        <f>COUNTIF(ParicipationMai1[[#This Row],[1]:[31]],code29)</f>
        <v>0</v>
      </c>
      <c r="BM94" s="132"/>
      <c r="BN94" s="132"/>
      <c r="BO94" s="132"/>
      <c r="BP94" s="132"/>
      <c r="BQ94" s="132"/>
      <c r="BR94" s="132"/>
      <c r="BS94" s="132"/>
      <c r="BT94" s="132"/>
      <c r="BU94" s="132"/>
      <c r="BV94" s="132"/>
      <c r="BW94" s="132"/>
      <c r="BX94" s="132"/>
      <c r="BY94" s="132"/>
      <c r="BZ94" s="132"/>
      <c r="CA94" s="132"/>
      <c r="CB94" s="132"/>
      <c r="CC94" s="132"/>
      <c r="CD94" s="132"/>
      <c r="CE94" s="132"/>
      <c r="CF94" s="132"/>
      <c r="CG94" s="132"/>
      <c r="CH94" s="132"/>
      <c r="CI94" s="132"/>
      <c r="CJ94" s="132"/>
      <c r="CK94" s="132"/>
      <c r="CL94" s="132"/>
      <c r="CM94" s="132"/>
      <c r="CN94" s="132"/>
      <c r="CO94" s="132"/>
      <c r="CP94" s="132"/>
      <c r="CQ94" s="132"/>
      <c r="CR94" s="132"/>
      <c r="CS94" s="132"/>
      <c r="CT94" s="132"/>
      <c r="CU94" s="547"/>
      <c r="CV94" s="590">
        <f t="shared" si="4"/>
        <v>0</v>
      </c>
      <c r="CW94" s="573">
        <f t="shared" si="5"/>
        <v>0</v>
      </c>
      <c r="CX94" s="132">
        <f t="shared" si="6"/>
        <v>0</v>
      </c>
      <c r="CY94" s="500">
        <f t="shared" si="7"/>
        <v>0</v>
      </c>
    </row>
    <row r="95" spans="1:103">
      <c r="A95" s="406" t="s">
        <v>436</v>
      </c>
      <c r="B95" s="540" t="str">
        <f>IFERROR(VLOOKUP(ParicipationMai1[[#This Row],[Référence]],ListeÉtudiants1[],18,FALSE),"")</f>
        <v>LIBON ADRIANA</v>
      </c>
      <c r="C95" s="406"/>
      <c r="D95" s="406"/>
      <c r="E95" s="406"/>
      <c r="F95" s="406"/>
      <c r="G95" s="406"/>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542"/>
      <c r="AH95" s="131">
        <f>COUNTIF(ParicipationMai1[[1]:[31]],Code1)</f>
        <v>0</v>
      </c>
      <c r="AI95" s="311">
        <f>COUNTIF(ParicipationMai1[[1]:[31]],code22)</f>
        <v>0</v>
      </c>
      <c r="AJ95" s="131">
        <f>COUNTIF(ParicipationMai1[[#This Row],[1]:[31]],Code2)</f>
        <v>0</v>
      </c>
      <c r="AK95" s="131">
        <f>COUNTIF(ParicipationMai1[[#This Row],[1]:[31]],Code3)</f>
        <v>0</v>
      </c>
      <c r="AL95" s="131">
        <f>COUNTIF(ParicipationMai1[[#This Row],[1]:[31]],Code4)</f>
        <v>0</v>
      </c>
      <c r="AM95" s="131">
        <f>COUNTIF(ParicipationMai1[[#This Row],[1]:[31]],Code5)</f>
        <v>0</v>
      </c>
      <c r="AN95" s="131">
        <f>COUNTIF(ParicipationMai1[[#This Row],[1]:[31]],Code23)</f>
        <v>0</v>
      </c>
      <c r="AO95" s="131">
        <f>COUNTIF(ParicipationMai1[[#This Row],[1]:[31]],Code6)</f>
        <v>0</v>
      </c>
      <c r="AP95" s="131">
        <f>COUNTIF(ParicipationMai1[[#This Row],[1]:[31]],Code7)</f>
        <v>0</v>
      </c>
      <c r="AQ95" s="131">
        <f>COUNTIF(ParicipationMai1[[#This Row],[1]:[31]],Code8)</f>
        <v>0</v>
      </c>
      <c r="AR95" s="131">
        <f>COUNTIF(ParicipationMai1[[#This Row],[1]:[31]],Code9)</f>
        <v>0</v>
      </c>
      <c r="AS95" s="131">
        <f>COUNTIF(ParicipationMai1[[#This Row],[1]:[31]],Code10)</f>
        <v>0</v>
      </c>
      <c r="AT95" s="131">
        <f>COUNTIF(ParicipationMai1[[#This Row],[1]:[31]],Code11)</f>
        <v>0</v>
      </c>
      <c r="AU95" s="131">
        <f>COUNTIF(ParicipationMai1[[#This Row],[1]:[31]],Code12)</f>
        <v>0</v>
      </c>
      <c r="AV95" s="131">
        <f>COUNTIF(ParicipationMai1[[#This Row],[1]:[31]],Code13)</f>
        <v>0</v>
      </c>
      <c r="AW95" s="131">
        <f>COUNTIF(ParicipationMai1[[#This Row],[1]:[31]],Code14)</f>
        <v>0</v>
      </c>
      <c r="AX95" s="131">
        <f>COUNTIF(ParicipationMai1[[#This Row],[1]:[31]],Code15)</f>
        <v>0</v>
      </c>
      <c r="AY95" s="131">
        <f>COUNTIF(ParicipationMai1[[#This Row],[1]:[31]],Code16)</f>
        <v>0</v>
      </c>
      <c r="AZ95" s="131">
        <f>COUNTIF(ParicipationMai1[[#This Row],[1]:[31]],Code17)</f>
        <v>0</v>
      </c>
      <c r="BA95" s="131">
        <f>COUNTIF(ParicipationMai1[[#This Row],[1]:[31]],Code26)</f>
        <v>0</v>
      </c>
      <c r="BB95" s="131">
        <f>COUNTIF(ParicipationMai1[[#This Row],[1]:[31]],Code27)</f>
        <v>0</v>
      </c>
      <c r="BC95" s="131">
        <f>COUNTIF(ParicipationMai1[[#This Row],[1]:[31]],Code27)</f>
        <v>0</v>
      </c>
      <c r="BD95" s="131">
        <f>COUNTIF(ParicipationMai1[[#This Row],[1]:[31]],Code28)</f>
        <v>0</v>
      </c>
      <c r="BE95" s="131">
        <f>COUNTIF(ParicipationMai1[[#This Row],[1]:[31]],code30)</f>
        <v>0</v>
      </c>
      <c r="BF95" s="131">
        <f>COUNTIF(ParicipationMai1[[#This Row],[1]:[31]],Code31)</f>
        <v>0</v>
      </c>
      <c r="BG95" s="131">
        <f>COUNTIF(ParicipationMai1[[#This Row],[1]:[31]],code21)</f>
        <v>0</v>
      </c>
      <c r="BH95" s="131">
        <f>COUNTIF(ParicipationMai1[[#This Row],[1]:[31]],Code24)</f>
        <v>0</v>
      </c>
      <c r="BI95" s="568">
        <f>COUNTIF(ParicipationMai1[[#This Row],[1]:[31]],code18)</f>
        <v>0</v>
      </c>
      <c r="BJ95" s="568">
        <f>COUNTIF(ParicipationMai1[[#This Row],[1]:[31]],code19)</f>
        <v>0</v>
      </c>
      <c r="BK95" s="568">
        <f>COUNTIF(ParicipationMai1[[#This Row],[1]:[31]],code20)</f>
        <v>0</v>
      </c>
      <c r="BL95" s="548">
        <f>COUNTIF(ParicipationMai1[[#This Row],[1]:[31]],code29)</f>
        <v>0</v>
      </c>
      <c r="BM95" s="131"/>
      <c r="BN95" s="131"/>
      <c r="BO95" s="131"/>
      <c r="BP95" s="131"/>
      <c r="BQ95" s="131"/>
      <c r="BR95" s="131"/>
      <c r="BS95" s="131"/>
      <c r="BT95" s="131"/>
      <c r="BU95" s="131"/>
      <c r="BV95" s="131"/>
      <c r="BW95" s="131"/>
      <c r="BX95" s="131"/>
      <c r="BY95" s="131"/>
      <c r="BZ95" s="131"/>
      <c r="CA95" s="131"/>
      <c r="CB95" s="131"/>
      <c r="CC95" s="131"/>
      <c r="CD95" s="131"/>
      <c r="CE95" s="131"/>
      <c r="CF95" s="131"/>
      <c r="CG95" s="131"/>
      <c r="CH95" s="131"/>
      <c r="CI95" s="131"/>
      <c r="CJ95" s="131"/>
      <c r="CK95" s="131"/>
      <c r="CL95" s="131"/>
      <c r="CM95" s="131"/>
      <c r="CN95" s="131"/>
      <c r="CO95" s="131"/>
      <c r="CP95" s="131"/>
      <c r="CQ95" s="131"/>
      <c r="CR95" s="131"/>
      <c r="CS95" s="131"/>
      <c r="CT95" s="131"/>
      <c r="CU95" s="548"/>
      <c r="CV95" s="592">
        <f t="shared" si="4"/>
        <v>0</v>
      </c>
      <c r="CW95" s="575">
        <f t="shared" si="5"/>
        <v>0</v>
      </c>
      <c r="CX95" s="131">
        <f t="shared" si="6"/>
        <v>0</v>
      </c>
      <c r="CY95" s="170">
        <f t="shared" si="7"/>
        <v>0</v>
      </c>
    </row>
    <row r="96" spans="1:103">
      <c r="A96" s="405" t="s">
        <v>437</v>
      </c>
      <c r="B96" s="537" t="str">
        <f>IFERROR(VLOOKUP(ParicipationMai1[[#This Row],[Référence]],ListeÉtudiants1[],18,FALSE),"")</f>
        <v>LIGER MARION</v>
      </c>
      <c r="C96" s="405"/>
      <c r="D96" s="405"/>
      <c r="E96" s="405"/>
      <c r="F96" s="405"/>
      <c r="G96" s="405"/>
      <c r="H96" s="405"/>
      <c r="I96" s="405"/>
      <c r="J96" s="405"/>
      <c r="K96" s="405"/>
      <c r="L96" s="405"/>
      <c r="M96" s="405"/>
      <c r="N96" s="405"/>
      <c r="O96" s="405"/>
      <c r="P96" s="405"/>
      <c r="Q96" s="405"/>
      <c r="R96" s="405"/>
      <c r="S96" s="405"/>
      <c r="T96" s="405"/>
      <c r="U96" s="405"/>
      <c r="V96" s="405"/>
      <c r="W96" s="405"/>
      <c r="X96" s="405"/>
      <c r="Y96" s="405"/>
      <c r="Z96" s="405"/>
      <c r="AA96" s="405"/>
      <c r="AB96" s="405"/>
      <c r="AC96" s="405"/>
      <c r="AD96" s="405"/>
      <c r="AE96" s="405"/>
      <c r="AF96" s="405"/>
      <c r="AG96" s="546"/>
      <c r="AH96" s="132">
        <f>COUNTIF(ParicipationMai1[[1]:[31]],Code1)</f>
        <v>0</v>
      </c>
      <c r="AI96" s="538">
        <f>COUNTIF(ParicipationMai1[[1]:[31]],code22)</f>
        <v>0</v>
      </c>
      <c r="AJ96" s="132">
        <f>COUNTIF(ParicipationMai1[[#This Row],[1]:[31]],Code2)</f>
        <v>0</v>
      </c>
      <c r="AK96" s="132">
        <f>COUNTIF(ParicipationMai1[[#This Row],[1]:[31]],Code3)</f>
        <v>0</v>
      </c>
      <c r="AL96" s="132">
        <f>COUNTIF(ParicipationMai1[[#This Row],[1]:[31]],Code4)</f>
        <v>0</v>
      </c>
      <c r="AM96" s="132">
        <f>COUNTIF(ParicipationMai1[[#This Row],[1]:[31]],Code5)</f>
        <v>0</v>
      </c>
      <c r="AN96" s="132">
        <f>COUNTIF(ParicipationMai1[[#This Row],[1]:[31]],Code23)</f>
        <v>0</v>
      </c>
      <c r="AO96" s="132">
        <f>COUNTIF(ParicipationMai1[[#This Row],[1]:[31]],Code6)</f>
        <v>0</v>
      </c>
      <c r="AP96" s="132">
        <f>COUNTIF(ParicipationMai1[[#This Row],[1]:[31]],Code7)</f>
        <v>0</v>
      </c>
      <c r="AQ96" s="132">
        <f>COUNTIF(ParicipationMai1[[#This Row],[1]:[31]],Code8)</f>
        <v>0</v>
      </c>
      <c r="AR96" s="132">
        <f>COUNTIF(ParicipationMai1[[#This Row],[1]:[31]],Code9)</f>
        <v>0</v>
      </c>
      <c r="AS96" s="132">
        <f>COUNTIF(ParicipationMai1[[#This Row],[1]:[31]],Code10)</f>
        <v>0</v>
      </c>
      <c r="AT96" s="132">
        <f>COUNTIF(ParicipationMai1[[#This Row],[1]:[31]],Code11)</f>
        <v>0</v>
      </c>
      <c r="AU96" s="132">
        <f>COUNTIF(ParicipationMai1[[#This Row],[1]:[31]],Code12)</f>
        <v>0</v>
      </c>
      <c r="AV96" s="132">
        <f>COUNTIF(ParicipationMai1[[#This Row],[1]:[31]],Code13)</f>
        <v>0</v>
      </c>
      <c r="AW96" s="132">
        <f>COUNTIF(ParicipationMai1[[#This Row],[1]:[31]],Code14)</f>
        <v>0</v>
      </c>
      <c r="AX96" s="132">
        <f>COUNTIF(ParicipationMai1[[#This Row],[1]:[31]],Code15)</f>
        <v>0</v>
      </c>
      <c r="AY96" s="132">
        <f>COUNTIF(ParicipationMai1[[#This Row],[1]:[31]],Code16)</f>
        <v>0</v>
      </c>
      <c r="AZ96" s="132">
        <f>COUNTIF(ParicipationMai1[[#This Row],[1]:[31]],Code17)</f>
        <v>0</v>
      </c>
      <c r="BA96" s="132">
        <f>COUNTIF(ParicipationMai1[[#This Row],[1]:[31]],Code26)</f>
        <v>0</v>
      </c>
      <c r="BB96" s="132">
        <f>COUNTIF(ParicipationMai1[[#This Row],[1]:[31]],Code27)</f>
        <v>0</v>
      </c>
      <c r="BC96" s="132">
        <f>COUNTIF(ParicipationMai1[[#This Row],[1]:[31]],Code27)</f>
        <v>0</v>
      </c>
      <c r="BD96" s="132">
        <f>COUNTIF(ParicipationMai1[[#This Row],[1]:[31]],Code28)</f>
        <v>0</v>
      </c>
      <c r="BE96" s="132">
        <f>COUNTIF(ParicipationMai1[[#This Row],[1]:[31]],code30)</f>
        <v>0</v>
      </c>
      <c r="BF96" s="132">
        <f>COUNTIF(ParicipationMai1[[#This Row],[1]:[31]],Code31)</f>
        <v>0</v>
      </c>
      <c r="BG96" s="132">
        <f>COUNTIF(ParicipationMai1[[#This Row],[1]:[31]],code21)</f>
        <v>0</v>
      </c>
      <c r="BH96" s="132">
        <f>COUNTIF(ParicipationMai1[[#This Row],[1]:[31]],Code24)</f>
        <v>0</v>
      </c>
      <c r="BI96" s="579">
        <f>COUNTIF(ParicipationMai1[[#This Row],[1]:[31]],code18)</f>
        <v>0</v>
      </c>
      <c r="BJ96" s="579">
        <f>COUNTIF(ParicipationMai1[[#This Row],[1]:[31]],code19)</f>
        <v>0</v>
      </c>
      <c r="BK96" s="579">
        <f>COUNTIF(ParicipationMai1[[#This Row],[1]:[31]],code20)</f>
        <v>0</v>
      </c>
      <c r="BL96" s="547">
        <f>COUNTIF(ParicipationMai1[[#This Row],[1]:[31]],code29)</f>
        <v>0</v>
      </c>
      <c r="BM96" s="132"/>
      <c r="BN96" s="132"/>
      <c r="BO96" s="132"/>
      <c r="BP96" s="132"/>
      <c r="BQ96" s="132"/>
      <c r="BR96" s="132"/>
      <c r="BS96" s="132"/>
      <c r="BT96" s="132"/>
      <c r="BU96" s="132"/>
      <c r="BV96" s="132"/>
      <c r="BW96" s="132"/>
      <c r="BX96" s="132"/>
      <c r="BY96" s="132"/>
      <c r="BZ96" s="132"/>
      <c r="CA96" s="132"/>
      <c r="CB96" s="132"/>
      <c r="CC96" s="132"/>
      <c r="CD96" s="132"/>
      <c r="CE96" s="132"/>
      <c r="CF96" s="132"/>
      <c r="CG96" s="132"/>
      <c r="CH96" s="132"/>
      <c r="CI96" s="132"/>
      <c r="CJ96" s="132"/>
      <c r="CK96" s="132"/>
      <c r="CL96" s="132"/>
      <c r="CM96" s="132"/>
      <c r="CN96" s="132"/>
      <c r="CO96" s="132"/>
      <c r="CP96" s="132"/>
      <c r="CQ96" s="132"/>
      <c r="CR96" s="132"/>
      <c r="CS96" s="132"/>
      <c r="CT96" s="132"/>
      <c r="CU96" s="547"/>
      <c r="CV96" s="590">
        <f t="shared" si="4"/>
        <v>0</v>
      </c>
      <c r="CW96" s="573">
        <f t="shared" si="5"/>
        <v>0</v>
      </c>
      <c r="CX96" s="132">
        <f t="shared" si="6"/>
        <v>0</v>
      </c>
      <c r="CY96" s="500">
        <f t="shared" si="7"/>
        <v>0</v>
      </c>
    </row>
    <row r="97" spans="1:103">
      <c r="A97" s="406" t="s">
        <v>438</v>
      </c>
      <c r="B97" s="540" t="str">
        <f>IFERROR(VLOOKUP(ParicipationMai1[[#This Row],[Référence]],ListeÉtudiants1[],18,FALSE),"")</f>
        <v>MARCHAL RAPHAEL</v>
      </c>
      <c r="C97" s="406"/>
      <c r="D97" s="406"/>
      <c r="E97" s="406"/>
      <c r="F97" s="406"/>
      <c r="G97" s="406"/>
      <c r="H97" s="406"/>
      <c r="I97" s="406"/>
      <c r="J97" s="406"/>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542"/>
      <c r="AH97" s="131">
        <f>COUNTIF(ParicipationMai1[[1]:[31]],Code1)</f>
        <v>0</v>
      </c>
      <c r="AI97" s="311">
        <f>COUNTIF(ParicipationMai1[[1]:[31]],code22)</f>
        <v>0</v>
      </c>
      <c r="AJ97" s="131">
        <f>COUNTIF(ParicipationMai1[[#This Row],[1]:[31]],Code2)</f>
        <v>0</v>
      </c>
      <c r="AK97" s="131">
        <f>COUNTIF(ParicipationMai1[[#This Row],[1]:[31]],Code3)</f>
        <v>0</v>
      </c>
      <c r="AL97" s="131">
        <f>COUNTIF(ParicipationMai1[[#This Row],[1]:[31]],Code4)</f>
        <v>0</v>
      </c>
      <c r="AM97" s="131">
        <f>COUNTIF(ParicipationMai1[[#This Row],[1]:[31]],Code5)</f>
        <v>0</v>
      </c>
      <c r="AN97" s="131">
        <f>COUNTIF(ParicipationMai1[[#This Row],[1]:[31]],Code23)</f>
        <v>0</v>
      </c>
      <c r="AO97" s="131">
        <f>COUNTIF(ParicipationMai1[[#This Row],[1]:[31]],Code6)</f>
        <v>0</v>
      </c>
      <c r="AP97" s="131">
        <f>COUNTIF(ParicipationMai1[[#This Row],[1]:[31]],Code7)</f>
        <v>0</v>
      </c>
      <c r="AQ97" s="131">
        <f>COUNTIF(ParicipationMai1[[#This Row],[1]:[31]],Code8)</f>
        <v>0</v>
      </c>
      <c r="AR97" s="131">
        <f>COUNTIF(ParicipationMai1[[#This Row],[1]:[31]],Code9)</f>
        <v>0</v>
      </c>
      <c r="AS97" s="131">
        <f>COUNTIF(ParicipationMai1[[#This Row],[1]:[31]],Code10)</f>
        <v>0</v>
      </c>
      <c r="AT97" s="131">
        <f>COUNTIF(ParicipationMai1[[#This Row],[1]:[31]],Code11)</f>
        <v>0</v>
      </c>
      <c r="AU97" s="131">
        <f>COUNTIF(ParicipationMai1[[#This Row],[1]:[31]],Code12)</f>
        <v>0</v>
      </c>
      <c r="AV97" s="131">
        <f>COUNTIF(ParicipationMai1[[#This Row],[1]:[31]],Code13)</f>
        <v>0</v>
      </c>
      <c r="AW97" s="131">
        <f>COUNTIF(ParicipationMai1[[#This Row],[1]:[31]],Code14)</f>
        <v>0</v>
      </c>
      <c r="AX97" s="131">
        <f>COUNTIF(ParicipationMai1[[#This Row],[1]:[31]],Code15)</f>
        <v>0</v>
      </c>
      <c r="AY97" s="131">
        <f>COUNTIF(ParicipationMai1[[#This Row],[1]:[31]],Code16)</f>
        <v>0</v>
      </c>
      <c r="AZ97" s="131">
        <f>COUNTIF(ParicipationMai1[[#This Row],[1]:[31]],Code17)</f>
        <v>0</v>
      </c>
      <c r="BA97" s="131">
        <f>COUNTIF(ParicipationMai1[[#This Row],[1]:[31]],Code26)</f>
        <v>0</v>
      </c>
      <c r="BB97" s="131">
        <f>COUNTIF(ParicipationMai1[[#This Row],[1]:[31]],Code27)</f>
        <v>0</v>
      </c>
      <c r="BC97" s="131">
        <f>COUNTIF(ParicipationMai1[[#This Row],[1]:[31]],Code27)</f>
        <v>0</v>
      </c>
      <c r="BD97" s="131">
        <f>COUNTIF(ParicipationMai1[[#This Row],[1]:[31]],Code28)</f>
        <v>0</v>
      </c>
      <c r="BE97" s="131">
        <f>COUNTIF(ParicipationMai1[[#This Row],[1]:[31]],code30)</f>
        <v>0</v>
      </c>
      <c r="BF97" s="131">
        <f>COUNTIF(ParicipationMai1[[#This Row],[1]:[31]],Code31)</f>
        <v>0</v>
      </c>
      <c r="BG97" s="131">
        <f>COUNTIF(ParicipationMai1[[#This Row],[1]:[31]],code21)</f>
        <v>0</v>
      </c>
      <c r="BH97" s="131">
        <f>COUNTIF(ParicipationMai1[[#This Row],[1]:[31]],Code24)</f>
        <v>0</v>
      </c>
      <c r="BI97" s="568">
        <f>COUNTIF(ParicipationMai1[[#This Row],[1]:[31]],code18)</f>
        <v>0</v>
      </c>
      <c r="BJ97" s="568">
        <f>COUNTIF(ParicipationMai1[[#This Row],[1]:[31]],code19)</f>
        <v>0</v>
      </c>
      <c r="BK97" s="568">
        <f>COUNTIF(ParicipationMai1[[#This Row],[1]:[31]],code20)</f>
        <v>0</v>
      </c>
      <c r="BL97" s="548">
        <f>COUNTIF(ParicipationMai1[[#This Row],[1]:[31]],code29)</f>
        <v>0</v>
      </c>
      <c r="BM97" s="131"/>
      <c r="BN97" s="131"/>
      <c r="BO97" s="131"/>
      <c r="BP97" s="131"/>
      <c r="BQ97" s="131"/>
      <c r="BR97" s="131"/>
      <c r="BS97" s="131"/>
      <c r="BT97" s="131"/>
      <c r="BU97" s="131"/>
      <c r="BV97" s="131"/>
      <c r="BW97" s="131"/>
      <c r="BX97" s="131"/>
      <c r="BY97" s="131"/>
      <c r="BZ97" s="131"/>
      <c r="CA97" s="131"/>
      <c r="CB97" s="131"/>
      <c r="CC97" s="131"/>
      <c r="CD97" s="131"/>
      <c r="CE97" s="131"/>
      <c r="CF97" s="131"/>
      <c r="CG97" s="131"/>
      <c r="CH97" s="131"/>
      <c r="CI97" s="131"/>
      <c r="CJ97" s="131"/>
      <c r="CK97" s="131"/>
      <c r="CL97" s="131"/>
      <c r="CM97" s="131"/>
      <c r="CN97" s="131"/>
      <c r="CO97" s="131"/>
      <c r="CP97" s="131"/>
      <c r="CQ97" s="131"/>
      <c r="CR97" s="131"/>
      <c r="CS97" s="131"/>
      <c r="CT97" s="131"/>
      <c r="CU97" s="548"/>
      <c r="CV97" s="592">
        <f t="shared" si="4"/>
        <v>0</v>
      </c>
      <c r="CW97" s="575">
        <f t="shared" si="5"/>
        <v>0</v>
      </c>
      <c r="CX97" s="131">
        <f t="shared" si="6"/>
        <v>0</v>
      </c>
      <c r="CY97" s="170">
        <f t="shared" si="7"/>
        <v>0</v>
      </c>
    </row>
    <row r="98" spans="1:103">
      <c r="A98" s="405" t="s">
        <v>439</v>
      </c>
      <c r="B98" s="537" t="str">
        <f>IFERROR(VLOOKUP(ParicipationMai1[[#This Row],[Référence]],ListeÉtudiants1[],18,FALSE),"")</f>
        <v>MARIE-ANAIS OLIVIER</v>
      </c>
      <c r="C98" s="405"/>
      <c r="D98" s="405"/>
      <c r="E98" s="405"/>
      <c r="F98" s="405"/>
      <c r="G98" s="405"/>
      <c r="H98" s="405"/>
      <c r="I98" s="405"/>
      <c r="J98" s="405"/>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546"/>
      <c r="AH98" s="132">
        <f>COUNTIF(ParicipationMai1[[1]:[31]],Code1)</f>
        <v>0</v>
      </c>
      <c r="AI98" s="538">
        <f>COUNTIF(ParicipationMai1[[1]:[31]],code22)</f>
        <v>0</v>
      </c>
      <c r="AJ98" s="132">
        <f>COUNTIF(ParicipationMai1[[#This Row],[1]:[31]],Code2)</f>
        <v>0</v>
      </c>
      <c r="AK98" s="132">
        <f>COUNTIF(ParicipationMai1[[#This Row],[1]:[31]],Code3)</f>
        <v>0</v>
      </c>
      <c r="AL98" s="132">
        <f>COUNTIF(ParicipationMai1[[#This Row],[1]:[31]],Code4)</f>
        <v>0</v>
      </c>
      <c r="AM98" s="132">
        <f>COUNTIF(ParicipationMai1[[#This Row],[1]:[31]],Code5)</f>
        <v>0</v>
      </c>
      <c r="AN98" s="132">
        <f>COUNTIF(ParicipationMai1[[#This Row],[1]:[31]],Code23)</f>
        <v>0</v>
      </c>
      <c r="AO98" s="132">
        <f>COUNTIF(ParicipationMai1[[#This Row],[1]:[31]],Code6)</f>
        <v>0</v>
      </c>
      <c r="AP98" s="132">
        <f>COUNTIF(ParicipationMai1[[#This Row],[1]:[31]],Code7)</f>
        <v>0</v>
      </c>
      <c r="AQ98" s="132">
        <f>COUNTIF(ParicipationMai1[[#This Row],[1]:[31]],Code8)</f>
        <v>0</v>
      </c>
      <c r="AR98" s="132">
        <f>COUNTIF(ParicipationMai1[[#This Row],[1]:[31]],Code9)</f>
        <v>0</v>
      </c>
      <c r="AS98" s="132">
        <f>COUNTIF(ParicipationMai1[[#This Row],[1]:[31]],Code10)</f>
        <v>0</v>
      </c>
      <c r="AT98" s="132">
        <f>COUNTIF(ParicipationMai1[[#This Row],[1]:[31]],Code11)</f>
        <v>0</v>
      </c>
      <c r="AU98" s="132">
        <f>COUNTIF(ParicipationMai1[[#This Row],[1]:[31]],Code12)</f>
        <v>0</v>
      </c>
      <c r="AV98" s="132">
        <f>COUNTIF(ParicipationMai1[[#This Row],[1]:[31]],Code13)</f>
        <v>0</v>
      </c>
      <c r="AW98" s="132">
        <f>COUNTIF(ParicipationMai1[[#This Row],[1]:[31]],Code14)</f>
        <v>0</v>
      </c>
      <c r="AX98" s="132">
        <f>COUNTIF(ParicipationMai1[[#This Row],[1]:[31]],Code15)</f>
        <v>0</v>
      </c>
      <c r="AY98" s="132">
        <f>COUNTIF(ParicipationMai1[[#This Row],[1]:[31]],Code16)</f>
        <v>0</v>
      </c>
      <c r="AZ98" s="132">
        <f>COUNTIF(ParicipationMai1[[#This Row],[1]:[31]],Code17)</f>
        <v>0</v>
      </c>
      <c r="BA98" s="132">
        <f>COUNTIF(ParicipationMai1[[#This Row],[1]:[31]],Code26)</f>
        <v>0</v>
      </c>
      <c r="BB98" s="132">
        <f>COUNTIF(ParicipationMai1[[#This Row],[1]:[31]],Code27)</f>
        <v>0</v>
      </c>
      <c r="BC98" s="132">
        <f>COUNTIF(ParicipationMai1[[#This Row],[1]:[31]],Code27)</f>
        <v>0</v>
      </c>
      <c r="BD98" s="132">
        <f>COUNTIF(ParicipationMai1[[#This Row],[1]:[31]],Code28)</f>
        <v>0</v>
      </c>
      <c r="BE98" s="132">
        <f>COUNTIF(ParicipationMai1[[#This Row],[1]:[31]],code30)</f>
        <v>0</v>
      </c>
      <c r="BF98" s="132">
        <f>COUNTIF(ParicipationMai1[[#This Row],[1]:[31]],Code31)</f>
        <v>0</v>
      </c>
      <c r="BG98" s="132">
        <f>COUNTIF(ParicipationMai1[[#This Row],[1]:[31]],code21)</f>
        <v>0</v>
      </c>
      <c r="BH98" s="132">
        <f>COUNTIF(ParicipationMai1[[#This Row],[1]:[31]],Code24)</f>
        <v>0</v>
      </c>
      <c r="BI98" s="579">
        <f>COUNTIF(ParicipationMai1[[#This Row],[1]:[31]],code18)</f>
        <v>0</v>
      </c>
      <c r="BJ98" s="579">
        <f>COUNTIF(ParicipationMai1[[#This Row],[1]:[31]],code19)</f>
        <v>0</v>
      </c>
      <c r="BK98" s="579">
        <f>COUNTIF(ParicipationMai1[[#This Row],[1]:[31]],code20)</f>
        <v>0</v>
      </c>
      <c r="BL98" s="547">
        <f>COUNTIF(ParicipationMai1[[#This Row],[1]:[31]],code29)</f>
        <v>0</v>
      </c>
      <c r="BM98" s="132"/>
      <c r="BN98" s="132"/>
      <c r="BO98" s="132"/>
      <c r="BP98" s="132"/>
      <c r="BQ98" s="132"/>
      <c r="BR98" s="132"/>
      <c r="BS98" s="132"/>
      <c r="BT98" s="132"/>
      <c r="BU98" s="132"/>
      <c r="BV98" s="132"/>
      <c r="BW98" s="132"/>
      <c r="BX98" s="132"/>
      <c r="BY98" s="132"/>
      <c r="BZ98" s="132"/>
      <c r="CA98" s="132"/>
      <c r="CB98" s="132"/>
      <c r="CC98" s="132"/>
      <c r="CD98" s="132"/>
      <c r="CE98" s="132"/>
      <c r="CF98" s="132"/>
      <c r="CG98" s="132"/>
      <c r="CH98" s="132"/>
      <c r="CI98" s="132"/>
      <c r="CJ98" s="132"/>
      <c r="CK98" s="132"/>
      <c r="CL98" s="132"/>
      <c r="CM98" s="132"/>
      <c r="CN98" s="132"/>
      <c r="CO98" s="132"/>
      <c r="CP98" s="132"/>
      <c r="CQ98" s="132"/>
      <c r="CR98" s="132"/>
      <c r="CS98" s="132"/>
      <c r="CT98" s="132"/>
      <c r="CU98" s="547"/>
      <c r="CV98" s="590">
        <f t="shared" si="4"/>
        <v>0</v>
      </c>
      <c r="CW98" s="573">
        <f t="shared" si="5"/>
        <v>0</v>
      </c>
      <c r="CX98" s="132">
        <f t="shared" si="6"/>
        <v>0</v>
      </c>
      <c r="CY98" s="500">
        <f t="shared" si="7"/>
        <v>0</v>
      </c>
    </row>
    <row r="99" spans="1:103">
      <c r="A99" s="406" t="s">
        <v>440</v>
      </c>
      <c r="B99" s="540" t="str">
        <f>IFERROR(VLOOKUP(ParicipationMai1[[#This Row],[Référence]],ListeÉtudiants1[],18,FALSE),"")</f>
        <v>MATEUS ANDREA</v>
      </c>
      <c r="C99" s="406"/>
      <c r="D99" s="406"/>
      <c r="E99" s="406"/>
      <c r="F99" s="406"/>
      <c r="G99" s="406"/>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542"/>
      <c r="AH99" s="131">
        <f>COUNTIF(ParicipationMai1[[1]:[31]],Code1)</f>
        <v>0</v>
      </c>
      <c r="AI99" s="311">
        <f>COUNTIF(ParicipationMai1[[1]:[31]],code22)</f>
        <v>0</v>
      </c>
      <c r="AJ99" s="131">
        <f>COUNTIF(ParicipationMai1[[#This Row],[1]:[31]],Code2)</f>
        <v>0</v>
      </c>
      <c r="AK99" s="131">
        <f>COUNTIF(ParicipationMai1[[#This Row],[1]:[31]],Code3)</f>
        <v>0</v>
      </c>
      <c r="AL99" s="131">
        <f>COUNTIF(ParicipationMai1[[#This Row],[1]:[31]],Code4)</f>
        <v>0</v>
      </c>
      <c r="AM99" s="131">
        <f>COUNTIF(ParicipationMai1[[#This Row],[1]:[31]],Code5)</f>
        <v>0</v>
      </c>
      <c r="AN99" s="131">
        <f>COUNTIF(ParicipationMai1[[#This Row],[1]:[31]],Code23)</f>
        <v>0</v>
      </c>
      <c r="AO99" s="131">
        <f>COUNTIF(ParicipationMai1[[#This Row],[1]:[31]],Code6)</f>
        <v>0</v>
      </c>
      <c r="AP99" s="131">
        <f>COUNTIF(ParicipationMai1[[#This Row],[1]:[31]],Code7)</f>
        <v>0</v>
      </c>
      <c r="AQ99" s="131">
        <f>COUNTIF(ParicipationMai1[[#This Row],[1]:[31]],Code8)</f>
        <v>0</v>
      </c>
      <c r="AR99" s="131">
        <f>COUNTIF(ParicipationMai1[[#This Row],[1]:[31]],Code9)</f>
        <v>0</v>
      </c>
      <c r="AS99" s="131">
        <f>COUNTIF(ParicipationMai1[[#This Row],[1]:[31]],Code10)</f>
        <v>0</v>
      </c>
      <c r="AT99" s="131">
        <f>COUNTIF(ParicipationMai1[[#This Row],[1]:[31]],Code11)</f>
        <v>0</v>
      </c>
      <c r="AU99" s="131">
        <f>COUNTIF(ParicipationMai1[[#This Row],[1]:[31]],Code12)</f>
        <v>0</v>
      </c>
      <c r="AV99" s="131">
        <f>COUNTIF(ParicipationMai1[[#This Row],[1]:[31]],Code13)</f>
        <v>0</v>
      </c>
      <c r="AW99" s="131">
        <f>COUNTIF(ParicipationMai1[[#This Row],[1]:[31]],Code14)</f>
        <v>0</v>
      </c>
      <c r="AX99" s="131">
        <f>COUNTIF(ParicipationMai1[[#This Row],[1]:[31]],Code15)</f>
        <v>0</v>
      </c>
      <c r="AY99" s="131">
        <f>COUNTIF(ParicipationMai1[[#This Row],[1]:[31]],Code16)</f>
        <v>0</v>
      </c>
      <c r="AZ99" s="131">
        <f>COUNTIF(ParicipationMai1[[#This Row],[1]:[31]],Code17)</f>
        <v>0</v>
      </c>
      <c r="BA99" s="131">
        <f>COUNTIF(ParicipationMai1[[#This Row],[1]:[31]],Code26)</f>
        <v>0</v>
      </c>
      <c r="BB99" s="131">
        <f>COUNTIF(ParicipationMai1[[#This Row],[1]:[31]],Code27)</f>
        <v>0</v>
      </c>
      <c r="BC99" s="131">
        <f>COUNTIF(ParicipationMai1[[#This Row],[1]:[31]],Code27)</f>
        <v>0</v>
      </c>
      <c r="BD99" s="131">
        <f>COUNTIF(ParicipationMai1[[#This Row],[1]:[31]],Code28)</f>
        <v>0</v>
      </c>
      <c r="BE99" s="131">
        <f>COUNTIF(ParicipationMai1[[#This Row],[1]:[31]],code30)</f>
        <v>0</v>
      </c>
      <c r="BF99" s="131">
        <f>COUNTIF(ParicipationMai1[[#This Row],[1]:[31]],Code31)</f>
        <v>0</v>
      </c>
      <c r="BG99" s="131">
        <f>COUNTIF(ParicipationMai1[[#This Row],[1]:[31]],code21)</f>
        <v>0</v>
      </c>
      <c r="BH99" s="131">
        <f>COUNTIF(ParicipationMai1[[#This Row],[1]:[31]],Code24)</f>
        <v>0</v>
      </c>
      <c r="BI99" s="568">
        <f>COUNTIF(ParicipationMai1[[#This Row],[1]:[31]],code18)</f>
        <v>0</v>
      </c>
      <c r="BJ99" s="568">
        <f>COUNTIF(ParicipationMai1[[#This Row],[1]:[31]],code19)</f>
        <v>0</v>
      </c>
      <c r="BK99" s="568">
        <f>COUNTIF(ParicipationMai1[[#This Row],[1]:[31]],code20)</f>
        <v>0</v>
      </c>
      <c r="BL99" s="548">
        <f>COUNTIF(ParicipationMai1[[#This Row],[1]:[31]],code29)</f>
        <v>0</v>
      </c>
      <c r="BM99" s="131"/>
      <c r="BN99" s="131"/>
      <c r="BO99" s="131"/>
      <c r="BP99" s="131"/>
      <c r="BQ99" s="131"/>
      <c r="BR99" s="131"/>
      <c r="BS99" s="131"/>
      <c r="BT99" s="131"/>
      <c r="BU99" s="131"/>
      <c r="BV99" s="131"/>
      <c r="BW99" s="131"/>
      <c r="BX99" s="131"/>
      <c r="BY99" s="131"/>
      <c r="BZ99" s="131"/>
      <c r="CA99" s="131"/>
      <c r="CB99" s="131"/>
      <c r="CC99" s="131"/>
      <c r="CD99" s="131"/>
      <c r="CE99" s="131"/>
      <c r="CF99" s="131"/>
      <c r="CG99" s="131"/>
      <c r="CH99" s="131"/>
      <c r="CI99" s="131"/>
      <c r="CJ99" s="131"/>
      <c r="CK99" s="131"/>
      <c r="CL99" s="131"/>
      <c r="CM99" s="131"/>
      <c r="CN99" s="131"/>
      <c r="CO99" s="131"/>
      <c r="CP99" s="131"/>
      <c r="CQ99" s="131"/>
      <c r="CR99" s="131"/>
      <c r="CS99" s="131"/>
      <c r="CT99" s="131"/>
      <c r="CU99" s="548"/>
      <c r="CV99" s="592">
        <f t="shared" si="4"/>
        <v>0</v>
      </c>
      <c r="CW99" s="575">
        <f t="shared" si="5"/>
        <v>0</v>
      </c>
      <c r="CX99" s="131">
        <f t="shared" si="6"/>
        <v>0</v>
      </c>
      <c r="CY99" s="170">
        <f t="shared" si="7"/>
        <v>0</v>
      </c>
    </row>
    <row r="100" spans="1:103">
      <c r="A100" s="405" t="s">
        <v>441</v>
      </c>
      <c r="B100" s="537" t="str">
        <f>IFERROR(VLOOKUP(ParicipationMai1[[#This Row],[Référence]],ListeÉtudiants1[],18,FALSE),"")</f>
        <v>MAWETE  JESSICA</v>
      </c>
      <c r="C100" s="405"/>
      <c r="D100" s="405"/>
      <c r="E100" s="405"/>
      <c r="F100" s="405"/>
      <c r="G100" s="405"/>
      <c r="H100" s="405"/>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546"/>
      <c r="AH100" s="132">
        <f>COUNTIF(ParicipationMai1[[1]:[31]],Code1)</f>
        <v>0</v>
      </c>
      <c r="AI100" s="538">
        <f>COUNTIF(ParicipationMai1[[1]:[31]],code22)</f>
        <v>0</v>
      </c>
      <c r="AJ100" s="132">
        <f>COUNTIF(ParicipationMai1[[#This Row],[1]:[31]],Code2)</f>
        <v>0</v>
      </c>
      <c r="AK100" s="132">
        <f>COUNTIF(ParicipationMai1[[#This Row],[1]:[31]],Code3)</f>
        <v>0</v>
      </c>
      <c r="AL100" s="132">
        <f>COUNTIF(ParicipationMai1[[#This Row],[1]:[31]],Code4)</f>
        <v>0</v>
      </c>
      <c r="AM100" s="132">
        <f>COUNTIF(ParicipationMai1[[#This Row],[1]:[31]],Code5)</f>
        <v>0</v>
      </c>
      <c r="AN100" s="132">
        <f>COUNTIF(ParicipationMai1[[#This Row],[1]:[31]],Code23)</f>
        <v>0</v>
      </c>
      <c r="AO100" s="132">
        <f>COUNTIF(ParicipationMai1[[#This Row],[1]:[31]],Code6)</f>
        <v>0</v>
      </c>
      <c r="AP100" s="132">
        <f>COUNTIF(ParicipationMai1[[#This Row],[1]:[31]],Code7)</f>
        <v>0</v>
      </c>
      <c r="AQ100" s="132">
        <f>COUNTIF(ParicipationMai1[[#This Row],[1]:[31]],Code8)</f>
        <v>0</v>
      </c>
      <c r="AR100" s="132">
        <f>COUNTIF(ParicipationMai1[[#This Row],[1]:[31]],Code9)</f>
        <v>0</v>
      </c>
      <c r="AS100" s="132">
        <f>COUNTIF(ParicipationMai1[[#This Row],[1]:[31]],Code10)</f>
        <v>0</v>
      </c>
      <c r="AT100" s="132">
        <f>COUNTIF(ParicipationMai1[[#This Row],[1]:[31]],Code11)</f>
        <v>0</v>
      </c>
      <c r="AU100" s="132">
        <f>COUNTIF(ParicipationMai1[[#This Row],[1]:[31]],Code12)</f>
        <v>0</v>
      </c>
      <c r="AV100" s="132">
        <f>COUNTIF(ParicipationMai1[[#This Row],[1]:[31]],Code13)</f>
        <v>0</v>
      </c>
      <c r="AW100" s="132">
        <f>COUNTIF(ParicipationMai1[[#This Row],[1]:[31]],Code14)</f>
        <v>0</v>
      </c>
      <c r="AX100" s="132">
        <f>COUNTIF(ParicipationMai1[[#This Row],[1]:[31]],Code15)</f>
        <v>0</v>
      </c>
      <c r="AY100" s="132">
        <f>COUNTIF(ParicipationMai1[[#This Row],[1]:[31]],Code16)</f>
        <v>0</v>
      </c>
      <c r="AZ100" s="132">
        <f>COUNTIF(ParicipationMai1[[#This Row],[1]:[31]],Code17)</f>
        <v>0</v>
      </c>
      <c r="BA100" s="132">
        <f>COUNTIF(ParicipationMai1[[#This Row],[1]:[31]],Code26)</f>
        <v>0</v>
      </c>
      <c r="BB100" s="132">
        <f>COUNTIF(ParicipationMai1[[#This Row],[1]:[31]],Code27)</f>
        <v>0</v>
      </c>
      <c r="BC100" s="132">
        <f>COUNTIF(ParicipationMai1[[#This Row],[1]:[31]],Code27)</f>
        <v>0</v>
      </c>
      <c r="BD100" s="132">
        <f>COUNTIF(ParicipationMai1[[#This Row],[1]:[31]],Code28)</f>
        <v>0</v>
      </c>
      <c r="BE100" s="132">
        <f>COUNTIF(ParicipationMai1[[#This Row],[1]:[31]],code30)</f>
        <v>0</v>
      </c>
      <c r="BF100" s="132">
        <f>COUNTIF(ParicipationMai1[[#This Row],[1]:[31]],Code31)</f>
        <v>0</v>
      </c>
      <c r="BG100" s="132">
        <f>COUNTIF(ParicipationMai1[[#This Row],[1]:[31]],code21)</f>
        <v>0</v>
      </c>
      <c r="BH100" s="132">
        <f>COUNTIF(ParicipationMai1[[#This Row],[1]:[31]],Code24)</f>
        <v>0</v>
      </c>
      <c r="BI100" s="579">
        <f>COUNTIF(ParicipationMai1[[#This Row],[1]:[31]],code18)</f>
        <v>0</v>
      </c>
      <c r="BJ100" s="579">
        <f>COUNTIF(ParicipationMai1[[#This Row],[1]:[31]],code19)</f>
        <v>0</v>
      </c>
      <c r="BK100" s="579">
        <f>COUNTIF(ParicipationMai1[[#This Row],[1]:[31]],code20)</f>
        <v>0</v>
      </c>
      <c r="BL100" s="547">
        <f>COUNTIF(ParicipationMai1[[#This Row],[1]:[31]],code29)</f>
        <v>0</v>
      </c>
      <c r="BM100" s="132"/>
      <c r="BN100" s="132"/>
      <c r="BO100" s="132"/>
      <c r="BP100" s="132"/>
      <c r="BQ100" s="132"/>
      <c r="BR100" s="132"/>
      <c r="BS100" s="132"/>
      <c r="BT100" s="132"/>
      <c r="BU100" s="132"/>
      <c r="BV100" s="132"/>
      <c r="BW100" s="132"/>
      <c r="BX100" s="132"/>
      <c r="BY100" s="132"/>
      <c r="BZ100" s="132"/>
      <c r="CA100" s="132"/>
      <c r="CB100" s="132"/>
      <c r="CC100" s="132"/>
      <c r="CD100" s="132"/>
      <c r="CE100" s="132"/>
      <c r="CF100" s="132"/>
      <c r="CG100" s="132"/>
      <c r="CH100" s="132"/>
      <c r="CI100" s="132"/>
      <c r="CJ100" s="132"/>
      <c r="CK100" s="132"/>
      <c r="CL100" s="132"/>
      <c r="CM100" s="132"/>
      <c r="CN100" s="132"/>
      <c r="CO100" s="132"/>
      <c r="CP100" s="132"/>
      <c r="CQ100" s="132"/>
      <c r="CR100" s="132"/>
      <c r="CS100" s="132"/>
      <c r="CT100" s="132"/>
      <c r="CU100" s="547"/>
      <c r="CV100" s="590">
        <f t="shared" si="4"/>
        <v>0</v>
      </c>
      <c r="CW100" s="573">
        <f t="shared" si="5"/>
        <v>0</v>
      </c>
      <c r="CX100" s="132">
        <f t="shared" si="6"/>
        <v>0</v>
      </c>
      <c r="CY100" s="500">
        <f t="shared" si="7"/>
        <v>0</v>
      </c>
    </row>
    <row r="101" spans="1:103">
      <c r="A101" s="406" t="s">
        <v>442</v>
      </c>
      <c r="B101" s="540" t="str">
        <f>IFERROR(VLOOKUP(ParicipationMai1[[#This Row],[Référence]],ListeÉtudiants1[],18,FALSE),"")</f>
        <v>MAZIERS LAURENCE</v>
      </c>
      <c r="C101" s="406"/>
      <c r="D101" s="406"/>
      <c r="E101" s="406"/>
      <c r="F101" s="406"/>
      <c r="G101" s="406"/>
      <c r="H101" s="406"/>
      <c r="I101" s="406"/>
      <c r="J101" s="406"/>
      <c r="K101" s="406"/>
      <c r="L101" s="406"/>
      <c r="M101" s="406"/>
      <c r="N101" s="406"/>
      <c r="O101" s="406"/>
      <c r="P101" s="406"/>
      <c r="Q101" s="406"/>
      <c r="R101" s="406"/>
      <c r="S101" s="406"/>
      <c r="T101" s="406"/>
      <c r="U101" s="406"/>
      <c r="V101" s="406"/>
      <c r="W101" s="406"/>
      <c r="X101" s="406"/>
      <c r="Y101" s="406"/>
      <c r="Z101" s="406"/>
      <c r="AA101" s="406"/>
      <c r="AB101" s="406"/>
      <c r="AC101" s="406"/>
      <c r="AD101" s="406"/>
      <c r="AE101" s="406"/>
      <c r="AF101" s="406"/>
      <c r="AG101" s="542"/>
      <c r="AH101" s="131">
        <f>COUNTIF(ParicipationMai1[[1]:[31]],Code1)</f>
        <v>0</v>
      </c>
      <c r="AI101" s="311">
        <f>COUNTIF(ParicipationMai1[[1]:[31]],code22)</f>
        <v>0</v>
      </c>
      <c r="AJ101" s="131">
        <f>COUNTIF(ParicipationMai1[[#This Row],[1]:[31]],Code2)</f>
        <v>0</v>
      </c>
      <c r="AK101" s="131">
        <f>COUNTIF(ParicipationMai1[[#This Row],[1]:[31]],Code3)</f>
        <v>0</v>
      </c>
      <c r="AL101" s="131">
        <f>COUNTIF(ParicipationMai1[[#This Row],[1]:[31]],Code4)</f>
        <v>0</v>
      </c>
      <c r="AM101" s="131">
        <f>COUNTIF(ParicipationMai1[[#This Row],[1]:[31]],Code5)</f>
        <v>0</v>
      </c>
      <c r="AN101" s="131">
        <f>COUNTIF(ParicipationMai1[[#This Row],[1]:[31]],Code23)</f>
        <v>0</v>
      </c>
      <c r="AO101" s="131">
        <f>COUNTIF(ParicipationMai1[[#This Row],[1]:[31]],Code6)</f>
        <v>0</v>
      </c>
      <c r="AP101" s="131">
        <f>COUNTIF(ParicipationMai1[[#This Row],[1]:[31]],Code7)</f>
        <v>0</v>
      </c>
      <c r="AQ101" s="131">
        <f>COUNTIF(ParicipationMai1[[#This Row],[1]:[31]],Code8)</f>
        <v>0</v>
      </c>
      <c r="AR101" s="131">
        <f>COUNTIF(ParicipationMai1[[#This Row],[1]:[31]],Code9)</f>
        <v>0</v>
      </c>
      <c r="AS101" s="131">
        <f>COUNTIF(ParicipationMai1[[#This Row],[1]:[31]],Code10)</f>
        <v>0</v>
      </c>
      <c r="AT101" s="131">
        <f>COUNTIF(ParicipationMai1[[#This Row],[1]:[31]],Code11)</f>
        <v>0</v>
      </c>
      <c r="AU101" s="131">
        <f>COUNTIF(ParicipationMai1[[#This Row],[1]:[31]],Code12)</f>
        <v>0</v>
      </c>
      <c r="AV101" s="131">
        <f>COUNTIF(ParicipationMai1[[#This Row],[1]:[31]],Code13)</f>
        <v>0</v>
      </c>
      <c r="AW101" s="131">
        <f>COUNTIF(ParicipationMai1[[#This Row],[1]:[31]],Code14)</f>
        <v>0</v>
      </c>
      <c r="AX101" s="131">
        <f>COUNTIF(ParicipationMai1[[#This Row],[1]:[31]],Code15)</f>
        <v>0</v>
      </c>
      <c r="AY101" s="131">
        <f>COUNTIF(ParicipationMai1[[#This Row],[1]:[31]],Code16)</f>
        <v>0</v>
      </c>
      <c r="AZ101" s="131">
        <f>COUNTIF(ParicipationMai1[[#This Row],[1]:[31]],Code17)</f>
        <v>0</v>
      </c>
      <c r="BA101" s="131">
        <f>COUNTIF(ParicipationMai1[[#This Row],[1]:[31]],Code26)</f>
        <v>0</v>
      </c>
      <c r="BB101" s="131">
        <f>COUNTIF(ParicipationMai1[[#This Row],[1]:[31]],Code27)</f>
        <v>0</v>
      </c>
      <c r="BC101" s="131">
        <f>COUNTIF(ParicipationMai1[[#This Row],[1]:[31]],Code27)</f>
        <v>0</v>
      </c>
      <c r="BD101" s="131">
        <f>COUNTIF(ParicipationMai1[[#This Row],[1]:[31]],Code28)</f>
        <v>0</v>
      </c>
      <c r="BE101" s="131">
        <f>COUNTIF(ParicipationMai1[[#This Row],[1]:[31]],code30)</f>
        <v>0</v>
      </c>
      <c r="BF101" s="131">
        <f>COUNTIF(ParicipationMai1[[#This Row],[1]:[31]],Code31)</f>
        <v>0</v>
      </c>
      <c r="BG101" s="131">
        <f>COUNTIF(ParicipationMai1[[#This Row],[1]:[31]],code21)</f>
        <v>0</v>
      </c>
      <c r="BH101" s="131">
        <f>COUNTIF(ParicipationMai1[[#This Row],[1]:[31]],Code24)</f>
        <v>0</v>
      </c>
      <c r="BI101" s="568">
        <f>COUNTIF(ParicipationMai1[[#This Row],[1]:[31]],code18)</f>
        <v>0</v>
      </c>
      <c r="BJ101" s="568">
        <f>COUNTIF(ParicipationMai1[[#This Row],[1]:[31]],code19)</f>
        <v>0</v>
      </c>
      <c r="BK101" s="568">
        <f>COUNTIF(ParicipationMai1[[#This Row],[1]:[31]],code20)</f>
        <v>0</v>
      </c>
      <c r="BL101" s="548">
        <f>COUNTIF(ParicipationMai1[[#This Row],[1]:[31]],code29)</f>
        <v>0</v>
      </c>
      <c r="BM101" s="131"/>
      <c r="BN101" s="131"/>
      <c r="BO101" s="131"/>
      <c r="BP101" s="131"/>
      <c r="BQ101" s="131"/>
      <c r="BR101" s="131"/>
      <c r="BS101" s="131"/>
      <c r="BT101" s="131"/>
      <c r="BU101" s="131"/>
      <c r="BV101" s="131"/>
      <c r="BW101" s="131"/>
      <c r="BX101" s="131"/>
      <c r="BY101" s="131"/>
      <c r="BZ101" s="131"/>
      <c r="CA101" s="131"/>
      <c r="CB101" s="131"/>
      <c r="CC101" s="131"/>
      <c r="CD101" s="131"/>
      <c r="CE101" s="131"/>
      <c r="CF101" s="131"/>
      <c r="CG101" s="131"/>
      <c r="CH101" s="131"/>
      <c r="CI101" s="131"/>
      <c r="CJ101" s="131"/>
      <c r="CK101" s="131"/>
      <c r="CL101" s="131"/>
      <c r="CM101" s="131"/>
      <c r="CN101" s="131"/>
      <c r="CO101" s="131"/>
      <c r="CP101" s="131"/>
      <c r="CQ101" s="131"/>
      <c r="CR101" s="131"/>
      <c r="CS101" s="131"/>
      <c r="CT101" s="131"/>
      <c r="CU101" s="548"/>
      <c r="CV101" s="592">
        <f t="shared" si="4"/>
        <v>0</v>
      </c>
      <c r="CW101" s="575">
        <f t="shared" si="5"/>
        <v>0</v>
      </c>
      <c r="CX101" s="131">
        <f t="shared" si="6"/>
        <v>0</v>
      </c>
      <c r="CY101" s="170">
        <f t="shared" si="7"/>
        <v>0</v>
      </c>
    </row>
    <row r="102" spans="1:103">
      <c r="A102" s="405" t="s">
        <v>443</v>
      </c>
      <c r="B102" s="537" t="str">
        <f>IFERROR(VLOOKUP(ParicipationMai1[[#This Row],[Référence]],ListeÉtudiants1[],18,FALSE),"")</f>
        <v>MENDES CORREIA GLADYS</v>
      </c>
      <c r="C102" s="405"/>
      <c r="D102" s="405"/>
      <c r="E102" s="405"/>
      <c r="F102" s="405"/>
      <c r="G102" s="405"/>
      <c r="H102" s="405"/>
      <c r="I102" s="405"/>
      <c r="J102" s="405"/>
      <c r="K102" s="405"/>
      <c r="L102" s="405"/>
      <c r="M102" s="405"/>
      <c r="N102" s="405"/>
      <c r="O102" s="405"/>
      <c r="P102" s="405"/>
      <c r="Q102" s="405"/>
      <c r="R102" s="405"/>
      <c r="S102" s="405"/>
      <c r="T102" s="405"/>
      <c r="U102" s="405"/>
      <c r="V102" s="405"/>
      <c r="W102" s="405"/>
      <c r="X102" s="405"/>
      <c r="Y102" s="405"/>
      <c r="Z102" s="405"/>
      <c r="AA102" s="405"/>
      <c r="AB102" s="405"/>
      <c r="AC102" s="405"/>
      <c r="AD102" s="405"/>
      <c r="AE102" s="405"/>
      <c r="AF102" s="405"/>
      <c r="AG102" s="546"/>
      <c r="AH102" s="132">
        <f>COUNTIF(ParicipationMai1[[1]:[31]],Code1)</f>
        <v>0</v>
      </c>
      <c r="AI102" s="538">
        <f>COUNTIF(ParicipationMai1[[1]:[31]],code22)</f>
        <v>0</v>
      </c>
      <c r="AJ102" s="132">
        <f>COUNTIF(ParicipationMai1[[#This Row],[1]:[31]],Code2)</f>
        <v>0</v>
      </c>
      <c r="AK102" s="132">
        <f>COUNTIF(ParicipationMai1[[#This Row],[1]:[31]],Code3)</f>
        <v>0</v>
      </c>
      <c r="AL102" s="132">
        <f>COUNTIF(ParicipationMai1[[#This Row],[1]:[31]],Code4)</f>
        <v>0</v>
      </c>
      <c r="AM102" s="132">
        <f>COUNTIF(ParicipationMai1[[#This Row],[1]:[31]],Code5)</f>
        <v>0</v>
      </c>
      <c r="AN102" s="132">
        <f>COUNTIF(ParicipationMai1[[#This Row],[1]:[31]],Code23)</f>
        <v>0</v>
      </c>
      <c r="AO102" s="132">
        <f>COUNTIF(ParicipationMai1[[#This Row],[1]:[31]],Code6)</f>
        <v>0</v>
      </c>
      <c r="AP102" s="132">
        <f>COUNTIF(ParicipationMai1[[#This Row],[1]:[31]],Code7)</f>
        <v>0</v>
      </c>
      <c r="AQ102" s="132">
        <f>COUNTIF(ParicipationMai1[[#This Row],[1]:[31]],Code8)</f>
        <v>0</v>
      </c>
      <c r="AR102" s="132">
        <f>COUNTIF(ParicipationMai1[[#This Row],[1]:[31]],Code9)</f>
        <v>0</v>
      </c>
      <c r="AS102" s="132">
        <f>COUNTIF(ParicipationMai1[[#This Row],[1]:[31]],Code10)</f>
        <v>0</v>
      </c>
      <c r="AT102" s="132">
        <f>COUNTIF(ParicipationMai1[[#This Row],[1]:[31]],Code11)</f>
        <v>0</v>
      </c>
      <c r="AU102" s="132">
        <f>COUNTIF(ParicipationMai1[[#This Row],[1]:[31]],Code12)</f>
        <v>0</v>
      </c>
      <c r="AV102" s="132">
        <f>COUNTIF(ParicipationMai1[[#This Row],[1]:[31]],Code13)</f>
        <v>0</v>
      </c>
      <c r="AW102" s="132">
        <f>COUNTIF(ParicipationMai1[[#This Row],[1]:[31]],Code14)</f>
        <v>0</v>
      </c>
      <c r="AX102" s="132">
        <f>COUNTIF(ParicipationMai1[[#This Row],[1]:[31]],Code15)</f>
        <v>0</v>
      </c>
      <c r="AY102" s="132">
        <f>COUNTIF(ParicipationMai1[[#This Row],[1]:[31]],Code16)</f>
        <v>0</v>
      </c>
      <c r="AZ102" s="132">
        <f>COUNTIF(ParicipationMai1[[#This Row],[1]:[31]],Code17)</f>
        <v>0</v>
      </c>
      <c r="BA102" s="132">
        <f>COUNTIF(ParicipationMai1[[#This Row],[1]:[31]],Code26)</f>
        <v>0</v>
      </c>
      <c r="BB102" s="132">
        <f>COUNTIF(ParicipationMai1[[#This Row],[1]:[31]],Code27)</f>
        <v>0</v>
      </c>
      <c r="BC102" s="132">
        <f>COUNTIF(ParicipationMai1[[#This Row],[1]:[31]],Code27)</f>
        <v>0</v>
      </c>
      <c r="BD102" s="132">
        <f>COUNTIF(ParicipationMai1[[#This Row],[1]:[31]],Code28)</f>
        <v>0</v>
      </c>
      <c r="BE102" s="132">
        <f>COUNTIF(ParicipationMai1[[#This Row],[1]:[31]],code30)</f>
        <v>0</v>
      </c>
      <c r="BF102" s="132">
        <f>COUNTIF(ParicipationMai1[[#This Row],[1]:[31]],Code31)</f>
        <v>0</v>
      </c>
      <c r="BG102" s="132">
        <f>COUNTIF(ParicipationMai1[[#This Row],[1]:[31]],code21)</f>
        <v>0</v>
      </c>
      <c r="BH102" s="132">
        <f>COUNTIF(ParicipationMai1[[#This Row],[1]:[31]],Code24)</f>
        <v>0</v>
      </c>
      <c r="BI102" s="579">
        <f>COUNTIF(ParicipationMai1[[#This Row],[1]:[31]],code18)</f>
        <v>0</v>
      </c>
      <c r="BJ102" s="579">
        <f>COUNTIF(ParicipationMai1[[#This Row],[1]:[31]],code19)</f>
        <v>0</v>
      </c>
      <c r="BK102" s="579">
        <f>COUNTIF(ParicipationMai1[[#This Row],[1]:[31]],code20)</f>
        <v>0</v>
      </c>
      <c r="BL102" s="547">
        <f>COUNTIF(ParicipationMai1[[#This Row],[1]:[31]],code29)</f>
        <v>0</v>
      </c>
      <c r="BM102" s="132"/>
      <c r="BN102" s="132"/>
      <c r="BO102" s="132"/>
      <c r="BP102" s="132"/>
      <c r="BQ102" s="132"/>
      <c r="BR102" s="132"/>
      <c r="BS102" s="132"/>
      <c r="BT102" s="132"/>
      <c r="BU102" s="132"/>
      <c r="BV102" s="132"/>
      <c r="BW102" s="132"/>
      <c r="BX102" s="132"/>
      <c r="BY102" s="132"/>
      <c r="BZ102" s="132"/>
      <c r="CA102" s="132"/>
      <c r="CB102" s="132"/>
      <c r="CC102" s="132"/>
      <c r="CD102" s="132"/>
      <c r="CE102" s="132"/>
      <c r="CF102" s="132"/>
      <c r="CG102" s="132"/>
      <c r="CH102" s="132"/>
      <c r="CI102" s="132"/>
      <c r="CJ102" s="132"/>
      <c r="CK102" s="132"/>
      <c r="CL102" s="132"/>
      <c r="CM102" s="132"/>
      <c r="CN102" s="132"/>
      <c r="CO102" s="132"/>
      <c r="CP102" s="132"/>
      <c r="CQ102" s="132"/>
      <c r="CR102" s="132"/>
      <c r="CS102" s="132"/>
      <c r="CT102" s="132"/>
      <c r="CU102" s="547"/>
      <c r="CV102" s="590">
        <f t="shared" si="4"/>
        <v>0</v>
      </c>
      <c r="CW102" s="573">
        <f t="shared" si="5"/>
        <v>0</v>
      </c>
      <c r="CX102" s="132">
        <f t="shared" si="6"/>
        <v>0</v>
      </c>
      <c r="CY102" s="500">
        <f t="shared" si="7"/>
        <v>0</v>
      </c>
    </row>
    <row r="103" spans="1:103">
      <c r="A103" s="406" t="s">
        <v>444</v>
      </c>
      <c r="B103" s="540" t="str">
        <f>IFERROR(VLOOKUP(ParicipationMai1[[#This Row],[Référence]],ListeÉtudiants1[],18,FALSE),"")</f>
        <v>MITRAN IONELA</v>
      </c>
      <c r="C103" s="406"/>
      <c r="D103" s="406"/>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542"/>
      <c r="AH103" s="131">
        <f>COUNTIF(ParicipationMai1[[1]:[31]],Code1)</f>
        <v>0</v>
      </c>
      <c r="AI103" s="311">
        <f>COUNTIF(ParicipationMai1[[1]:[31]],code22)</f>
        <v>0</v>
      </c>
      <c r="AJ103" s="131">
        <f>COUNTIF(ParicipationMai1[[#This Row],[1]:[31]],Code2)</f>
        <v>0</v>
      </c>
      <c r="AK103" s="131">
        <f>COUNTIF(ParicipationMai1[[#This Row],[1]:[31]],Code3)</f>
        <v>0</v>
      </c>
      <c r="AL103" s="131">
        <f>COUNTIF(ParicipationMai1[[#This Row],[1]:[31]],Code4)</f>
        <v>0</v>
      </c>
      <c r="AM103" s="131">
        <f>COUNTIF(ParicipationMai1[[#This Row],[1]:[31]],Code5)</f>
        <v>0</v>
      </c>
      <c r="AN103" s="131">
        <f>COUNTIF(ParicipationMai1[[#This Row],[1]:[31]],Code23)</f>
        <v>0</v>
      </c>
      <c r="AO103" s="131">
        <f>COUNTIF(ParicipationMai1[[#This Row],[1]:[31]],Code6)</f>
        <v>0</v>
      </c>
      <c r="AP103" s="131">
        <f>COUNTIF(ParicipationMai1[[#This Row],[1]:[31]],Code7)</f>
        <v>0</v>
      </c>
      <c r="AQ103" s="131">
        <f>COUNTIF(ParicipationMai1[[#This Row],[1]:[31]],Code8)</f>
        <v>0</v>
      </c>
      <c r="AR103" s="131">
        <f>COUNTIF(ParicipationMai1[[#This Row],[1]:[31]],Code9)</f>
        <v>0</v>
      </c>
      <c r="AS103" s="131">
        <f>COUNTIF(ParicipationMai1[[#This Row],[1]:[31]],Code10)</f>
        <v>0</v>
      </c>
      <c r="AT103" s="131">
        <f>COUNTIF(ParicipationMai1[[#This Row],[1]:[31]],Code11)</f>
        <v>0</v>
      </c>
      <c r="AU103" s="131">
        <f>COUNTIF(ParicipationMai1[[#This Row],[1]:[31]],Code12)</f>
        <v>0</v>
      </c>
      <c r="AV103" s="131">
        <f>COUNTIF(ParicipationMai1[[#This Row],[1]:[31]],Code13)</f>
        <v>0</v>
      </c>
      <c r="AW103" s="131">
        <f>COUNTIF(ParicipationMai1[[#This Row],[1]:[31]],Code14)</f>
        <v>0</v>
      </c>
      <c r="AX103" s="131">
        <f>COUNTIF(ParicipationMai1[[#This Row],[1]:[31]],Code15)</f>
        <v>0</v>
      </c>
      <c r="AY103" s="131">
        <f>COUNTIF(ParicipationMai1[[#This Row],[1]:[31]],Code16)</f>
        <v>0</v>
      </c>
      <c r="AZ103" s="131">
        <f>COUNTIF(ParicipationMai1[[#This Row],[1]:[31]],Code17)</f>
        <v>0</v>
      </c>
      <c r="BA103" s="131">
        <f>COUNTIF(ParicipationMai1[[#This Row],[1]:[31]],Code26)</f>
        <v>0</v>
      </c>
      <c r="BB103" s="131">
        <f>COUNTIF(ParicipationMai1[[#This Row],[1]:[31]],Code27)</f>
        <v>0</v>
      </c>
      <c r="BC103" s="131">
        <f>COUNTIF(ParicipationMai1[[#This Row],[1]:[31]],Code27)</f>
        <v>0</v>
      </c>
      <c r="BD103" s="131">
        <f>COUNTIF(ParicipationMai1[[#This Row],[1]:[31]],Code28)</f>
        <v>0</v>
      </c>
      <c r="BE103" s="131">
        <f>COUNTIF(ParicipationMai1[[#This Row],[1]:[31]],code30)</f>
        <v>0</v>
      </c>
      <c r="BF103" s="131">
        <f>COUNTIF(ParicipationMai1[[#This Row],[1]:[31]],Code31)</f>
        <v>0</v>
      </c>
      <c r="BG103" s="131">
        <f>COUNTIF(ParicipationMai1[[#This Row],[1]:[31]],code21)</f>
        <v>0</v>
      </c>
      <c r="BH103" s="131">
        <f>COUNTIF(ParicipationMai1[[#This Row],[1]:[31]],Code24)</f>
        <v>0</v>
      </c>
      <c r="BI103" s="568">
        <f>COUNTIF(ParicipationMai1[[#This Row],[1]:[31]],code18)</f>
        <v>0</v>
      </c>
      <c r="BJ103" s="568">
        <f>COUNTIF(ParicipationMai1[[#This Row],[1]:[31]],code19)</f>
        <v>0</v>
      </c>
      <c r="BK103" s="568">
        <f>COUNTIF(ParicipationMai1[[#This Row],[1]:[31]],code20)</f>
        <v>0</v>
      </c>
      <c r="BL103" s="548">
        <f>COUNTIF(ParicipationMai1[[#This Row],[1]:[31]],code29)</f>
        <v>0</v>
      </c>
      <c r="BM103" s="131"/>
      <c r="BN103" s="131"/>
      <c r="BO103" s="131"/>
      <c r="BP103" s="131"/>
      <c r="BQ103" s="131"/>
      <c r="BR103" s="131"/>
      <c r="BS103" s="131"/>
      <c r="BT103" s="131"/>
      <c r="BU103" s="131"/>
      <c r="BV103" s="131"/>
      <c r="BW103" s="131"/>
      <c r="BX103" s="131"/>
      <c r="BY103" s="131"/>
      <c r="BZ103" s="131"/>
      <c r="CA103" s="131"/>
      <c r="CB103" s="131"/>
      <c r="CC103" s="131"/>
      <c r="CD103" s="131"/>
      <c r="CE103" s="131"/>
      <c r="CF103" s="131"/>
      <c r="CG103" s="131"/>
      <c r="CH103" s="131"/>
      <c r="CI103" s="131"/>
      <c r="CJ103" s="131"/>
      <c r="CK103" s="131"/>
      <c r="CL103" s="131"/>
      <c r="CM103" s="131"/>
      <c r="CN103" s="131"/>
      <c r="CO103" s="131"/>
      <c r="CP103" s="131"/>
      <c r="CQ103" s="131"/>
      <c r="CR103" s="131"/>
      <c r="CS103" s="131"/>
      <c r="CT103" s="131"/>
      <c r="CU103" s="548"/>
      <c r="CV103" s="592">
        <f t="shared" si="4"/>
        <v>0</v>
      </c>
      <c r="CW103" s="575">
        <f t="shared" si="5"/>
        <v>0</v>
      </c>
      <c r="CX103" s="131">
        <f t="shared" si="6"/>
        <v>0</v>
      </c>
      <c r="CY103" s="170">
        <f t="shared" si="7"/>
        <v>0</v>
      </c>
    </row>
    <row r="104" spans="1:103">
      <c r="A104" s="405" t="s">
        <v>445</v>
      </c>
      <c r="B104" s="537" t="str">
        <f>IFERROR(VLOOKUP(ParicipationMai1[[#This Row],[Référence]],ListeÉtudiants1[],18,FALSE),"")</f>
        <v>MOREAU NOEMIE</v>
      </c>
      <c r="C104" s="405"/>
      <c r="D104" s="405"/>
      <c r="E104" s="405"/>
      <c r="F104" s="405"/>
      <c r="G104" s="405"/>
      <c r="H104" s="405"/>
      <c r="I104" s="405"/>
      <c r="J104" s="405"/>
      <c r="K104" s="405"/>
      <c r="L104" s="405"/>
      <c r="M104" s="405"/>
      <c r="N104" s="405"/>
      <c r="O104" s="405"/>
      <c r="P104" s="405"/>
      <c r="Q104" s="405"/>
      <c r="R104" s="405"/>
      <c r="S104" s="405"/>
      <c r="T104" s="405"/>
      <c r="U104" s="405"/>
      <c r="V104" s="405"/>
      <c r="W104" s="405"/>
      <c r="X104" s="405"/>
      <c r="Y104" s="405"/>
      <c r="Z104" s="405"/>
      <c r="AA104" s="405"/>
      <c r="AB104" s="405"/>
      <c r="AC104" s="405"/>
      <c r="AD104" s="405"/>
      <c r="AE104" s="405"/>
      <c r="AF104" s="405"/>
      <c r="AG104" s="546"/>
      <c r="AH104" s="132">
        <f>COUNTIF(ParicipationMai1[[1]:[31]],Code1)</f>
        <v>0</v>
      </c>
      <c r="AI104" s="538">
        <f>COUNTIF(ParicipationMai1[[1]:[31]],code22)</f>
        <v>0</v>
      </c>
      <c r="AJ104" s="132">
        <f>COUNTIF(ParicipationMai1[[#This Row],[1]:[31]],Code2)</f>
        <v>0</v>
      </c>
      <c r="AK104" s="132">
        <f>COUNTIF(ParicipationMai1[[#This Row],[1]:[31]],Code3)</f>
        <v>0</v>
      </c>
      <c r="AL104" s="132">
        <f>COUNTIF(ParicipationMai1[[#This Row],[1]:[31]],Code4)</f>
        <v>0</v>
      </c>
      <c r="AM104" s="132">
        <f>COUNTIF(ParicipationMai1[[#This Row],[1]:[31]],Code5)</f>
        <v>0</v>
      </c>
      <c r="AN104" s="132">
        <f>COUNTIF(ParicipationMai1[[#This Row],[1]:[31]],Code23)</f>
        <v>0</v>
      </c>
      <c r="AO104" s="132">
        <f>COUNTIF(ParicipationMai1[[#This Row],[1]:[31]],Code6)</f>
        <v>0</v>
      </c>
      <c r="AP104" s="132">
        <f>COUNTIF(ParicipationMai1[[#This Row],[1]:[31]],Code7)</f>
        <v>0</v>
      </c>
      <c r="AQ104" s="132">
        <f>COUNTIF(ParicipationMai1[[#This Row],[1]:[31]],Code8)</f>
        <v>0</v>
      </c>
      <c r="AR104" s="132">
        <f>COUNTIF(ParicipationMai1[[#This Row],[1]:[31]],Code9)</f>
        <v>0</v>
      </c>
      <c r="AS104" s="132">
        <f>COUNTIF(ParicipationMai1[[#This Row],[1]:[31]],Code10)</f>
        <v>0</v>
      </c>
      <c r="AT104" s="132">
        <f>COUNTIF(ParicipationMai1[[#This Row],[1]:[31]],Code11)</f>
        <v>0</v>
      </c>
      <c r="AU104" s="132">
        <f>COUNTIF(ParicipationMai1[[#This Row],[1]:[31]],Code12)</f>
        <v>0</v>
      </c>
      <c r="AV104" s="132">
        <f>COUNTIF(ParicipationMai1[[#This Row],[1]:[31]],Code13)</f>
        <v>0</v>
      </c>
      <c r="AW104" s="132">
        <f>COUNTIF(ParicipationMai1[[#This Row],[1]:[31]],Code14)</f>
        <v>0</v>
      </c>
      <c r="AX104" s="132">
        <f>COUNTIF(ParicipationMai1[[#This Row],[1]:[31]],Code15)</f>
        <v>0</v>
      </c>
      <c r="AY104" s="132">
        <f>COUNTIF(ParicipationMai1[[#This Row],[1]:[31]],Code16)</f>
        <v>0</v>
      </c>
      <c r="AZ104" s="132">
        <f>COUNTIF(ParicipationMai1[[#This Row],[1]:[31]],Code17)</f>
        <v>0</v>
      </c>
      <c r="BA104" s="132">
        <f>COUNTIF(ParicipationMai1[[#This Row],[1]:[31]],Code26)</f>
        <v>0</v>
      </c>
      <c r="BB104" s="132">
        <f>COUNTIF(ParicipationMai1[[#This Row],[1]:[31]],Code27)</f>
        <v>0</v>
      </c>
      <c r="BC104" s="132">
        <f>COUNTIF(ParicipationMai1[[#This Row],[1]:[31]],Code27)</f>
        <v>0</v>
      </c>
      <c r="BD104" s="132">
        <f>COUNTIF(ParicipationMai1[[#This Row],[1]:[31]],Code28)</f>
        <v>0</v>
      </c>
      <c r="BE104" s="132">
        <f>COUNTIF(ParicipationMai1[[#This Row],[1]:[31]],code30)</f>
        <v>0</v>
      </c>
      <c r="BF104" s="132">
        <f>COUNTIF(ParicipationMai1[[#This Row],[1]:[31]],Code31)</f>
        <v>0</v>
      </c>
      <c r="BG104" s="132">
        <f>COUNTIF(ParicipationMai1[[#This Row],[1]:[31]],code21)</f>
        <v>0</v>
      </c>
      <c r="BH104" s="132">
        <f>COUNTIF(ParicipationMai1[[#This Row],[1]:[31]],Code24)</f>
        <v>0</v>
      </c>
      <c r="BI104" s="579">
        <f>COUNTIF(ParicipationMai1[[#This Row],[1]:[31]],code18)</f>
        <v>0</v>
      </c>
      <c r="BJ104" s="579">
        <f>COUNTIF(ParicipationMai1[[#This Row],[1]:[31]],code19)</f>
        <v>0</v>
      </c>
      <c r="BK104" s="579">
        <f>COUNTIF(ParicipationMai1[[#This Row],[1]:[31]],code20)</f>
        <v>0</v>
      </c>
      <c r="BL104" s="547">
        <f>COUNTIF(ParicipationMai1[[#This Row],[1]:[31]],code29)</f>
        <v>0</v>
      </c>
      <c r="BM104" s="132"/>
      <c r="BN104" s="132"/>
      <c r="BO104" s="132"/>
      <c r="BP104" s="132"/>
      <c r="BQ104" s="132"/>
      <c r="BR104" s="132"/>
      <c r="BS104" s="132"/>
      <c r="BT104" s="132"/>
      <c r="BU104" s="132"/>
      <c r="BV104" s="132"/>
      <c r="BW104" s="132"/>
      <c r="BX104" s="132"/>
      <c r="BY104" s="132"/>
      <c r="BZ104" s="132"/>
      <c r="CA104" s="132"/>
      <c r="CB104" s="132"/>
      <c r="CC104" s="132"/>
      <c r="CD104" s="132"/>
      <c r="CE104" s="132"/>
      <c r="CF104" s="132"/>
      <c r="CG104" s="132"/>
      <c r="CH104" s="132"/>
      <c r="CI104" s="132"/>
      <c r="CJ104" s="132"/>
      <c r="CK104" s="132"/>
      <c r="CL104" s="132"/>
      <c r="CM104" s="132"/>
      <c r="CN104" s="132"/>
      <c r="CO104" s="132"/>
      <c r="CP104" s="132"/>
      <c r="CQ104" s="132"/>
      <c r="CR104" s="132"/>
      <c r="CS104" s="132"/>
      <c r="CT104" s="132"/>
      <c r="CU104" s="547"/>
      <c r="CV104" s="590">
        <f t="shared" si="4"/>
        <v>0</v>
      </c>
      <c r="CW104" s="573">
        <f t="shared" si="5"/>
        <v>0</v>
      </c>
      <c r="CX104" s="132">
        <f t="shared" si="6"/>
        <v>0</v>
      </c>
      <c r="CY104" s="500">
        <f t="shared" si="7"/>
        <v>0</v>
      </c>
    </row>
    <row r="105" spans="1:103">
      <c r="A105" s="406" t="s">
        <v>446</v>
      </c>
      <c r="B105" s="540" t="str">
        <f>IFERROR(VLOOKUP(ParicipationMai1[[#This Row],[Référence]],ListeÉtudiants1[],18,FALSE),"")</f>
        <v>MOUNIER JEANNE</v>
      </c>
      <c r="C105" s="406"/>
      <c r="D105" s="406"/>
      <c r="E105" s="406"/>
      <c r="F105" s="406"/>
      <c r="G105" s="406"/>
      <c r="H105" s="406"/>
      <c r="I105" s="406"/>
      <c r="J105" s="406"/>
      <c r="K105" s="406"/>
      <c r="L105" s="406"/>
      <c r="M105" s="406"/>
      <c r="N105" s="406"/>
      <c r="O105" s="406"/>
      <c r="P105" s="406"/>
      <c r="Q105" s="406"/>
      <c r="R105" s="406"/>
      <c r="S105" s="406"/>
      <c r="T105" s="406"/>
      <c r="U105" s="406"/>
      <c r="V105" s="406"/>
      <c r="W105" s="406"/>
      <c r="X105" s="406"/>
      <c r="Y105" s="406"/>
      <c r="Z105" s="406"/>
      <c r="AA105" s="406"/>
      <c r="AB105" s="406"/>
      <c r="AC105" s="406"/>
      <c r="AD105" s="406"/>
      <c r="AE105" s="406"/>
      <c r="AF105" s="406"/>
      <c r="AG105" s="542"/>
      <c r="AH105" s="131">
        <f>COUNTIF(ParicipationMai1[[1]:[31]],Code1)</f>
        <v>0</v>
      </c>
      <c r="AI105" s="311">
        <f>COUNTIF(ParicipationMai1[[1]:[31]],code22)</f>
        <v>0</v>
      </c>
      <c r="AJ105" s="131">
        <f>COUNTIF(ParicipationMai1[[#This Row],[1]:[31]],Code2)</f>
        <v>0</v>
      </c>
      <c r="AK105" s="131">
        <f>COUNTIF(ParicipationMai1[[#This Row],[1]:[31]],Code3)</f>
        <v>0</v>
      </c>
      <c r="AL105" s="131">
        <f>COUNTIF(ParicipationMai1[[#This Row],[1]:[31]],Code4)</f>
        <v>0</v>
      </c>
      <c r="AM105" s="131">
        <f>COUNTIF(ParicipationMai1[[#This Row],[1]:[31]],Code5)</f>
        <v>0</v>
      </c>
      <c r="AN105" s="131">
        <f>COUNTIF(ParicipationMai1[[#This Row],[1]:[31]],Code23)</f>
        <v>0</v>
      </c>
      <c r="AO105" s="131">
        <f>COUNTIF(ParicipationMai1[[#This Row],[1]:[31]],Code6)</f>
        <v>0</v>
      </c>
      <c r="AP105" s="131">
        <f>COUNTIF(ParicipationMai1[[#This Row],[1]:[31]],Code7)</f>
        <v>0</v>
      </c>
      <c r="AQ105" s="131">
        <f>COUNTIF(ParicipationMai1[[#This Row],[1]:[31]],Code8)</f>
        <v>0</v>
      </c>
      <c r="AR105" s="131">
        <f>COUNTIF(ParicipationMai1[[#This Row],[1]:[31]],Code9)</f>
        <v>0</v>
      </c>
      <c r="AS105" s="131">
        <f>COUNTIF(ParicipationMai1[[#This Row],[1]:[31]],Code10)</f>
        <v>0</v>
      </c>
      <c r="AT105" s="131">
        <f>COUNTIF(ParicipationMai1[[#This Row],[1]:[31]],Code11)</f>
        <v>0</v>
      </c>
      <c r="AU105" s="131">
        <f>COUNTIF(ParicipationMai1[[#This Row],[1]:[31]],Code12)</f>
        <v>0</v>
      </c>
      <c r="AV105" s="131">
        <f>COUNTIF(ParicipationMai1[[#This Row],[1]:[31]],Code13)</f>
        <v>0</v>
      </c>
      <c r="AW105" s="131">
        <f>COUNTIF(ParicipationMai1[[#This Row],[1]:[31]],Code14)</f>
        <v>0</v>
      </c>
      <c r="AX105" s="131">
        <f>COUNTIF(ParicipationMai1[[#This Row],[1]:[31]],Code15)</f>
        <v>0</v>
      </c>
      <c r="AY105" s="131">
        <f>COUNTIF(ParicipationMai1[[#This Row],[1]:[31]],Code16)</f>
        <v>0</v>
      </c>
      <c r="AZ105" s="131">
        <f>COUNTIF(ParicipationMai1[[#This Row],[1]:[31]],Code17)</f>
        <v>0</v>
      </c>
      <c r="BA105" s="131">
        <f>COUNTIF(ParicipationMai1[[#This Row],[1]:[31]],Code26)</f>
        <v>0</v>
      </c>
      <c r="BB105" s="131">
        <f>COUNTIF(ParicipationMai1[[#This Row],[1]:[31]],Code27)</f>
        <v>0</v>
      </c>
      <c r="BC105" s="131">
        <f>COUNTIF(ParicipationMai1[[#This Row],[1]:[31]],Code27)</f>
        <v>0</v>
      </c>
      <c r="BD105" s="131">
        <f>COUNTIF(ParicipationMai1[[#This Row],[1]:[31]],Code28)</f>
        <v>0</v>
      </c>
      <c r="BE105" s="131">
        <f>COUNTIF(ParicipationMai1[[#This Row],[1]:[31]],code30)</f>
        <v>0</v>
      </c>
      <c r="BF105" s="131">
        <f>COUNTIF(ParicipationMai1[[#This Row],[1]:[31]],Code31)</f>
        <v>0</v>
      </c>
      <c r="BG105" s="131">
        <f>COUNTIF(ParicipationMai1[[#This Row],[1]:[31]],code21)</f>
        <v>0</v>
      </c>
      <c r="BH105" s="131">
        <f>COUNTIF(ParicipationMai1[[#This Row],[1]:[31]],Code24)</f>
        <v>0</v>
      </c>
      <c r="BI105" s="568">
        <f>COUNTIF(ParicipationMai1[[#This Row],[1]:[31]],code18)</f>
        <v>0</v>
      </c>
      <c r="BJ105" s="568">
        <f>COUNTIF(ParicipationMai1[[#This Row],[1]:[31]],code19)</f>
        <v>0</v>
      </c>
      <c r="BK105" s="568">
        <f>COUNTIF(ParicipationMai1[[#This Row],[1]:[31]],code20)</f>
        <v>0</v>
      </c>
      <c r="BL105" s="548">
        <f>COUNTIF(ParicipationMai1[[#This Row],[1]:[31]],code29)</f>
        <v>0</v>
      </c>
      <c r="BM105" s="131"/>
      <c r="BN105" s="131"/>
      <c r="BO105" s="131"/>
      <c r="BP105" s="131"/>
      <c r="BQ105" s="131"/>
      <c r="BR105" s="131"/>
      <c r="BS105" s="131"/>
      <c r="BT105" s="131"/>
      <c r="BU105" s="131"/>
      <c r="BV105" s="131"/>
      <c r="BW105" s="131"/>
      <c r="BX105" s="131"/>
      <c r="BY105" s="131"/>
      <c r="BZ105" s="131"/>
      <c r="CA105" s="131"/>
      <c r="CB105" s="131"/>
      <c r="CC105" s="131"/>
      <c r="CD105" s="131"/>
      <c r="CE105" s="131"/>
      <c r="CF105" s="131"/>
      <c r="CG105" s="131"/>
      <c r="CH105" s="131"/>
      <c r="CI105" s="131"/>
      <c r="CJ105" s="131"/>
      <c r="CK105" s="131"/>
      <c r="CL105" s="131"/>
      <c r="CM105" s="131"/>
      <c r="CN105" s="131"/>
      <c r="CO105" s="131"/>
      <c r="CP105" s="131"/>
      <c r="CQ105" s="131"/>
      <c r="CR105" s="131"/>
      <c r="CS105" s="131"/>
      <c r="CT105" s="131"/>
      <c r="CU105" s="548"/>
      <c r="CV105" s="592">
        <f t="shared" si="4"/>
        <v>0</v>
      </c>
      <c r="CW105" s="575">
        <f t="shared" si="5"/>
        <v>0</v>
      </c>
      <c r="CX105" s="131">
        <f t="shared" si="6"/>
        <v>0</v>
      </c>
      <c r="CY105" s="170">
        <f t="shared" si="7"/>
        <v>0</v>
      </c>
    </row>
    <row r="106" spans="1:103">
      <c r="A106" s="405" t="s">
        <v>447</v>
      </c>
      <c r="B106" s="537" t="str">
        <f>IFERROR(VLOOKUP(ParicipationMai1[[#This Row],[Référence]],ListeÉtudiants1[],18,FALSE),"")</f>
        <v>NGAMFULANGOMA ALEXANDRINE</v>
      </c>
      <c r="C106" s="405"/>
      <c r="D106" s="405"/>
      <c r="E106" s="405"/>
      <c r="F106" s="405"/>
      <c r="G106" s="405"/>
      <c r="H106" s="405"/>
      <c r="I106" s="405"/>
      <c r="J106" s="405"/>
      <c r="K106" s="405"/>
      <c r="L106" s="405"/>
      <c r="M106" s="405"/>
      <c r="N106" s="405"/>
      <c r="O106" s="405"/>
      <c r="P106" s="405"/>
      <c r="Q106" s="405"/>
      <c r="R106" s="405"/>
      <c r="S106" s="405"/>
      <c r="T106" s="405"/>
      <c r="U106" s="405"/>
      <c r="V106" s="405"/>
      <c r="W106" s="405"/>
      <c r="X106" s="405"/>
      <c r="Y106" s="405"/>
      <c r="Z106" s="405"/>
      <c r="AA106" s="405"/>
      <c r="AB106" s="405"/>
      <c r="AC106" s="405"/>
      <c r="AD106" s="405"/>
      <c r="AE106" s="405"/>
      <c r="AF106" s="405"/>
      <c r="AG106" s="546"/>
      <c r="AH106" s="132">
        <f>COUNTIF(ParicipationMai1[[1]:[31]],Code1)</f>
        <v>0</v>
      </c>
      <c r="AI106" s="538">
        <f>COUNTIF(ParicipationMai1[[1]:[31]],code22)</f>
        <v>0</v>
      </c>
      <c r="AJ106" s="132">
        <f>COUNTIF(ParicipationMai1[[#This Row],[1]:[31]],Code2)</f>
        <v>0</v>
      </c>
      <c r="AK106" s="132">
        <f>COUNTIF(ParicipationMai1[[#This Row],[1]:[31]],Code3)</f>
        <v>0</v>
      </c>
      <c r="AL106" s="132">
        <f>COUNTIF(ParicipationMai1[[#This Row],[1]:[31]],Code4)</f>
        <v>0</v>
      </c>
      <c r="AM106" s="132">
        <f>COUNTIF(ParicipationMai1[[#This Row],[1]:[31]],Code5)</f>
        <v>0</v>
      </c>
      <c r="AN106" s="132">
        <f>COUNTIF(ParicipationMai1[[#This Row],[1]:[31]],Code23)</f>
        <v>0</v>
      </c>
      <c r="AO106" s="132">
        <f>COUNTIF(ParicipationMai1[[#This Row],[1]:[31]],Code6)</f>
        <v>0</v>
      </c>
      <c r="AP106" s="132">
        <f>COUNTIF(ParicipationMai1[[#This Row],[1]:[31]],Code7)</f>
        <v>0</v>
      </c>
      <c r="AQ106" s="132">
        <f>COUNTIF(ParicipationMai1[[#This Row],[1]:[31]],Code8)</f>
        <v>0</v>
      </c>
      <c r="AR106" s="132">
        <f>COUNTIF(ParicipationMai1[[#This Row],[1]:[31]],Code9)</f>
        <v>0</v>
      </c>
      <c r="AS106" s="132">
        <f>COUNTIF(ParicipationMai1[[#This Row],[1]:[31]],Code10)</f>
        <v>0</v>
      </c>
      <c r="AT106" s="132">
        <f>COUNTIF(ParicipationMai1[[#This Row],[1]:[31]],Code11)</f>
        <v>0</v>
      </c>
      <c r="AU106" s="132">
        <f>COUNTIF(ParicipationMai1[[#This Row],[1]:[31]],Code12)</f>
        <v>0</v>
      </c>
      <c r="AV106" s="132">
        <f>COUNTIF(ParicipationMai1[[#This Row],[1]:[31]],Code13)</f>
        <v>0</v>
      </c>
      <c r="AW106" s="132">
        <f>COUNTIF(ParicipationMai1[[#This Row],[1]:[31]],Code14)</f>
        <v>0</v>
      </c>
      <c r="AX106" s="132">
        <f>COUNTIF(ParicipationMai1[[#This Row],[1]:[31]],Code15)</f>
        <v>0</v>
      </c>
      <c r="AY106" s="132">
        <f>COUNTIF(ParicipationMai1[[#This Row],[1]:[31]],Code16)</f>
        <v>0</v>
      </c>
      <c r="AZ106" s="132">
        <f>COUNTIF(ParicipationMai1[[#This Row],[1]:[31]],Code17)</f>
        <v>0</v>
      </c>
      <c r="BA106" s="132">
        <f>COUNTIF(ParicipationMai1[[#This Row],[1]:[31]],Code26)</f>
        <v>0</v>
      </c>
      <c r="BB106" s="132">
        <f>COUNTIF(ParicipationMai1[[#This Row],[1]:[31]],Code27)</f>
        <v>0</v>
      </c>
      <c r="BC106" s="132">
        <f>COUNTIF(ParicipationMai1[[#This Row],[1]:[31]],Code27)</f>
        <v>0</v>
      </c>
      <c r="BD106" s="132">
        <f>COUNTIF(ParicipationMai1[[#This Row],[1]:[31]],Code28)</f>
        <v>0</v>
      </c>
      <c r="BE106" s="132">
        <f>COUNTIF(ParicipationMai1[[#This Row],[1]:[31]],code30)</f>
        <v>0</v>
      </c>
      <c r="BF106" s="132">
        <f>COUNTIF(ParicipationMai1[[#This Row],[1]:[31]],Code31)</f>
        <v>0</v>
      </c>
      <c r="BG106" s="132">
        <f>COUNTIF(ParicipationMai1[[#This Row],[1]:[31]],code21)</f>
        <v>0</v>
      </c>
      <c r="BH106" s="132">
        <f>COUNTIF(ParicipationMai1[[#This Row],[1]:[31]],Code24)</f>
        <v>0</v>
      </c>
      <c r="BI106" s="579">
        <f>COUNTIF(ParicipationMai1[[#This Row],[1]:[31]],code18)</f>
        <v>0</v>
      </c>
      <c r="BJ106" s="579">
        <f>COUNTIF(ParicipationMai1[[#This Row],[1]:[31]],code19)</f>
        <v>0</v>
      </c>
      <c r="BK106" s="579">
        <f>COUNTIF(ParicipationMai1[[#This Row],[1]:[31]],code20)</f>
        <v>0</v>
      </c>
      <c r="BL106" s="547">
        <f>COUNTIF(ParicipationMai1[[#This Row],[1]:[31]],code29)</f>
        <v>0</v>
      </c>
      <c r="BM106" s="132"/>
      <c r="BN106" s="132"/>
      <c r="BO106" s="132"/>
      <c r="BP106" s="132"/>
      <c r="BQ106" s="132"/>
      <c r="BR106" s="132"/>
      <c r="BS106" s="132"/>
      <c r="BT106" s="132"/>
      <c r="BU106" s="132"/>
      <c r="BV106" s="132"/>
      <c r="BW106" s="132"/>
      <c r="BX106" s="132"/>
      <c r="BY106" s="132"/>
      <c r="BZ106" s="132"/>
      <c r="CA106" s="132"/>
      <c r="CB106" s="132"/>
      <c r="CC106" s="132"/>
      <c r="CD106" s="132"/>
      <c r="CE106" s="132"/>
      <c r="CF106" s="132"/>
      <c r="CG106" s="132"/>
      <c r="CH106" s="132"/>
      <c r="CI106" s="132"/>
      <c r="CJ106" s="132"/>
      <c r="CK106" s="132"/>
      <c r="CL106" s="132"/>
      <c r="CM106" s="132"/>
      <c r="CN106" s="132"/>
      <c r="CO106" s="132"/>
      <c r="CP106" s="132"/>
      <c r="CQ106" s="132"/>
      <c r="CR106" s="132"/>
      <c r="CS106" s="132"/>
      <c r="CT106" s="132"/>
      <c r="CU106" s="547"/>
      <c r="CV106" s="590">
        <f t="shared" si="4"/>
        <v>0</v>
      </c>
      <c r="CW106" s="573">
        <f t="shared" si="5"/>
        <v>0</v>
      </c>
      <c r="CX106" s="132">
        <f t="shared" si="6"/>
        <v>0</v>
      </c>
      <c r="CY106" s="500">
        <f t="shared" si="7"/>
        <v>0</v>
      </c>
    </row>
    <row r="107" spans="1:103">
      <c r="A107" s="406" t="s">
        <v>448</v>
      </c>
      <c r="B107" s="540" t="str">
        <f>IFERROR(VLOOKUP(ParicipationMai1[[#This Row],[Référence]],ListeÉtudiants1[],18,FALSE),"")</f>
        <v>NGO BONJE ERNESTINE</v>
      </c>
      <c r="C107" s="406"/>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542"/>
      <c r="AH107" s="131">
        <f>COUNTIF(ParicipationMai1[[1]:[31]],Code1)</f>
        <v>0</v>
      </c>
      <c r="AI107" s="311">
        <f>COUNTIF(ParicipationMai1[[1]:[31]],code22)</f>
        <v>0</v>
      </c>
      <c r="AJ107" s="131">
        <f>COUNTIF(ParicipationMai1[[#This Row],[1]:[31]],Code2)</f>
        <v>0</v>
      </c>
      <c r="AK107" s="131">
        <f>COUNTIF(ParicipationMai1[[#This Row],[1]:[31]],Code3)</f>
        <v>0</v>
      </c>
      <c r="AL107" s="131">
        <f>COUNTIF(ParicipationMai1[[#This Row],[1]:[31]],Code4)</f>
        <v>0</v>
      </c>
      <c r="AM107" s="131">
        <f>COUNTIF(ParicipationMai1[[#This Row],[1]:[31]],Code5)</f>
        <v>0</v>
      </c>
      <c r="AN107" s="131">
        <f>COUNTIF(ParicipationMai1[[#This Row],[1]:[31]],Code23)</f>
        <v>0</v>
      </c>
      <c r="AO107" s="131">
        <f>COUNTIF(ParicipationMai1[[#This Row],[1]:[31]],Code6)</f>
        <v>0</v>
      </c>
      <c r="AP107" s="131">
        <f>COUNTIF(ParicipationMai1[[#This Row],[1]:[31]],Code7)</f>
        <v>0</v>
      </c>
      <c r="AQ107" s="131">
        <f>COUNTIF(ParicipationMai1[[#This Row],[1]:[31]],Code8)</f>
        <v>0</v>
      </c>
      <c r="AR107" s="131">
        <f>COUNTIF(ParicipationMai1[[#This Row],[1]:[31]],Code9)</f>
        <v>0</v>
      </c>
      <c r="AS107" s="131">
        <f>COUNTIF(ParicipationMai1[[#This Row],[1]:[31]],Code10)</f>
        <v>0</v>
      </c>
      <c r="AT107" s="131">
        <f>COUNTIF(ParicipationMai1[[#This Row],[1]:[31]],Code11)</f>
        <v>0</v>
      </c>
      <c r="AU107" s="131">
        <f>COUNTIF(ParicipationMai1[[#This Row],[1]:[31]],Code12)</f>
        <v>0</v>
      </c>
      <c r="AV107" s="131">
        <f>COUNTIF(ParicipationMai1[[#This Row],[1]:[31]],Code13)</f>
        <v>0</v>
      </c>
      <c r="AW107" s="131">
        <f>COUNTIF(ParicipationMai1[[#This Row],[1]:[31]],Code14)</f>
        <v>0</v>
      </c>
      <c r="AX107" s="131">
        <f>COUNTIF(ParicipationMai1[[#This Row],[1]:[31]],Code15)</f>
        <v>0</v>
      </c>
      <c r="AY107" s="131">
        <f>COUNTIF(ParicipationMai1[[#This Row],[1]:[31]],Code16)</f>
        <v>0</v>
      </c>
      <c r="AZ107" s="131">
        <f>COUNTIF(ParicipationMai1[[#This Row],[1]:[31]],Code17)</f>
        <v>0</v>
      </c>
      <c r="BA107" s="131">
        <f>COUNTIF(ParicipationMai1[[#This Row],[1]:[31]],Code26)</f>
        <v>0</v>
      </c>
      <c r="BB107" s="131">
        <f>COUNTIF(ParicipationMai1[[#This Row],[1]:[31]],Code27)</f>
        <v>0</v>
      </c>
      <c r="BC107" s="131">
        <f>COUNTIF(ParicipationMai1[[#This Row],[1]:[31]],Code27)</f>
        <v>0</v>
      </c>
      <c r="BD107" s="131">
        <f>COUNTIF(ParicipationMai1[[#This Row],[1]:[31]],Code28)</f>
        <v>0</v>
      </c>
      <c r="BE107" s="131">
        <f>COUNTIF(ParicipationMai1[[#This Row],[1]:[31]],code30)</f>
        <v>0</v>
      </c>
      <c r="BF107" s="131">
        <f>COUNTIF(ParicipationMai1[[#This Row],[1]:[31]],Code31)</f>
        <v>0</v>
      </c>
      <c r="BG107" s="131">
        <f>COUNTIF(ParicipationMai1[[#This Row],[1]:[31]],code21)</f>
        <v>0</v>
      </c>
      <c r="BH107" s="131">
        <f>COUNTIF(ParicipationMai1[[#This Row],[1]:[31]],Code24)</f>
        <v>0</v>
      </c>
      <c r="BI107" s="568">
        <f>COUNTIF(ParicipationMai1[[#This Row],[1]:[31]],code18)</f>
        <v>0</v>
      </c>
      <c r="BJ107" s="568">
        <f>COUNTIF(ParicipationMai1[[#This Row],[1]:[31]],code19)</f>
        <v>0</v>
      </c>
      <c r="BK107" s="568">
        <f>COUNTIF(ParicipationMai1[[#This Row],[1]:[31]],code20)</f>
        <v>0</v>
      </c>
      <c r="BL107" s="548">
        <f>COUNTIF(ParicipationMai1[[#This Row],[1]:[31]],code29)</f>
        <v>0</v>
      </c>
      <c r="BM107" s="131"/>
      <c r="BN107" s="131"/>
      <c r="BO107" s="131"/>
      <c r="BP107" s="131"/>
      <c r="BQ107" s="131"/>
      <c r="BR107" s="131"/>
      <c r="BS107" s="131"/>
      <c r="BT107" s="131"/>
      <c r="BU107" s="131"/>
      <c r="BV107" s="131"/>
      <c r="BW107" s="131"/>
      <c r="BX107" s="131"/>
      <c r="BY107" s="131"/>
      <c r="BZ107" s="131"/>
      <c r="CA107" s="131"/>
      <c r="CB107" s="131"/>
      <c r="CC107" s="131"/>
      <c r="CD107" s="131"/>
      <c r="CE107" s="131"/>
      <c r="CF107" s="131"/>
      <c r="CG107" s="131"/>
      <c r="CH107" s="131"/>
      <c r="CI107" s="131"/>
      <c r="CJ107" s="131"/>
      <c r="CK107" s="131"/>
      <c r="CL107" s="131"/>
      <c r="CM107" s="131"/>
      <c r="CN107" s="131"/>
      <c r="CO107" s="131"/>
      <c r="CP107" s="131"/>
      <c r="CQ107" s="131"/>
      <c r="CR107" s="131"/>
      <c r="CS107" s="131"/>
      <c r="CT107" s="131"/>
      <c r="CU107" s="548"/>
      <c r="CV107" s="592">
        <f t="shared" si="4"/>
        <v>0</v>
      </c>
      <c r="CW107" s="575">
        <f t="shared" si="5"/>
        <v>0</v>
      </c>
      <c r="CX107" s="131">
        <f t="shared" si="6"/>
        <v>0</v>
      </c>
      <c r="CY107" s="170">
        <f t="shared" si="7"/>
        <v>0</v>
      </c>
    </row>
    <row r="108" spans="1:103">
      <c r="A108" s="405" t="s">
        <v>449</v>
      </c>
      <c r="B108" s="537" t="str">
        <f>IFERROR(VLOOKUP(ParicipationMai1[[#This Row],[Référence]],ListeÉtudiants1[],18,FALSE),"")</f>
        <v>NIRDE NICOLAS</v>
      </c>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546"/>
      <c r="AH108" s="132">
        <f>COUNTIF(ParicipationMai1[[1]:[31]],Code1)</f>
        <v>0</v>
      </c>
      <c r="AI108" s="538">
        <f>COUNTIF(ParicipationMai1[[1]:[31]],code22)</f>
        <v>0</v>
      </c>
      <c r="AJ108" s="132">
        <f>COUNTIF(ParicipationMai1[[#This Row],[1]:[31]],Code2)</f>
        <v>0</v>
      </c>
      <c r="AK108" s="132">
        <f>COUNTIF(ParicipationMai1[[#This Row],[1]:[31]],Code3)</f>
        <v>0</v>
      </c>
      <c r="AL108" s="132">
        <f>COUNTIF(ParicipationMai1[[#This Row],[1]:[31]],Code4)</f>
        <v>0</v>
      </c>
      <c r="AM108" s="132">
        <f>COUNTIF(ParicipationMai1[[#This Row],[1]:[31]],Code5)</f>
        <v>0</v>
      </c>
      <c r="AN108" s="132">
        <f>COUNTIF(ParicipationMai1[[#This Row],[1]:[31]],Code23)</f>
        <v>0</v>
      </c>
      <c r="AO108" s="132">
        <f>COUNTIF(ParicipationMai1[[#This Row],[1]:[31]],Code6)</f>
        <v>0</v>
      </c>
      <c r="AP108" s="132">
        <f>COUNTIF(ParicipationMai1[[#This Row],[1]:[31]],Code7)</f>
        <v>0</v>
      </c>
      <c r="AQ108" s="132">
        <f>COUNTIF(ParicipationMai1[[#This Row],[1]:[31]],Code8)</f>
        <v>0</v>
      </c>
      <c r="AR108" s="132">
        <f>COUNTIF(ParicipationMai1[[#This Row],[1]:[31]],Code9)</f>
        <v>0</v>
      </c>
      <c r="AS108" s="132">
        <f>COUNTIF(ParicipationMai1[[#This Row],[1]:[31]],Code10)</f>
        <v>0</v>
      </c>
      <c r="AT108" s="132">
        <f>COUNTIF(ParicipationMai1[[#This Row],[1]:[31]],Code11)</f>
        <v>0</v>
      </c>
      <c r="AU108" s="132">
        <f>COUNTIF(ParicipationMai1[[#This Row],[1]:[31]],Code12)</f>
        <v>0</v>
      </c>
      <c r="AV108" s="132">
        <f>COUNTIF(ParicipationMai1[[#This Row],[1]:[31]],Code13)</f>
        <v>0</v>
      </c>
      <c r="AW108" s="132">
        <f>COUNTIF(ParicipationMai1[[#This Row],[1]:[31]],Code14)</f>
        <v>0</v>
      </c>
      <c r="AX108" s="132">
        <f>COUNTIF(ParicipationMai1[[#This Row],[1]:[31]],Code15)</f>
        <v>0</v>
      </c>
      <c r="AY108" s="132">
        <f>COUNTIF(ParicipationMai1[[#This Row],[1]:[31]],Code16)</f>
        <v>0</v>
      </c>
      <c r="AZ108" s="132">
        <f>COUNTIF(ParicipationMai1[[#This Row],[1]:[31]],Code17)</f>
        <v>0</v>
      </c>
      <c r="BA108" s="132">
        <f>COUNTIF(ParicipationMai1[[#This Row],[1]:[31]],Code26)</f>
        <v>0</v>
      </c>
      <c r="BB108" s="132">
        <f>COUNTIF(ParicipationMai1[[#This Row],[1]:[31]],Code27)</f>
        <v>0</v>
      </c>
      <c r="BC108" s="132">
        <f>COUNTIF(ParicipationMai1[[#This Row],[1]:[31]],Code27)</f>
        <v>0</v>
      </c>
      <c r="BD108" s="132">
        <f>COUNTIF(ParicipationMai1[[#This Row],[1]:[31]],Code28)</f>
        <v>0</v>
      </c>
      <c r="BE108" s="132">
        <f>COUNTIF(ParicipationMai1[[#This Row],[1]:[31]],code30)</f>
        <v>0</v>
      </c>
      <c r="BF108" s="132">
        <f>COUNTIF(ParicipationMai1[[#This Row],[1]:[31]],Code31)</f>
        <v>0</v>
      </c>
      <c r="BG108" s="132">
        <f>COUNTIF(ParicipationMai1[[#This Row],[1]:[31]],code21)</f>
        <v>0</v>
      </c>
      <c r="BH108" s="132">
        <f>COUNTIF(ParicipationMai1[[#This Row],[1]:[31]],Code24)</f>
        <v>0</v>
      </c>
      <c r="BI108" s="579">
        <f>COUNTIF(ParicipationMai1[[#This Row],[1]:[31]],code18)</f>
        <v>0</v>
      </c>
      <c r="BJ108" s="579">
        <f>COUNTIF(ParicipationMai1[[#This Row],[1]:[31]],code19)</f>
        <v>0</v>
      </c>
      <c r="BK108" s="579">
        <f>COUNTIF(ParicipationMai1[[#This Row],[1]:[31]],code20)</f>
        <v>0</v>
      </c>
      <c r="BL108" s="547">
        <f>COUNTIF(ParicipationMai1[[#This Row],[1]:[31]],code29)</f>
        <v>0</v>
      </c>
      <c r="BM108" s="132"/>
      <c r="BN108" s="132"/>
      <c r="BO108" s="132"/>
      <c r="BP108" s="132"/>
      <c r="BQ108" s="132"/>
      <c r="BR108" s="132"/>
      <c r="BS108" s="132"/>
      <c r="BT108" s="132"/>
      <c r="BU108" s="132"/>
      <c r="BV108" s="132"/>
      <c r="BW108" s="132"/>
      <c r="BX108" s="132"/>
      <c r="BY108" s="132"/>
      <c r="BZ108" s="132"/>
      <c r="CA108" s="132"/>
      <c r="CB108" s="132"/>
      <c r="CC108" s="132"/>
      <c r="CD108" s="132"/>
      <c r="CE108" s="132"/>
      <c r="CF108" s="132"/>
      <c r="CG108" s="132"/>
      <c r="CH108" s="132"/>
      <c r="CI108" s="132"/>
      <c r="CJ108" s="132"/>
      <c r="CK108" s="132"/>
      <c r="CL108" s="132"/>
      <c r="CM108" s="132"/>
      <c r="CN108" s="132"/>
      <c r="CO108" s="132"/>
      <c r="CP108" s="132"/>
      <c r="CQ108" s="132"/>
      <c r="CR108" s="132"/>
      <c r="CS108" s="132"/>
      <c r="CT108" s="132"/>
      <c r="CU108" s="547"/>
      <c r="CV108" s="590">
        <f t="shared" si="4"/>
        <v>0</v>
      </c>
      <c r="CW108" s="573">
        <f t="shared" si="5"/>
        <v>0</v>
      </c>
      <c r="CX108" s="132">
        <f t="shared" si="6"/>
        <v>0</v>
      </c>
      <c r="CY108" s="500">
        <f t="shared" si="7"/>
        <v>0</v>
      </c>
    </row>
    <row r="109" spans="1:103">
      <c r="A109" s="406" t="s">
        <v>450</v>
      </c>
      <c r="B109" s="540" t="str">
        <f>IFERROR(VLOOKUP(ParicipationMai1[[#This Row],[Référence]],ListeÉtudiants1[],18,FALSE),"")</f>
        <v>NOBIAL FABIENNE</v>
      </c>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542"/>
      <c r="AH109" s="131">
        <f>COUNTIF(ParicipationMai1[[1]:[31]],Code1)</f>
        <v>0</v>
      </c>
      <c r="AI109" s="311">
        <f>COUNTIF(ParicipationMai1[[1]:[31]],code22)</f>
        <v>0</v>
      </c>
      <c r="AJ109" s="131">
        <f>COUNTIF(ParicipationMai1[[#This Row],[1]:[31]],Code2)</f>
        <v>0</v>
      </c>
      <c r="AK109" s="131">
        <f>COUNTIF(ParicipationMai1[[#This Row],[1]:[31]],Code3)</f>
        <v>0</v>
      </c>
      <c r="AL109" s="131">
        <f>COUNTIF(ParicipationMai1[[#This Row],[1]:[31]],Code4)</f>
        <v>0</v>
      </c>
      <c r="AM109" s="131">
        <f>COUNTIF(ParicipationMai1[[#This Row],[1]:[31]],Code5)</f>
        <v>0</v>
      </c>
      <c r="AN109" s="131">
        <f>COUNTIF(ParicipationMai1[[#This Row],[1]:[31]],Code23)</f>
        <v>0</v>
      </c>
      <c r="AO109" s="131">
        <f>COUNTIF(ParicipationMai1[[#This Row],[1]:[31]],Code6)</f>
        <v>0</v>
      </c>
      <c r="AP109" s="131">
        <f>COUNTIF(ParicipationMai1[[#This Row],[1]:[31]],Code7)</f>
        <v>0</v>
      </c>
      <c r="AQ109" s="131">
        <f>COUNTIF(ParicipationMai1[[#This Row],[1]:[31]],Code8)</f>
        <v>0</v>
      </c>
      <c r="AR109" s="131">
        <f>COUNTIF(ParicipationMai1[[#This Row],[1]:[31]],Code9)</f>
        <v>0</v>
      </c>
      <c r="AS109" s="131">
        <f>COUNTIF(ParicipationMai1[[#This Row],[1]:[31]],Code10)</f>
        <v>0</v>
      </c>
      <c r="AT109" s="131">
        <f>COUNTIF(ParicipationMai1[[#This Row],[1]:[31]],Code11)</f>
        <v>0</v>
      </c>
      <c r="AU109" s="131">
        <f>COUNTIF(ParicipationMai1[[#This Row],[1]:[31]],Code12)</f>
        <v>0</v>
      </c>
      <c r="AV109" s="131">
        <f>COUNTIF(ParicipationMai1[[#This Row],[1]:[31]],Code13)</f>
        <v>0</v>
      </c>
      <c r="AW109" s="131">
        <f>COUNTIF(ParicipationMai1[[#This Row],[1]:[31]],Code14)</f>
        <v>0</v>
      </c>
      <c r="AX109" s="131">
        <f>COUNTIF(ParicipationMai1[[#This Row],[1]:[31]],Code15)</f>
        <v>0</v>
      </c>
      <c r="AY109" s="131">
        <f>COUNTIF(ParicipationMai1[[#This Row],[1]:[31]],Code16)</f>
        <v>0</v>
      </c>
      <c r="AZ109" s="131">
        <f>COUNTIF(ParicipationMai1[[#This Row],[1]:[31]],Code17)</f>
        <v>0</v>
      </c>
      <c r="BA109" s="131">
        <f>COUNTIF(ParicipationMai1[[#This Row],[1]:[31]],Code26)</f>
        <v>0</v>
      </c>
      <c r="BB109" s="131">
        <f>COUNTIF(ParicipationMai1[[#This Row],[1]:[31]],Code27)</f>
        <v>0</v>
      </c>
      <c r="BC109" s="131">
        <f>COUNTIF(ParicipationMai1[[#This Row],[1]:[31]],Code27)</f>
        <v>0</v>
      </c>
      <c r="BD109" s="131">
        <f>COUNTIF(ParicipationMai1[[#This Row],[1]:[31]],Code28)</f>
        <v>0</v>
      </c>
      <c r="BE109" s="131">
        <f>COUNTIF(ParicipationMai1[[#This Row],[1]:[31]],code30)</f>
        <v>0</v>
      </c>
      <c r="BF109" s="131">
        <f>COUNTIF(ParicipationMai1[[#This Row],[1]:[31]],Code31)</f>
        <v>0</v>
      </c>
      <c r="BG109" s="131">
        <f>COUNTIF(ParicipationMai1[[#This Row],[1]:[31]],code21)</f>
        <v>0</v>
      </c>
      <c r="BH109" s="131">
        <f>COUNTIF(ParicipationMai1[[#This Row],[1]:[31]],Code24)</f>
        <v>0</v>
      </c>
      <c r="BI109" s="568">
        <f>COUNTIF(ParicipationMai1[[#This Row],[1]:[31]],code18)</f>
        <v>0</v>
      </c>
      <c r="BJ109" s="568">
        <f>COUNTIF(ParicipationMai1[[#This Row],[1]:[31]],code19)</f>
        <v>0</v>
      </c>
      <c r="BK109" s="568">
        <f>COUNTIF(ParicipationMai1[[#This Row],[1]:[31]],code20)</f>
        <v>0</v>
      </c>
      <c r="BL109" s="548">
        <f>COUNTIF(ParicipationMai1[[#This Row],[1]:[31]],code29)</f>
        <v>0</v>
      </c>
      <c r="BM109" s="131"/>
      <c r="BN109" s="131"/>
      <c r="BO109" s="131"/>
      <c r="BP109" s="131"/>
      <c r="BQ109" s="131"/>
      <c r="BR109" s="131"/>
      <c r="BS109" s="131"/>
      <c r="BT109" s="131"/>
      <c r="BU109" s="131"/>
      <c r="BV109" s="131"/>
      <c r="BW109" s="131"/>
      <c r="BX109" s="131"/>
      <c r="BY109" s="131"/>
      <c r="BZ109" s="131"/>
      <c r="CA109" s="131"/>
      <c r="CB109" s="131"/>
      <c r="CC109" s="131"/>
      <c r="CD109" s="131"/>
      <c r="CE109" s="131"/>
      <c r="CF109" s="131"/>
      <c r="CG109" s="131"/>
      <c r="CH109" s="131"/>
      <c r="CI109" s="131"/>
      <c r="CJ109" s="131"/>
      <c r="CK109" s="131"/>
      <c r="CL109" s="131"/>
      <c r="CM109" s="131"/>
      <c r="CN109" s="131"/>
      <c r="CO109" s="131"/>
      <c r="CP109" s="131"/>
      <c r="CQ109" s="131"/>
      <c r="CR109" s="131"/>
      <c r="CS109" s="131"/>
      <c r="CT109" s="131"/>
      <c r="CU109" s="548"/>
      <c r="CV109" s="592">
        <f t="shared" si="4"/>
        <v>0</v>
      </c>
      <c r="CW109" s="575">
        <f t="shared" si="5"/>
        <v>0</v>
      </c>
      <c r="CX109" s="131">
        <f t="shared" si="6"/>
        <v>0</v>
      </c>
      <c r="CY109" s="170">
        <f t="shared" si="7"/>
        <v>0</v>
      </c>
    </row>
    <row r="110" spans="1:103">
      <c r="A110" s="405" t="s">
        <v>451</v>
      </c>
      <c r="B110" s="537" t="str">
        <f>IFERROR(VLOOKUP(ParicipationMai1[[#This Row],[Référence]],ListeÉtudiants1[],18,FALSE),"")</f>
        <v>OUSSENI-COMBO ROMINAH</v>
      </c>
      <c r="C110" s="405"/>
      <c r="D110" s="405"/>
      <c r="E110" s="405"/>
      <c r="F110" s="405"/>
      <c r="G110" s="405"/>
      <c r="H110" s="405"/>
      <c r="I110" s="405"/>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546"/>
      <c r="AH110" s="132">
        <f>COUNTIF(ParicipationMai1[[1]:[31]],Code1)</f>
        <v>0</v>
      </c>
      <c r="AI110" s="538">
        <f>COUNTIF(ParicipationMai1[[1]:[31]],code22)</f>
        <v>0</v>
      </c>
      <c r="AJ110" s="132">
        <f>COUNTIF(ParicipationMai1[[#This Row],[1]:[31]],Code2)</f>
        <v>0</v>
      </c>
      <c r="AK110" s="132">
        <f>COUNTIF(ParicipationMai1[[#This Row],[1]:[31]],Code3)</f>
        <v>0</v>
      </c>
      <c r="AL110" s="132">
        <f>COUNTIF(ParicipationMai1[[#This Row],[1]:[31]],Code4)</f>
        <v>0</v>
      </c>
      <c r="AM110" s="132">
        <f>COUNTIF(ParicipationMai1[[#This Row],[1]:[31]],Code5)</f>
        <v>0</v>
      </c>
      <c r="AN110" s="132">
        <f>COUNTIF(ParicipationMai1[[#This Row],[1]:[31]],Code23)</f>
        <v>0</v>
      </c>
      <c r="AO110" s="132">
        <f>COUNTIF(ParicipationMai1[[#This Row],[1]:[31]],Code6)</f>
        <v>0</v>
      </c>
      <c r="AP110" s="132">
        <f>COUNTIF(ParicipationMai1[[#This Row],[1]:[31]],Code7)</f>
        <v>0</v>
      </c>
      <c r="AQ110" s="132">
        <f>COUNTIF(ParicipationMai1[[#This Row],[1]:[31]],Code8)</f>
        <v>0</v>
      </c>
      <c r="AR110" s="132">
        <f>COUNTIF(ParicipationMai1[[#This Row],[1]:[31]],Code9)</f>
        <v>0</v>
      </c>
      <c r="AS110" s="132">
        <f>COUNTIF(ParicipationMai1[[#This Row],[1]:[31]],Code10)</f>
        <v>0</v>
      </c>
      <c r="AT110" s="132">
        <f>COUNTIF(ParicipationMai1[[#This Row],[1]:[31]],Code11)</f>
        <v>0</v>
      </c>
      <c r="AU110" s="132">
        <f>COUNTIF(ParicipationMai1[[#This Row],[1]:[31]],Code12)</f>
        <v>0</v>
      </c>
      <c r="AV110" s="132">
        <f>COUNTIF(ParicipationMai1[[#This Row],[1]:[31]],Code13)</f>
        <v>0</v>
      </c>
      <c r="AW110" s="132">
        <f>COUNTIF(ParicipationMai1[[#This Row],[1]:[31]],Code14)</f>
        <v>0</v>
      </c>
      <c r="AX110" s="132">
        <f>COUNTIF(ParicipationMai1[[#This Row],[1]:[31]],Code15)</f>
        <v>0</v>
      </c>
      <c r="AY110" s="132">
        <f>COUNTIF(ParicipationMai1[[#This Row],[1]:[31]],Code16)</f>
        <v>0</v>
      </c>
      <c r="AZ110" s="132">
        <f>COUNTIF(ParicipationMai1[[#This Row],[1]:[31]],Code17)</f>
        <v>0</v>
      </c>
      <c r="BA110" s="132">
        <f>COUNTIF(ParicipationMai1[[#This Row],[1]:[31]],Code26)</f>
        <v>0</v>
      </c>
      <c r="BB110" s="132">
        <f>COUNTIF(ParicipationMai1[[#This Row],[1]:[31]],Code27)</f>
        <v>0</v>
      </c>
      <c r="BC110" s="132">
        <f>COUNTIF(ParicipationMai1[[#This Row],[1]:[31]],Code27)</f>
        <v>0</v>
      </c>
      <c r="BD110" s="132">
        <f>COUNTIF(ParicipationMai1[[#This Row],[1]:[31]],Code28)</f>
        <v>0</v>
      </c>
      <c r="BE110" s="132">
        <f>COUNTIF(ParicipationMai1[[#This Row],[1]:[31]],code30)</f>
        <v>0</v>
      </c>
      <c r="BF110" s="132">
        <f>COUNTIF(ParicipationMai1[[#This Row],[1]:[31]],Code31)</f>
        <v>0</v>
      </c>
      <c r="BG110" s="132">
        <f>COUNTIF(ParicipationMai1[[#This Row],[1]:[31]],code21)</f>
        <v>0</v>
      </c>
      <c r="BH110" s="132">
        <f>COUNTIF(ParicipationMai1[[#This Row],[1]:[31]],Code24)</f>
        <v>0</v>
      </c>
      <c r="BI110" s="579">
        <f>COUNTIF(ParicipationMai1[[#This Row],[1]:[31]],code18)</f>
        <v>0</v>
      </c>
      <c r="BJ110" s="579">
        <f>COUNTIF(ParicipationMai1[[#This Row],[1]:[31]],code19)</f>
        <v>0</v>
      </c>
      <c r="BK110" s="579">
        <f>COUNTIF(ParicipationMai1[[#This Row],[1]:[31]],code20)</f>
        <v>0</v>
      </c>
      <c r="BL110" s="547">
        <f>COUNTIF(ParicipationMai1[[#This Row],[1]:[31]],code29)</f>
        <v>0</v>
      </c>
      <c r="BM110" s="132"/>
      <c r="BN110" s="132"/>
      <c r="BO110" s="132"/>
      <c r="BP110" s="132"/>
      <c r="BQ110" s="132"/>
      <c r="BR110" s="132"/>
      <c r="BS110" s="132"/>
      <c r="BT110" s="132"/>
      <c r="BU110" s="132"/>
      <c r="BV110" s="132"/>
      <c r="BW110" s="132"/>
      <c r="BX110" s="132"/>
      <c r="BY110" s="132"/>
      <c r="BZ110" s="132"/>
      <c r="CA110" s="132"/>
      <c r="CB110" s="132"/>
      <c r="CC110" s="132"/>
      <c r="CD110" s="132"/>
      <c r="CE110" s="132"/>
      <c r="CF110" s="132"/>
      <c r="CG110" s="132"/>
      <c r="CH110" s="132"/>
      <c r="CI110" s="132"/>
      <c r="CJ110" s="132"/>
      <c r="CK110" s="132"/>
      <c r="CL110" s="132"/>
      <c r="CM110" s="132"/>
      <c r="CN110" s="132"/>
      <c r="CO110" s="132"/>
      <c r="CP110" s="132"/>
      <c r="CQ110" s="132"/>
      <c r="CR110" s="132"/>
      <c r="CS110" s="132"/>
      <c r="CT110" s="132"/>
      <c r="CU110" s="547"/>
      <c r="CV110" s="590">
        <f t="shared" si="4"/>
        <v>0</v>
      </c>
      <c r="CW110" s="573">
        <f t="shared" si="5"/>
        <v>0</v>
      </c>
      <c r="CX110" s="132">
        <f t="shared" si="6"/>
        <v>0</v>
      </c>
      <c r="CY110" s="500">
        <f t="shared" si="7"/>
        <v>0</v>
      </c>
    </row>
    <row r="111" spans="1:103">
      <c r="A111" s="406" t="s">
        <v>452</v>
      </c>
      <c r="B111" s="540" t="str">
        <f>IFERROR(VLOOKUP(ParicipationMai1[[#This Row],[Référence]],ListeÉtudiants1[],18,FALSE),"")</f>
        <v>PAPAIL SIMON</v>
      </c>
      <c r="C111" s="406"/>
      <c r="D111" s="406"/>
      <c r="E111" s="406"/>
      <c r="F111" s="406"/>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542"/>
      <c r="AH111" s="131">
        <f>COUNTIF(ParicipationMai1[[1]:[31]],Code1)</f>
        <v>0</v>
      </c>
      <c r="AI111" s="311">
        <f>COUNTIF(ParicipationMai1[[1]:[31]],code22)</f>
        <v>0</v>
      </c>
      <c r="AJ111" s="131">
        <f>COUNTIF(ParicipationMai1[[#This Row],[1]:[31]],Code2)</f>
        <v>0</v>
      </c>
      <c r="AK111" s="131">
        <f>COUNTIF(ParicipationMai1[[#This Row],[1]:[31]],Code3)</f>
        <v>0</v>
      </c>
      <c r="AL111" s="131">
        <f>COUNTIF(ParicipationMai1[[#This Row],[1]:[31]],Code4)</f>
        <v>0</v>
      </c>
      <c r="AM111" s="131">
        <f>COUNTIF(ParicipationMai1[[#This Row],[1]:[31]],Code5)</f>
        <v>0</v>
      </c>
      <c r="AN111" s="131">
        <f>COUNTIF(ParicipationMai1[[#This Row],[1]:[31]],Code23)</f>
        <v>0</v>
      </c>
      <c r="AO111" s="131">
        <f>COUNTIF(ParicipationMai1[[#This Row],[1]:[31]],Code6)</f>
        <v>0</v>
      </c>
      <c r="AP111" s="131">
        <f>COUNTIF(ParicipationMai1[[#This Row],[1]:[31]],Code7)</f>
        <v>0</v>
      </c>
      <c r="AQ111" s="131">
        <f>COUNTIF(ParicipationMai1[[#This Row],[1]:[31]],Code8)</f>
        <v>0</v>
      </c>
      <c r="AR111" s="131">
        <f>COUNTIF(ParicipationMai1[[#This Row],[1]:[31]],Code9)</f>
        <v>0</v>
      </c>
      <c r="AS111" s="131">
        <f>COUNTIF(ParicipationMai1[[#This Row],[1]:[31]],Code10)</f>
        <v>0</v>
      </c>
      <c r="AT111" s="131">
        <f>COUNTIF(ParicipationMai1[[#This Row],[1]:[31]],Code11)</f>
        <v>0</v>
      </c>
      <c r="AU111" s="131">
        <f>COUNTIF(ParicipationMai1[[#This Row],[1]:[31]],Code12)</f>
        <v>0</v>
      </c>
      <c r="AV111" s="131">
        <f>COUNTIF(ParicipationMai1[[#This Row],[1]:[31]],Code13)</f>
        <v>0</v>
      </c>
      <c r="AW111" s="131">
        <f>COUNTIF(ParicipationMai1[[#This Row],[1]:[31]],Code14)</f>
        <v>0</v>
      </c>
      <c r="AX111" s="131">
        <f>COUNTIF(ParicipationMai1[[#This Row],[1]:[31]],Code15)</f>
        <v>0</v>
      </c>
      <c r="AY111" s="131">
        <f>COUNTIF(ParicipationMai1[[#This Row],[1]:[31]],Code16)</f>
        <v>0</v>
      </c>
      <c r="AZ111" s="131">
        <f>COUNTIF(ParicipationMai1[[#This Row],[1]:[31]],Code17)</f>
        <v>0</v>
      </c>
      <c r="BA111" s="131">
        <f>COUNTIF(ParicipationMai1[[#This Row],[1]:[31]],Code26)</f>
        <v>0</v>
      </c>
      <c r="BB111" s="131">
        <f>COUNTIF(ParicipationMai1[[#This Row],[1]:[31]],Code27)</f>
        <v>0</v>
      </c>
      <c r="BC111" s="131">
        <f>COUNTIF(ParicipationMai1[[#This Row],[1]:[31]],Code27)</f>
        <v>0</v>
      </c>
      <c r="BD111" s="131">
        <f>COUNTIF(ParicipationMai1[[#This Row],[1]:[31]],Code28)</f>
        <v>0</v>
      </c>
      <c r="BE111" s="131">
        <f>COUNTIF(ParicipationMai1[[#This Row],[1]:[31]],code30)</f>
        <v>0</v>
      </c>
      <c r="BF111" s="131">
        <f>COUNTIF(ParicipationMai1[[#This Row],[1]:[31]],Code31)</f>
        <v>0</v>
      </c>
      <c r="BG111" s="131">
        <f>COUNTIF(ParicipationMai1[[#This Row],[1]:[31]],code21)</f>
        <v>0</v>
      </c>
      <c r="BH111" s="131">
        <f>COUNTIF(ParicipationMai1[[#This Row],[1]:[31]],Code24)</f>
        <v>0</v>
      </c>
      <c r="BI111" s="568">
        <f>COUNTIF(ParicipationMai1[[#This Row],[1]:[31]],code18)</f>
        <v>0</v>
      </c>
      <c r="BJ111" s="568">
        <f>COUNTIF(ParicipationMai1[[#This Row],[1]:[31]],code19)</f>
        <v>0</v>
      </c>
      <c r="BK111" s="568">
        <f>COUNTIF(ParicipationMai1[[#This Row],[1]:[31]],code20)</f>
        <v>0</v>
      </c>
      <c r="BL111" s="548">
        <f>COUNTIF(ParicipationMai1[[#This Row],[1]:[31]],code29)</f>
        <v>0</v>
      </c>
      <c r="BM111" s="131"/>
      <c r="BN111" s="131"/>
      <c r="BO111" s="131"/>
      <c r="BP111" s="131"/>
      <c r="BQ111" s="131"/>
      <c r="BR111" s="131"/>
      <c r="BS111" s="131"/>
      <c r="BT111" s="131"/>
      <c r="BU111" s="131"/>
      <c r="BV111" s="131"/>
      <c r="BW111" s="131"/>
      <c r="BX111" s="131"/>
      <c r="BY111" s="131"/>
      <c r="BZ111" s="131"/>
      <c r="CA111" s="131"/>
      <c r="CB111" s="131"/>
      <c r="CC111" s="131"/>
      <c r="CD111" s="131"/>
      <c r="CE111" s="131"/>
      <c r="CF111" s="131"/>
      <c r="CG111" s="131"/>
      <c r="CH111" s="131"/>
      <c r="CI111" s="131"/>
      <c r="CJ111" s="131"/>
      <c r="CK111" s="131"/>
      <c r="CL111" s="131"/>
      <c r="CM111" s="131"/>
      <c r="CN111" s="131"/>
      <c r="CO111" s="131"/>
      <c r="CP111" s="131"/>
      <c r="CQ111" s="131"/>
      <c r="CR111" s="131"/>
      <c r="CS111" s="131"/>
      <c r="CT111" s="131"/>
      <c r="CU111" s="548"/>
      <c r="CV111" s="592">
        <f t="shared" si="4"/>
        <v>0</v>
      </c>
      <c r="CW111" s="575">
        <f t="shared" si="5"/>
        <v>0</v>
      </c>
      <c r="CX111" s="131">
        <f t="shared" si="6"/>
        <v>0</v>
      </c>
      <c r="CY111" s="170">
        <f t="shared" si="7"/>
        <v>0</v>
      </c>
    </row>
    <row r="112" spans="1:103">
      <c r="A112" s="405" t="s">
        <v>453</v>
      </c>
      <c r="B112" s="537" t="str">
        <f>IFERROR(VLOOKUP(ParicipationMai1[[#This Row],[Référence]],ListeÉtudiants1[],18,FALSE),"")</f>
        <v>PICARDET LISSANNDRA</v>
      </c>
      <c r="C112" s="405"/>
      <c r="D112" s="405"/>
      <c r="E112" s="405"/>
      <c r="F112" s="405"/>
      <c r="G112" s="405"/>
      <c r="H112" s="405"/>
      <c r="I112" s="405"/>
      <c r="J112" s="405"/>
      <c r="K112" s="405"/>
      <c r="L112" s="405"/>
      <c r="M112" s="405"/>
      <c r="N112" s="405"/>
      <c r="O112" s="405"/>
      <c r="P112" s="405"/>
      <c r="Q112" s="405"/>
      <c r="R112" s="405"/>
      <c r="S112" s="405"/>
      <c r="T112" s="405"/>
      <c r="U112" s="405"/>
      <c r="V112" s="405"/>
      <c r="W112" s="405"/>
      <c r="X112" s="405"/>
      <c r="Y112" s="405"/>
      <c r="Z112" s="405"/>
      <c r="AA112" s="405"/>
      <c r="AB112" s="405"/>
      <c r="AC112" s="405"/>
      <c r="AD112" s="405"/>
      <c r="AE112" s="405"/>
      <c r="AF112" s="405"/>
      <c r="AG112" s="546"/>
      <c r="AH112" s="132">
        <f>COUNTIF(ParicipationMai1[[1]:[31]],Code1)</f>
        <v>0</v>
      </c>
      <c r="AI112" s="538">
        <f>COUNTIF(ParicipationMai1[[1]:[31]],code22)</f>
        <v>0</v>
      </c>
      <c r="AJ112" s="132">
        <f>COUNTIF(ParicipationMai1[[#This Row],[1]:[31]],Code2)</f>
        <v>0</v>
      </c>
      <c r="AK112" s="132">
        <f>COUNTIF(ParicipationMai1[[#This Row],[1]:[31]],Code3)</f>
        <v>0</v>
      </c>
      <c r="AL112" s="132">
        <f>COUNTIF(ParicipationMai1[[#This Row],[1]:[31]],Code4)</f>
        <v>0</v>
      </c>
      <c r="AM112" s="132">
        <f>COUNTIF(ParicipationMai1[[#This Row],[1]:[31]],Code5)</f>
        <v>0</v>
      </c>
      <c r="AN112" s="132">
        <f>COUNTIF(ParicipationMai1[[#This Row],[1]:[31]],Code23)</f>
        <v>0</v>
      </c>
      <c r="AO112" s="132">
        <f>COUNTIF(ParicipationMai1[[#This Row],[1]:[31]],Code6)</f>
        <v>0</v>
      </c>
      <c r="AP112" s="132">
        <f>COUNTIF(ParicipationMai1[[#This Row],[1]:[31]],Code7)</f>
        <v>0</v>
      </c>
      <c r="AQ112" s="132">
        <f>COUNTIF(ParicipationMai1[[#This Row],[1]:[31]],Code8)</f>
        <v>0</v>
      </c>
      <c r="AR112" s="132">
        <f>COUNTIF(ParicipationMai1[[#This Row],[1]:[31]],Code9)</f>
        <v>0</v>
      </c>
      <c r="AS112" s="132">
        <f>COUNTIF(ParicipationMai1[[#This Row],[1]:[31]],Code10)</f>
        <v>0</v>
      </c>
      <c r="AT112" s="132">
        <f>COUNTIF(ParicipationMai1[[#This Row],[1]:[31]],Code11)</f>
        <v>0</v>
      </c>
      <c r="AU112" s="132">
        <f>COUNTIF(ParicipationMai1[[#This Row],[1]:[31]],Code12)</f>
        <v>0</v>
      </c>
      <c r="AV112" s="132">
        <f>COUNTIF(ParicipationMai1[[#This Row],[1]:[31]],Code13)</f>
        <v>0</v>
      </c>
      <c r="AW112" s="132">
        <f>COUNTIF(ParicipationMai1[[#This Row],[1]:[31]],Code14)</f>
        <v>0</v>
      </c>
      <c r="AX112" s="132">
        <f>COUNTIF(ParicipationMai1[[#This Row],[1]:[31]],Code15)</f>
        <v>0</v>
      </c>
      <c r="AY112" s="132">
        <f>COUNTIF(ParicipationMai1[[#This Row],[1]:[31]],Code16)</f>
        <v>0</v>
      </c>
      <c r="AZ112" s="132">
        <f>COUNTIF(ParicipationMai1[[#This Row],[1]:[31]],Code17)</f>
        <v>0</v>
      </c>
      <c r="BA112" s="132">
        <f>COUNTIF(ParicipationMai1[[#This Row],[1]:[31]],Code26)</f>
        <v>0</v>
      </c>
      <c r="BB112" s="132">
        <f>COUNTIF(ParicipationMai1[[#This Row],[1]:[31]],Code27)</f>
        <v>0</v>
      </c>
      <c r="BC112" s="132">
        <f>COUNTIF(ParicipationMai1[[#This Row],[1]:[31]],Code27)</f>
        <v>0</v>
      </c>
      <c r="BD112" s="132">
        <f>COUNTIF(ParicipationMai1[[#This Row],[1]:[31]],Code28)</f>
        <v>0</v>
      </c>
      <c r="BE112" s="132">
        <f>COUNTIF(ParicipationMai1[[#This Row],[1]:[31]],code30)</f>
        <v>0</v>
      </c>
      <c r="BF112" s="132">
        <f>COUNTIF(ParicipationMai1[[#This Row],[1]:[31]],Code31)</f>
        <v>0</v>
      </c>
      <c r="BG112" s="132">
        <f>COUNTIF(ParicipationMai1[[#This Row],[1]:[31]],code21)</f>
        <v>0</v>
      </c>
      <c r="BH112" s="132">
        <f>COUNTIF(ParicipationMai1[[#This Row],[1]:[31]],Code24)</f>
        <v>0</v>
      </c>
      <c r="BI112" s="579">
        <f>COUNTIF(ParicipationMai1[[#This Row],[1]:[31]],code18)</f>
        <v>0</v>
      </c>
      <c r="BJ112" s="579">
        <f>COUNTIF(ParicipationMai1[[#This Row],[1]:[31]],code19)</f>
        <v>0</v>
      </c>
      <c r="BK112" s="579">
        <f>COUNTIF(ParicipationMai1[[#This Row],[1]:[31]],code20)</f>
        <v>0</v>
      </c>
      <c r="BL112" s="547">
        <f>COUNTIF(ParicipationMai1[[#This Row],[1]:[31]],code29)</f>
        <v>0</v>
      </c>
      <c r="BM112" s="132"/>
      <c r="BN112" s="132"/>
      <c r="BO112" s="132"/>
      <c r="BP112" s="132"/>
      <c r="BQ112" s="132"/>
      <c r="BR112" s="132"/>
      <c r="BS112" s="132"/>
      <c r="BT112" s="132"/>
      <c r="BU112" s="132"/>
      <c r="BV112" s="132"/>
      <c r="BW112" s="132"/>
      <c r="BX112" s="132"/>
      <c r="BY112" s="132"/>
      <c r="BZ112" s="132"/>
      <c r="CA112" s="132"/>
      <c r="CB112" s="132"/>
      <c r="CC112" s="132"/>
      <c r="CD112" s="132"/>
      <c r="CE112" s="132"/>
      <c r="CF112" s="132"/>
      <c r="CG112" s="132"/>
      <c r="CH112" s="132"/>
      <c r="CI112" s="132"/>
      <c r="CJ112" s="132"/>
      <c r="CK112" s="132"/>
      <c r="CL112" s="132"/>
      <c r="CM112" s="132"/>
      <c r="CN112" s="132"/>
      <c r="CO112" s="132"/>
      <c r="CP112" s="132"/>
      <c r="CQ112" s="132"/>
      <c r="CR112" s="132"/>
      <c r="CS112" s="132"/>
      <c r="CT112" s="132"/>
      <c r="CU112" s="547"/>
      <c r="CV112" s="590">
        <f t="shared" si="4"/>
        <v>0</v>
      </c>
      <c r="CW112" s="573">
        <f t="shared" si="5"/>
        <v>0</v>
      </c>
      <c r="CX112" s="132">
        <f t="shared" si="6"/>
        <v>0</v>
      </c>
      <c r="CY112" s="500">
        <f t="shared" si="7"/>
        <v>0</v>
      </c>
    </row>
    <row r="113" spans="1:103">
      <c r="A113" s="406" t="s">
        <v>454</v>
      </c>
      <c r="B113" s="540" t="str">
        <f>IFERROR(VLOOKUP(ParicipationMai1[[#This Row],[Référence]],ListeÉtudiants1[],18,FALSE),"")</f>
        <v>PIRES KEVIN</v>
      </c>
      <c r="C113" s="406"/>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06"/>
      <c r="AE113" s="406"/>
      <c r="AF113" s="406"/>
      <c r="AG113" s="542"/>
      <c r="AH113" s="131">
        <f>COUNTIF(ParicipationMai1[[1]:[31]],Code1)</f>
        <v>0</v>
      </c>
      <c r="AI113" s="311">
        <f>COUNTIF(ParicipationMai1[[1]:[31]],code22)</f>
        <v>0</v>
      </c>
      <c r="AJ113" s="131">
        <f>COUNTIF(ParicipationMai1[[#This Row],[1]:[31]],Code2)</f>
        <v>0</v>
      </c>
      <c r="AK113" s="131">
        <f>COUNTIF(ParicipationMai1[[#This Row],[1]:[31]],Code3)</f>
        <v>0</v>
      </c>
      <c r="AL113" s="131">
        <f>COUNTIF(ParicipationMai1[[#This Row],[1]:[31]],Code4)</f>
        <v>0</v>
      </c>
      <c r="AM113" s="131">
        <f>COUNTIF(ParicipationMai1[[#This Row],[1]:[31]],Code5)</f>
        <v>0</v>
      </c>
      <c r="AN113" s="131">
        <f>COUNTIF(ParicipationMai1[[#This Row],[1]:[31]],Code23)</f>
        <v>0</v>
      </c>
      <c r="AO113" s="131">
        <f>COUNTIF(ParicipationMai1[[#This Row],[1]:[31]],Code6)</f>
        <v>0</v>
      </c>
      <c r="AP113" s="131">
        <f>COUNTIF(ParicipationMai1[[#This Row],[1]:[31]],Code7)</f>
        <v>0</v>
      </c>
      <c r="AQ113" s="131">
        <f>COUNTIF(ParicipationMai1[[#This Row],[1]:[31]],Code8)</f>
        <v>0</v>
      </c>
      <c r="AR113" s="131">
        <f>COUNTIF(ParicipationMai1[[#This Row],[1]:[31]],Code9)</f>
        <v>0</v>
      </c>
      <c r="AS113" s="131">
        <f>COUNTIF(ParicipationMai1[[#This Row],[1]:[31]],Code10)</f>
        <v>0</v>
      </c>
      <c r="AT113" s="131">
        <f>COUNTIF(ParicipationMai1[[#This Row],[1]:[31]],Code11)</f>
        <v>0</v>
      </c>
      <c r="AU113" s="131">
        <f>COUNTIF(ParicipationMai1[[#This Row],[1]:[31]],Code12)</f>
        <v>0</v>
      </c>
      <c r="AV113" s="131">
        <f>COUNTIF(ParicipationMai1[[#This Row],[1]:[31]],Code13)</f>
        <v>0</v>
      </c>
      <c r="AW113" s="131">
        <f>COUNTIF(ParicipationMai1[[#This Row],[1]:[31]],Code14)</f>
        <v>0</v>
      </c>
      <c r="AX113" s="131">
        <f>COUNTIF(ParicipationMai1[[#This Row],[1]:[31]],Code15)</f>
        <v>0</v>
      </c>
      <c r="AY113" s="131">
        <f>COUNTIF(ParicipationMai1[[#This Row],[1]:[31]],Code16)</f>
        <v>0</v>
      </c>
      <c r="AZ113" s="131">
        <f>COUNTIF(ParicipationMai1[[#This Row],[1]:[31]],Code17)</f>
        <v>0</v>
      </c>
      <c r="BA113" s="131">
        <f>COUNTIF(ParicipationMai1[[#This Row],[1]:[31]],Code26)</f>
        <v>0</v>
      </c>
      <c r="BB113" s="131">
        <f>COUNTIF(ParicipationMai1[[#This Row],[1]:[31]],Code27)</f>
        <v>0</v>
      </c>
      <c r="BC113" s="131">
        <f>COUNTIF(ParicipationMai1[[#This Row],[1]:[31]],Code27)</f>
        <v>0</v>
      </c>
      <c r="BD113" s="131">
        <f>COUNTIF(ParicipationMai1[[#This Row],[1]:[31]],Code28)</f>
        <v>0</v>
      </c>
      <c r="BE113" s="131">
        <f>COUNTIF(ParicipationMai1[[#This Row],[1]:[31]],code30)</f>
        <v>0</v>
      </c>
      <c r="BF113" s="131">
        <f>COUNTIF(ParicipationMai1[[#This Row],[1]:[31]],Code31)</f>
        <v>0</v>
      </c>
      <c r="BG113" s="131">
        <f>COUNTIF(ParicipationMai1[[#This Row],[1]:[31]],code21)</f>
        <v>0</v>
      </c>
      <c r="BH113" s="131">
        <f>COUNTIF(ParicipationMai1[[#This Row],[1]:[31]],Code24)</f>
        <v>0</v>
      </c>
      <c r="BI113" s="568">
        <f>COUNTIF(ParicipationMai1[[#This Row],[1]:[31]],code18)</f>
        <v>0</v>
      </c>
      <c r="BJ113" s="568">
        <f>COUNTIF(ParicipationMai1[[#This Row],[1]:[31]],code19)</f>
        <v>0</v>
      </c>
      <c r="BK113" s="568">
        <f>COUNTIF(ParicipationMai1[[#This Row],[1]:[31]],code20)</f>
        <v>0</v>
      </c>
      <c r="BL113" s="548">
        <f>COUNTIF(ParicipationMai1[[#This Row],[1]:[31]],code29)</f>
        <v>0</v>
      </c>
      <c r="BM113" s="131"/>
      <c r="BN113" s="131"/>
      <c r="BO113" s="131"/>
      <c r="BP113" s="131"/>
      <c r="BQ113" s="131"/>
      <c r="BR113" s="131"/>
      <c r="BS113" s="131"/>
      <c r="BT113" s="131"/>
      <c r="BU113" s="131"/>
      <c r="BV113" s="131"/>
      <c r="BW113" s="131"/>
      <c r="BX113" s="131"/>
      <c r="BY113" s="131"/>
      <c r="BZ113" s="131"/>
      <c r="CA113" s="131"/>
      <c r="CB113" s="131"/>
      <c r="CC113" s="131"/>
      <c r="CD113" s="131"/>
      <c r="CE113" s="131"/>
      <c r="CF113" s="131"/>
      <c r="CG113" s="131"/>
      <c r="CH113" s="131"/>
      <c r="CI113" s="131"/>
      <c r="CJ113" s="131"/>
      <c r="CK113" s="131"/>
      <c r="CL113" s="131"/>
      <c r="CM113" s="131"/>
      <c r="CN113" s="131"/>
      <c r="CO113" s="131"/>
      <c r="CP113" s="131"/>
      <c r="CQ113" s="131"/>
      <c r="CR113" s="131"/>
      <c r="CS113" s="131"/>
      <c r="CT113" s="131"/>
      <c r="CU113" s="548"/>
      <c r="CV113" s="592">
        <f t="shared" si="4"/>
        <v>0</v>
      </c>
      <c r="CW113" s="575">
        <f t="shared" si="5"/>
        <v>0</v>
      </c>
      <c r="CX113" s="131">
        <f t="shared" si="6"/>
        <v>0</v>
      </c>
      <c r="CY113" s="170">
        <f t="shared" si="7"/>
        <v>0</v>
      </c>
    </row>
    <row r="114" spans="1:103">
      <c r="A114" s="405" t="s">
        <v>455</v>
      </c>
      <c r="B114" s="537" t="str">
        <f>IFERROR(VLOOKUP(ParicipationMai1[[#This Row],[Référence]],ListeÉtudiants1[],18,FALSE),"")</f>
        <v>PITKIAYE MPOUTOU JESSICA</v>
      </c>
      <c r="C114" s="405"/>
      <c r="D114" s="405"/>
      <c r="E114" s="405"/>
      <c r="F114" s="405"/>
      <c r="G114" s="405"/>
      <c r="H114" s="405"/>
      <c r="I114" s="405"/>
      <c r="J114" s="405"/>
      <c r="K114" s="405"/>
      <c r="L114" s="405"/>
      <c r="M114" s="405"/>
      <c r="N114" s="405"/>
      <c r="O114" s="405"/>
      <c r="P114" s="405"/>
      <c r="Q114" s="405"/>
      <c r="R114" s="405"/>
      <c r="S114" s="405"/>
      <c r="T114" s="405"/>
      <c r="U114" s="405"/>
      <c r="V114" s="405"/>
      <c r="W114" s="405"/>
      <c r="X114" s="405"/>
      <c r="Y114" s="405"/>
      <c r="Z114" s="405"/>
      <c r="AA114" s="405"/>
      <c r="AB114" s="405"/>
      <c r="AC114" s="405"/>
      <c r="AD114" s="405"/>
      <c r="AE114" s="405"/>
      <c r="AF114" s="405"/>
      <c r="AG114" s="546"/>
      <c r="AH114" s="132">
        <f>COUNTIF(ParicipationMai1[[1]:[31]],Code1)</f>
        <v>0</v>
      </c>
      <c r="AI114" s="538">
        <f>COUNTIF(ParicipationMai1[[1]:[31]],code22)</f>
        <v>0</v>
      </c>
      <c r="AJ114" s="132">
        <f>COUNTIF(ParicipationMai1[[#This Row],[1]:[31]],Code2)</f>
        <v>0</v>
      </c>
      <c r="AK114" s="132">
        <f>COUNTIF(ParicipationMai1[[#This Row],[1]:[31]],Code3)</f>
        <v>0</v>
      </c>
      <c r="AL114" s="132">
        <f>COUNTIF(ParicipationMai1[[#This Row],[1]:[31]],Code4)</f>
        <v>0</v>
      </c>
      <c r="AM114" s="132">
        <f>COUNTIF(ParicipationMai1[[#This Row],[1]:[31]],Code5)</f>
        <v>0</v>
      </c>
      <c r="AN114" s="132">
        <f>COUNTIF(ParicipationMai1[[#This Row],[1]:[31]],Code23)</f>
        <v>0</v>
      </c>
      <c r="AO114" s="132">
        <f>COUNTIF(ParicipationMai1[[#This Row],[1]:[31]],Code6)</f>
        <v>0</v>
      </c>
      <c r="AP114" s="132">
        <f>COUNTIF(ParicipationMai1[[#This Row],[1]:[31]],Code7)</f>
        <v>0</v>
      </c>
      <c r="AQ114" s="132">
        <f>COUNTIF(ParicipationMai1[[#This Row],[1]:[31]],Code8)</f>
        <v>0</v>
      </c>
      <c r="AR114" s="132">
        <f>COUNTIF(ParicipationMai1[[#This Row],[1]:[31]],Code9)</f>
        <v>0</v>
      </c>
      <c r="AS114" s="132">
        <f>COUNTIF(ParicipationMai1[[#This Row],[1]:[31]],Code10)</f>
        <v>0</v>
      </c>
      <c r="AT114" s="132">
        <f>COUNTIF(ParicipationMai1[[#This Row],[1]:[31]],Code11)</f>
        <v>0</v>
      </c>
      <c r="AU114" s="132">
        <f>COUNTIF(ParicipationMai1[[#This Row],[1]:[31]],Code12)</f>
        <v>0</v>
      </c>
      <c r="AV114" s="132">
        <f>COUNTIF(ParicipationMai1[[#This Row],[1]:[31]],Code13)</f>
        <v>0</v>
      </c>
      <c r="AW114" s="132">
        <f>COUNTIF(ParicipationMai1[[#This Row],[1]:[31]],Code14)</f>
        <v>0</v>
      </c>
      <c r="AX114" s="132">
        <f>COUNTIF(ParicipationMai1[[#This Row],[1]:[31]],Code15)</f>
        <v>0</v>
      </c>
      <c r="AY114" s="132">
        <f>COUNTIF(ParicipationMai1[[#This Row],[1]:[31]],Code16)</f>
        <v>0</v>
      </c>
      <c r="AZ114" s="132">
        <f>COUNTIF(ParicipationMai1[[#This Row],[1]:[31]],Code17)</f>
        <v>0</v>
      </c>
      <c r="BA114" s="132">
        <f>COUNTIF(ParicipationMai1[[#This Row],[1]:[31]],Code26)</f>
        <v>0</v>
      </c>
      <c r="BB114" s="132">
        <f>COUNTIF(ParicipationMai1[[#This Row],[1]:[31]],Code27)</f>
        <v>0</v>
      </c>
      <c r="BC114" s="132">
        <f>COUNTIF(ParicipationMai1[[#This Row],[1]:[31]],Code27)</f>
        <v>0</v>
      </c>
      <c r="BD114" s="132">
        <f>COUNTIF(ParicipationMai1[[#This Row],[1]:[31]],Code28)</f>
        <v>0</v>
      </c>
      <c r="BE114" s="132">
        <f>COUNTIF(ParicipationMai1[[#This Row],[1]:[31]],code30)</f>
        <v>0</v>
      </c>
      <c r="BF114" s="132">
        <f>COUNTIF(ParicipationMai1[[#This Row],[1]:[31]],Code31)</f>
        <v>0</v>
      </c>
      <c r="BG114" s="132">
        <f>COUNTIF(ParicipationMai1[[#This Row],[1]:[31]],code21)</f>
        <v>0</v>
      </c>
      <c r="BH114" s="132">
        <f>COUNTIF(ParicipationMai1[[#This Row],[1]:[31]],Code24)</f>
        <v>0</v>
      </c>
      <c r="BI114" s="579">
        <f>COUNTIF(ParicipationMai1[[#This Row],[1]:[31]],code18)</f>
        <v>0</v>
      </c>
      <c r="BJ114" s="579">
        <f>COUNTIF(ParicipationMai1[[#This Row],[1]:[31]],code19)</f>
        <v>0</v>
      </c>
      <c r="BK114" s="579">
        <f>COUNTIF(ParicipationMai1[[#This Row],[1]:[31]],code20)</f>
        <v>0</v>
      </c>
      <c r="BL114" s="547">
        <f>COUNTIF(ParicipationMai1[[#This Row],[1]:[31]],code29)</f>
        <v>0</v>
      </c>
      <c r="BM114" s="132"/>
      <c r="BN114" s="132"/>
      <c r="BO114" s="132"/>
      <c r="BP114" s="132"/>
      <c r="BQ114" s="132"/>
      <c r="BR114" s="132"/>
      <c r="BS114" s="132"/>
      <c r="BT114" s="132"/>
      <c r="BU114" s="132"/>
      <c r="BV114" s="132"/>
      <c r="BW114" s="132"/>
      <c r="BX114" s="132"/>
      <c r="BY114" s="132"/>
      <c r="BZ114" s="132"/>
      <c r="CA114" s="132"/>
      <c r="CB114" s="132"/>
      <c r="CC114" s="132"/>
      <c r="CD114" s="132"/>
      <c r="CE114" s="132"/>
      <c r="CF114" s="132"/>
      <c r="CG114" s="132"/>
      <c r="CH114" s="132"/>
      <c r="CI114" s="132"/>
      <c r="CJ114" s="132"/>
      <c r="CK114" s="132"/>
      <c r="CL114" s="132"/>
      <c r="CM114" s="132"/>
      <c r="CN114" s="132"/>
      <c r="CO114" s="132"/>
      <c r="CP114" s="132"/>
      <c r="CQ114" s="132"/>
      <c r="CR114" s="132"/>
      <c r="CS114" s="132"/>
      <c r="CT114" s="132"/>
      <c r="CU114" s="547"/>
      <c r="CV114" s="590">
        <f t="shared" si="4"/>
        <v>0</v>
      </c>
      <c r="CW114" s="573">
        <f t="shared" si="5"/>
        <v>0</v>
      </c>
      <c r="CX114" s="132">
        <f t="shared" si="6"/>
        <v>0</v>
      </c>
      <c r="CY114" s="500">
        <f t="shared" si="7"/>
        <v>0</v>
      </c>
    </row>
    <row r="115" spans="1:103">
      <c r="A115" s="406" t="s">
        <v>456</v>
      </c>
      <c r="B115" s="540" t="str">
        <f>IFERROR(VLOOKUP(ParicipationMai1[[#This Row],[Référence]],ListeÉtudiants1[],18,FALSE),"")</f>
        <v>QUINTAIS ALEXANDRE</v>
      </c>
      <c r="C115" s="406"/>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06"/>
      <c r="AD115" s="406"/>
      <c r="AE115" s="406"/>
      <c r="AF115" s="406"/>
      <c r="AG115" s="542"/>
      <c r="AH115" s="131">
        <f>COUNTIF(ParicipationMai1[[1]:[31]],Code1)</f>
        <v>0</v>
      </c>
      <c r="AI115" s="311">
        <f>COUNTIF(ParicipationMai1[[1]:[31]],code22)</f>
        <v>0</v>
      </c>
      <c r="AJ115" s="131">
        <f>COUNTIF(ParicipationMai1[[#This Row],[1]:[31]],Code2)</f>
        <v>0</v>
      </c>
      <c r="AK115" s="131">
        <f>COUNTIF(ParicipationMai1[[#This Row],[1]:[31]],Code3)</f>
        <v>0</v>
      </c>
      <c r="AL115" s="131">
        <f>COUNTIF(ParicipationMai1[[#This Row],[1]:[31]],Code4)</f>
        <v>0</v>
      </c>
      <c r="AM115" s="131">
        <f>COUNTIF(ParicipationMai1[[#This Row],[1]:[31]],Code5)</f>
        <v>0</v>
      </c>
      <c r="AN115" s="131">
        <f>COUNTIF(ParicipationMai1[[#This Row],[1]:[31]],Code23)</f>
        <v>0</v>
      </c>
      <c r="AO115" s="131">
        <f>COUNTIF(ParicipationMai1[[#This Row],[1]:[31]],Code6)</f>
        <v>0</v>
      </c>
      <c r="AP115" s="131">
        <f>COUNTIF(ParicipationMai1[[#This Row],[1]:[31]],Code7)</f>
        <v>0</v>
      </c>
      <c r="AQ115" s="131">
        <f>COUNTIF(ParicipationMai1[[#This Row],[1]:[31]],Code8)</f>
        <v>0</v>
      </c>
      <c r="AR115" s="131">
        <f>COUNTIF(ParicipationMai1[[#This Row],[1]:[31]],Code9)</f>
        <v>0</v>
      </c>
      <c r="AS115" s="131">
        <f>COUNTIF(ParicipationMai1[[#This Row],[1]:[31]],Code10)</f>
        <v>0</v>
      </c>
      <c r="AT115" s="131">
        <f>COUNTIF(ParicipationMai1[[#This Row],[1]:[31]],Code11)</f>
        <v>0</v>
      </c>
      <c r="AU115" s="131">
        <f>COUNTIF(ParicipationMai1[[#This Row],[1]:[31]],Code12)</f>
        <v>0</v>
      </c>
      <c r="AV115" s="131">
        <f>COUNTIF(ParicipationMai1[[#This Row],[1]:[31]],Code13)</f>
        <v>0</v>
      </c>
      <c r="AW115" s="131">
        <f>COUNTIF(ParicipationMai1[[#This Row],[1]:[31]],Code14)</f>
        <v>0</v>
      </c>
      <c r="AX115" s="131">
        <f>COUNTIF(ParicipationMai1[[#This Row],[1]:[31]],Code15)</f>
        <v>0</v>
      </c>
      <c r="AY115" s="131">
        <f>COUNTIF(ParicipationMai1[[#This Row],[1]:[31]],Code16)</f>
        <v>0</v>
      </c>
      <c r="AZ115" s="131">
        <f>COUNTIF(ParicipationMai1[[#This Row],[1]:[31]],Code17)</f>
        <v>0</v>
      </c>
      <c r="BA115" s="131">
        <f>COUNTIF(ParicipationMai1[[#This Row],[1]:[31]],Code26)</f>
        <v>0</v>
      </c>
      <c r="BB115" s="131">
        <f>COUNTIF(ParicipationMai1[[#This Row],[1]:[31]],Code27)</f>
        <v>0</v>
      </c>
      <c r="BC115" s="131">
        <f>COUNTIF(ParicipationMai1[[#This Row],[1]:[31]],Code27)</f>
        <v>0</v>
      </c>
      <c r="BD115" s="131">
        <f>COUNTIF(ParicipationMai1[[#This Row],[1]:[31]],Code28)</f>
        <v>0</v>
      </c>
      <c r="BE115" s="131">
        <f>COUNTIF(ParicipationMai1[[#This Row],[1]:[31]],code30)</f>
        <v>0</v>
      </c>
      <c r="BF115" s="131">
        <f>COUNTIF(ParicipationMai1[[#This Row],[1]:[31]],Code31)</f>
        <v>0</v>
      </c>
      <c r="BG115" s="131">
        <f>COUNTIF(ParicipationMai1[[#This Row],[1]:[31]],code21)</f>
        <v>0</v>
      </c>
      <c r="BH115" s="131">
        <f>COUNTIF(ParicipationMai1[[#This Row],[1]:[31]],Code24)</f>
        <v>0</v>
      </c>
      <c r="BI115" s="568">
        <f>COUNTIF(ParicipationMai1[[#This Row],[1]:[31]],code18)</f>
        <v>0</v>
      </c>
      <c r="BJ115" s="568">
        <f>COUNTIF(ParicipationMai1[[#This Row],[1]:[31]],code19)</f>
        <v>0</v>
      </c>
      <c r="BK115" s="568">
        <f>COUNTIF(ParicipationMai1[[#This Row],[1]:[31]],code20)</f>
        <v>0</v>
      </c>
      <c r="BL115" s="548">
        <f>COUNTIF(ParicipationMai1[[#This Row],[1]:[31]],code29)</f>
        <v>0</v>
      </c>
      <c r="BM115" s="131"/>
      <c r="BN115" s="131"/>
      <c r="BO115" s="131"/>
      <c r="BP115" s="131"/>
      <c r="BQ115" s="131"/>
      <c r="BR115" s="131"/>
      <c r="BS115" s="131"/>
      <c r="BT115" s="131"/>
      <c r="BU115" s="131"/>
      <c r="BV115" s="131"/>
      <c r="BW115" s="131"/>
      <c r="BX115" s="131"/>
      <c r="BY115" s="131"/>
      <c r="BZ115" s="131"/>
      <c r="CA115" s="131"/>
      <c r="CB115" s="131"/>
      <c r="CC115" s="131"/>
      <c r="CD115" s="131"/>
      <c r="CE115" s="131"/>
      <c r="CF115" s="131"/>
      <c r="CG115" s="131"/>
      <c r="CH115" s="131"/>
      <c r="CI115" s="131"/>
      <c r="CJ115" s="131"/>
      <c r="CK115" s="131"/>
      <c r="CL115" s="131"/>
      <c r="CM115" s="131"/>
      <c r="CN115" s="131"/>
      <c r="CO115" s="131"/>
      <c r="CP115" s="131"/>
      <c r="CQ115" s="131"/>
      <c r="CR115" s="131"/>
      <c r="CS115" s="131"/>
      <c r="CT115" s="131"/>
      <c r="CU115" s="548"/>
      <c r="CV115" s="592">
        <f t="shared" si="4"/>
        <v>0</v>
      </c>
      <c r="CW115" s="575">
        <f t="shared" si="5"/>
        <v>0</v>
      </c>
      <c r="CX115" s="131">
        <f t="shared" si="6"/>
        <v>0</v>
      </c>
      <c r="CY115" s="170">
        <f t="shared" si="7"/>
        <v>0</v>
      </c>
    </row>
    <row r="116" spans="1:103">
      <c r="A116" s="405" t="s">
        <v>457</v>
      </c>
      <c r="B116" s="537" t="str">
        <f>IFERROR(VLOOKUP(ParicipationMai1[[#This Row],[Référence]],ListeÉtudiants1[],18,FALSE),"")</f>
        <v>RAMOS MARION</v>
      </c>
      <c r="C116" s="405"/>
      <c r="D116" s="405"/>
      <c r="E116" s="405"/>
      <c r="F116" s="405"/>
      <c r="G116" s="405"/>
      <c r="H116" s="405"/>
      <c r="I116" s="405"/>
      <c r="J116" s="405"/>
      <c r="K116" s="405"/>
      <c r="L116" s="405"/>
      <c r="M116" s="405"/>
      <c r="N116" s="405"/>
      <c r="O116" s="405"/>
      <c r="P116" s="405"/>
      <c r="Q116" s="405"/>
      <c r="R116" s="405"/>
      <c r="S116" s="405"/>
      <c r="T116" s="405"/>
      <c r="U116" s="405"/>
      <c r="V116" s="405"/>
      <c r="W116" s="405"/>
      <c r="X116" s="405"/>
      <c r="Y116" s="405"/>
      <c r="Z116" s="405"/>
      <c r="AA116" s="405"/>
      <c r="AB116" s="405"/>
      <c r="AC116" s="405"/>
      <c r="AD116" s="405"/>
      <c r="AE116" s="405"/>
      <c r="AF116" s="405"/>
      <c r="AG116" s="546"/>
      <c r="AH116" s="132">
        <f>COUNTIF(ParicipationMai1[[1]:[31]],Code1)</f>
        <v>0</v>
      </c>
      <c r="AI116" s="538">
        <f>COUNTIF(ParicipationMai1[[1]:[31]],code22)</f>
        <v>0</v>
      </c>
      <c r="AJ116" s="132">
        <f>COUNTIF(ParicipationMai1[[#This Row],[1]:[31]],Code2)</f>
        <v>0</v>
      </c>
      <c r="AK116" s="132">
        <f>COUNTIF(ParicipationMai1[[#This Row],[1]:[31]],Code3)</f>
        <v>0</v>
      </c>
      <c r="AL116" s="132">
        <f>COUNTIF(ParicipationMai1[[#This Row],[1]:[31]],Code4)</f>
        <v>0</v>
      </c>
      <c r="AM116" s="132">
        <f>COUNTIF(ParicipationMai1[[#This Row],[1]:[31]],Code5)</f>
        <v>0</v>
      </c>
      <c r="AN116" s="132">
        <f>COUNTIF(ParicipationMai1[[#This Row],[1]:[31]],Code23)</f>
        <v>0</v>
      </c>
      <c r="AO116" s="132">
        <f>COUNTIF(ParicipationMai1[[#This Row],[1]:[31]],Code6)</f>
        <v>0</v>
      </c>
      <c r="AP116" s="132">
        <f>COUNTIF(ParicipationMai1[[#This Row],[1]:[31]],Code7)</f>
        <v>0</v>
      </c>
      <c r="AQ116" s="132">
        <f>COUNTIF(ParicipationMai1[[#This Row],[1]:[31]],Code8)</f>
        <v>0</v>
      </c>
      <c r="AR116" s="132">
        <f>COUNTIF(ParicipationMai1[[#This Row],[1]:[31]],Code9)</f>
        <v>0</v>
      </c>
      <c r="AS116" s="132">
        <f>COUNTIF(ParicipationMai1[[#This Row],[1]:[31]],Code10)</f>
        <v>0</v>
      </c>
      <c r="AT116" s="132">
        <f>COUNTIF(ParicipationMai1[[#This Row],[1]:[31]],Code11)</f>
        <v>0</v>
      </c>
      <c r="AU116" s="132">
        <f>COUNTIF(ParicipationMai1[[#This Row],[1]:[31]],Code12)</f>
        <v>0</v>
      </c>
      <c r="AV116" s="132">
        <f>COUNTIF(ParicipationMai1[[#This Row],[1]:[31]],Code13)</f>
        <v>0</v>
      </c>
      <c r="AW116" s="132">
        <f>COUNTIF(ParicipationMai1[[#This Row],[1]:[31]],Code14)</f>
        <v>0</v>
      </c>
      <c r="AX116" s="132">
        <f>COUNTIF(ParicipationMai1[[#This Row],[1]:[31]],Code15)</f>
        <v>0</v>
      </c>
      <c r="AY116" s="132">
        <f>COUNTIF(ParicipationMai1[[#This Row],[1]:[31]],Code16)</f>
        <v>0</v>
      </c>
      <c r="AZ116" s="132">
        <f>COUNTIF(ParicipationMai1[[#This Row],[1]:[31]],Code17)</f>
        <v>0</v>
      </c>
      <c r="BA116" s="132">
        <f>COUNTIF(ParicipationMai1[[#This Row],[1]:[31]],Code26)</f>
        <v>0</v>
      </c>
      <c r="BB116" s="132">
        <f>COUNTIF(ParicipationMai1[[#This Row],[1]:[31]],Code27)</f>
        <v>0</v>
      </c>
      <c r="BC116" s="132">
        <f>COUNTIF(ParicipationMai1[[#This Row],[1]:[31]],Code27)</f>
        <v>0</v>
      </c>
      <c r="BD116" s="132">
        <f>COUNTIF(ParicipationMai1[[#This Row],[1]:[31]],Code28)</f>
        <v>0</v>
      </c>
      <c r="BE116" s="132">
        <f>COUNTIF(ParicipationMai1[[#This Row],[1]:[31]],code30)</f>
        <v>0</v>
      </c>
      <c r="BF116" s="132">
        <f>COUNTIF(ParicipationMai1[[#This Row],[1]:[31]],Code31)</f>
        <v>0</v>
      </c>
      <c r="BG116" s="132">
        <f>COUNTIF(ParicipationMai1[[#This Row],[1]:[31]],code21)</f>
        <v>0</v>
      </c>
      <c r="BH116" s="132">
        <f>COUNTIF(ParicipationMai1[[#This Row],[1]:[31]],Code24)</f>
        <v>0</v>
      </c>
      <c r="BI116" s="579">
        <f>COUNTIF(ParicipationMai1[[#This Row],[1]:[31]],code18)</f>
        <v>0</v>
      </c>
      <c r="BJ116" s="579">
        <f>COUNTIF(ParicipationMai1[[#This Row],[1]:[31]],code19)</f>
        <v>0</v>
      </c>
      <c r="BK116" s="579">
        <f>COUNTIF(ParicipationMai1[[#This Row],[1]:[31]],code20)</f>
        <v>0</v>
      </c>
      <c r="BL116" s="547">
        <f>COUNTIF(ParicipationMai1[[#This Row],[1]:[31]],code29)</f>
        <v>0</v>
      </c>
      <c r="BM116" s="132"/>
      <c r="BN116" s="132"/>
      <c r="BO116" s="132"/>
      <c r="BP116" s="132"/>
      <c r="BQ116" s="132"/>
      <c r="BR116" s="132"/>
      <c r="BS116" s="132"/>
      <c r="BT116" s="132"/>
      <c r="BU116" s="132"/>
      <c r="BV116" s="132"/>
      <c r="BW116" s="132"/>
      <c r="BX116" s="132"/>
      <c r="BY116" s="132"/>
      <c r="BZ116" s="132"/>
      <c r="CA116" s="132"/>
      <c r="CB116" s="132"/>
      <c r="CC116" s="132"/>
      <c r="CD116" s="132"/>
      <c r="CE116" s="132"/>
      <c r="CF116" s="132"/>
      <c r="CG116" s="132"/>
      <c r="CH116" s="132"/>
      <c r="CI116" s="132"/>
      <c r="CJ116" s="132"/>
      <c r="CK116" s="132"/>
      <c r="CL116" s="132"/>
      <c r="CM116" s="132"/>
      <c r="CN116" s="132"/>
      <c r="CO116" s="132"/>
      <c r="CP116" s="132"/>
      <c r="CQ116" s="132"/>
      <c r="CR116" s="132"/>
      <c r="CS116" s="132"/>
      <c r="CT116" s="132"/>
      <c r="CU116" s="547"/>
      <c r="CV116" s="590">
        <f t="shared" si="4"/>
        <v>0</v>
      </c>
      <c r="CW116" s="573">
        <f t="shared" si="5"/>
        <v>0</v>
      </c>
      <c r="CX116" s="132">
        <f t="shared" si="6"/>
        <v>0</v>
      </c>
      <c r="CY116" s="500">
        <f t="shared" si="7"/>
        <v>0</v>
      </c>
    </row>
    <row r="117" spans="1:103">
      <c r="A117" s="406" t="s">
        <v>458</v>
      </c>
      <c r="B117" s="540" t="str">
        <f>IFERROR(VLOOKUP(ParicipationMai1[[#This Row],[Référence]],ListeÉtudiants1[],18,FALSE),"")</f>
        <v>REMIR REBECCA</v>
      </c>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06"/>
      <c r="Z117" s="406"/>
      <c r="AA117" s="406"/>
      <c r="AB117" s="406"/>
      <c r="AC117" s="406"/>
      <c r="AD117" s="406"/>
      <c r="AE117" s="406"/>
      <c r="AF117" s="406"/>
      <c r="AG117" s="542"/>
      <c r="AH117" s="131">
        <f>COUNTIF(ParicipationMai1[[1]:[31]],Code1)</f>
        <v>0</v>
      </c>
      <c r="AI117" s="311">
        <f>COUNTIF(ParicipationMai1[[1]:[31]],code22)</f>
        <v>0</v>
      </c>
      <c r="AJ117" s="131">
        <f>COUNTIF(ParicipationMai1[[#This Row],[1]:[31]],Code2)</f>
        <v>0</v>
      </c>
      <c r="AK117" s="131">
        <f>COUNTIF(ParicipationMai1[[#This Row],[1]:[31]],Code3)</f>
        <v>0</v>
      </c>
      <c r="AL117" s="131">
        <f>COUNTIF(ParicipationMai1[[#This Row],[1]:[31]],Code4)</f>
        <v>0</v>
      </c>
      <c r="AM117" s="131">
        <f>COUNTIF(ParicipationMai1[[#This Row],[1]:[31]],Code5)</f>
        <v>0</v>
      </c>
      <c r="AN117" s="131">
        <f>COUNTIF(ParicipationMai1[[#This Row],[1]:[31]],Code23)</f>
        <v>0</v>
      </c>
      <c r="AO117" s="131">
        <f>COUNTIF(ParicipationMai1[[#This Row],[1]:[31]],Code6)</f>
        <v>0</v>
      </c>
      <c r="AP117" s="131">
        <f>COUNTIF(ParicipationMai1[[#This Row],[1]:[31]],Code7)</f>
        <v>0</v>
      </c>
      <c r="AQ117" s="131">
        <f>COUNTIF(ParicipationMai1[[#This Row],[1]:[31]],Code8)</f>
        <v>0</v>
      </c>
      <c r="AR117" s="131">
        <f>COUNTIF(ParicipationMai1[[#This Row],[1]:[31]],Code9)</f>
        <v>0</v>
      </c>
      <c r="AS117" s="131">
        <f>COUNTIF(ParicipationMai1[[#This Row],[1]:[31]],Code10)</f>
        <v>0</v>
      </c>
      <c r="AT117" s="131">
        <f>COUNTIF(ParicipationMai1[[#This Row],[1]:[31]],Code11)</f>
        <v>0</v>
      </c>
      <c r="AU117" s="131">
        <f>COUNTIF(ParicipationMai1[[#This Row],[1]:[31]],Code12)</f>
        <v>0</v>
      </c>
      <c r="AV117" s="131">
        <f>COUNTIF(ParicipationMai1[[#This Row],[1]:[31]],Code13)</f>
        <v>0</v>
      </c>
      <c r="AW117" s="131">
        <f>COUNTIF(ParicipationMai1[[#This Row],[1]:[31]],Code14)</f>
        <v>0</v>
      </c>
      <c r="AX117" s="131">
        <f>COUNTIF(ParicipationMai1[[#This Row],[1]:[31]],Code15)</f>
        <v>0</v>
      </c>
      <c r="AY117" s="131">
        <f>COUNTIF(ParicipationMai1[[#This Row],[1]:[31]],Code16)</f>
        <v>0</v>
      </c>
      <c r="AZ117" s="131">
        <f>COUNTIF(ParicipationMai1[[#This Row],[1]:[31]],Code17)</f>
        <v>0</v>
      </c>
      <c r="BA117" s="131">
        <f>COUNTIF(ParicipationMai1[[#This Row],[1]:[31]],Code26)</f>
        <v>0</v>
      </c>
      <c r="BB117" s="131">
        <f>COUNTIF(ParicipationMai1[[#This Row],[1]:[31]],Code27)</f>
        <v>0</v>
      </c>
      <c r="BC117" s="131">
        <f>COUNTIF(ParicipationMai1[[#This Row],[1]:[31]],Code27)</f>
        <v>0</v>
      </c>
      <c r="BD117" s="131">
        <f>COUNTIF(ParicipationMai1[[#This Row],[1]:[31]],Code28)</f>
        <v>0</v>
      </c>
      <c r="BE117" s="131">
        <f>COUNTIF(ParicipationMai1[[#This Row],[1]:[31]],code30)</f>
        <v>0</v>
      </c>
      <c r="BF117" s="131">
        <f>COUNTIF(ParicipationMai1[[#This Row],[1]:[31]],Code31)</f>
        <v>0</v>
      </c>
      <c r="BG117" s="131">
        <f>COUNTIF(ParicipationMai1[[#This Row],[1]:[31]],code21)</f>
        <v>0</v>
      </c>
      <c r="BH117" s="131">
        <f>COUNTIF(ParicipationMai1[[#This Row],[1]:[31]],Code24)</f>
        <v>0</v>
      </c>
      <c r="BI117" s="568">
        <f>COUNTIF(ParicipationMai1[[#This Row],[1]:[31]],code18)</f>
        <v>0</v>
      </c>
      <c r="BJ117" s="568">
        <f>COUNTIF(ParicipationMai1[[#This Row],[1]:[31]],code19)</f>
        <v>0</v>
      </c>
      <c r="BK117" s="568">
        <f>COUNTIF(ParicipationMai1[[#This Row],[1]:[31]],code20)</f>
        <v>0</v>
      </c>
      <c r="BL117" s="548">
        <f>COUNTIF(ParicipationMai1[[#This Row],[1]:[31]],code29)</f>
        <v>0</v>
      </c>
      <c r="BM117" s="131"/>
      <c r="BN117" s="131"/>
      <c r="BO117" s="131"/>
      <c r="BP117" s="131"/>
      <c r="BQ117" s="131"/>
      <c r="BR117" s="131"/>
      <c r="BS117" s="131"/>
      <c r="BT117" s="131"/>
      <c r="BU117" s="131"/>
      <c r="BV117" s="131"/>
      <c r="BW117" s="131"/>
      <c r="BX117" s="131"/>
      <c r="BY117" s="131"/>
      <c r="BZ117" s="131"/>
      <c r="CA117" s="131"/>
      <c r="CB117" s="131"/>
      <c r="CC117" s="131"/>
      <c r="CD117" s="131"/>
      <c r="CE117" s="131"/>
      <c r="CF117" s="131"/>
      <c r="CG117" s="131"/>
      <c r="CH117" s="131"/>
      <c r="CI117" s="131"/>
      <c r="CJ117" s="131"/>
      <c r="CK117" s="131"/>
      <c r="CL117" s="131"/>
      <c r="CM117" s="131"/>
      <c r="CN117" s="131"/>
      <c r="CO117" s="131"/>
      <c r="CP117" s="131"/>
      <c r="CQ117" s="131"/>
      <c r="CR117" s="131"/>
      <c r="CS117" s="131"/>
      <c r="CT117" s="131"/>
      <c r="CU117" s="548"/>
      <c r="CV117" s="592">
        <f t="shared" si="4"/>
        <v>0</v>
      </c>
      <c r="CW117" s="575">
        <f t="shared" si="5"/>
        <v>0</v>
      </c>
      <c r="CX117" s="131">
        <f t="shared" si="6"/>
        <v>0</v>
      </c>
      <c r="CY117" s="170">
        <f t="shared" si="7"/>
        <v>0</v>
      </c>
    </row>
    <row r="118" spans="1:103">
      <c r="A118" s="405" t="s">
        <v>459</v>
      </c>
      <c r="B118" s="537" t="str">
        <f>IFERROR(VLOOKUP(ParicipationMai1[[#This Row],[Référence]],ListeÉtudiants1[],18,FALSE),"")</f>
        <v>RODRIGUES AFONSO CHARLOTTE</v>
      </c>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05"/>
      <c r="AA118" s="405"/>
      <c r="AB118" s="405"/>
      <c r="AC118" s="405"/>
      <c r="AD118" s="405"/>
      <c r="AE118" s="405"/>
      <c r="AF118" s="405"/>
      <c r="AG118" s="546"/>
      <c r="AH118" s="132">
        <f>COUNTIF(ParicipationMai1[[1]:[31]],Code1)</f>
        <v>0</v>
      </c>
      <c r="AI118" s="538">
        <f>COUNTIF(ParicipationMai1[[1]:[31]],code22)</f>
        <v>0</v>
      </c>
      <c r="AJ118" s="132">
        <f>COUNTIF(ParicipationMai1[[#This Row],[1]:[31]],Code2)</f>
        <v>0</v>
      </c>
      <c r="AK118" s="132">
        <f>COUNTIF(ParicipationMai1[[#This Row],[1]:[31]],Code3)</f>
        <v>0</v>
      </c>
      <c r="AL118" s="132">
        <f>COUNTIF(ParicipationMai1[[#This Row],[1]:[31]],Code4)</f>
        <v>0</v>
      </c>
      <c r="AM118" s="132">
        <f>COUNTIF(ParicipationMai1[[#This Row],[1]:[31]],Code5)</f>
        <v>0</v>
      </c>
      <c r="AN118" s="132">
        <f>COUNTIF(ParicipationMai1[[#This Row],[1]:[31]],Code23)</f>
        <v>0</v>
      </c>
      <c r="AO118" s="132">
        <f>COUNTIF(ParicipationMai1[[#This Row],[1]:[31]],Code6)</f>
        <v>0</v>
      </c>
      <c r="AP118" s="132">
        <f>COUNTIF(ParicipationMai1[[#This Row],[1]:[31]],Code7)</f>
        <v>0</v>
      </c>
      <c r="AQ118" s="132">
        <f>COUNTIF(ParicipationMai1[[#This Row],[1]:[31]],Code8)</f>
        <v>0</v>
      </c>
      <c r="AR118" s="132">
        <f>COUNTIF(ParicipationMai1[[#This Row],[1]:[31]],Code9)</f>
        <v>0</v>
      </c>
      <c r="AS118" s="132">
        <f>COUNTIF(ParicipationMai1[[#This Row],[1]:[31]],Code10)</f>
        <v>0</v>
      </c>
      <c r="AT118" s="132">
        <f>COUNTIF(ParicipationMai1[[#This Row],[1]:[31]],Code11)</f>
        <v>0</v>
      </c>
      <c r="AU118" s="132">
        <f>COUNTIF(ParicipationMai1[[#This Row],[1]:[31]],Code12)</f>
        <v>0</v>
      </c>
      <c r="AV118" s="132">
        <f>COUNTIF(ParicipationMai1[[#This Row],[1]:[31]],Code13)</f>
        <v>0</v>
      </c>
      <c r="AW118" s="132">
        <f>COUNTIF(ParicipationMai1[[#This Row],[1]:[31]],Code14)</f>
        <v>0</v>
      </c>
      <c r="AX118" s="132">
        <f>COUNTIF(ParicipationMai1[[#This Row],[1]:[31]],Code15)</f>
        <v>0</v>
      </c>
      <c r="AY118" s="132">
        <f>COUNTIF(ParicipationMai1[[#This Row],[1]:[31]],Code16)</f>
        <v>0</v>
      </c>
      <c r="AZ118" s="132">
        <f>COUNTIF(ParicipationMai1[[#This Row],[1]:[31]],Code17)</f>
        <v>0</v>
      </c>
      <c r="BA118" s="132">
        <f>COUNTIF(ParicipationMai1[[#This Row],[1]:[31]],Code26)</f>
        <v>0</v>
      </c>
      <c r="BB118" s="132">
        <f>COUNTIF(ParicipationMai1[[#This Row],[1]:[31]],Code27)</f>
        <v>0</v>
      </c>
      <c r="BC118" s="132">
        <f>COUNTIF(ParicipationMai1[[#This Row],[1]:[31]],Code27)</f>
        <v>0</v>
      </c>
      <c r="BD118" s="132">
        <f>COUNTIF(ParicipationMai1[[#This Row],[1]:[31]],Code28)</f>
        <v>0</v>
      </c>
      <c r="BE118" s="132">
        <f>COUNTIF(ParicipationMai1[[#This Row],[1]:[31]],code30)</f>
        <v>0</v>
      </c>
      <c r="BF118" s="132">
        <f>COUNTIF(ParicipationMai1[[#This Row],[1]:[31]],Code31)</f>
        <v>0</v>
      </c>
      <c r="BG118" s="132">
        <f>COUNTIF(ParicipationMai1[[#This Row],[1]:[31]],code21)</f>
        <v>0</v>
      </c>
      <c r="BH118" s="132">
        <f>COUNTIF(ParicipationMai1[[#This Row],[1]:[31]],Code24)</f>
        <v>0</v>
      </c>
      <c r="BI118" s="579">
        <f>COUNTIF(ParicipationMai1[[#This Row],[1]:[31]],code18)</f>
        <v>0</v>
      </c>
      <c r="BJ118" s="579">
        <f>COUNTIF(ParicipationMai1[[#This Row],[1]:[31]],code19)</f>
        <v>0</v>
      </c>
      <c r="BK118" s="579">
        <f>COUNTIF(ParicipationMai1[[#This Row],[1]:[31]],code20)</f>
        <v>0</v>
      </c>
      <c r="BL118" s="547">
        <f>COUNTIF(ParicipationMai1[[#This Row],[1]:[31]],code29)</f>
        <v>0</v>
      </c>
      <c r="BM118" s="132"/>
      <c r="BN118" s="132"/>
      <c r="BO118" s="132"/>
      <c r="BP118" s="132"/>
      <c r="BQ118" s="132"/>
      <c r="BR118" s="132"/>
      <c r="BS118" s="132"/>
      <c r="BT118" s="132"/>
      <c r="BU118" s="132"/>
      <c r="BV118" s="132"/>
      <c r="BW118" s="132"/>
      <c r="BX118" s="132"/>
      <c r="BY118" s="132"/>
      <c r="BZ118" s="132"/>
      <c r="CA118" s="132"/>
      <c r="CB118" s="132"/>
      <c r="CC118" s="132"/>
      <c r="CD118" s="132"/>
      <c r="CE118" s="132"/>
      <c r="CF118" s="132"/>
      <c r="CG118" s="132"/>
      <c r="CH118" s="132"/>
      <c r="CI118" s="132"/>
      <c r="CJ118" s="132"/>
      <c r="CK118" s="132"/>
      <c r="CL118" s="132"/>
      <c r="CM118" s="132"/>
      <c r="CN118" s="132"/>
      <c r="CO118" s="132"/>
      <c r="CP118" s="132"/>
      <c r="CQ118" s="132"/>
      <c r="CR118" s="132"/>
      <c r="CS118" s="132"/>
      <c r="CT118" s="132"/>
      <c r="CU118" s="547"/>
      <c r="CV118" s="590">
        <f t="shared" si="4"/>
        <v>0</v>
      </c>
      <c r="CW118" s="573">
        <f t="shared" si="5"/>
        <v>0</v>
      </c>
      <c r="CX118" s="132">
        <f t="shared" si="6"/>
        <v>0</v>
      </c>
      <c r="CY118" s="500">
        <f t="shared" si="7"/>
        <v>0</v>
      </c>
    </row>
    <row r="119" spans="1:103">
      <c r="A119" s="406" t="s">
        <v>460</v>
      </c>
      <c r="B119" s="540" t="str">
        <f>IFERROR(VLOOKUP(ParicipationMai1[[#This Row],[Référence]],ListeÉtudiants1[],18,FALSE),"")</f>
        <v>SARAOUI KATIA</v>
      </c>
      <c r="C119" s="406"/>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06"/>
      <c r="AA119" s="406"/>
      <c r="AB119" s="406"/>
      <c r="AC119" s="406"/>
      <c r="AD119" s="406"/>
      <c r="AE119" s="406"/>
      <c r="AF119" s="406"/>
      <c r="AG119" s="542"/>
      <c r="AH119" s="131">
        <f>COUNTIF(ParicipationMai1[[1]:[31]],Code1)</f>
        <v>0</v>
      </c>
      <c r="AI119" s="311">
        <f>COUNTIF(ParicipationMai1[[1]:[31]],code22)</f>
        <v>0</v>
      </c>
      <c r="AJ119" s="131">
        <f>COUNTIF(ParicipationMai1[[#This Row],[1]:[31]],Code2)</f>
        <v>0</v>
      </c>
      <c r="AK119" s="131">
        <f>COUNTIF(ParicipationMai1[[#This Row],[1]:[31]],Code3)</f>
        <v>0</v>
      </c>
      <c r="AL119" s="131">
        <f>COUNTIF(ParicipationMai1[[#This Row],[1]:[31]],Code4)</f>
        <v>0</v>
      </c>
      <c r="AM119" s="131">
        <f>COUNTIF(ParicipationMai1[[#This Row],[1]:[31]],Code5)</f>
        <v>0</v>
      </c>
      <c r="AN119" s="131">
        <f>COUNTIF(ParicipationMai1[[#This Row],[1]:[31]],Code23)</f>
        <v>0</v>
      </c>
      <c r="AO119" s="131">
        <f>COUNTIF(ParicipationMai1[[#This Row],[1]:[31]],Code6)</f>
        <v>0</v>
      </c>
      <c r="AP119" s="131">
        <f>COUNTIF(ParicipationMai1[[#This Row],[1]:[31]],Code7)</f>
        <v>0</v>
      </c>
      <c r="AQ119" s="131">
        <f>COUNTIF(ParicipationMai1[[#This Row],[1]:[31]],Code8)</f>
        <v>0</v>
      </c>
      <c r="AR119" s="131">
        <f>COUNTIF(ParicipationMai1[[#This Row],[1]:[31]],Code9)</f>
        <v>0</v>
      </c>
      <c r="AS119" s="131">
        <f>COUNTIF(ParicipationMai1[[#This Row],[1]:[31]],Code10)</f>
        <v>0</v>
      </c>
      <c r="AT119" s="131">
        <f>COUNTIF(ParicipationMai1[[#This Row],[1]:[31]],Code11)</f>
        <v>0</v>
      </c>
      <c r="AU119" s="131">
        <f>COUNTIF(ParicipationMai1[[#This Row],[1]:[31]],Code12)</f>
        <v>0</v>
      </c>
      <c r="AV119" s="131">
        <f>COUNTIF(ParicipationMai1[[#This Row],[1]:[31]],Code13)</f>
        <v>0</v>
      </c>
      <c r="AW119" s="131">
        <f>COUNTIF(ParicipationMai1[[#This Row],[1]:[31]],Code14)</f>
        <v>0</v>
      </c>
      <c r="AX119" s="131">
        <f>COUNTIF(ParicipationMai1[[#This Row],[1]:[31]],Code15)</f>
        <v>0</v>
      </c>
      <c r="AY119" s="131">
        <f>COUNTIF(ParicipationMai1[[#This Row],[1]:[31]],Code16)</f>
        <v>0</v>
      </c>
      <c r="AZ119" s="131">
        <f>COUNTIF(ParicipationMai1[[#This Row],[1]:[31]],Code17)</f>
        <v>0</v>
      </c>
      <c r="BA119" s="131">
        <f>COUNTIF(ParicipationMai1[[#This Row],[1]:[31]],Code26)</f>
        <v>0</v>
      </c>
      <c r="BB119" s="131">
        <f>COUNTIF(ParicipationMai1[[#This Row],[1]:[31]],Code27)</f>
        <v>0</v>
      </c>
      <c r="BC119" s="131">
        <f>COUNTIF(ParicipationMai1[[#This Row],[1]:[31]],Code27)</f>
        <v>0</v>
      </c>
      <c r="BD119" s="131">
        <f>COUNTIF(ParicipationMai1[[#This Row],[1]:[31]],Code28)</f>
        <v>0</v>
      </c>
      <c r="BE119" s="131">
        <f>COUNTIF(ParicipationMai1[[#This Row],[1]:[31]],code30)</f>
        <v>0</v>
      </c>
      <c r="BF119" s="131">
        <f>COUNTIF(ParicipationMai1[[#This Row],[1]:[31]],Code31)</f>
        <v>0</v>
      </c>
      <c r="BG119" s="131">
        <f>COUNTIF(ParicipationMai1[[#This Row],[1]:[31]],code21)</f>
        <v>0</v>
      </c>
      <c r="BH119" s="131">
        <f>COUNTIF(ParicipationMai1[[#This Row],[1]:[31]],Code24)</f>
        <v>0</v>
      </c>
      <c r="BI119" s="568">
        <f>COUNTIF(ParicipationMai1[[#This Row],[1]:[31]],code18)</f>
        <v>0</v>
      </c>
      <c r="BJ119" s="568">
        <f>COUNTIF(ParicipationMai1[[#This Row],[1]:[31]],code19)</f>
        <v>0</v>
      </c>
      <c r="BK119" s="568">
        <f>COUNTIF(ParicipationMai1[[#This Row],[1]:[31]],code20)</f>
        <v>0</v>
      </c>
      <c r="BL119" s="548">
        <f>COUNTIF(ParicipationMai1[[#This Row],[1]:[31]],code29)</f>
        <v>0</v>
      </c>
      <c r="BM119" s="131"/>
      <c r="BN119" s="131"/>
      <c r="BO119" s="131"/>
      <c r="BP119" s="131"/>
      <c r="BQ119" s="131"/>
      <c r="BR119" s="131"/>
      <c r="BS119" s="131"/>
      <c r="BT119" s="131"/>
      <c r="BU119" s="131"/>
      <c r="BV119" s="131"/>
      <c r="BW119" s="131"/>
      <c r="BX119" s="131"/>
      <c r="BY119" s="131"/>
      <c r="BZ119" s="131"/>
      <c r="CA119" s="131"/>
      <c r="CB119" s="131"/>
      <c r="CC119" s="131"/>
      <c r="CD119" s="131"/>
      <c r="CE119" s="131"/>
      <c r="CF119" s="131"/>
      <c r="CG119" s="131"/>
      <c r="CH119" s="131"/>
      <c r="CI119" s="131"/>
      <c r="CJ119" s="131"/>
      <c r="CK119" s="131"/>
      <c r="CL119" s="131"/>
      <c r="CM119" s="131"/>
      <c r="CN119" s="131"/>
      <c r="CO119" s="131"/>
      <c r="CP119" s="131"/>
      <c r="CQ119" s="131"/>
      <c r="CR119" s="131"/>
      <c r="CS119" s="131"/>
      <c r="CT119" s="131"/>
      <c r="CU119" s="548"/>
      <c r="CV119" s="592">
        <f t="shared" si="4"/>
        <v>0</v>
      </c>
      <c r="CW119" s="575">
        <f t="shared" si="5"/>
        <v>0</v>
      </c>
      <c r="CX119" s="131">
        <f t="shared" si="6"/>
        <v>0</v>
      </c>
      <c r="CY119" s="170">
        <f t="shared" si="7"/>
        <v>0</v>
      </c>
    </row>
    <row r="120" spans="1:103">
      <c r="A120" s="405" t="s">
        <v>461</v>
      </c>
      <c r="B120" s="537" t="str">
        <f>IFERROR(VLOOKUP(ParicipationMai1[[#This Row],[Référence]],ListeÉtudiants1[],18,FALSE),"")</f>
        <v>SAUBER SEBASTIEN</v>
      </c>
      <c r="C120" s="405"/>
      <c r="D120" s="405"/>
      <c r="E120" s="405"/>
      <c r="F120" s="405"/>
      <c r="G120" s="405"/>
      <c r="H120" s="405"/>
      <c r="I120" s="405"/>
      <c r="J120" s="405"/>
      <c r="K120" s="405"/>
      <c r="L120" s="405"/>
      <c r="M120" s="405"/>
      <c r="N120" s="405"/>
      <c r="O120" s="405"/>
      <c r="P120" s="405"/>
      <c r="Q120" s="405"/>
      <c r="R120" s="405"/>
      <c r="S120" s="405"/>
      <c r="T120" s="405"/>
      <c r="U120" s="405"/>
      <c r="V120" s="405"/>
      <c r="W120" s="405"/>
      <c r="X120" s="405"/>
      <c r="Y120" s="405"/>
      <c r="Z120" s="405"/>
      <c r="AA120" s="405"/>
      <c r="AB120" s="405"/>
      <c r="AC120" s="405"/>
      <c r="AD120" s="405"/>
      <c r="AE120" s="405"/>
      <c r="AF120" s="405"/>
      <c r="AG120" s="546"/>
      <c r="AH120" s="132">
        <f>COUNTIF(ParicipationMai1[[1]:[31]],Code1)</f>
        <v>0</v>
      </c>
      <c r="AI120" s="538">
        <f>COUNTIF(ParicipationMai1[[1]:[31]],code22)</f>
        <v>0</v>
      </c>
      <c r="AJ120" s="132">
        <f>COUNTIF(ParicipationMai1[[#This Row],[1]:[31]],Code2)</f>
        <v>0</v>
      </c>
      <c r="AK120" s="132">
        <f>COUNTIF(ParicipationMai1[[#This Row],[1]:[31]],Code3)</f>
        <v>0</v>
      </c>
      <c r="AL120" s="132">
        <f>COUNTIF(ParicipationMai1[[#This Row],[1]:[31]],Code4)</f>
        <v>0</v>
      </c>
      <c r="AM120" s="132">
        <f>COUNTIF(ParicipationMai1[[#This Row],[1]:[31]],Code5)</f>
        <v>0</v>
      </c>
      <c r="AN120" s="132">
        <f>COUNTIF(ParicipationMai1[[#This Row],[1]:[31]],Code23)</f>
        <v>0</v>
      </c>
      <c r="AO120" s="132">
        <f>COUNTIF(ParicipationMai1[[#This Row],[1]:[31]],Code6)</f>
        <v>0</v>
      </c>
      <c r="AP120" s="132">
        <f>COUNTIF(ParicipationMai1[[#This Row],[1]:[31]],Code7)</f>
        <v>0</v>
      </c>
      <c r="AQ120" s="132">
        <f>COUNTIF(ParicipationMai1[[#This Row],[1]:[31]],Code8)</f>
        <v>0</v>
      </c>
      <c r="AR120" s="132">
        <f>COUNTIF(ParicipationMai1[[#This Row],[1]:[31]],Code9)</f>
        <v>0</v>
      </c>
      <c r="AS120" s="132">
        <f>COUNTIF(ParicipationMai1[[#This Row],[1]:[31]],Code10)</f>
        <v>0</v>
      </c>
      <c r="AT120" s="132">
        <f>COUNTIF(ParicipationMai1[[#This Row],[1]:[31]],Code11)</f>
        <v>0</v>
      </c>
      <c r="AU120" s="132">
        <f>COUNTIF(ParicipationMai1[[#This Row],[1]:[31]],Code12)</f>
        <v>0</v>
      </c>
      <c r="AV120" s="132">
        <f>COUNTIF(ParicipationMai1[[#This Row],[1]:[31]],Code13)</f>
        <v>0</v>
      </c>
      <c r="AW120" s="132">
        <f>COUNTIF(ParicipationMai1[[#This Row],[1]:[31]],Code14)</f>
        <v>0</v>
      </c>
      <c r="AX120" s="132">
        <f>COUNTIF(ParicipationMai1[[#This Row],[1]:[31]],Code15)</f>
        <v>0</v>
      </c>
      <c r="AY120" s="132">
        <f>COUNTIF(ParicipationMai1[[#This Row],[1]:[31]],Code16)</f>
        <v>0</v>
      </c>
      <c r="AZ120" s="132">
        <f>COUNTIF(ParicipationMai1[[#This Row],[1]:[31]],Code17)</f>
        <v>0</v>
      </c>
      <c r="BA120" s="132">
        <f>COUNTIF(ParicipationMai1[[#This Row],[1]:[31]],Code26)</f>
        <v>0</v>
      </c>
      <c r="BB120" s="132">
        <f>COUNTIF(ParicipationMai1[[#This Row],[1]:[31]],Code27)</f>
        <v>0</v>
      </c>
      <c r="BC120" s="132">
        <f>COUNTIF(ParicipationMai1[[#This Row],[1]:[31]],Code27)</f>
        <v>0</v>
      </c>
      <c r="BD120" s="132">
        <f>COUNTIF(ParicipationMai1[[#This Row],[1]:[31]],Code28)</f>
        <v>0</v>
      </c>
      <c r="BE120" s="132">
        <f>COUNTIF(ParicipationMai1[[#This Row],[1]:[31]],code30)</f>
        <v>0</v>
      </c>
      <c r="BF120" s="132">
        <f>COUNTIF(ParicipationMai1[[#This Row],[1]:[31]],Code31)</f>
        <v>0</v>
      </c>
      <c r="BG120" s="132">
        <f>COUNTIF(ParicipationMai1[[#This Row],[1]:[31]],code21)</f>
        <v>0</v>
      </c>
      <c r="BH120" s="132">
        <f>COUNTIF(ParicipationMai1[[#This Row],[1]:[31]],Code24)</f>
        <v>0</v>
      </c>
      <c r="BI120" s="579">
        <f>COUNTIF(ParicipationMai1[[#This Row],[1]:[31]],code18)</f>
        <v>0</v>
      </c>
      <c r="BJ120" s="579">
        <f>COUNTIF(ParicipationMai1[[#This Row],[1]:[31]],code19)</f>
        <v>0</v>
      </c>
      <c r="BK120" s="579">
        <f>COUNTIF(ParicipationMai1[[#This Row],[1]:[31]],code20)</f>
        <v>0</v>
      </c>
      <c r="BL120" s="547">
        <f>COUNTIF(ParicipationMai1[[#This Row],[1]:[31]],code29)</f>
        <v>0</v>
      </c>
      <c r="BM120" s="132"/>
      <c r="BN120" s="132"/>
      <c r="BO120" s="132"/>
      <c r="BP120" s="132"/>
      <c r="BQ120" s="132"/>
      <c r="BR120" s="132"/>
      <c r="BS120" s="132"/>
      <c r="BT120" s="132"/>
      <c r="BU120" s="132"/>
      <c r="BV120" s="132"/>
      <c r="BW120" s="132"/>
      <c r="BX120" s="132"/>
      <c r="BY120" s="132"/>
      <c r="BZ120" s="132"/>
      <c r="CA120" s="132"/>
      <c r="CB120" s="132"/>
      <c r="CC120" s="132"/>
      <c r="CD120" s="132"/>
      <c r="CE120" s="132"/>
      <c r="CF120" s="132"/>
      <c r="CG120" s="132"/>
      <c r="CH120" s="132"/>
      <c r="CI120" s="132"/>
      <c r="CJ120" s="132"/>
      <c r="CK120" s="132"/>
      <c r="CL120" s="132"/>
      <c r="CM120" s="132"/>
      <c r="CN120" s="132"/>
      <c r="CO120" s="132"/>
      <c r="CP120" s="132"/>
      <c r="CQ120" s="132"/>
      <c r="CR120" s="132"/>
      <c r="CS120" s="132"/>
      <c r="CT120" s="132"/>
      <c r="CU120" s="547"/>
      <c r="CV120" s="590">
        <f t="shared" si="4"/>
        <v>0</v>
      </c>
      <c r="CW120" s="573">
        <f t="shared" si="5"/>
        <v>0</v>
      </c>
      <c r="CX120" s="132">
        <f t="shared" si="6"/>
        <v>0</v>
      </c>
      <c r="CY120" s="500">
        <f t="shared" si="7"/>
        <v>0</v>
      </c>
    </row>
    <row r="121" spans="1:103">
      <c r="A121" s="406" t="s">
        <v>462</v>
      </c>
      <c r="B121" s="540" t="str">
        <f>IFERROR(VLOOKUP(ParicipationMai1[[#This Row],[Référence]],ListeÉtudiants1[],18,FALSE),"")</f>
        <v>SCHUTZ LAURA</v>
      </c>
      <c r="C121" s="406"/>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06"/>
      <c r="AE121" s="406"/>
      <c r="AF121" s="406"/>
      <c r="AG121" s="542"/>
      <c r="AH121" s="131">
        <f>COUNTIF(ParicipationMai1[[1]:[31]],Code1)</f>
        <v>0</v>
      </c>
      <c r="AI121" s="311">
        <f>COUNTIF(ParicipationMai1[[1]:[31]],code22)</f>
        <v>0</v>
      </c>
      <c r="AJ121" s="131">
        <f>COUNTIF(ParicipationMai1[[#This Row],[1]:[31]],Code2)</f>
        <v>0</v>
      </c>
      <c r="AK121" s="131">
        <f>COUNTIF(ParicipationMai1[[#This Row],[1]:[31]],Code3)</f>
        <v>0</v>
      </c>
      <c r="AL121" s="131">
        <f>COUNTIF(ParicipationMai1[[#This Row],[1]:[31]],Code4)</f>
        <v>0</v>
      </c>
      <c r="AM121" s="131">
        <f>COUNTIF(ParicipationMai1[[#This Row],[1]:[31]],Code5)</f>
        <v>0</v>
      </c>
      <c r="AN121" s="131">
        <f>COUNTIF(ParicipationMai1[[#This Row],[1]:[31]],Code23)</f>
        <v>0</v>
      </c>
      <c r="AO121" s="131">
        <f>COUNTIF(ParicipationMai1[[#This Row],[1]:[31]],Code6)</f>
        <v>0</v>
      </c>
      <c r="AP121" s="131">
        <f>COUNTIF(ParicipationMai1[[#This Row],[1]:[31]],Code7)</f>
        <v>0</v>
      </c>
      <c r="AQ121" s="131">
        <f>COUNTIF(ParicipationMai1[[#This Row],[1]:[31]],Code8)</f>
        <v>0</v>
      </c>
      <c r="AR121" s="131">
        <f>COUNTIF(ParicipationMai1[[#This Row],[1]:[31]],Code9)</f>
        <v>0</v>
      </c>
      <c r="AS121" s="131">
        <f>COUNTIF(ParicipationMai1[[#This Row],[1]:[31]],Code10)</f>
        <v>0</v>
      </c>
      <c r="AT121" s="131">
        <f>COUNTIF(ParicipationMai1[[#This Row],[1]:[31]],Code11)</f>
        <v>0</v>
      </c>
      <c r="AU121" s="131">
        <f>COUNTIF(ParicipationMai1[[#This Row],[1]:[31]],Code12)</f>
        <v>0</v>
      </c>
      <c r="AV121" s="131">
        <f>COUNTIF(ParicipationMai1[[#This Row],[1]:[31]],Code13)</f>
        <v>0</v>
      </c>
      <c r="AW121" s="131">
        <f>COUNTIF(ParicipationMai1[[#This Row],[1]:[31]],Code14)</f>
        <v>0</v>
      </c>
      <c r="AX121" s="131">
        <f>COUNTIF(ParicipationMai1[[#This Row],[1]:[31]],Code15)</f>
        <v>0</v>
      </c>
      <c r="AY121" s="131">
        <f>COUNTIF(ParicipationMai1[[#This Row],[1]:[31]],Code16)</f>
        <v>0</v>
      </c>
      <c r="AZ121" s="131">
        <f>COUNTIF(ParicipationMai1[[#This Row],[1]:[31]],Code17)</f>
        <v>0</v>
      </c>
      <c r="BA121" s="131">
        <f>COUNTIF(ParicipationMai1[[#This Row],[1]:[31]],Code26)</f>
        <v>0</v>
      </c>
      <c r="BB121" s="131">
        <f>COUNTIF(ParicipationMai1[[#This Row],[1]:[31]],Code27)</f>
        <v>0</v>
      </c>
      <c r="BC121" s="131">
        <f>COUNTIF(ParicipationMai1[[#This Row],[1]:[31]],Code27)</f>
        <v>0</v>
      </c>
      <c r="BD121" s="131">
        <f>COUNTIF(ParicipationMai1[[#This Row],[1]:[31]],Code28)</f>
        <v>0</v>
      </c>
      <c r="BE121" s="131">
        <f>COUNTIF(ParicipationMai1[[#This Row],[1]:[31]],code30)</f>
        <v>0</v>
      </c>
      <c r="BF121" s="131">
        <f>COUNTIF(ParicipationMai1[[#This Row],[1]:[31]],Code31)</f>
        <v>0</v>
      </c>
      <c r="BG121" s="131">
        <f>COUNTIF(ParicipationMai1[[#This Row],[1]:[31]],code21)</f>
        <v>0</v>
      </c>
      <c r="BH121" s="131">
        <f>COUNTIF(ParicipationMai1[[#This Row],[1]:[31]],Code24)</f>
        <v>0</v>
      </c>
      <c r="BI121" s="568">
        <f>COUNTIF(ParicipationMai1[[#This Row],[1]:[31]],code18)</f>
        <v>0</v>
      </c>
      <c r="BJ121" s="568">
        <f>COUNTIF(ParicipationMai1[[#This Row],[1]:[31]],code19)</f>
        <v>0</v>
      </c>
      <c r="BK121" s="568">
        <f>COUNTIF(ParicipationMai1[[#This Row],[1]:[31]],code20)</f>
        <v>0</v>
      </c>
      <c r="BL121" s="548">
        <f>COUNTIF(ParicipationMai1[[#This Row],[1]:[31]],code29)</f>
        <v>0</v>
      </c>
      <c r="BM121" s="131"/>
      <c r="BN121" s="131"/>
      <c r="BO121" s="131"/>
      <c r="BP121" s="131"/>
      <c r="BQ121" s="131"/>
      <c r="BR121" s="131"/>
      <c r="BS121" s="131"/>
      <c r="BT121" s="131"/>
      <c r="BU121" s="131"/>
      <c r="BV121" s="131"/>
      <c r="BW121" s="131"/>
      <c r="BX121" s="131"/>
      <c r="BY121" s="131"/>
      <c r="BZ121" s="131"/>
      <c r="CA121" s="131"/>
      <c r="CB121" s="131"/>
      <c r="CC121" s="131"/>
      <c r="CD121" s="131"/>
      <c r="CE121" s="131"/>
      <c r="CF121" s="131"/>
      <c r="CG121" s="131"/>
      <c r="CH121" s="131"/>
      <c r="CI121" s="131"/>
      <c r="CJ121" s="131"/>
      <c r="CK121" s="131"/>
      <c r="CL121" s="131"/>
      <c r="CM121" s="131"/>
      <c r="CN121" s="131"/>
      <c r="CO121" s="131"/>
      <c r="CP121" s="131"/>
      <c r="CQ121" s="131"/>
      <c r="CR121" s="131"/>
      <c r="CS121" s="131"/>
      <c r="CT121" s="131"/>
      <c r="CU121" s="548"/>
      <c r="CV121" s="592">
        <f t="shared" si="4"/>
        <v>0</v>
      </c>
      <c r="CW121" s="575">
        <f t="shared" si="5"/>
        <v>0</v>
      </c>
      <c r="CX121" s="131">
        <f t="shared" si="6"/>
        <v>0</v>
      </c>
      <c r="CY121" s="170">
        <f t="shared" si="7"/>
        <v>0</v>
      </c>
    </row>
    <row r="122" spans="1:103">
      <c r="A122" s="405" t="s">
        <v>463</v>
      </c>
      <c r="B122" s="537" t="str">
        <f>IFERROR(VLOOKUP(ParicipationMai1[[#This Row],[Référence]],ListeÉtudiants1[],18,FALSE),"")</f>
        <v>SEHIMI  INES</v>
      </c>
      <c r="C122" s="405"/>
      <c r="D122" s="405"/>
      <c r="E122" s="405"/>
      <c r="F122" s="405"/>
      <c r="G122" s="405"/>
      <c r="H122" s="405"/>
      <c r="I122" s="405"/>
      <c r="J122" s="405"/>
      <c r="K122" s="405"/>
      <c r="L122" s="405"/>
      <c r="M122" s="405"/>
      <c r="N122" s="405"/>
      <c r="O122" s="405"/>
      <c r="P122" s="405"/>
      <c r="Q122" s="405"/>
      <c r="R122" s="405"/>
      <c r="S122" s="405"/>
      <c r="T122" s="405"/>
      <c r="U122" s="405"/>
      <c r="V122" s="405"/>
      <c r="W122" s="405"/>
      <c r="X122" s="405"/>
      <c r="Y122" s="405"/>
      <c r="Z122" s="405"/>
      <c r="AA122" s="405"/>
      <c r="AB122" s="405"/>
      <c r="AC122" s="405"/>
      <c r="AD122" s="405"/>
      <c r="AE122" s="405"/>
      <c r="AF122" s="405"/>
      <c r="AG122" s="546"/>
      <c r="AH122" s="132">
        <f>COUNTIF(ParicipationMai1[[1]:[31]],Code1)</f>
        <v>0</v>
      </c>
      <c r="AI122" s="538">
        <f>COUNTIF(ParicipationMai1[[1]:[31]],code22)</f>
        <v>0</v>
      </c>
      <c r="AJ122" s="132">
        <f>COUNTIF(ParicipationMai1[[#This Row],[1]:[31]],Code2)</f>
        <v>0</v>
      </c>
      <c r="AK122" s="132">
        <f>COUNTIF(ParicipationMai1[[#This Row],[1]:[31]],Code3)</f>
        <v>0</v>
      </c>
      <c r="AL122" s="132">
        <f>COUNTIF(ParicipationMai1[[#This Row],[1]:[31]],Code4)</f>
        <v>0</v>
      </c>
      <c r="AM122" s="132">
        <f>COUNTIF(ParicipationMai1[[#This Row],[1]:[31]],Code5)</f>
        <v>0</v>
      </c>
      <c r="AN122" s="132">
        <f>COUNTIF(ParicipationMai1[[#This Row],[1]:[31]],Code23)</f>
        <v>0</v>
      </c>
      <c r="AO122" s="132">
        <f>COUNTIF(ParicipationMai1[[#This Row],[1]:[31]],Code6)</f>
        <v>0</v>
      </c>
      <c r="AP122" s="132">
        <f>COUNTIF(ParicipationMai1[[#This Row],[1]:[31]],Code7)</f>
        <v>0</v>
      </c>
      <c r="AQ122" s="132">
        <f>COUNTIF(ParicipationMai1[[#This Row],[1]:[31]],Code8)</f>
        <v>0</v>
      </c>
      <c r="AR122" s="132">
        <f>COUNTIF(ParicipationMai1[[#This Row],[1]:[31]],Code9)</f>
        <v>0</v>
      </c>
      <c r="AS122" s="132">
        <f>COUNTIF(ParicipationMai1[[#This Row],[1]:[31]],Code10)</f>
        <v>0</v>
      </c>
      <c r="AT122" s="132">
        <f>COUNTIF(ParicipationMai1[[#This Row],[1]:[31]],Code11)</f>
        <v>0</v>
      </c>
      <c r="AU122" s="132">
        <f>COUNTIF(ParicipationMai1[[#This Row],[1]:[31]],Code12)</f>
        <v>0</v>
      </c>
      <c r="AV122" s="132">
        <f>COUNTIF(ParicipationMai1[[#This Row],[1]:[31]],Code13)</f>
        <v>0</v>
      </c>
      <c r="AW122" s="132">
        <f>COUNTIF(ParicipationMai1[[#This Row],[1]:[31]],Code14)</f>
        <v>0</v>
      </c>
      <c r="AX122" s="132">
        <f>COUNTIF(ParicipationMai1[[#This Row],[1]:[31]],Code15)</f>
        <v>0</v>
      </c>
      <c r="AY122" s="132">
        <f>COUNTIF(ParicipationMai1[[#This Row],[1]:[31]],Code16)</f>
        <v>0</v>
      </c>
      <c r="AZ122" s="132">
        <f>COUNTIF(ParicipationMai1[[#This Row],[1]:[31]],Code17)</f>
        <v>0</v>
      </c>
      <c r="BA122" s="132">
        <f>COUNTIF(ParicipationMai1[[#This Row],[1]:[31]],Code26)</f>
        <v>0</v>
      </c>
      <c r="BB122" s="132">
        <f>COUNTIF(ParicipationMai1[[#This Row],[1]:[31]],Code27)</f>
        <v>0</v>
      </c>
      <c r="BC122" s="132">
        <f>COUNTIF(ParicipationMai1[[#This Row],[1]:[31]],Code27)</f>
        <v>0</v>
      </c>
      <c r="BD122" s="132">
        <f>COUNTIF(ParicipationMai1[[#This Row],[1]:[31]],Code28)</f>
        <v>0</v>
      </c>
      <c r="BE122" s="132">
        <f>COUNTIF(ParicipationMai1[[#This Row],[1]:[31]],code30)</f>
        <v>0</v>
      </c>
      <c r="BF122" s="132">
        <f>COUNTIF(ParicipationMai1[[#This Row],[1]:[31]],Code31)</f>
        <v>0</v>
      </c>
      <c r="BG122" s="132">
        <f>COUNTIF(ParicipationMai1[[#This Row],[1]:[31]],code21)</f>
        <v>0</v>
      </c>
      <c r="BH122" s="132">
        <f>COUNTIF(ParicipationMai1[[#This Row],[1]:[31]],Code24)</f>
        <v>0</v>
      </c>
      <c r="BI122" s="579">
        <f>COUNTIF(ParicipationMai1[[#This Row],[1]:[31]],code18)</f>
        <v>0</v>
      </c>
      <c r="BJ122" s="579">
        <f>COUNTIF(ParicipationMai1[[#This Row],[1]:[31]],code19)</f>
        <v>0</v>
      </c>
      <c r="BK122" s="579">
        <f>COUNTIF(ParicipationMai1[[#This Row],[1]:[31]],code20)</f>
        <v>0</v>
      </c>
      <c r="BL122" s="547">
        <f>COUNTIF(ParicipationMai1[[#This Row],[1]:[31]],code29)</f>
        <v>0</v>
      </c>
      <c r="BM122" s="132"/>
      <c r="BN122" s="132"/>
      <c r="BO122" s="132"/>
      <c r="BP122" s="132"/>
      <c r="BQ122" s="132"/>
      <c r="BR122" s="132"/>
      <c r="BS122" s="132"/>
      <c r="BT122" s="132"/>
      <c r="BU122" s="132"/>
      <c r="BV122" s="132"/>
      <c r="BW122" s="132"/>
      <c r="BX122" s="132"/>
      <c r="BY122" s="132"/>
      <c r="BZ122" s="132"/>
      <c r="CA122" s="132"/>
      <c r="CB122" s="132"/>
      <c r="CC122" s="132"/>
      <c r="CD122" s="132"/>
      <c r="CE122" s="132"/>
      <c r="CF122" s="132"/>
      <c r="CG122" s="132"/>
      <c r="CH122" s="132"/>
      <c r="CI122" s="132"/>
      <c r="CJ122" s="132"/>
      <c r="CK122" s="132"/>
      <c r="CL122" s="132"/>
      <c r="CM122" s="132"/>
      <c r="CN122" s="132"/>
      <c r="CO122" s="132"/>
      <c r="CP122" s="132"/>
      <c r="CQ122" s="132"/>
      <c r="CR122" s="132"/>
      <c r="CS122" s="132"/>
      <c r="CT122" s="132"/>
      <c r="CU122" s="547"/>
      <c r="CV122" s="590">
        <f t="shared" si="4"/>
        <v>0</v>
      </c>
      <c r="CW122" s="573">
        <f t="shared" si="5"/>
        <v>0</v>
      </c>
      <c r="CX122" s="132">
        <f t="shared" si="6"/>
        <v>0</v>
      </c>
      <c r="CY122" s="500">
        <f t="shared" si="7"/>
        <v>0</v>
      </c>
    </row>
    <row r="123" spans="1:103">
      <c r="A123" s="406" t="s">
        <v>464</v>
      </c>
      <c r="B123" s="540" t="str">
        <f>IFERROR(VLOOKUP(ParicipationMai1[[#This Row],[Référence]],ListeÉtudiants1[],18,FALSE),"")</f>
        <v>SEINGUERLET CONSTANCE</v>
      </c>
      <c r="C123" s="406"/>
      <c r="D123" s="406"/>
      <c r="E123" s="406"/>
      <c r="F123" s="406"/>
      <c r="G123" s="406"/>
      <c r="H123" s="406"/>
      <c r="I123" s="406"/>
      <c r="J123" s="406"/>
      <c r="K123" s="406"/>
      <c r="L123" s="406"/>
      <c r="M123" s="406"/>
      <c r="N123" s="406"/>
      <c r="O123" s="406"/>
      <c r="P123" s="406"/>
      <c r="Q123" s="406"/>
      <c r="R123" s="406"/>
      <c r="S123" s="406"/>
      <c r="T123" s="406"/>
      <c r="U123" s="406"/>
      <c r="V123" s="406"/>
      <c r="W123" s="406"/>
      <c r="X123" s="406"/>
      <c r="Y123" s="406"/>
      <c r="Z123" s="406"/>
      <c r="AA123" s="406"/>
      <c r="AB123" s="406"/>
      <c r="AC123" s="406"/>
      <c r="AD123" s="406"/>
      <c r="AE123" s="406"/>
      <c r="AF123" s="406"/>
      <c r="AG123" s="542"/>
      <c r="AH123" s="131">
        <f>COUNTIF(ParicipationMai1[[1]:[31]],Code1)</f>
        <v>0</v>
      </c>
      <c r="AI123" s="311">
        <f>COUNTIF(ParicipationMai1[[1]:[31]],code22)</f>
        <v>0</v>
      </c>
      <c r="AJ123" s="131">
        <f>COUNTIF(ParicipationMai1[[#This Row],[1]:[31]],Code2)</f>
        <v>0</v>
      </c>
      <c r="AK123" s="131">
        <f>COUNTIF(ParicipationMai1[[#This Row],[1]:[31]],Code3)</f>
        <v>0</v>
      </c>
      <c r="AL123" s="131">
        <f>COUNTIF(ParicipationMai1[[#This Row],[1]:[31]],Code4)</f>
        <v>0</v>
      </c>
      <c r="AM123" s="131">
        <f>COUNTIF(ParicipationMai1[[#This Row],[1]:[31]],Code5)</f>
        <v>0</v>
      </c>
      <c r="AN123" s="131">
        <f>COUNTIF(ParicipationMai1[[#This Row],[1]:[31]],Code23)</f>
        <v>0</v>
      </c>
      <c r="AO123" s="131">
        <f>COUNTIF(ParicipationMai1[[#This Row],[1]:[31]],Code6)</f>
        <v>0</v>
      </c>
      <c r="AP123" s="131">
        <f>COUNTIF(ParicipationMai1[[#This Row],[1]:[31]],Code7)</f>
        <v>0</v>
      </c>
      <c r="AQ123" s="131">
        <f>COUNTIF(ParicipationMai1[[#This Row],[1]:[31]],Code8)</f>
        <v>0</v>
      </c>
      <c r="AR123" s="131">
        <f>COUNTIF(ParicipationMai1[[#This Row],[1]:[31]],Code9)</f>
        <v>0</v>
      </c>
      <c r="AS123" s="131">
        <f>COUNTIF(ParicipationMai1[[#This Row],[1]:[31]],Code10)</f>
        <v>0</v>
      </c>
      <c r="AT123" s="131">
        <f>COUNTIF(ParicipationMai1[[#This Row],[1]:[31]],Code11)</f>
        <v>0</v>
      </c>
      <c r="AU123" s="131">
        <f>COUNTIF(ParicipationMai1[[#This Row],[1]:[31]],Code12)</f>
        <v>0</v>
      </c>
      <c r="AV123" s="131">
        <f>COUNTIF(ParicipationMai1[[#This Row],[1]:[31]],Code13)</f>
        <v>0</v>
      </c>
      <c r="AW123" s="131">
        <f>COUNTIF(ParicipationMai1[[#This Row],[1]:[31]],Code14)</f>
        <v>0</v>
      </c>
      <c r="AX123" s="131">
        <f>COUNTIF(ParicipationMai1[[#This Row],[1]:[31]],Code15)</f>
        <v>0</v>
      </c>
      <c r="AY123" s="131">
        <f>COUNTIF(ParicipationMai1[[#This Row],[1]:[31]],Code16)</f>
        <v>0</v>
      </c>
      <c r="AZ123" s="131">
        <f>COUNTIF(ParicipationMai1[[#This Row],[1]:[31]],Code17)</f>
        <v>0</v>
      </c>
      <c r="BA123" s="131">
        <f>COUNTIF(ParicipationMai1[[#This Row],[1]:[31]],Code26)</f>
        <v>0</v>
      </c>
      <c r="BB123" s="131">
        <f>COUNTIF(ParicipationMai1[[#This Row],[1]:[31]],Code27)</f>
        <v>0</v>
      </c>
      <c r="BC123" s="131">
        <f>COUNTIF(ParicipationMai1[[#This Row],[1]:[31]],Code27)</f>
        <v>0</v>
      </c>
      <c r="BD123" s="131">
        <f>COUNTIF(ParicipationMai1[[#This Row],[1]:[31]],Code28)</f>
        <v>0</v>
      </c>
      <c r="BE123" s="131">
        <f>COUNTIF(ParicipationMai1[[#This Row],[1]:[31]],code30)</f>
        <v>0</v>
      </c>
      <c r="BF123" s="131">
        <f>COUNTIF(ParicipationMai1[[#This Row],[1]:[31]],Code31)</f>
        <v>0</v>
      </c>
      <c r="BG123" s="131">
        <f>COUNTIF(ParicipationMai1[[#This Row],[1]:[31]],code21)</f>
        <v>0</v>
      </c>
      <c r="BH123" s="131">
        <f>COUNTIF(ParicipationMai1[[#This Row],[1]:[31]],Code24)</f>
        <v>0</v>
      </c>
      <c r="BI123" s="568">
        <f>COUNTIF(ParicipationMai1[[#This Row],[1]:[31]],code18)</f>
        <v>0</v>
      </c>
      <c r="BJ123" s="568">
        <f>COUNTIF(ParicipationMai1[[#This Row],[1]:[31]],code19)</f>
        <v>0</v>
      </c>
      <c r="BK123" s="568">
        <f>COUNTIF(ParicipationMai1[[#This Row],[1]:[31]],code20)</f>
        <v>0</v>
      </c>
      <c r="BL123" s="548">
        <f>COUNTIF(ParicipationMai1[[#This Row],[1]:[31]],code29)</f>
        <v>0</v>
      </c>
      <c r="BM123" s="131"/>
      <c r="BN123" s="131"/>
      <c r="BO123" s="131"/>
      <c r="BP123" s="131"/>
      <c r="BQ123" s="131"/>
      <c r="BR123" s="131"/>
      <c r="BS123" s="131"/>
      <c r="BT123" s="131"/>
      <c r="BU123" s="131"/>
      <c r="BV123" s="131"/>
      <c r="BW123" s="131"/>
      <c r="BX123" s="131"/>
      <c r="BY123" s="131"/>
      <c r="BZ123" s="131"/>
      <c r="CA123" s="131"/>
      <c r="CB123" s="131"/>
      <c r="CC123" s="131"/>
      <c r="CD123" s="131"/>
      <c r="CE123" s="131"/>
      <c r="CF123" s="131"/>
      <c r="CG123" s="131"/>
      <c r="CH123" s="131"/>
      <c r="CI123" s="131"/>
      <c r="CJ123" s="131"/>
      <c r="CK123" s="131"/>
      <c r="CL123" s="131"/>
      <c r="CM123" s="131"/>
      <c r="CN123" s="131"/>
      <c r="CO123" s="131"/>
      <c r="CP123" s="131"/>
      <c r="CQ123" s="131"/>
      <c r="CR123" s="131"/>
      <c r="CS123" s="131"/>
      <c r="CT123" s="131"/>
      <c r="CU123" s="548"/>
      <c r="CV123" s="592">
        <f t="shared" si="4"/>
        <v>0</v>
      </c>
      <c r="CW123" s="575">
        <f t="shared" si="5"/>
        <v>0</v>
      </c>
      <c r="CX123" s="131">
        <f t="shared" si="6"/>
        <v>0</v>
      </c>
      <c r="CY123" s="170">
        <f t="shared" si="7"/>
        <v>0</v>
      </c>
    </row>
    <row r="124" spans="1:103">
      <c r="A124" s="405" t="s">
        <v>465</v>
      </c>
      <c r="B124" s="537" t="str">
        <f>IFERROR(VLOOKUP(ParicipationMai1[[#This Row],[Référence]],ListeÉtudiants1[],18,FALSE),"")</f>
        <v>SERVENT MARION</v>
      </c>
      <c r="C124" s="405"/>
      <c r="D124" s="405"/>
      <c r="E124" s="405"/>
      <c r="F124" s="405"/>
      <c r="G124" s="405"/>
      <c r="H124" s="405"/>
      <c r="I124" s="405"/>
      <c r="J124" s="405"/>
      <c r="K124" s="405"/>
      <c r="L124" s="405"/>
      <c r="M124" s="405"/>
      <c r="N124" s="405"/>
      <c r="O124" s="405"/>
      <c r="P124" s="405"/>
      <c r="Q124" s="405"/>
      <c r="R124" s="405"/>
      <c r="S124" s="405"/>
      <c r="T124" s="405"/>
      <c r="U124" s="405"/>
      <c r="V124" s="405"/>
      <c r="W124" s="405"/>
      <c r="X124" s="405"/>
      <c r="Y124" s="405"/>
      <c r="Z124" s="405"/>
      <c r="AA124" s="405"/>
      <c r="AB124" s="405"/>
      <c r="AC124" s="405"/>
      <c r="AD124" s="405"/>
      <c r="AE124" s="405"/>
      <c r="AF124" s="405"/>
      <c r="AG124" s="546"/>
      <c r="AH124" s="132">
        <f>COUNTIF(ParicipationMai1[[1]:[31]],Code1)</f>
        <v>0</v>
      </c>
      <c r="AI124" s="538">
        <f>COUNTIF(ParicipationMai1[[1]:[31]],code22)</f>
        <v>0</v>
      </c>
      <c r="AJ124" s="132">
        <f>COUNTIF(ParicipationMai1[[#This Row],[1]:[31]],Code2)</f>
        <v>0</v>
      </c>
      <c r="AK124" s="132">
        <f>COUNTIF(ParicipationMai1[[#This Row],[1]:[31]],Code3)</f>
        <v>0</v>
      </c>
      <c r="AL124" s="132">
        <f>COUNTIF(ParicipationMai1[[#This Row],[1]:[31]],Code4)</f>
        <v>0</v>
      </c>
      <c r="AM124" s="132">
        <f>COUNTIF(ParicipationMai1[[#This Row],[1]:[31]],Code5)</f>
        <v>0</v>
      </c>
      <c r="AN124" s="132">
        <f>COUNTIF(ParicipationMai1[[#This Row],[1]:[31]],Code23)</f>
        <v>0</v>
      </c>
      <c r="AO124" s="132">
        <f>COUNTIF(ParicipationMai1[[#This Row],[1]:[31]],Code6)</f>
        <v>0</v>
      </c>
      <c r="AP124" s="132">
        <f>COUNTIF(ParicipationMai1[[#This Row],[1]:[31]],Code7)</f>
        <v>0</v>
      </c>
      <c r="AQ124" s="132">
        <f>COUNTIF(ParicipationMai1[[#This Row],[1]:[31]],Code8)</f>
        <v>0</v>
      </c>
      <c r="AR124" s="132">
        <f>COUNTIF(ParicipationMai1[[#This Row],[1]:[31]],Code9)</f>
        <v>0</v>
      </c>
      <c r="AS124" s="132">
        <f>COUNTIF(ParicipationMai1[[#This Row],[1]:[31]],Code10)</f>
        <v>0</v>
      </c>
      <c r="AT124" s="132">
        <f>COUNTIF(ParicipationMai1[[#This Row],[1]:[31]],Code11)</f>
        <v>0</v>
      </c>
      <c r="AU124" s="132">
        <f>COUNTIF(ParicipationMai1[[#This Row],[1]:[31]],Code12)</f>
        <v>0</v>
      </c>
      <c r="AV124" s="132">
        <f>COUNTIF(ParicipationMai1[[#This Row],[1]:[31]],Code13)</f>
        <v>0</v>
      </c>
      <c r="AW124" s="132">
        <f>COUNTIF(ParicipationMai1[[#This Row],[1]:[31]],Code14)</f>
        <v>0</v>
      </c>
      <c r="AX124" s="132">
        <f>COUNTIF(ParicipationMai1[[#This Row],[1]:[31]],Code15)</f>
        <v>0</v>
      </c>
      <c r="AY124" s="132">
        <f>COUNTIF(ParicipationMai1[[#This Row],[1]:[31]],Code16)</f>
        <v>0</v>
      </c>
      <c r="AZ124" s="132">
        <f>COUNTIF(ParicipationMai1[[#This Row],[1]:[31]],Code17)</f>
        <v>0</v>
      </c>
      <c r="BA124" s="132">
        <f>COUNTIF(ParicipationMai1[[#This Row],[1]:[31]],Code26)</f>
        <v>0</v>
      </c>
      <c r="BB124" s="132">
        <f>COUNTIF(ParicipationMai1[[#This Row],[1]:[31]],Code27)</f>
        <v>0</v>
      </c>
      <c r="BC124" s="132">
        <f>COUNTIF(ParicipationMai1[[#This Row],[1]:[31]],Code27)</f>
        <v>0</v>
      </c>
      <c r="BD124" s="132">
        <f>COUNTIF(ParicipationMai1[[#This Row],[1]:[31]],Code28)</f>
        <v>0</v>
      </c>
      <c r="BE124" s="132">
        <f>COUNTIF(ParicipationMai1[[#This Row],[1]:[31]],code30)</f>
        <v>0</v>
      </c>
      <c r="BF124" s="132">
        <f>COUNTIF(ParicipationMai1[[#This Row],[1]:[31]],Code31)</f>
        <v>0</v>
      </c>
      <c r="BG124" s="132">
        <f>COUNTIF(ParicipationMai1[[#This Row],[1]:[31]],code21)</f>
        <v>0</v>
      </c>
      <c r="BH124" s="132">
        <f>COUNTIF(ParicipationMai1[[#This Row],[1]:[31]],Code24)</f>
        <v>0</v>
      </c>
      <c r="BI124" s="579">
        <f>COUNTIF(ParicipationMai1[[#This Row],[1]:[31]],code18)</f>
        <v>0</v>
      </c>
      <c r="BJ124" s="579">
        <f>COUNTIF(ParicipationMai1[[#This Row],[1]:[31]],code19)</f>
        <v>0</v>
      </c>
      <c r="BK124" s="579">
        <f>COUNTIF(ParicipationMai1[[#This Row],[1]:[31]],code20)</f>
        <v>0</v>
      </c>
      <c r="BL124" s="547">
        <f>COUNTIF(ParicipationMai1[[#This Row],[1]:[31]],code29)</f>
        <v>0</v>
      </c>
      <c r="BM124" s="132"/>
      <c r="BN124" s="132"/>
      <c r="BO124" s="132"/>
      <c r="BP124" s="132"/>
      <c r="BQ124" s="132"/>
      <c r="BR124" s="132"/>
      <c r="BS124" s="132"/>
      <c r="BT124" s="132"/>
      <c r="BU124" s="132"/>
      <c r="BV124" s="132"/>
      <c r="BW124" s="132"/>
      <c r="BX124" s="132"/>
      <c r="BY124" s="132"/>
      <c r="BZ124" s="132"/>
      <c r="CA124" s="132"/>
      <c r="CB124" s="132"/>
      <c r="CC124" s="132"/>
      <c r="CD124" s="132"/>
      <c r="CE124" s="132"/>
      <c r="CF124" s="132"/>
      <c r="CG124" s="132"/>
      <c r="CH124" s="132"/>
      <c r="CI124" s="132"/>
      <c r="CJ124" s="132"/>
      <c r="CK124" s="132"/>
      <c r="CL124" s="132"/>
      <c r="CM124" s="132"/>
      <c r="CN124" s="132"/>
      <c r="CO124" s="132"/>
      <c r="CP124" s="132"/>
      <c r="CQ124" s="132"/>
      <c r="CR124" s="132"/>
      <c r="CS124" s="132"/>
      <c r="CT124" s="132"/>
      <c r="CU124" s="547"/>
      <c r="CV124" s="590">
        <f t="shared" si="4"/>
        <v>0</v>
      </c>
      <c r="CW124" s="573">
        <f t="shared" si="5"/>
        <v>0</v>
      </c>
      <c r="CX124" s="132">
        <f t="shared" si="6"/>
        <v>0</v>
      </c>
      <c r="CY124" s="500">
        <f t="shared" si="7"/>
        <v>0</v>
      </c>
    </row>
    <row r="125" spans="1:103">
      <c r="A125" s="406" t="s">
        <v>466</v>
      </c>
      <c r="B125" s="540" t="str">
        <f>IFERROR(VLOOKUP(ParicipationMai1[[#This Row],[Référence]],ListeÉtudiants1[],18,FALSE),"")</f>
        <v>SHEIKBOUDOU MACILIA</v>
      </c>
      <c r="C125" s="406"/>
      <c r="D125" s="406"/>
      <c r="E125" s="406"/>
      <c r="F125" s="406"/>
      <c r="G125" s="406"/>
      <c r="H125" s="406"/>
      <c r="I125" s="406"/>
      <c r="J125" s="406"/>
      <c r="K125" s="406"/>
      <c r="L125" s="406"/>
      <c r="M125" s="406"/>
      <c r="N125" s="406"/>
      <c r="O125" s="406"/>
      <c r="P125" s="406"/>
      <c r="Q125" s="406"/>
      <c r="R125" s="406"/>
      <c r="S125" s="406"/>
      <c r="T125" s="406"/>
      <c r="U125" s="406"/>
      <c r="V125" s="406"/>
      <c r="W125" s="406"/>
      <c r="X125" s="406"/>
      <c r="Y125" s="406"/>
      <c r="Z125" s="406"/>
      <c r="AA125" s="406"/>
      <c r="AB125" s="406"/>
      <c r="AC125" s="406"/>
      <c r="AD125" s="406"/>
      <c r="AE125" s="406"/>
      <c r="AF125" s="406"/>
      <c r="AG125" s="542"/>
      <c r="AH125" s="131">
        <f>COUNTIF(ParicipationMai1[[1]:[31]],Code1)</f>
        <v>0</v>
      </c>
      <c r="AI125" s="311">
        <f>COUNTIF(ParicipationMai1[[1]:[31]],code22)</f>
        <v>0</v>
      </c>
      <c r="AJ125" s="131">
        <f>COUNTIF(ParicipationMai1[[#This Row],[1]:[31]],Code2)</f>
        <v>0</v>
      </c>
      <c r="AK125" s="131">
        <f>COUNTIF(ParicipationMai1[[#This Row],[1]:[31]],Code3)</f>
        <v>0</v>
      </c>
      <c r="AL125" s="131">
        <f>COUNTIF(ParicipationMai1[[#This Row],[1]:[31]],Code4)</f>
        <v>0</v>
      </c>
      <c r="AM125" s="131">
        <f>COUNTIF(ParicipationMai1[[#This Row],[1]:[31]],Code5)</f>
        <v>0</v>
      </c>
      <c r="AN125" s="131">
        <f>COUNTIF(ParicipationMai1[[#This Row],[1]:[31]],Code23)</f>
        <v>0</v>
      </c>
      <c r="AO125" s="131">
        <f>COUNTIF(ParicipationMai1[[#This Row],[1]:[31]],Code6)</f>
        <v>0</v>
      </c>
      <c r="AP125" s="131">
        <f>COUNTIF(ParicipationMai1[[#This Row],[1]:[31]],Code7)</f>
        <v>0</v>
      </c>
      <c r="AQ125" s="131">
        <f>COUNTIF(ParicipationMai1[[#This Row],[1]:[31]],Code8)</f>
        <v>0</v>
      </c>
      <c r="AR125" s="131">
        <f>COUNTIF(ParicipationMai1[[#This Row],[1]:[31]],Code9)</f>
        <v>0</v>
      </c>
      <c r="AS125" s="131">
        <f>COUNTIF(ParicipationMai1[[#This Row],[1]:[31]],Code10)</f>
        <v>0</v>
      </c>
      <c r="AT125" s="131">
        <f>COUNTIF(ParicipationMai1[[#This Row],[1]:[31]],Code11)</f>
        <v>0</v>
      </c>
      <c r="AU125" s="131">
        <f>COUNTIF(ParicipationMai1[[#This Row],[1]:[31]],Code12)</f>
        <v>0</v>
      </c>
      <c r="AV125" s="131">
        <f>COUNTIF(ParicipationMai1[[#This Row],[1]:[31]],Code13)</f>
        <v>0</v>
      </c>
      <c r="AW125" s="131">
        <f>COUNTIF(ParicipationMai1[[#This Row],[1]:[31]],Code14)</f>
        <v>0</v>
      </c>
      <c r="AX125" s="131">
        <f>COUNTIF(ParicipationMai1[[#This Row],[1]:[31]],Code15)</f>
        <v>0</v>
      </c>
      <c r="AY125" s="131">
        <f>COUNTIF(ParicipationMai1[[#This Row],[1]:[31]],Code16)</f>
        <v>0</v>
      </c>
      <c r="AZ125" s="131">
        <f>COUNTIF(ParicipationMai1[[#This Row],[1]:[31]],Code17)</f>
        <v>0</v>
      </c>
      <c r="BA125" s="131">
        <f>COUNTIF(ParicipationMai1[[#This Row],[1]:[31]],Code26)</f>
        <v>0</v>
      </c>
      <c r="BB125" s="131">
        <f>COUNTIF(ParicipationMai1[[#This Row],[1]:[31]],Code27)</f>
        <v>0</v>
      </c>
      <c r="BC125" s="131">
        <f>COUNTIF(ParicipationMai1[[#This Row],[1]:[31]],Code27)</f>
        <v>0</v>
      </c>
      <c r="BD125" s="131">
        <f>COUNTIF(ParicipationMai1[[#This Row],[1]:[31]],Code28)</f>
        <v>0</v>
      </c>
      <c r="BE125" s="131">
        <f>COUNTIF(ParicipationMai1[[#This Row],[1]:[31]],code30)</f>
        <v>0</v>
      </c>
      <c r="BF125" s="131">
        <f>COUNTIF(ParicipationMai1[[#This Row],[1]:[31]],Code31)</f>
        <v>0</v>
      </c>
      <c r="BG125" s="131">
        <f>COUNTIF(ParicipationMai1[[#This Row],[1]:[31]],code21)</f>
        <v>0</v>
      </c>
      <c r="BH125" s="131">
        <f>COUNTIF(ParicipationMai1[[#This Row],[1]:[31]],Code24)</f>
        <v>0</v>
      </c>
      <c r="BI125" s="568">
        <f>COUNTIF(ParicipationMai1[[#This Row],[1]:[31]],code18)</f>
        <v>0</v>
      </c>
      <c r="BJ125" s="568">
        <f>COUNTIF(ParicipationMai1[[#This Row],[1]:[31]],code19)</f>
        <v>0</v>
      </c>
      <c r="BK125" s="568">
        <f>COUNTIF(ParicipationMai1[[#This Row],[1]:[31]],code20)</f>
        <v>0</v>
      </c>
      <c r="BL125" s="548">
        <f>COUNTIF(ParicipationMai1[[#This Row],[1]:[31]],code29)</f>
        <v>0</v>
      </c>
      <c r="BM125" s="131"/>
      <c r="BN125" s="131"/>
      <c r="BO125" s="131"/>
      <c r="BP125" s="131"/>
      <c r="BQ125" s="131"/>
      <c r="BR125" s="131"/>
      <c r="BS125" s="131"/>
      <c r="BT125" s="131"/>
      <c r="BU125" s="131"/>
      <c r="BV125" s="131"/>
      <c r="BW125" s="131"/>
      <c r="BX125" s="131"/>
      <c r="BY125" s="131"/>
      <c r="BZ125" s="131"/>
      <c r="CA125" s="131"/>
      <c r="CB125" s="131"/>
      <c r="CC125" s="131"/>
      <c r="CD125" s="131"/>
      <c r="CE125" s="131"/>
      <c r="CF125" s="131"/>
      <c r="CG125" s="131"/>
      <c r="CH125" s="131"/>
      <c r="CI125" s="131"/>
      <c r="CJ125" s="131"/>
      <c r="CK125" s="131"/>
      <c r="CL125" s="131"/>
      <c r="CM125" s="131"/>
      <c r="CN125" s="131"/>
      <c r="CO125" s="131"/>
      <c r="CP125" s="131"/>
      <c r="CQ125" s="131"/>
      <c r="CR125" s="131"/>
      <c r="CS125" s="131"/>
      <c r="CT125" s="131"/>
      <c r="CU125" s="548"/>
      <c r="CV125" s="592">
        <f t="shared" si="4"/>
        <v>0</v>
      </c>
      <c r="CW125" s="575">
        <f t="shared" si="5"/>
        <v>0</v>
      </c>
      <c r="CX125" s="131">
        <f t="shared" si="6"/>
        <v>0</v>
      </c>
      <c r="CY125" s="170">
        <f t="shared" si="7"/>
        <v>0</v>
      </c>
    </row>
    <row r="126" spans="1:103">
      <c r="A126" s="405" t="s">
        <v>467</v>
      </c>
      <c r="B126" s="537" t="str">
        <f>IFERROR(VLOOKUP(ParicipationMai1[[#This Row],[Référence]],ListeÉtudiants1[],18,FALSE),"")</f>
        <v>SILVERE SHERLEY</v>
      </c>
      <c r="C126" s="405"/>
      <c r="D126" s="405"/>
      <c r="E126" s="405"/>
      <c r="F126" s="405"/>
      <c r="G126" s="405"/>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546"/>
      <c r="AH126" s="132">
        <f>COUNTIF(ParicipationMai1[[1]:[31]],Code1)</f>
        <v>0</v>
      </c>
      <c r="AI126" s="538">
        <f>COUNTIF(ParicipationMai1[[1]:[31]],code22)</f>
        <v>0</v>
      </c>
      <c r="AJ126" s="132">
        <f>COUNTIF(ParicipationMai1[[#This Row],[1]:[31]],Code2)</f>
        <v>0</v>
      </c>
      <c r="AK126" s="132">
        <f>COUNTIF(ParicipationMai1[[#This Row],[1]:[31]],Code3)</f>
        <v>0</v>
      </c>
      <c r="AL126" s="132">
        <f>COUNTIF(ParicipationMai1[[#This Row],[1]:[31]],Code4)</f>
        <v>0</v>
      </c>
      <c r="AM126" s="132">
        <f>COUNTIF(ParicipationMai1[[#This Row],[1]:[31]],Code5)</f>
        <v>0</v>
      </c>
      <c r="AN126" s="132">
        <f>COUNTIF(ParicipationMai1[[#This Row],[1]:[31]],Code23)</f>
        <v>0</v>
      </c>
      <c r="AO126" s="132">
        <f>COUNTIF(ParicipationMai1[[#This Row],[1]:[31]],Code6)</f>
        <v>0</v>
      </c>
      <c r="AP126" s="132">
        <f>COUNTIF(ParicipationMai1[[#This Row],[1]:[31]],Code7)</f>
        <v>0</v>
      </c>
      <c r="AQ126" s="132">
        <f>COUNTIF(ParicipationMai1[[#This Row],[1]:[31]],Code8)</f>
        <v>0</v>
      </c>
      <c r="AR126" s="132">
        <f>COUNTIF(ParicipationMai1[[#This Row],[1]:[31]],Code9)</f>
        <v>0</v>
      </c>
      <c r="AS126" s="132">
        <f>COUNTIF(ParicipationMai1[[#This Row],[1]:[31]],Code10)</f>
        <v>0</v>
      </c>
      <c r="AT126" s="132">
        <f>COUNTIF(ParicipationMai1[[#This Row],[1]:[31]],Code11)</f>
        <v>0</v>
      </c>
      <c r="AU126" s="132">
        <f>COUNTIF(ParicipationMai1[[#This Row],[1]:[31]],Code12)</f>
        <v>0</v>
      </c>
      <c r="AV126" s="132">
        <f>COUNTIF(ParicipationMai1[[#This Row],[1]:[31]],Code13)</f>
        <v>0</v>
      </c>
      <c r="AW126" s="132">
        <f>COUNTIF(ParicipationMai1[[#This Row],[1]:[31]],Code14)</f>
        <v>0</v>
      </c>
      <c r="AX126" s="132">
        <f>COUNTIF(ParicipationMai1[[#This Row],[1]:[31]],Code15)</f>
        <v>0</v>
      </c>
      <c r="AY126" s="132">
        <f>COUNTIF(ParicipationMai1[[#This Row],[1]:[31]],Code16)</f>
        <v>0</v>
      </c>
      <c r="AZ126" s="132">
        <f>COUNTIF(ParicipationMai1[[#This Row],[1]:[31]],Code17)</f>
        <v>0</v>
      </c>
      <c r="BA126" s="132">
        <f>COUNTIF(ParicipationMai1[[#This Row],[1]:[31]],Code26)</f>
        <v>0</v>
      </c>
      <c r="BB126" s="132">
        <f>COUNTIF(ParicipationMai1[[#This Row],[1]:[31]],Code27)</f>
        <v>0</v>
      </c>
      <c r="BC126" s="132">
        <f>COUNTIF(ParicipationMai1[[#This Row],[1]:[31]],Code27)</f>
        <v>0</v>
      </c>
      <c r="BD126" s="132">
        <f>COUNTIF(ParicipationMai1[[#This Row],[1]:[31]],Code28)</f>
        <v>0</v>
      </c>
      <c r="BE126" s="132">
        <f>COUNTIF(ParicipationMai1[[#This Row],[1]:[31]],code30)</f>
        <v>0</v>
      </c>
      <c r="BF126" s="132">
        <f>COUNTIF(ParicipationMai1[[#This Row],[1]:[31]],Code31)</f>
        <v>0</v>
      </c>
      <c r="BG126" s="132">
        <f>COUNTIF(ParicipationMai1[[#This Row],[1]:[31]],code21)</f>
        <v>0</v>
      </c>
      <c r="BH126" s="132">
        <f>COUNTIF(ParicipationMai1[[#This Row],[1]:[31]],Code24)</f>
        <v>0</v>
      </c>
      <c r="BI126" s="579">
        <f>COUNTIF(ParicipationMai1[[#This Row],[1]:[31]],code18)</f>
        <v>0</v>
      </c>
      <c r="BJ126" s="579">
        <f>COUNTIF(ParicipationMai1[[#This Row],[1]:[31]],code19)</f>
        <v>0</v>
      </c>
      <c r="BK126" s="579">
        <f>COUNTIF(ParicipationMai1[[#This Row],[1]:[31]],code20)</f>
        <v>0</v>
      </c>
      <c r="BL126" s="547">
        <f>COUNTIF(ParicipationMai1[[#This Row],[1]:[31]],code29)</f>
        <v>0</v>
      </c>
      <c r="BM126" s="132"/>
      <c r="BN126" s="132"/>
      <c r="BO126" s="132"/>
      <c r="BP126" s="132"/>
      <c r="BQ126" s="132"/>
      <c r="BR126" s="132"/>
      <c r="BS126" s="132"/>
      <c r="BT126" s="132"/>
      <c r="BU126" s="132"/>
      <c r="BV126" s="132"/>
      <c r="BW126" s="132"/>
      <c r="BX126" s="132"/>
      <c r="BY126" s="132"/>
      <c r="BZ126" s="132"/>
      <c r="CA126" s="132"/>
      <c r="CB126" s="132"/>
      <c r="CC126" s="132"/>
      <c r="CD126" s="132"/>
      <c r="CE126" s="132"/>
      <c r="CF126" s="132"/>
      <c r="CG126" s="132"/>
      <c r="CH126" s="132"/>
      <c r="CI126" s="132"/>
      <c r="CJ126" s="132"/>
      <c r="CK126" s="132"/>
      <c r="CL126" s="132"/>
      <c r="CM126" s="132"/>
      <c r="CN126" s="132"/>
      <c r="CO126" s="132"/>
      <c r="CP126" s="132"/>
      <c r="CQ126" s="132"/>
      <c r="CR126" s="132"/>
      <c r="CS126" s="132"/>
      <c r="CT126" s="132"/>
      <c r="CU126" s="547"/>
      <c r="CV126" s="590">
        <f t="shared" si="4"/>
        <v>0</v>
      </c>
      <c r="CW126" s="573">
        <f t="shared" si="5"/>
        <v>0</v>
      </c>
      <c r="CX126" s="132">
        <f t="shared" si="6"/>
        <v>0</v>
      </c>
      <c r="CY126" s="500">
        <f t="shared" si="7"/>
        <v>0</v>
      </c>
    </row>
    <row r="127" spans="1:103">
      <c r="A127" s="406" t="s">
        <v>468</v>
      </c>
      <c r="B127" s="540" t="str">
        <f>IFERROR(VLOOKUP(ParicipationMai1[[#This Row],[Référence]],ListeÉtudiants1[],18,FALSE),"")</f>
        <v>SOUQUERE LAURANA</v>
      </c>
      <c r="C127" s="406"/>
      <c r="D127" s="406"/>
      <c r="E127" s="406"/>
      <c r="F127" s="406"/>
      <c r="G127" s="406"/>
      <c r="H127" s="406"/>
      <c r="I127" s="406"/>
      <c r="J127" s="406"/>
      <c r="K127" s="406"/>
      <c r="L127" s="406"/>
      <c r="M127" s="406"/>
      <c r="N127" s="406"/>
      <c r="O127" s="406"/>
      <c r="P127" s="406"/>
      <c r="Q127" s="406"/>
      <c r="R127" s="406"/>
      <c r="S127" s="406"/>
      <c r="T127" s="406"/>
      <c r="U127" s="406"/>
      <c r="V127" s="406"/>
      <c r="W127" s="406"/>
      <c r="X127" s="406"/>
      <c r="Y127" s="406"/>
      <c r="Z127" s="406"/>
      <c r="AA127" s="406"/>
      <c r="AB127" s="406"/>
      <c r="AC127" s="406"/>
      <c r="AD127" s="406"/>
      <c r="AE127" s="406"/>
      <c r="AF127" s="406"/>
      <c r="AG127" s="542"/>
      <c r="AH127" s="131">
        <f>COUNTIF(ParicipationMai1[[1]:[31]],Code1)</f>
        <v>0</v>
      </c>
      <c r="AI127" s="311">
        <f>COUNTIF(ParicipationMai1[[1]:[31]],code22)</f>
        <v>0</v>
      </c>
      <c r="AJ127" s="131">
        <f>COUNTIF(ParicipationMai1[[#This Row],[1]:[31]],Code2)</f>
        <v>0</v>
      </c>
      <c r="AK127" s="131">
        <f>COUNTIF(ParicipationMai1[[#This Row],[1]:[31]],Code3)</f>
        <v>0</v>
      </c>
      <c r="AL127" s="131">
        <f>COUNTIF(ParicipationMai1[[#This Row],[1]:[31]],Code4)</f>
        <v>0</v>
      </c>
      <c r="AM127" s="131">
        <f>COUNTIF(ParicipationMai1[[#This Row],[1]:[31]],Code5)</f>
        <v>0</v>
      </c>
      <c r="AN127" s="131">
        <f>COUNTIF(ParicipationMai1[[#This Row],[1]:[31]],Code23)</f>
        <v>0</v>
      </c>
      <c r="AO127" s="131">
        <f>COUNTIF(ParicipationMai1[[#This Row],[1]:[31]],Code6)</f>
        <v>0</v>
      </c>
      <c r="AP127" s="131">
        <f>COUNTIF(ParicipationMai1[[#This Row],[1]:[31]],Code7)</f>
        <v>0</v>
      </c>
      <c r="AQ127" s="131">
        <f>COUNTIF(ParicipationMai1[[#This Row],[1]:[31]],Code8)</f>
        <v>0</v>
      </c>
      <c r="AR127" s="131">
        <f>COUNTIF(ParicipationMai1[[#This Row],[1]:[31]],Code9)</f>
        <v>0</v>
      </c>
      <c r="AS127" s="131">
        <f>COUNTIF(ParicipationMai1[[#This Row],[1]:[31]],Code10)</f>
        <v>0</v>
      </c>
      <c r="AT127" s="131">
        <f>COUNTIF(ParicipationMai1[[#This Row],[1]:[31]],Code11)</f>
        <v>0</v>
      </c>
      <c r="AU127" s="131">
        <f>COUNTIF(ParicipationMai1[[#This Row],[1]:[31]],Code12)</f>
        <v>0</v>
      </c>
      <c r="AV127" s="131">
        <f>COUNTIF(ParicipationMai1[[#This Row],[1]:[31]],Code13)</f>
        <v>0</v>
      </c>
      <c r="AW127" s="131">
        <f>COUNTIF(ParicipationMai1[[#This Row],[1]:[31]],Code14)</f>
        <v>0</v>
      </c>
      <c r="AX127" s="131">
        <f>COUNTIF(ParicipationMai1[[#This Row],[1]:[31]],Code15)</f>
        <v>0</v>
      </c>
      <c r="AY127" s="131">
        <f>COUNTIF(ParicipationMai1[[#This Row],[1]:[31]],Code16)</f>
        <v>0</v>
      </c>
      <c r="AZ127" s="131">
        <f>COUNTIF(ParicipationMai1[[#This Row],[1]:[31]],Code17)</f>
        <v>0</v>
      </c>
      <c r="BA127" s="131">
        <f>COUNTIF(ParicipationMai1[[#This Row],[1]:[31]],Code26)</f>
        <v>0</v>
      </c>
      <c r="BB127" s="131">
        <f>COUNTIF(ParicipationMai1[[#This Row],[1]:[31]],Code27)</f>
        <v>0</v>
      </c>
      <c r="BC127" s="131">
        <f>COUNTIF(ParicipationMai1[[#This Row],[1]:[31]],Code27)</f>
        <v>0</v>
      </c>
      <c r="BD127" s="131">
        <f>COUNTIF(ParicipationMai1[[#This Row],[1]:[31]],Code28)</f>
        <v>0</v>
      </c>
      <c r="BE127" s="131">
        <f>COUNTIF(ParicipationMai1[[#This Row],[1]:[31]],code30)</f>
        <v>0</v>
      </c>
      <c r="BF127" s="131">
        <f>COUNTIF(ParicipationMai1[[#This Row],[1]:[31]],Code31)</f>
        <v>0</v>
      </c>
      <c r="BG127" s="131">
        <f>COUNTIF(ParicipationMai1[[#This Row],[1]:[31]],code21)</f>
        <v>0</v>
      </c>
      <c r="BH127" s="131">
        <f>COUNTIF(ParicipationMai1[[#This Row],[1]:[31]],Code24)</f>
        <v>0</v>
      </c>
      <c r="BI127" s="568">
        <f>COUNTIF(ParicipationMai1[[#This Row],[1]:[31]],code18)</f>
        <v>0</v>
      </c>
      <c r="BJ127" s="568">
        <f>COUNTIF(ParicipationMai1[[#This Row],[1]:[31]],code19)</f>
        <v>0</v>
      </c>
      <c r="BK127" s="568">
        <f>COUNTIF(ParicipationMai1[[#This Row],[1]:[31]],code20)</f>
        <v>0</v>
      </c>
      <c r="BL127" s="548">
        <f>COUNTIF(ParicipationMai1[[#This Row],[1]:[31]],code29)</f>
        <v>0</v>
      </c>
      <c r="BM127" s="131"/>
      <c r="BN127" s="131"/>
      <c r="BO127" s="131"/>
      <c r="BP127" s="131"/>
      <c r="BQ127" s="131"/>
      <c r="BR127" s="131"/>
      <c r="BS127" s="131"/>
      <c r="BT127" s="131"/>
      <c r="BU127" s="131"/>
      <c r="BV127" s="131"/>
      <c r="BW127" s="131"/>
      <c r="BX127" s="131"/>
      <c r="BY127" s="131"/>
      <c r="BZ127" s="131"/>
      <c r="CA127" s="131"/>
      <c r="CB127" s="131"/>
      <c r="CC127" s="131"/>
      <c r="CD127" s="131"/>
      <c r="CE127" s="131"/>
      <c r="CF127" s="131"/>
      <c r="CG127" s="131"/>
      <c r="CH127" s="131"/>
      <c r="CI127" s="131"/>
      <c r="CJ127" s="131"/>
      <c r="CK127" s="131"/>
      <c r="CL127" s="131"/>
      <c r="CM127" s="131"/>
      <c r="CN127" s="131"/>
      <c r="CO127" s="131"/>
      <c r="CP127" s="131"/>
      <c r="CQ127" s="131"/>
      <c r="CR127" s="131"/>
      <c r="CS127" s="131"/>
      <c r="CT127" s="131"/>
      <c r="CU127" s="548"/>
      <c r="CV127" s="592">
        <f t="shared" si="4"/>
        <v>0</v>
      </c>
      <c r="CW127" s="575">
        <f t="shared" si="5"/>
        <v>0</v>
      </c>
      <c r="CX127" s="131">
        <f t="shared" si="6"/>
        <v>0</v>
      </c>
      <c r="CY127" s="170">
        <f t="shared" si="7"/>
        <v>0</v>
      </c>
    </row>
    <row r="128" spans="1:103">
      <c r="A128" s="405" t="s">
        <v>469</v>
      </c>
      <c r="B128" s="537" t="str">
        <f>IFERROR(VLOOKUP(ParicipationMai1[[#This Row],[Référence]],ListeÉtudiants1[],18,FALSE),"")</f>
        <v>TABUDI DARLENE</v>
      </c>
      <c r="C128" s="405"/>
      <c r="D128" s="405"/>
      <c r="E128" s="405"/>
      <c r="F128" s="405"/>
      <c r="G128" s="405"/>
      <c r="H128" s="405"/>
      <c r="I128" s="405"/>
      <c r="J128" s="405"/>
      <c r="K128" s="405"/>
      <c r="L128" s="405"/>
      <c r="M128" s="405"/>
      <c r="N128" s="405"/>
      <c r="O128" s="405"/>
      <c r="P128" s="405"/>
      <c r="Q128" s="405"/>
      <c r="R128" s="405"/>
      <c r="S128" s="405"/>
      <c r="T128" s="405"/>
      <c r="U128" s="405"/>
      <c r="V128" s="405"/>
      <c r="W128" s="405"/>
      <c r="X128" s="405"/>
      <c r="Y128" s="405"/>
      <c r="Z128" s="405"/>
      <c r="AA128" s="405"/>
      <c r="AB128" s="405"/>
      <c r="AC128" s="405"/>
      <c r="AD128" s="405"/>
      <c r="AE128" s="405"/>
      <c r="AF128" s="405"/>
      <c r="AG128" s="546"/>
      <c r="AH128" s="132">
        <f>COUNTIF(ParicipationMai1[[1]:[31]],Code1)</f>
        <v>0</v>
      </c>
      <c r="AI128" s="538">
        <f>COUNTIF(ParicipationMai1[[1]:[31]],code22)</f>
        <v>0</v>
      </c>
      <c r="AJ128" s="132">
        <f>COUNTIF(ParicipationMai1[[#This Row],[1]:[31]],Code2)</f>
        <v>0</v>
      </c>
      <c r="AK128" s="132">
        <f>COUNTIF(ParicipationMai1[[#This Row],[1]:[31]],Code3)</f>
        <v>0</v>
      </c>
      <c r="AL128" s="132">
        <f>COUNTIF(ParicipationMai1[[#This Row],[1]:[31]],Code4)</f>
        <v>0</v>
      </c>
      <c r="AM128" s="132">
        <f>COUNTIF(ParicipationMai1[[#This Row],[1]:[31]],Code5)</f>
        <v>0</v>
      </c>
      <c r="AN128" s="132">
        <f>COUNTIF(ParicipationMai1[[#This Row],[1]:[31]],Code23)</f>
        <v>0</v>
      </c>
      <c r="AO128" s="132">
        <f>COUNTIF(ParicipationMai1[[#This Row],[1]:[31]],Code6)</f>
        <v>0</v>
      </c>
      <c r="AP128" s="132">
        <f>COUNTIF(ParicipationMai1[[#This Row],[1]:[31]],Code7)</f>
        <v>0</v>
      </c>
      <c r="AQ128" s="132">
        <f>COUNTIF(ParicipationMai1[[#This Row],[1]:[31]],Code8)</f>
        <v>0</v>
      </c>
      <c r="AR128" s="132">
        <f>COUNTIF(ParicipationMai1[[#This Row],[1]:[31]],Code9)</f>
        <v>0</v>
      </c>
      <c r="AS128" s="132">
        <f>COUNTIF(ParicipationMai1[[#This Row],[1]:[31]],Code10)</f>
        <v>0</v>
      </c>
      <c r="AT128" s="132">
        <f>COUNTIF(ParicipationMai1[[#This Row],[1]:[31]],Code11)</f>
        <v>0</v>
      </c>
      <c r="AU128" s="132">
        <f>COUNTIF(ParicipationMai1[[#This Row],[1]:[31]],Code12)</f>
        <v>0</v>
      </c>
      <c r="AV128" s="132">
        <f>COUNTIF(ParicipationMai1[[#This Row],[1]:[31]],Code13)</f>
        <v>0</v>
      </c>
      <c r="AW128" s="132">
        <f>COUNTIF(ParicipationMai1[[#This Row],[1]:[31]],Code14)</f>
        <v>0</v>
      </c>
      <c r="AX128" s="132">
        <f>COUNTIF(ParicipationMai1[[#This Row],[1]:[31]],Code15)</f>
        <v>0</v>
      </c>
      <c r="AY128" s="132">
        <f>COUNTIF(ParicipationMai1[[#This Row],[1]:[31]],Code16)</f>
        <v>0</v>
      </c>
      <c r="AZ128" s="132">
        <f>COUNTIF(ParicipationMai1[[#This Row],[1]:[31]],Code17)</f>
        <v>0</v>
      </c>
      <c r="BA128" s="132">
        <f>COUNTIF(ParicipationMai1[[#This Row],[1]:[31]],Code26)</f>
        <v>0</v>
      </c>
      <c r="BB128" s="132">
        <f>COUNTIF(ParicipationMai1[[#This Row],[1]:[31]],Code27)</f>
        <v>0</v>
      </c>
      <c r="BC128" s="132">
        <f>COUNTIF(ParicipationMai1[[#This Row],[1]:[31]],Code27)</f>
        <v>0</v>
      </c>
      <c r="BD128" s="132">
        <f>COUNTIF(ParicipationMai1[[#This Row],[1]:[31]],Code28)</f>
        <v>0</v>
      </c>
      <c r="BE128" s="132">
        <f>COUNTIF(ParicipationMai1[[#This Row],[1]:[31]],code30)</f>
        <v>0</v>
      </c>
      <c r="BF128" s="132">
        <f>COUNTIF(ParicipationMai1[[#This Row],[1]:[31]],Code31)</f>
        <v>0</v>
      </c>
      <c r="BG128" s="132">
        <f>COUNTIF(ParicipationMai1[[#This Row],[1]:[31]],code21)</f>
        <v>0</v>
      </c>
      <c r="BH128" s="132">
        <f>COUNTIF(ParicipationMai1[[#This Row],[1]:[31]],Code24)</f>
        <v>0</v>
      </c>
      <c r="BI128" s="579">
        <f>COUNTIF(ParicipationMai1[[#This Row],[1]:[31]],code18)</f>
        <v>0</v>
      </c>
      <c r="BJ128" s="579">
        <f>COUNTIF(ParicipationMai1[[#This Row],[1]:[31]],code19)</f>
        <v>0</v>
      </c>
      <c r="BK128" s="579">
        <f>COUNTIF(ParicipationMai1[[#This Row],[1]:[31]],code20)</f>
        <v>0</v>
      </c>
      <c r="BL128" s="547">
        <f>COUNTIF(ParicipationMai1[[#This Row],[1]:[31]],code29)</f>
        <v>0</v>
      </c>
      <c r="BM128" s="132"/>
      <c r="BN128" s="132"/>
      <c r="BO128" s="132"/>
      <c r="BP128" s="132"/>
      <c r="BQ128" s="132"/>
      <c r="BR128" s="132"/>
      <c r="BS128" s="132"/>
      <c r="BT128" s="132"/>
      <c r="BU128" s="132"/>
      <c r="BV128" s="132"/>
      <c r="BW128" s="132"/>
      <c r="BX128" s="132"/>
      <c r="BY128" s="132"/>
      <c r="BZ128" s="132"/>
      <c r="CA128" s="132"/>
      <c r="CB128" s="132"/>
      <c r="CC128" s="132"/>
      <c r="CD128" s="132"/>
      <c r="CE128" s="132"/>
      <c r="CF128" s="132"/>
      <c r="CG128" s="132"/>
      <c r="CH128" s="132"/>
      <c r="CI128" s="132"/>
      <c r="CJ128" s="132"/>
      <c r="CK128" s="132"/>
      <c r="CL128" s="132"/>
      <c r="CM128" s="132"/>
      <c r="CN128" s="132"/>
      <c r="CO128" s="132"/>
      <c r="CP128" s="132"/>
      <c r="CQ128" s="132"/>
      <c r="CR128" s="132"/>
      <c r="CS128" s="132"/>
      <c r="CT128" s="132"/>
      <c r="CU128" s="547"/>
      <c r="CV128" s="590">
        <f t="shared" si="4"/>
        <v>0</v>
      </c>
      <c r="CW128" s="573">
        <f t="shared" si="5"/>
        <v>0</v>
      </c>
      <c r="CX128" s="132">
        <f t="shared" si="6"/>
        <v>0</v>
      </c>
      <c r="CY128" s="500">
        <f t="shared" si="7"/>
        <v>0</v>
      </c>
    </row>
    <row r="129" spans="1:103">
      <c r="A129" s="406" t="s">
        <v>470</v>
      </c>
      <c r="B129" s="540" t="str">
        <f>IFERROR(VLOOKUP(ParicipationMai1[[#This Row],[Référence]],ListeÉtudiants1[],18,FALSE),"")</f>
        <v>TAKERKART SIRINE</v>
      </c>
      <c r="C129" s="406"/>
      <c r="D129" s="406"/>
      <c r="E129" s="406"/>
      <c r="F129" s="406"/>
      <c r="G129" s="406"/>
      <c r="H129" s="406"/>
      <c r="I129" s="406"/>
      <c r="J129" s="406"/>
      <c r="K129" s="406"/>
      <c r="L129" s="406"/>
      <c r="M129" s="406"/>
      <c r="N129" s="406"/>
      <c r="O129" s="406"/>
      <c r="P129" s="406"/>
      <c r="Q129" s="406"/>
      <c r="R129" s="406"/>
      <c r="S129" s="406"/>
      <c r="T129" s="406"/>
      <c r="U129" s="406"/>
      <c r="V129" s="406"/>
      <c r="W129" s="406"/>
      <c r="X129" s="406"/>
      <c r="Y129" s="406"/>
      <c r="Z129" s="406"/>
      <c r="AA129" s="406"/>
      <c r="AB129" s="406"/>
      <c r="AC129" s="406"/>
      <c r="AD129" s="406"/>
      <c r="AE129" s="406"/>
      <c r="AF129" s="406"/>
      <c r="AG129" s="542"/>
      <c r="AH129" s="131">
        <f>COUNTIF(ParicipationMai1[[1]:[31]],Code1)</f>
        <v>0</v>
      </c>
      <c r="AI129" s="311">
        <f>COUNTIF(ParicipationMai1[[1]:[31]],code22)</f>
        <v>0</v>
      </c>
      <c r="AJ129" s="131">
        <f>COUNTIF(ParicipationMai1[[#This Row],[1]:[31]],Code2)</f>
        <v>0</v>
      </c>
      <c r="AK129" s="131">
        <f>COUNTIF(ParicipationMai1[[#This Row],[1]:[31]],Code3)</f>
        <v>0</v>
      </c>
      <c r="AL129" s="131">
        <f>COUNTIF(ParicipationMai1[[#This Row],[1]:[31]],Code4)</f>
        <v>0</v>
      </c>
      <c r="AM129" s="131">
        <f>COUNTIF(ParicipationMai1[[#This Row],[1]:[31]],Code5)</f>
        <v>0</v>
      </c>
      <c r="AN129" s="131">
        <f>COUNTIF(ParicipationMai1[[#This Row],[1]:[31]],Code23)</f>
        <v>0</v>
      </c>
      <c r="AO129" s="131">
        <f>COUNTIF(ParicipationMai1[[#This Row],[1]:[31]],Code6)</f>
        <v>0</v>
      </c>
      <c r="AP129" s="131">
        <f>COUNTIF(ParicipationMai1[[#This Row],[1]:[31]],Code7)</f>
        <v>0</v>
      </c>
      <c r="AQ129" s="131">
        <f>COUNTIF(ParicipationMai1[[#This Row],[1]:[31]],Code8)</f>
        <v>0</v>
      </c>
      <c r="AR129" s="131">
        <f>COUNTIF(ParicipationMai1[[#This Row],[1]:[31]],Code9)</f>
        <v>0</v>
      </c>
      <c r="AS129" s="131">
        <f>COUNTIF(ParicipationMai1[[#This Row],[1]:[31]],Code10)</f>
        <v>0</v>
      </c>
      <c r="AT129" s="131">
        <f>COUNTIF(ParicipationMai1[[#This Row],[1]:[31]],Code11)</f>
        <v>0</v>
      </c>
      <c r="AU129" s="131">
        <f>COUNTIF(ParicipationMai1[[#This Row],[1]:[31]],Code12)</f>
        <v>0</v>
      </c>
      <c r="AV129" s="131">
        <f>COUNTIF(ParicipationMai1[[#This Row],[1]:[31]],Code13)</f>
        <v>0</v>
      </c>
      <c r="AW129" s="131">
        <f>COUNTIF(ParicipationMai1[[#This Row],[1]:[31]],Code14)</f>
        <v>0</v>
      </c>
      <c r="AX129" s="131">
        <f>COUNTIF(ParicipationMai1[[#This Row],[1]:[31]],Code15)</f>
        <v>0</v>
      </c>
      <c r="AY129" s="131">
        <f>COUNTIF(ParicipationMai1[[#This Row],[1]:[31]],Code16)</f>
        <v>0</v>
      </c>
      <c r="AZ129" s="131">
        <f>COUNTIF(ParicipationMai1[[#This Row],[1]:[31]],Code17)</f>
        <v>0</v>
      </c>
      <c r="BA129" s="131">
        <f>COUNTIF(ParicipationMai1[[#This Row],[1]:[31]],Code26)</f>
        <v>0</v>
      </c>
      <c r="BB129" s="131">
        <f>COUNTIF(ParicipationMai1[[#This Row],[1]:[31]],Code27)</f>
        <v>0</v>
      </c>
      <c r="BC129" s="131">
        <f>COUNTIF(ParicipationMai1[[#This Row],[1]:[31]],Code27)</f>
        <v>0</v>
      </c>
      <c r="BD129" s="131">
        <f>COUNTIF(ParicipationMai1[[#This Row],[1]:[31]],Code28)</f>
        <v>0</v>
      </c>
      <c r="BE129" s="131">
        <f>COUNTIF(ParicipationMai1[[#This Row],[1]:[31]],code30)</f>
        <v>0</v>
      </c>
      <c r="BF129" s="131">
        <f>COUNTIF(ParicipationMai1[[#This Row],[1]:[31]],Code31)</f>
        <v>0</v>
      </c>
      <c r="BG129" s="131">
        <f>COUNTIF(ParicipationMai1[[#This Row],[1]:[31]],code21)</f>
        <v>0</v>
      </c>
      <c r="BH129" s="131">
        <f>COUNTIF(ParicipationMai1[[#This Row],[1]:[31]],Code24)</f>
        <v>0</v>
      </c>
      <c r="BI129" s="568">
        <f>COUNTIF(ParicipationMai1[[#This Row],[1]:[31]],code18)</f>
        <v>0</v>
      </c>
      <c r="BJ129" s="568">
        <f>COUNTIF(ParicipationMai1[[#This Row],[1]:[31]],code19)</f>
        <v>0</v>
      </c>
      <c r="BK129" s="568">
        <f>COUNTIF(ParicipationMai1[[#This Row],[1]:[31]],code20)</f>
        <v>0</v>
      </c>
      <c r="BL129" s="548">
        <f>COUNTIF(ParicipationMai1[[#This Row],[1]:[31]],code29)</f>
        <v>0</v>
      </c>
      <c r="BM129" s="131"/>
      <c r="BN129" s="131"/>
      <c r="BO129" s="131"/>
      <c r="BP129" s="131"/>
      <c r="BQ129" s="131"/>
      <c r="BR129" s="131"/>
      <c r="BS129" s="131"/>
      <c r="BT129" s="131"/>
      <c r="BU129" s="131"/>
      <c r="BV129" s="131"/>
      <c r="BW129" s="131"/>
      <c r="BX129" s="131"/>
      <c r="BY129" s="131"/>
      <c r="BZ129" s="131"/>
      <c r="CA129" s="131"/>
      <c r="CB129" s="131"/>
      <c r="CC129" s="131"/>
      <c r="CD129" s="131"/>
      <c r="CE129" s="131"/>
      <c r="CF129" s="131"/>
      <c r="CG129" s="131"/>
      <c r="CH129" s="131"/>
      <c r="CI129" s="131"/>
      <c r="CJ129" s="131"/>
      <c r="CK129" s="131"/>
      <c r="CL129" s="131"/>
      <c r="CM129" s="131"/>
      <c r="CN129" s="131"/>
      <c r="CO129" s="131"/>
      <c r="CP129" s="131"/>
      <c r="CQ129" s="131"/>
      <c r="CR129" s="131"/>
      <c r="CS129" s="131"/>
      <c r="CT129" s="131"/>
      <c r="CU129" s="548"/>
      <c r="CV129" s="592">
        <f t="shared" si="4"/>
        <v>0</v>
      </c>
      <c r="CW129" s="575">
        <f t="shared" si="5"/>
        <v>0</v>
      </c>
      <c r="CX129" s="131">
        <f t="shared" si="6"/>
        <v>0</v>
      </c>
      <c r="CY129" s="170">
        <f t="shared" si="7"/>
        <v>0</v>
      </c>
    </row>
    <row r="130" spans="1:103">
      <c r="A130" s="405" t="s">
        <v>471</v>
      </c>
      <c r="B130" s="537" t="str">
        <f>IFERROR(VLOOKUP(ParicipationMai1[[#This Row],[Référence]],ListeÉtudiants1[],18,FALSE),"")</f>
        <v>THENARD FLORENCE</v>
      </c>
      <c r="C130" s="405"/>
      <c r="D130" s="405"/>
      <c r="E130" s="405"/>
      <c r="F130" s="405"/>
      <c r="G130" s="405"/>
      <c r="H130" s="405"/>
      <c r="I130" s="405"/>
      <c r="J130" s="405"/>
      <c r="K130" s="405"/>
      <c r="L130" s="405"/>
      <c r="M130" s="405"/>
      <c r="N130" s="405"/>
      <c r="O130" s="405"/>
      <c r="P130" s="405"/>
      <c r="Q130" s="405"/>
      <c r="R130" s="405"/>
      <c r="S130" s="405"/>
      <c r="T130" s="405"/>
      <c r="U130" s="405"/>
      <c r="V130" s="405"/>
      <c r="W130" s="405"/>
      <c r="X130" s="405"/>
      <c r="Y130" s="405"/>
      <c r="Z130" s="405"/>
      <c r="AA130" s="405"/>
      <c r="AB130" s="405"/>
      <c r="AC130" s="405"/>
      <c r="AD130" s="405"/>
      <c r="AE130" s="405"/>
      <c r="AF130" s="405"/>
      <c r="AG130" s="546"/>
      <c r="AH130" s="132">
        <f>COUNTIF(ParicipationMai1[[1]:[31]],Code1)</f>
        <v>0</v>
      </c>
      <c r="AI130" s="538">
        <f>COUNTIF(ParicipationMai1[[1]:[31]],code22)</f>
        <v>0</v>
      </c>
      <c r="AJ130" s="132">
        <f>COUNTIF(ParicipationMai1[[#This Row],[1]:[31]],Code2)</f>
        <v>0</v>
      </c>
      <c r="AK130" s="132">
        <f>COUNTIF(ParicipationMai1[[#This Row],[1]:[31]],Code3)</f>
        <v>0</v>
      </c>
      <c r="AL130" s="132">
        <f>COUNTIF(ParicipationMai1[[#This Row],[1]:[31]],Code4)</f>
        <v>0</v>
      </c>
      <c r="AM130" s="132">
        <f>COUNTIF(ParicipationMai1[[#This Row],[1]:[31]],Code5)</f>
        <v>0</v>
      </c>
      <c r="AN130" s="132">
        <f>COUNTIF(ParicipationMai1[[#This Row],[1]:[31]],Code23)</f>
        <v>0</v>
      </c>
      <c r="AO130" s="132">
        <f>COUNTIF(ParicipationMai1[[#This Row],[1]:[31]],Code6)</f>
        <v>0</v>
      </c>
      <c r="AP130" s="132">
        <f>COUNTIF(ParicipationMai1[[#This Row],[1]:[31]],Code7)</f>
        <v>0</v>
      </c>
      <c r="AQ130" s="132">
        <f>COUNTIF(ParicipationMai1[[#This Row],[1]:[31]],Code8)</f>
        <v>0</v>
      </c>
      <c r="AR130" s="132">
        <f>COUNTIF(ParicipationMai1[[#This Row],[1]:[31]],Code9)</f>
        <v>0</v>
      </c>
      <c r="AS130" s="132">
        <f>COUNTIF(ParicipationMai1[[#This Row],[1]:[31]],Code10)</f>
        <v>0</v>
      </c>
      <c r="AT130" s="132">
        <f>COUNTIF(ParicipationMai1[[#This Row],[1]:[31]],Code11)</f>
        <v>0</v>
      </c>
      <c r="AU130" s="132">
        <f>COUNTIF(ParicipationMai1[[#This Row],[1]:[31]],Code12)</f>
        <v>0</v>
      </c>
      <c r="AV130" s="132">
        <f>COUNTIF(ParicipationMai1[[#This Row],[1]:[31]],Code13)</f>
        <v>0</v>
      </c>
      <c r="AW130" s="132">
        <f>COUNTIF(ParicipationMai1[[#This Row],[1]:[31]],Code14)</f>
        <v>0</v>
      </c>
      <c r="AX130" s="132">
        <f>COUNTIF(ParicipationMai1[[#This Row],[1]:[31]],Code15)</f>
        <v>0</v>
      </c>
      <c r="AY130" s="132">
        <f>COUNTIF(ParicipationMai1[[#This Row],[1]:[31]],Code16)</f>
        <v>0</v>
      </c>
      <c r="AZ130" s="132">
        <f>COUNTIF(ParicipationMai1[[#This Row],[1]:[31]],Code17)</f>
        <v>0</v>
      </c>
      <c r="BA130" s="132">
        <f>COUNTIF(ParicipationMai1[[#This Row],[1]:[31]],Code26)</f>
        <v>0</v>
      </c>
      <c r="BB130" s="132">
        <f>COUNTIF(ParicipationMai1[[#This Row],[1]:[31]],Code27)</f>
        <v>0</v>
      </c>
      <c r="BC130" s="132">
        <f>COUNTIF(ParicipationMai1[[#This Row],[1]:[31]],Code27)</f>
        <v>0</v>
      </c>
      <c r="BD130" s="132">
        <f>COUNTIF(ParicipationMai1[[#This Row],[1]:[31]],Code28)</f>
        <v>0</v>
      </c>
      <c r="BE130" s="132">
        <f>COUNTIF(ParicipationMai1[[#This Row],[1]:[31]],code30)</f>
        <v>0</v>
      </c>
      <c r="BF130" s="132">
        <f>COUNTIF(ParicipationMai1[[#This Row],[1]:[31]],Code31)</f>
        <v>0</v>
      </c>
      <c r="BG130" s="132">
        <f>COUNTIF(ParicipationMai1[[#This Row],[1]:[31]],code21)</f>
        <v>0</v>
      </c>
      <c r="BH130" s="132">
        <f>COUNTIF(ParicipationMai1[[#This Row],[1]:[31]],Code24)</f>
        <v>0</v>
      </c>
      <c r="BI130" s="579">
        <f>COUNTIF(ParicipationMai1[[#This Row],[1]:[31]],code18)</f>
        <v>0</v>
      </c>
      <c r="BJ130" s="579">
        <f>COUNTIF(ParicipationMai1[[#This Row],[1]:[31]],code19)</f>
        <v>0</v>
      </c>
      <c r="BK130" s="579">
        <f>COUNTIF(ParicipationMai1[[#This Row],[1]:[31]],code20)</f>
        <v>0</v>
      </c>
      <c r="BL130" s="547">
        <f>COUNTIF(ParicipationMai1[[#This Row],[1]:[31]],code29)</f>
        <v>0</v>
      </c>
      <c r="BM130" s="132"/>
      <c r="BN130" s="132"/>
      <c r="BO130" s="132"/>
      <c r="BP130" s="132"/>
      <c r="BQ130" s="132"/>
      <c r="BR130" s="132"/>
      <c r="BS130" s="132"/>
      <c r="BT130" s="132"/>
      <c r="BU130" s="132"/>
      <c r="BV130" s="132"/>
      <c r="BW130" s="132"/>
      <c r="BX130" s="132"/>
      <c r="BY130" s="132"/>
      <c r="BZ130" s="132"/>
      <c r="CA130" s="132"/>
      <c r="CB130" s="132"/>
      <c r="CC130" s="132"/>
      <c r="CD130" s="132"/>
      <c r="CE130" s="132"/>
      <c r="CF130" s="132"/>
      <c r="CG130" s="132"/>
      <c r="CH130" s="132"/>
      <c r="CI130" s="132"/>
      <c r="CJ130" s="132"/>
      <c r="CK130" s="132"/>
      <c r="CL130" s="132"/>
      <c r="CM130" s="132"/>
      <c r="CN130" s="132"/>
      <c r="CO130" s="132"/>
      <c r="CP130" s="132"/>
      <c r="CQ130" s="132"/>
      <c r="CR130" s="132"/>
      <c r="CS130" s="132"/>
      <c r="CT130" s="132"/>
      <c r="CU130" s="547"/>
      <c r="CV130" s="590">
        <f t="shared" si="4"/>
        <v>0</v>
      </c>
      <c r="CW130" s="573">
        <f t="shared" si="5"/>
        <v>0</v>
      </c>
      <c r="CX130" s="132">
        <f t="shared" si="6"/>
        <v>0</v>
      </c>
      <c r="CY130" s="500">
        <f t="shared" si="7"/>
        <v>0</v>
      </c>
    </row>
    <row r="131" spans="1:103">
      <c r="A131" s="406" t="s">
        <v>472</v>
      </c>
      <c r="B131" s="540" t="str">
        <f>IFERROR(VLOOKUP(ParicipationMai1[[#This Row],[Référence]],ListeÉtudiants1[],18,FALSE),"")</f>
        <v>TOTO SANDY</v>
      </c>
      <c r="C131" s="406"/>
      <c r="D131" s="406"/>
      <c r="E131" s="406"/>
      <c r="F131" s="406"/>
      <c r="G131" s="406"/>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542"/>
      <c r="AH131" s="131">
        <f>COUNTIF(ParicipationMai1[[1]:[31]],Code1)</f>
        <v>0</v>
      </c>
      <c r="AI131" s="311">
        <f>COUNTIF(ParicipationMai1[[1]:[31]],code22)</f>
        <v>0</v>
      </c>
      <c r="AJ131" s="131">
        <f>COUNTIF(ParicipationMai1[[#This Row],[1]:[31]],Code2)</f>
        <v>0</v>
      </c>
      <c r="AK131" s="131">
        <f>COUNTIF(ParicipationMai1[[#This Row],[1]:[31]],Code3)</f>
        <v>0</v>
      </c>
      <c r="AL131" s="131">
        <f>COUNTIF(ParicipationMai1[[#This Row],[1]:[31]],Code4)</f>
        <v>0</v>
      </c>
      <c r="AM131" s="131">
        <f>COUNTIF(ParicipationMai1[[#This Row],[1]:[31]],Code5)</f>
        <v>0</v>
      </c>
      <c r="AN131" s="131">
        <f>COUNTIF(ParicipationMai1[[#This Row],[1]:[31]],Code23)</f>
        <v>0</v>
      </c>
      <c r="AO131" s="131">
        <f>COUNTIF(ParicipationMai1[[#This Row],[1]:[31]],Code6)</f>
        <v>0</v>
      </c>
      <c r="AP131" s="131">
        <f>COUNTIF(ParicipationMai1[[#This Row],[1]:[31]],Code7)</f>
        <v>0</v>
      </c>
      <c r="AQ131" s="131">
        <f>COUNTIF(ParicipationMai1[[#This Row],[1]:[31]],Code8)</f>
        <v>0</v>
      </c>
      <c r="AR131" s="131">
        <f>COUNTIF(ParicipationMai1[[#This Row],[1]:[31]],Code9)</f>
        <v>0</v>
      </c>
      <c r="AS131" s="131">
        <f>COUNTIF(ParicipationMai1[[#This Row],[1]:[31]],Code10)</f>
        <v>0</v>
      </c>
      <c r="AT131" s="131">
        <f>COUNTIF(ParicipationMai1[[#This Row],[1]:[31]],Code11)</f>
        <v>0</v>
      </c>
      <c r="AU131" s="131">
        <f>COUNTIF(ParicipationMai1[[#This Row],[1]:[31]],Code12)</f>
        <v>0</v>
      </c>
      <c r="AV131" s="131">
        <f>COUNTIF(ParicipationMai1[[#This Row],[1]:[31]],Code13)</f>
        <v>0</v>
      </c>
      <c r="AW131" s="131">
        <f>COUNTIF(ParicipationMai1[[#This Row],[1]:[31]],Code14)</f>
        <v>0</v>
      </c>
      <c r="AX131" s="131">
        <f>COUNTIF(ParicipationMai1[[#This Row],[1]:[31]],Code15)</f>
        <v>0</v>
      </c>
      <c r="AY131" s="131">
        <f>COUNTIF(ParicipationMai1[[#This Row],[1]:[31]],Code16)</f>
        <v>0</v>
      </c>
      <c r="AZ131" s="131">
        <f>COUNTIF(ParicipationMai1[[#This Row],[1]:[31]],Code17)</f>
        <v>0</v>
      </c>
      <c r="BA131" s="131">
        <f>COUNTIF(ParicipationMai1[[#This Row],[1]:[31]],Code26)</f>
        <v>0</v>
      </c>
      <c r="BB131" s="131">
        <f>COUNTIF(ParicipationMai1[[#This Row],[1]:[31]],Code27)</f>
        <v>0</v>
      </c>
      <c r="BC131" s="131">
        <f>COUNTIF(ParicipationMai1[[#This Row],[1]:[31]],Code27)</f>
        <v>0</v>
      </c>
      <c r="BD131" s="131">
        <f>COUNTIF(ParicipationMai1[[#This Row],[1]:[31]],Code28)</f>
        <v>0</v>
      </c>
      <c r="BE131" s="131">
        <f>COUNTIF(ParicipationMai1[[#This Row],[1]:[31]],code30)</f>
        <v>0</v>
      </c>
      <c r="BF131" s="131">
        <f>COUNTIF(ParicipationMai1[[#This Row],[1]:[31]],Code31)</f>
        <v>0</v>
      </c>
      <c r="BG131" s="131">
        <f>COUNTIF(ParicipationMai1[[#This Row],[1]:[31]],code21)</f>
        <v>0</v>
      </c>
      <c r="BH131" s="131">
        <f>COUNTIF(ParicipationMai1[[#This Row],[1]:[31]],Code24)</f>
        <v>0</v>
      </c>
      <c r="BI131" s="568">
        <f>COUNTIF(ParicipationMai1[[#This Row],[1]:[31]],code18)</f>
        <v>0</v>
      </c>
      <c r="BJ131" s="568">
        <f>COUNTIF(ParicipationMai1[[#This Row],[1]:[31]],code19)</f>
        <v>0</v>
      </c>
      <c r="BK131" s="568">
        <f>COUNTIF(ParicipationMai1[[#This Row],[1]:[31]],code20)</f>
        <v>0</v>
      </c>
      <c r="BL131" s="548">
        <f>COUNTIF(ParicipationMai1[[#This Row],[1]:[31]],code29)</f>
        <v>0</v>
      </c>
      <c r="BM131" s="131"/>
      <c r="BN131" s="131"/>
      <c r="BO131" s="131"/>
      <c r="BP131" s="131"/>
      <c r="BQ131" s="131"/>
      <c r="BR131" s="131"/>
      <c r="BS131" s="131"/>
      <c r="BT131" s="131"/>
      <c r="BU131" s="131"/>
      <c r="BV131" s="131"/>
      <c r="BW131" s="131"/>
      <c r="BX131" s="131"/>
      <c r="BY131" s="131"/>
      <c r="BZ131" s="131"/>
      <c r="CA131" s="131"/>
      <c r="CB131" s="131"/>
      <c r="CC131" s="131"/>
      <c r="CD131" s="131"/>
      <c r="CE131" s="131"/>
      <c r="CF131" s="131"/>
      <c r="CG131" s="131"/>
      <c r="CH131" s="131"/>
      <c r="CI131" s="131"/>
      <c r="CJ131" s="131"/>
      <c r="CK131" s="131"/>
      <c r="CL131" s="131"/>
      <c r="CM131" s="131"/>
      <c r="CN131" s="131"/>
      <c r="CO131" s="131"/>
      <c r="CP131" s="131"/>
      <c r="CQ131" s="131"/>
      <c r="CR131" s="131"/>
      <c r="CS131" s="131"/>
      <c r="CT131" s="131"/>
      <c r="CU131" s="548"/>
      <c r="CV131" s="592">
        <f t="shared" si="4"/>
        <v>0</v>
      </c>
      <c r="CW131" s="575">
        <f t="shared" si="5"/>
        <v>0</v>
      </c>
      <c r="CX131" s="131">
        <f t="shared" si="6"/>
        <v>0</v>
      </c>
      <c r="CY131" s="170">
        <f t="shared" si="7"/>
        <v>0</v>
      </c>
    </row>
    <row r="132" spans="1:103">
      <c r="A132" s="405" t="s">
        <v>473</v>
      </c>
      <c r="B132" s="537" t="str">
        <f>IFERROR(VLOOKUP(ParicipationMai1[[#This Row],[Référence]],ListeÉtudiants1[],18,FALSE),"")</f>
        <v>TOUAZI EMMA</v>
      </c>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546"/>
      <c r="AH132" s="132">
        <f>COUNTIF(ParicipationMai1[[1]:[31]],Code1)</f>
        <v>0</v>
      </c>
      <c r="AI132" s="538">
        <f>COUNTIF(ParicipationMai1[[1]:[31]],code22)</f>
        <v>0</v>
      </c>
      <c r="AJ132" s="132">
        <f>COUNTIF(ParicipationMai1[[#This Row],[1]:[31]],Code2)</f>
        <v>0</v>
      </c>
      <c r="AK132" s="132">
        <f>COUNTIF(ParicipationMai1[[#This Row],[1]:[31]],Code3)</f>
        <v>0</v>
      </c>
      <c r="AL132" s="132">
        <f>COUNTIF(ParicipationMai1[[#This Row],[1]:[31]],Code4)</f>
        <v>0</v>
      </c>
      <c r="AM132" s="132">
        <f>COUNTIF(ParicipationMai1[[#This Row],[1]:[31]],Code5)</f>
        <v>0</v>
      </c>
      <c r="AN132" s="132">
        <f>COUNTIF(ParicipationMai1[[#This Row],[1]:[31]],Code23)</f>
        <v>0</v>
      </c>
      <c r="AO132" s="132">
        <f>COUNTIF(ParicipationMai1[[#This Row],[1]:[31]],Code6)</f>
        <v>0</v>
      </c>
      <c r="AP132" s="132">
        <f>COUNTIF(ParicipationMai1[[#This Row],[1]:[31]],Code7)</f>
        <v>0</v>
      </c>
      <c r="AQ132" s="132">
        <f>COUNTIF(ParicipationMai1[[#This Row],[1]:[31]],Code8)</f>
        <v>0</v>
      </c>
      <c r="AR132" s="132">
        <f>COUNTIF(ParicipationMai1[[#This Row],[1]:[31]],Code9)</f>
        <v>0</v>
      </c>
      <c r="AS132" s="132">
        <f>COUNTIF(ParicipationMai1[[#This Row],[1]:[31]],Code10)</f>
        <v>0</v>
      </c>
      <c r="AT132" s="132">
        <f>COUNTIF(ParicipationMai1[[#This Row],[1]:[31]],Code11)</f>
        <v>0</v>
      </c>
      <c r="AU132" s="132">
        <f>COUNTIF(ParicipationMai1[[#This Row],[1]:[31]],Code12)</f>
        <v>0</v>
      </c>
      <c r="AV132" s="132">
        <f>COUNTIF(ParicipationMai1[[#This Row],[1]:[31]],Code13)</f>
        <v>0</v>
      </c>
      <c r="AW132" s="132">
        <f>COUNTIF(ParicipationMai1[[#This Row],[1]:[31]],Code14)</f>
        <v>0</v>
      </c>
      <c r="AX132" s="132">
        <f>COUNTIF(ParicipationMai1[[#This Row],[1]:[31]],Code15)</f>
        <v>0</v>
      </c>
      <c r="AY132" s="132">
        <f>COUNTIF(ParicipationMai1[[#This Row],[1]:[31]],Code16)</f>
        <v>0</v>
      </c>
      <c r="AZ132" s="132">
        <f>COUNTIF(ParicipationMai1[[#This Row],[1]:[31]],Code17)</f>
        <v>0</v>
      </c>
      <c r="BA132" s="132">
        <f>COUNTIF(ParicipationMai1[[#This Row],[1]:[31]],Code26)</f>
        <v>0</v>
      </c>
      <c r="BB132" s="132">
        <f>COUNTIF(ParicipationMai1[[#This Row],[1]:[31]],Code27)</f>
        <v>0</v>
      </c>
      <c r="BC132" s="132">
        <f>COUNTIF(ParicipationMai1[[#This Row],[1]:[31]],Code27)</f>
        <v>0</v>
      </c>
      <c r="BD132" s="132">
        <f>COUNTIF(ParicipationMai1[[#This Row],[1]:[31]],Code28)</f>
        <v>0</v>
      </c>
      <c r="BE132" s="132">
        <f>COUNTIF(ParicipationMai1[[#This Row],[1]:[31]],code30)</f>
        <v>0</v>
      </c>
      <c r="BF132" s="132">
        <f>COUNTIF(ParicipationMai1[[#This Row],[1]:[31]],Code31)</f>
        <v>0</v>
      </c>
      <c r="BG132" s="132">
        <f>COUNTIF(ParicipationMai1[[#This Row],[1]:[31]],code21)</f>
        <v>0</v>
      </c>
      <c r="BH132" s="132">
        <f>COUNTIF(ParicipationMai1[[#This Row],[1]:[31]],Code24)</f>
        <v>0</v>
      </c>
      <c r="BI132" s="579">
        <f>COUNTIF(ParicipationMai1[[#This Row],[1]:[31]],code18)</f>
        <v>0</v>
      </c>
      <c r="BJ132" s="579">
        <f>COUNTIF(ParicipationMai1[[#This Row],[1]:[31]],code19)</f>
        <v>0</v>
      </c>
      <c r="BK132" s="579">
        <f>COUNTIF(ParicipationMai1[[#This Row],[1]:[31]],code20)</f>
        <v>0</v>
      </c>
      <c r="BL132" s="547">
        <f>COUNTIF(ParicipationMai1[[#This Row],[1]:[31]],code29)</f>
        <v>0</v>
      </c>
      <c r="BM132" s="132"/>
      <c r="BN132" s="132"/>
      <c r="BO132" s="132"/>
      <c r="BP132" s="132"/>
      <c r="BQ132" s="132"/>
      <c r="BR132" s="132"/>
      <c r="BS132" s="132"/>
      <c r="BT132" s="132"/>
      <c r="BU132" s="132"/>
      <c r="BV132" s="132"/>
      <c r="BW132" s="132"/>
      <c r="BX132" s="132"/>
      <c r="BY132" s="132"/>
      <c r="BZ132" s="132"/>
      <c r="CA132" s="132"/>
      <c r="CB132" s="132"/>
      <c r="CC132" s="132"/>
      <c r="CD132" s="132"/>
      <c r="CE132" s="132"/>
      <c r="CF132" s="132"/>
      <c r="CG132" s="132"/>
      <c r="CH132" s="132"/>
      <c r="CI132" s="132"/>
      <c r="CJ132" s="132"/>
      <c r="CK132" s="132"/>
      <c r="CL132" s="132"/>
      <c r="CM132" s="132"/>
      <c r="CN132" s="132"/>
      <c r="CO132" s="132"/>
      <c r="CP132" s="132"/>
      <c r="CQ132" s="132"/>
      <c r="CR132" s="132"/>
      <c r="CS132" s="132"/>
      <c r="CT132" s="132"/>
      <c r="CU132" s="547"/>
      <c r="CV132" s="590">
        <f t="shared" si="4"/>
        <v>0</v>
      </c>
      <c r="CW132" s="573">
        <f t="shared" si="5"/>
        <v>0</v>
      </c>
      <c r="CX132" s="132">
        <f t="shared" si="6"/>
        <v>0</v>
      </c>
      <c r="CY132" s="500">
        <f t="shared" si="7"/>
        <v>0</v>
      </c>
    </row>
    <row r="133" spans="1:103">
      <c r="A133" s="406" t="s">
        <v>474</v>
      </c>
      <c r="B133" s="540" t="str">
        <f>IFERROR(VLOOKUP(ParicipationMai1[[#This Row],[Référence]],ListeÉtudiants1[],18,FALSE),"")</f>
        <v>TOUIDJINE VICTORIA</v>
      </c>
      <c r="C133" s="406"/>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6"/>
      <c r="AD133" s="406"/>
      <c r="AE133" s="406"/>
      <c r="AF133" s="406"/>
      <c r="AG133" s="542"/>
      <c r="AH133" s="131">
        <f>COUNTIF(ParicipationMai1[[1]:[31]],Code1)</f>
        <v>0</v>
      </c>
      <c r="AI133" s="311">
        <f>COUNTIF(ParicipationMai1[[1]:[31]],code22)</f>
        <v>0</v>
      </c>
      <c r="AJ133" s="131">
        <f>COUNTIF(ParicipationMai1[[#This Row],[1]:[31]],Code2)</f>
        <v>0</v>
      </c>
      <c r="AK133" s="131">
        <f>COUNTIF(ParicipationMai1[[#This Row],[1]:[31]],Code3)</f>
        <v>0</v>
      </c>
      <c r="AL133" s="131">
        <f>COUNTIF(ParicipationMai1[[#This Row],[1]:[31]],Code4)</f>
        <v>0</v>
      </c>
      <c r="AM133" s="131">
        <f>COUNTIF(ParicipationMai1[[#This Row],[1]:[31]],Code5)</f>
        <v>0</v>
      </c>
      <c r="AN133" s="131">
        <f>COUNTIF(ParicipationMai1[[#This Row],[1]:[31]],Code23)</f>
        <v>0</v>
      </c>
      <c r="AO133" s="131">
        <f>COUNTIF(ParicipationMai1[[#This Row],[1]:[31]],Code6)</f>
        <v>0</v>
      </c>
      <c r="AP133" s="131">
        <f>COUNTIF(ParicipationMai1[[#This Row],[1]:[31]],Code7)</f>
        <v>0</v>
      </c>
      <c r="AQ133" s="131">
        <f>COUNTIF(ParicipationMai1[[#This Row],[1]:[31]],Code8)</f>
        <v>0</v>
      </c>
      <c r="AR133" s="131">
        <f>COUNTIF(ParicipationMai1[[#This Row],[1]:[31]],Code9)</f>
        <v>0</v>
      </c>
      <c r="AS133" s="131">
        <f>COUNTIF(ParicipationMai1[[#This Row],[1]:[31]],Code10)</f>
        <v>0</v>
      </c>
      <c r="AT133" s="131">
        <f>COUNTIF(ParicipationMai1[[#This Row],[1]:[31]],Code11)</f>
        <v>0</v>
      </c>
      <c r="AU133" s="131">
        <f>COUNTIF(ParicipationMai1[[#This Row],[1]:[31]],Code12)</f>
        <v>0</v>
      </c>
      <c r="AV133" s="131">
        <f>COUNTIF(ParicipationMai1[[#This Row],[1]:[31]],Code13)</f>
        <v>0</v>
      </c>
      <c r="AW133" s="131">
        <f>COUNTIF(ParicipationMai1[[#This Row],[1]:[31]],Code14)</f>
        <v>0</v>
      </c>
      <c r="AX133" s="131">
        <f>COUNTIF(ParicipationMai1[[#This Row],[1]:[31]],Code15)</f>
        <v>0</v>
      </c>
      <c r="AY133" s="131">
        <f>COUNTIF(ParicipationMai1[[#This Row],[1]:[31]],Code16)</f>
        <v>0</v>
      </c>
      <c r="AZ133" s="131">
        <f>COUNTIF(ParicipationMai1[[#This Row],[1]:[31]],Code17)</f>
        <v>0</v>
      </c>
      <c r="BA133" s="131">
        <f>COUNTIF(ParicipationMai1[[#This Row],[1]:[31]],Code26)</f>
        <v>0</v>
      </c>
      <c r="BB133" s="131">
        <f>COUNTIF(ParicipationMai1[[#This Row],[1]:[31]],Code27)</f>
        <v>0</v>
      </c>
      <c r="BC133" s="131">
        <f>COUNTIF(ParicipationMai1[[#This Row],[1]:[31]],Code27)</f>
        <v>0</v>
      </c>
      <c r="BD133" s="131">
        <f>COUNTIF(ParicipationMai1[[#This Row],[1]:[31]],Code28)</f>
        <v>0</v>
      </c>
      <c r="BE133" s="131">
        <f>COUNTIF(ParicipationMai1[[#This Row],[1]:[31]],code30)</f>
        <v>0</v>
      </c>
      <c r="BF133" s="131">
        <f>COUNTIF(ParicipationMai1[[#This Row],[1]:[31]],Code31)</f>
        <v>0</v>
      </c>
      <c r="BG133" s="131">
        <f>COUNTIF(ParicipationMai1[[#This Row],[1]:[31]],code21)</f>
        <v>0</v>
      </c>
      <c r="BH133" s="131">
        <f>COUNTIF(ParicipationMai1[[#This Row],[1]:[31]],Code24)</f>
        <v>0</v>
      </c>
      <c r="BI133" s="568">
        <f>COUNTIF(ParicipationMai1[[#This Row],[1]:[31]],code18)</f>
        <v>0</v>
      </c>
      <c r="BJ133" s="568">
        <f>COUNTIF(ParicipationMai1[[#This Row],[1]:[31]],code19)</f>
        <v>0</v>
      </c>
      <c r="BK133" s="568">
        <f>COUNTIF(ParicipationMai1[[#This Row],[1]:[31]],code20)</f>
        <v>0</v>
      </c>
      <c r="BL133" s="548">
        <f>COUNTIF(ParicipationMai1[[#This Row],[1]:[31]],code29)</f>
        <v>0</v>
      </c>
      <c r="BM133" s="131"/>
      <c r="BN133" s="131"/>
      <c r="BO133" s="131"/>
      <c r="BP133" s="131"/>
      <c r="BQ133" s="131"/>
      <c r="BR133" s="131"/>
      <c r="BS133" s="131"/>
      <c r="BT133" s="131"/>
      <c r="BU133" s="131"/>
      <c r="BV133" s="131"/>
      <c r="BW133" s="131"/>
      <c r="BX133" s="131"/>
      <c r="BY133" s="131"/>
      <c r="BZ133" s="131"/>
      <c r="CA133" s="131"/>
      <c r="CB133" s="131"/>
      <c r="CC133" s="131"/>
      <c r="CD133" s="131"/>
      <c r="CE133" s="131"/>
      <c r="CF133" s="131"/>
      <c r="CG133" s="131"/>
      <c r="CH133" s="131"/>
      <c r="CI133" s="131"/>
      <c r="CJ133" s="131"/>
      <c r="CK133" s="131"/>
      <c r="CL133" s="131"/>
      <c r="CM133" s="131"/>
      <c r="CN133" s="131"/>
      <c r="CO133" s="131"/>
      <c r="CP133" s="131"/>
      <c r="CQ133" s="131"/>
      <c r="CR133" s="131"/>
      <c r="CS133" s="131"/>
      <c r="CT133" s="131"/>
      <c r="CU133" s="548"/>
      <c r="CV133" s="592">
        <f t="shared" si="4"/>
        <v>0</v>
      </c>
      <c r="CW133" s="575">
        <f t="shared" si="5"/>
        <v>0</v>
      </c>
      <c r="CX133" s="131">
        <f t="shared" si="6"/>
        <v>0</v>
      </c>
      <c r="CY133" s="170">
        <f t="shared" si="7"/>
        <v>0</v>
      </c>
    </row>
    <row r="134" spans="1:103">
      <c r="A134" s="405" t="s">
        <v>475</v>
      </c>
      <c r="B134" s="537" t="str">
        <f>IFERROR(VLOOKUP(ParicipationMai1[[#This Row],[Référence]],ListeÉtudiants1[],18,FALSE),"")</f>
        <v>TOURE SIPA</v>
      </c>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546"/>
      <c r="AH134" s="132">
        <f>COUNTIF(ParicipationMai1[[1]:[31]],Code1)</f>
        <v>0</v>
      </c>
      <c r="AI134" s="538">
        <f>COUNTIF(ParicipationMai1[[1]:[31]],code22)</f>
        <v>0</v>
      </c>
      <c r="AJ134" s="132">
        <f>COUNTIF(ParicipationMai1[[#This Row],[1]:[31]],Code2)</f>
        <v>0</v>
      </c>
      <c r="AK134" s="132">
        <f>COUNTIF(ParicipationMai1[[#This Row],[1]:[31]],Code3)</f>
        <v>0</v>
      </c>
      <c r="AL134" s="132">
        <f>COUNTIF(ParicipationMai1[[#This Row],[1]:[31]],Code4)</f>
        <v>0</v>
      </c>
      <c r="AM134" s="132">
        <f>COUNTIF(ParicipationMai1[[#This Row],[1]:[31]],Code5)</f>
        <v>0</v>
      </c>
      <c r="AN134" s="132">
        <f>COUNTIF(ParicipationMai1[[#This Row],[1]:[31]],Code23)</f>
        <v>0</v>
      </c>
      <c r="AO134" s="132">
        <f>COUNTIF(ParicipationMai1[[#This Row],[1]:[31]],Code6)</f>
        <v>0</v>
      </c>
      <c r="AP134" s="132">
        <f>COUNTIF(ParicipationMai1[[#This Row],[1]:[31]],Code7)</f>
        <v>0</v>
      </c>
      <c r="AQ134" s="132">
        <f>COUNTIF(ParicipationMai1[[#This Row],[1]:[31]],Code8)</f>
        <v>0</v>
      </c>
      <c r="AR134" s="132">
        <f>COUNTIF(ParicipationMai1[[#This Row],[1]:[31]],Code9)</f>
        <v>0</v>
      </c>
      <c r="AS134" s="132">
        <f>COUNTIF(ParicipationMai1[[#This Row],[1]:[31]],Code10)</f>
        <v>0</v>
      </c>
      <c r="AT134" s="132">
        <f>COUNTIF(ParicipationMai1[[#This Row],[1]:[31]],Code11)</f>
        <v>0</v>
      </c>
      <c r="AU134" s="132">
        <f>COUNTIF(ParicipationMai1[[#This Row],[1]:[31]],Code12)</f>
        <v>0</v>
      </c>
      <c r="AV134" s="132">
        <f>COUNTIF(ParicipationMai1[[#This Row],[1]:[31]],Code13)</f>
        <v>0</v>
      </c>
      <c r="AW134" s="132">
        <f>COUNTIF(ParicipationMai1[[#This Row],[1]:[31]],Code14)</f>
        <v>0</v>
      </c>
      <c r="AX134" s="132">
        <f>COUNTIF(ParicipationMai1[[#This Row],[1]:[31]],Code15)</f>
        <v>0</v>
      </c>
      <c r="AY134" s="132">
        <f>COUNTIF(ParicipationMai1[[#This Row],[1]:[31]],Code16)</f>
        <v>0</v>
      </c>
      <c r="AZ134" s="132">
        <f>COUNTIF(ParicipationMai1[[#This Row],[1]:[31]],Code17)</f>
        <v>0</v>
      </c>
      <c r="BA134" s="132">
        <f>COUNTIF(ParicipationMai1[[#This Row],[1]:[31]],Code26)</f>
        <v>0</v>
      </c>
      <c r="BB134" s="132">
        <f>COUNTIF(ParicipationMai1[[#This Row],[1]:[31]],Code27)</f>
        <v>0</v>
      </c>
      <c r="BC134" s="132">
        <f>COUNTIF(ParicipationMai1[[#This Row],[1]:[31]],Code27)</f>
        <v>0</v>
      </c>
      <c r="BD134" s="132">
        <f>COUNTIF(ParicipationMai1[[#This Row],[1]:[31]],Code28)</f>
        <v>0</v>
      </c>
      <c r="BE134" s="132">
        <f>COUNTIF(ParicipationMai1[[#This Row],[1]:[31]],code30)</f>
        <v>0</v>
      </c>
      <c r="BF134" s="132">
        <f>COUNTIF(ParicipationMai1[[#This Row],[1]:[31]],Code31)</f>
        <v>0</v>
      </c>
      <c r="BG134" s="132">
        <f>COUNTIF(ParicipationMai1[[#This Row],[1]:[31]],code21)</f>
        <v>0</v>
      </c>
      <c r="BH134" s="132">
        <f>COUNTIF(ParicipationMai1[[#This Row],[1]:[31]],Code24)</f>
        <v>0</v>
      </c>
      <c r="BI134" s="579">
        <f>COUNTIF(ParicipationMai1[[#This Row],[1]:[31]],code18)</f>
        <v>0</v>
      </c>
      <c r="BJ134" s="579">
        <f>COUNTIF(ParicipationMai1[[#This Row],[1]:[31]],code19)</f>
        <v>0</v>
      </c>
      <c r="BK134" s="579">
        <f>COUNTIF(ParicipationMai1[[#This Row],[1]:[31]],code20)</f>
        <v>0</v>
      </c>
      <c r="BL134" s="547">
        <f>COUNTIF(ParicipationMai1[[#This Row],[1]:[31]],code29)</f>
        <v>0</v>
      </c>
      <c r="BM134" s="132"/>
      <c r="BN134" s="132"/>
      <c r="BO134" s="132"/>
      <c r="BP134" s="132"/>
      <c r="BQ134" s="132"/>
      <c r="BR134" s="132"/>
      <c r="BS134" s="132"/>
      <c r="BT134" s="132"/>
      <c r="BU134" s="132"/>
      <c r="BV134" s="132"/>
      <c r="BW134" s="132"/>
      <c r="BX134" s="132"/>
      <c r="BY134" s="132"/>
      <c r="BZ134" s="132"/>
      <c r="CA134" s="132"/>
      <c r="CB134" s="132"/>
      <c r="CC134" s="132"/>
      <c r="CD134" s="132"/>
      <c r="CE134" s="132"/>
      <c r="CF134" s="132"/>
      <c r="CG134" s="132"/>
      <c r="CH134" s="132"/>
      <c r="CI134" s="132"/>
      <c r="CJ134" s="132"/>
      <c r="CK134" s="132"/>
      <c r="CL134" s="132"/>
      <c r="CM134" s="132"/>
      <c r="CN134" s="132"/>
      <c r="CO134" s="132"/>
      <c r="CP134" s="132"/>
      <c r="CQ134" s="132"/>
      <c r="CR134" s="132"/>
      <c r="CS134" s="132"/>
      <c r="CT134" s="132"/>
      <c r="CU134" s="547"/>
      <c r="CV134" s="590">
        <f t="shared" si="4"/>
        <v>0</v>
      </c>
      <c r="CW134" s="573">
        <f t="shared" si="5"/>
        <v>0</v>
      </c>
      <c r="CX134" s="132">
        <f t="shared" si="6"/>
        <v>0</v>
      </c>
      <c r="CY134" s="500">
        <f t="shared" si="7"/>
        <v>0</v>
      </c>
    </row>
    <row r="135" spans="1:103">
      <c r="A135" s="406" t="s">
        <v>476</v>
      </c>
      <c r="B135" s="540" t="str">
        <f>IFERROR(VLOOKUP(ParicipationMai1[[#This Row],[Référence]],ListeÉtudiants1[],18,FALSE),"")</f>
        <v>TRIPET AMANDINE</v>
      </c>
      <c r="C135" s="406"/>
      <c r="D135" s="406"/>
      <c r="E135" s="406"/>
      <c r="F135" s="406"/>
      <c r="G135" s="406"/>
      <c r="H135" s="406"/>
      <c r="I135" s="406"/>
      <c r="J135" s="406"/>
      <c r="K135" s="406"/>
      <c r="L135" s="406"/>
      <c r="M135" s="406"/>
      <c r="N135" s="406"/>
      <c r="O135" s="406"/>
      <c r="P135" s="406"/>
      <c r="Q135" s="406"/>
      <c r="R135" s="406"/>
      <c r="S135" s="406"/>
      <c r="T135" s="406"/>
      <c r="U135" s="406"/>
      <c r="V135" s="406"/>
      <c r="W135" s="406"/>
      <c r="X135" s="406"/>
      <c r="Y135" s="406"/>
      <c r="Z135" s="406"/>
      <c r="AA135" s="406"/>
      <c r="AB135" s="406"/>
      <c r="AC135" s="406"/>
      <c r="AD135" s="406"/>
      <c r="AE135" s="406"/>
      <c r="AF135" s="406"/>
      <c r="AG135" s="542"/>
      <c r="AH135" s="131">
        <f>COUNTIF(ParicipationMai1[[1]:[31]],Code1)</f>
        <v>0</v>
      </c>
      <c r="AI135" s="311">
        <f>COUNTIF(ParicipationMai1[[1]:[31]],code22)</f>
        <v>0</v>
      </c>
      <c r="AJ135" s="131">
        <f>COUNTIF(ParicipationMai1[[#This Row],[1]:[31]],Code2)</f>
        <v>0</v>
      </c>
      <c r="AK135" s="131">
        <f>COUNTIF(ParicipationMai1[[#This Row],[1]:[31]],Code3)</f>
        <v>0</v>
      </c>
      <c r="AL135" s="131">
        <f>COUNTIF(ParicipationMai1[[#This Row],[1]:[31]],Code4)</f>
        <v>0</v>
      </c>
      <c r="AM135" s="131">
        <f>COUNTIF(ParicipationMai1[[#This Row],[1]:[31]],Code5)</f>
        <v>0</v>
      </c>
      <c r="AN135" s="131">
        <f>COUNTIF(ParicipationMai1[[#This Row],[1]:[31]],Code23)</f>
        <v>0</v>
      </c>
      <c r="AO135" s="131">
        <f>COUNTIF(ParicipationMai1[[#This Row],[1]:[31]],Code6)</f>
        <v>0</v>
      </c>
      <c r="AP135" s="131">
        <f>COUNTIF(ParicipationMai1[[#This Row],[1]:[31]],Code7)</f>
        <v>0</v>
      </c>
      <c r="AQ135" s="131">
        <f>COUNTIF(ParicipationMai1[[#This Row],[1]:[31]],Code8)</f>
        <v>0</v>
      </c>
      <c r="AR135" s="131">
        <f>COUNTIF(ParicipationMai1[[#This Row],[1]:[31]],Code9)</f>
        <v>0</v>
      </c>
      <c r="AS135" s="131">
        <f>COUNTIF(ParicipationMai1[[#This Row],[1]:[31]],Code10)</f>
        <v>0</v>
      </c>
      <c r="AT135" s="131">
        <f>COUNTIF(ParicipationMai1[[#This Row],[1]:[31]],Code11)</f>
        <v>0</v>
      </c>
      <c r="AU135" s="131">
        <f>COUNTIF(ParicipationMai1[[#This Row],[1]:[31]],Code12)</f>
        <v>0</v>
      </c>
      <c r="AV135" s="131">
        <f>COUNTIF(ParicipationMai1[[#This Row],[1]:[31]],Code13)</f>
        <v>0</v>
      </c>
      <c r="AW135" s="131">
        <f>COUNTIF(ParicipationMai1[[#This Row],[1]:[31]],Code14)</f>
        <v>0</v>
      </c>
      <c r="AX135" s="131">
        <f>COUNTIF(ParicipationMai1[[#This Row],[1]:[31]],Code15)</f>
        <v>0</v>
      </c>
      <c r="AY135" s="131">
        <f>COUNTIF(ParicipationMai1[[#This Row],[1]:[31]],Code16)</f>
        <v>0</v>
      </c>
      <c r="AZ135" s="131">
        <f>COUNTIF(ParicipationMai1[[#This Row],[1]:[31]],Code17)</f>
        <v>0</v>
      </c>
      <c r="BA135" s="131">
        <f>COUNTIF(ParicipationMai1[[#This Row],[1]:[31]],Code26)</f>
        <v>0</v>
      </c>
      <c r="BB135" s="131">
        <f>COUNTIF(ParicipationMai1[[#This Row],[1]:[31]],Code27)</f>
        <v>0</v>
      </c>
      <c r="BC135" s="131">
        <f>COUNTIF(ParicipationMai1[[#This Row],[1]:[31]],Code27)</f>
        <v>0</v>
      </c>
      <c r="BD135" s="131">
        <f>COUNTIF(ParicipationMai1[[#This Row],[1]:[31]],Code28)</f>
        <v>0</v>
      </c>
      <c r="BE135" s="131">
        <f>COUNTIF(ParicipationMai1[[#This Row],[1]:[31]],code30)</f>
        <v>0</v>
      </c>
      <c r="BF135" s="131">
        <f>COUNTIF(ParicipationMai1[[#This Row],[1]:[31]],Code31)</f>
        <v>0</v>
      </c>
      <c r="BG135" s="131">
        <f>COUNTIF(ParicipationMai1[[#This Row],[1]:[31]],code21)</f>
        <v>0</v>
      </c>
      <c r="BH135" s="131">
        <f>COUNTIF(ParicipationMai1[[#This Row],[1]:[31]],Code24)</f>
        <v>0</v>
      </c>
      <c r="BI135" s="568">
        <f>COUNTIF(ParicipationMai1[[#This Row],[1]:[31]],code18)</f>
        <v>0</v>
      </c>
      <c r="BJ135" s="568">
        <f>COUNTIF(ParicipationMai1[[#This Row],[1]:[31]],code19)</f>
        <v>0</v>
      </c>
      <c r="BK135" s="568">
        <f>COUNTIF(ParicipationMai1[[#This Row],[1]:[31]],code20)</f>
        <v>0</v>
      </c>
      <c r="BL135" s="548">
        <f>COUNTIF(ParicipationMai1[[#This Row],[1]:[31]],code29)</f>
        <v>0</v>
      </c>
      <c r="BM135" s="131"/>
      <c r="BN135" s="131"/>
      <c r="BO135" s="131"/>
      <c r="BP135" s="131"/>
      <c r="BQ135" s="131"/>
      <c r="BR135" s="131"/>
      <c r="BS135" s="131"/>
      <c r="BT135" s="131"/>
      <c r="BU135" s="131"/>
      <c r="BV135" s="131"/>
      <c r="BW135" s="131"/>
      <c r="BX135" s="131"/>
      <c r="BY135" s="131"/>
      <c r="BZ135" s="131"/>
      <c r="CA135" s="131"/>
      <c r="CB135" s="131"/>
      <c r="CC135" s="131"/>
      <c r="CD135" s="131"/>
      <c r="CE135" s="131"/>
      <c r="CF135" s="131"/>
      <c r="CG135" s="131"/>
      <c r="CH135" s="131"/>
      <c r="CI135" s="131"/>
      <c r="CJ135" s="131"/>
      <c r="CK135" s="131"/>
      <c r="CL135" s="131"/>
      <c r="CM135" s="131"/>
      <c r="CN135" s="131"/>
      <c r="CO135" s="131"/>
      <c r="CP135" s="131"/>
      <c r="CQ135" s="131"/>
      <c r="CR135" s="131"/>
      <c r="CS135" s="131"/>
      <c r="CT135" s="131"/>
      <c r="CU135" s="548"/>
      <c r="CV135" s="592">
        <f t="shared" si="4"/>
        <v>0</v>
      </c>
      <c r="CW135" s="575">
        <f t="shared" si="5"/>
        <v>0</v>
      </c>
      <c r="CX135" s="131">
        <f t="shared" si="6"/>
        <v>0</v>
      </c>
      <c r="CY135" s="170">
        <f t="shared" si="7"/>
        <v>0</v>
      </c>
    </row>
    <row r="136" spans="1:103">
      <c r="A136" s="405" t="s">
        <v>477</v>
      </c>
      <c r="B136" s="537" t="str">
        <f>IFERROR(VLOOKUP(ParicipationMai1[[#This Row],[Référence]],ListeÉtudiants1[],18,FALSE),"")</f>
        <v>UGOLIN MARIE-ROSE</v>
      </c>
      <c r="C136" s="405"/>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c r="AB136" s="405"/>
      <c r="AC136" s="405"/>
      <c r="AD136" s="405"/>
      <c r="AE136" s="405"/>
      <c r="AF136" s="405"/>
      <c r="AG136" s="546"/>
      <c r="AH136" s="132">
        <f>COUNTIF(ParicipationMai1[[1]:[31]],Code1)</f>
        <v>0</v>
      </c>
      <c r="AI136" s="538">
        <f>COUNTIF(ParicipationMai1[[1]:[31]],code22)</f>
        <v>0</v>
      </c>
      <c r="AJ136" s="132">
        <f>COUNTIF(ParicipationMai1[[#This Row],[1]:[31]],Code2)</f>
        <v>0</v>
      </c>
      <c r="AK136" s="132">
        <f>COUNTIF(ParicipationMai1[[#This Row],[1]:[31]],Code3)</f>
        <v>0</v>
      </c>
      <c r="AL136" s="132">
        <f>COUNTIF(ParicipationMai1[[#This Row],[1]:[31]],Code4)</f>
        <v>0</v>
      </c>
      <c r="AM136" s="132">
        <f>COUNTIF(ParicipationMai1[[#This Row],[1]:[31]],Code5)</f>
        <v>0</v>
      </c>
      <c r="AN136" s="132">
        <f>COUNTIF(ParicipationMai1[[#This Row],[1]:[31]],Code23)</f>
        <v>0</v>
      </c>
      <c r="AO136" s="132">
        <f>COUNTIF(ParicipationMai1[[#This Row],[1]:[31]],Code6)</f>
        <v>0</v>
      </c>
      <c r="AP136" s="132">
        <f>COUNTIF(ParicipationMai1[[#This Row],[1]:[31]],Code7)</f>
        <v>0</v>
      </c>
      <c r="AQ136" s="132">
        <f>COUNTIF(ParicipationMai1[[#This Row],[1]:[31]],Code8)</f>
        <v>0</v>
      </c>
      <c r="AR136" s="132">
        <f>COUNTIF(ParicipationMai1[[#This Row],[1]:[31]],Code9)</f>
        <v>0</v>
      </c>
      <c r="AS136" s="132">
        <f>COUNTIF(ParicipationMai1[[#This Row],[1]:[31]],Code10)</f>
        <v>0</v>
      </c>
      <c r="AT136" s="132">
        <f>COUNTIF(ParicipationMai1[[#This Row],[1]:[31]],Code11)</f>
        <v>0</v>
      </c>
      <c r="AU136" s="132">
        <f>COUNTIF(ParicipationMai1[[#This Row],[1]:[31]],Code12)</f>
        <v>0</v>
      </c>
      <c r="AV136" s="132">
        <f>COUNTIF(ParicipationMai1[[#This Row],[1]:[31]],Code13)</f>
        <v>0</v>
      </c>
      <c r="AW136" s="132">
        <f>COUNTIF(ParicipationMai1[[#This Row],[1]:[31]],Code14)</f>
        <v>0</v>
      </c>
      <c r="AX136" s="132">
        <f>COUNTIF(ParicipationMai1[[#This Row],[1]:[31]],Code15)</f>
        <v>0</v>
      </c>
      <c r="AY136" s="132">
        <f>COUNTIF(ParicipationMai1[[#This Row],[1]:[31]],Code16)</f>
        <v>0</v>
      </c>
      <c r="AZ136" s="132">
        <f>COUNTIF(ParicipationMai1[[#This Row],[1]:[31]],Code17)</f>
        <v>0</v>
      </c>
      <c r="BA136" s="132">
        <f>COUNTIF(ParicipationMai1[[#This Row],[1]:[31]],Code26)</f>
        <v>0</v>
      </c>
      <c r="BB136" s="132">
        <f>COUNTIF(ParicipationMai1[[#This Row],[1]:[31]],Code27)</f>
        <v>0</v>
      </c>
      <c r="BC136" s="132">
        <f>COUNTIF(ParicipationMai1[[#This Row],[1]:[31]],Code27)</f>
        <v>0</v>
      </c>
      <c r="BD136" s="132">
        <f>COUNTIF(ParicipationMai1[[#This Row],[1]:[31]],Code28)</f>
        <v>0</v>
      </c>
      <c r="BE136" s="132">
        <f>COUNTIF(ParicipationMai1[[#This Row],[1]:[31]],code30)</f>
        <v>0</v>
      </c>
      <c r="BF136" s="132">
        <f>COUNTIF(ParicipationMai1[[#This Row],[1]:[31]],Code31)</f>
        <v>0</v>
      </c>
      <c r="BG136" s="132">
        <f>COUNTIF(ParicipationMai1[[#This Row],[1]:[31]],code21)</f>
        <v>0</v>
      </c>
      <c r="BH136" s="132">
        <f>COUNTIF(ParicipationMai1[[#This Row],[1]:[31]],Code24)</f>
        <v>0</v>
      </c>
      <c r="BI136" s="579">
        <f>COUNTIF(ParicipationMai1[[#This Row],[1]:[31]],code18)</f>
        <v>0</v>
      </c>
      <c r="BJ136" s="579">
        <f>COUNTIF(ParicipationMai1[[#This Row],[1]:[31]],code19)</f>
        <v>0</v>
      </c>
      <c r="BK136" s="579">
        <f>COUNTIF(ParicipationMai1[[#This Row],[1]:[31]],code20)</f>
        <v>0</v>
      </c>
      <c r="BL136" s="547">
        <f>COUNTIF(ParicipationMai1[[#This Row],[1]:[31]],code29)</f>
        <v>0</v>
      </c>
      <c r="BM136" s="132"/>
      <c r="BN136" s="132"/>
      <c r="BO136" s="132"/>
      <c r="BP136" s="132"/>
      <c r="BQ136" s="132"/>
      <c r="BR136" s="132"/>
      <c r="BS136" s="132"/>
      <c r="BT136" s="132"/>
      <c r="BU136" s="132"/>
      <c r="BV136" s="132"/>
      <c r="BW136" s="132"/>
      <c r="BX136" s="132"/>
      <c r="BY136" s="132"/>
      <c r="BZ136" s="132"/>
      <c r="CA136" s="132"/>
      <c r="CB136" s="132"/>
      <c r="CC136" s="132"/>
      <c r="CD136" s="132"/>
      <c r="CE136" s="132"/>
      <c r="CF136" s="132"/>
      <c r="CG136" s="132"/>
      <c r="CH136" s="132"/>
      <c r="CI136" s="132"/>
      <c r="CJ136" s="132"/>
      <c r="CK136" s="132"/>
      <c r="CL136" s="132"/>
      <c r="CM136" s="132"/>
      <c r="CN136" s="132"/>
      <c r="CO136" s="132"/>
      <c r="CP136" s="132"/>
      <c r="CQ136" s="132"/>
      <c r="CR136" s="132"/>
      <c r="CS136" s="132"/>
      <c r="CT136" s="132"/>
      <c r="CU136" s="547"/>
      <c r="CV136" s="590">
        <f t="shared" si="4"/>
        <v>0</v>
      </c>
      <c r="CW136" s="573">
        <f t="shared" si="5"/>
        <v>0</v>
      </c>
      <c r="CX136" s="132">
        <f t="shared" si="6"/>
        <v>0</v>
      </c>
      <c r="CY136" s="500">
        <f t="shared" si="7"/>
        <v>0</v>
      </c>
    </row>
    <row r="137" spans="1:103">
      <c r="A137" s="406" t="s">
        <v>478</v>
      </c>
      <c r="B137" s="540" t="str">
        <f>IFERROR(VLOOKUP(ParicipationMai1[[#This Row],[Référence]],ListeÉtudiants1[],18,FALSE),"")</f>
        <v>VERKEST LEA</v>
      </c>
      <c r="C137" s="406"/>
      <c r="D137" s="406"/>
      <c r="E137" s="406"/>
      <c r="F137" s="406"/>
      <c r="G137" s="406"/>
      <c r="H137" s="406"/>
      <c r="I137" s="406"/>
      <c r="J137" s="406"/>
      <c r="K137" s="406"/>
      <c r="L137" s="406"/>
      <c r="M137" s="406"/>
      <c r="N137" s="406"/>
      <c r="O137" s="406"/>
      <c r="P137" s="406"/>
      <c r="Q137" s="406"/>
      <c r="R137" s="406"/>
      <c r="S137" s="406"/>
      <c r="T137" s="406"/>
      <c r="U137" s="406"/>
      <c r="V137" s="406"/>
      <c r="W137" s="406"/>
      <c r="X137" s="406"/>
      <c r="Y137" s="406"/>
      <c r="Z137" s="406"/>
      <c r="AA137" s="406"/>
      <c r="AB137" s="406"/>
      <c r="AC137" s="406"/>
      <c r="AD137" s="406"/>
      <c r="AE137" s="406"/>
      <c r="AF137" s="406"/>
      <c r="AG137" s="542"/>
      <c r="AH137" s="131">
        <f>COUNTIF(ParicipationMai1[[1]:[31]],Code1)</f>
        <v>0</v>
      </c>
      <c r="AI137" s="311">
        <f>COUNTIF(ParicipationMai1[[1]:[31]],code22)</f>
        <v>0</v>
      </c>
      <c r="AJ137" s="131">
        <f>COUNTIF(ParicipationMai1[[#This Row],[1]:[31]],Code2)</f>
        <v>0</v>
      </c>
      <c r="AK137" s="131">
        <f>COUNTIF(ParicipationMai1[[#This Row],[1]:[31]],Code3)</f>
        <v>0</v>
      </c>
      <c r="AL137" s="131">
        <f>COUNTIF(ParicipationMai1[[#This Row],[1]:[31]],Code4)</f>
        <v>0</v>
      </c>
      <c r="AM137" s="131">
        <f>COUNTIF(ParicipationMai1[[#This Row],[1]:[31]],Code5)</f>
        <v>0</v>
      </c>
      <c r="AN137" s="131">
        <f>COUNTIF(ParicipationMai1[[#This Row],[1]:[31]],Code23)</f>
        <v>0</v>
      </c>
      <c r="AO137" s="131">
        <f>COUNTIF(ParicipationMai1[[#This Row],[1]:[31]],Code6)</f>
        <v>0</v>
      </c>
      <c r="AP137" s="131">
        <f>COUNTIF(ParicipationMai1[[#This Row],[1]:[31]],Code7)</f>
        <v>0</v>
      </c>
      <c r="AQ137" s="131">
        <f>COUNTIF(ParicipationMai1[[#This Row],[1]:[31]],Code8)</f>
        <v>0</v>
      </c>
      <c r="AR137" s="131">
        <f>COUNTIF(ParicipationMai1[[#This Row],[1]:[31]],Code9)</f>
        <v>0</v>
      </c>
      <c r="AS137" s="131">
        <f>COUNTIF(ParicipationMai1[[#This Row],[1]:[31]],Code10)</f>
        <v>0</v>
      </c>
      <c r="AT137" s="131">
        <f>COUNTIF(ParicipationMai1[[#This Row],[1]:[31]],Code11)</f>
        <v>0</v>
      </c>
      <c r="AU137" s="131">
        <f>COUNTIF(ParicipationMai1[[#This Row],[1]:[31]],Code12)</f>
        <v>0</v>
      </c>
      <c r="AV137" s="131">
        <f>COUNTIF(ParicipationMai1[[#This Row],[1]:[31]],Code13)</f>
        <v>0</v>
      </c>
      <c r="AW137" s="131">
        <f>COUNTIF(ParicipationMai1[[#This Row],[1]:[31]],Code14)</f>
        <v>0</v>
      </c>
      <c r="AX137" s="131">
        <f>COUNTIF(ParicipationMai1[[#This Row],[1]:[31]],Code15)</f>
        <v>0</v>
      </c>
      <c r="AY137" s="131">
        <f>COUNTIF(ParicipationMai1[[#This Row],[1]:[31]],Code16)</f>
        <v>0</v>
      </c>
      <c r="AZ137" s="131">
        <f>COUNTIF(ParicipationMai1[[#This Row],[1]:[31]],Code17)</f>
        <v>0</v>
      </c>
      <c r="BA137" s="131">
        <f>COUNTIF(ParicipationMai1[[#This Row],[1]:[31]],Code26)</f>
        <v>0</v>
      </c>
      <c r="BB137" s="131">
        <f>COUNTIF(ParicipationMai1[[#This Row],[1]:[31]],Code27)</f>
        <v>0</v>
      </c>
      <c r="BC137" s="131">
        <f>COUNTIF(ParicipationMai1[[#This Row],[1]:[31]],Code27)</f>
        <v>0</v>
      </c>
      <c r="BD137" s="131">
        <f>COUNTIF(ParicipationMai1[[#This Row],[1]:[31]],Code28)</f>
        <v>0</v>
      </c>
      <c r="BE137" s="131">
        <f>COUNTIF(ParicipationMai1[[#This Row],[1]:[31]],code30)</f>
        <v>0</v>
      </c>
      <c r="BF137" s="131">
        <f>COUNTIF(ParicipationMai1[[#This Row],[1]:[31]],Code31)</f>
        <v>0</v>
      </c>
      <c r="BG137" s="131">
        <f>COUNTIF(ParicipationMai1[[#This Row],[1]:[31]],code21)</f>
        <v>0</v>
      </c>
      <c r="BH137" s="131">
        <f>COUNTIF(ParicipationMai1[[#This Row],[1]:[31]],Code24)</f>
        <v>0</v>
      </c>
      <c r="BI137" s="568">
        <f>COUNTIF(ParicipationMai1[[#This Row],[1]:[31]],code18)</f>
        <v>0</v>
      </c>
      <c r="BJ137" s="568">
        <f>COUNTIF(ParicipationMai1[[#This Row],[1]:[31]],code19)</f>
        <v>0</v>
      </c>
      <c r="BK137" s="568">
        <f>COUNTIF(ParicipationMai1[[#This Row],[1]:[31]],code20)</f>
        <v>0</v>
      </c>
      <c r="BL137" s="548">
        <f>COUNTIF(ParicipationMai1[[#This Row],[1]:[31]],code29)</f>
        <v>0</v>
      </c>
      <c r="BM137" s="131"/>
      <c r="BN137" s="131"/>
      <c r="BO137" s="131"/>
      <c r="BP137" s="131"/>
      <c r="BQ137" s="131"/>
      <c r="BR137" s="131"/>
      <c r="BS137" s="131"/>
      <c r="BT137" s="131"/>
      <c r="BU137" s="131"/>
      <c r="BV137" s="131"/>
      <c r="BW137" s="131"/>
      <c r="BX137" s="131"/>
      <c r="BY137" s="131"/>
      <c r="BZ137" s="131"/>
      <c r="CA137" s="131"/>
      <c r="CB137" s="131"/>
      <c r="CC137" s="131"/>
      <c r="CD137" s="131"/>
      <c r="CE137" s="131"/>
      <c r="CF137" s="131"/>
      <c r="CG137" s="131"/>
      <c r="CH137" s="131"/>
      <c r="CI137" s="131"/>
      <c r="CJ137" s="131"/>
      <c r="CK137" s="131"/>
      <c r="CL137" s="131"/>
      <c r="CM137" s="131"/>
      <c r="CN137" s="131"/>
      <c r="CO137" s="131"/>
      <c r="CP137" s="131"/>
      <c r="CQ137" s="131"/>
      <c r="CR137" s="131"/>
      <c r="CS137" s="131"/>
      <c r="CT137" s="131"/>
      <c r="CU137" s="548"/>
      <c r="CV137" s="592">
        <f t="shared" si="4"/>
        <v>0</v>
      </c>
      <c r="CW137" s="575">
        <f t="shared" si="5"/>
        <v>0</v>
      </c>
      <c r="CX137" s="131">
        <f t="shared" si="6"/>
        <v>0</v>
      </c>
      <c r="CY137" s="170">
        <f t="shared" si="7"/>
        <v>0</v>
      </c>
    </row>
    <row r="138" spans="1:103">
      <c r="A138" s="405" t="s">
        <v>479</v>
      </c>
      <c r="B138" s="537" t="str">
        <f>IFERROR(VLOOKUP(ParicipationMai1[[#This Row],[Référence]],ListeÉtudiants1[],18,FALSE),"")</f>
        <v>VIRIN AMANDINE</v>
      </c>
      <c r="C138" s="405"/>
      <c r="D138" s="405"/>
      <c r="E138" s="405"/>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5"/>
      <c r="AD138" s="405"/>
      <c r="AE138" s="405"/>
      <c r="AF138" s="405"/>
      <c r="AG138" s="546"/>
      <c r="AH138" s="132">
        <f>COUNTIF(ParicipationMai1[[1]:[31]],Code1)</f>
        <v>0</v>
      </c>
      <c r="AI138" s="538">
        <f>COUNTIF(ParicipationMai1[[1]:[31]],code22)</f>
        <v>0</v>
      </c>
      <c r="AJ138" s="132">
        <f>COUNTIF(ParicipationMai1[[#This Row],[1]:[31]],Code2)</f>
        <v>0</v>
      </c>
      <c r="AK138" s="132">
        <f>COUNTIF(ParicipationMai1[[#This Row],[1]:[31]],Code3)</f>
        <v>0</v>
      </c>
      <c r="AL138" s="132">
        <f>COUNTIF(ParicipationMai1[[#This Row],[1]:[31]],Code4)</f>
        <v>0</v>
      </c>
      <c r="AM138" s="132">
        <f>COUNTIF(ParicipationMai1[[#This Row],[1]:[31]],Code5)</f>
        <v>0</v>
      </c>
      <c r="AN138" s="132">
        <f>COUNTIF(ParicipationMai1[[#This Row],[1]:[31]],Code23)</f>
        <v>0</v>
      </c>
      <c r="AO138" s="132">
        <f>COUNTIF(ParicipationMai1[[#This Row],[1]:[31]],Code6)</f>
        <v>0</v>
      </c>
      <c r="AP138" s="132">
        <f>COUNTIF(ParicipationMai1[[#This Row],[1]:[31]],Code7)</f>
        <v>0</v>
      </c>
      <c r="AQ138" s="132">
        <f>COUNTIF(ParicipationMai1[[#This Row],[1]:[31]],Code8)</f>
        <v>0</v>
      </c>
      <c r="AR138" s="132">
        <f>COUNTIF(ParicipationMai1[[#This Row],[1]:[31]],Code9)</f>
        <v>0</v>
      </c>
      <c r="AS138" s="132">
        <f>COUNTIF(ParicipationMai1[[#This Row],[1]:[31]],Code10)</f>
        <v>0</v>
      </c>
      <c r="AT138" s="132">
        <f>COUNTIF(ParicipationMai1[[#This Row],[1]:[31]],Code11)</f>
        <v>0</v>
      </c>
      <c r="AU138" s="132">
        <f>COUNTIF(ParicipationMai1[[#This Row],[1]:[31]],Code12)</f>
        <v>0</v>
      </c>
      <c r="AV138" s="132">
        <f>COUNTIF(ParicipationMai1[[#This Row],[1]:[31]],Code13)</f>
        <v>0</v>
      </c>
      <c r="AW138" s="132">
        <f>COUNTIF(ParicipationMai1[[#This Row],[1]:[31]],Code14)</f>
        <v>0</v>
      </c>
      <c r="AX138" s="132">
        <f>COUNTIF(ParicipationMai1[[#This Row],[1]:[31]],Code15)</f>
        <v>0</v>
      </c>
      <c r="AY138" s="132">
        <f>COUNTIF(ParicipationMai1[[#This Row],[1]:[31]],Code16)</f>
        <v>0</v>
      </c>
      <c r="AZ138" s="132">
        <f>COUNTIF(ParicipationMai1[[#This Row],[1]:[31]],Code17)</f>
        <v>0</v>
      </c>
      <c r="BA138" s="132">
        <f>COUNTIF(ParicipationMai1[[#This Row],[1]:[31]],Code26)</f>
        <v>0</v>
      </c>
      <c r="BB138" s="132">
        <f>COUNTIF(ParicipationMai1[[#This Row],[1]:[31]],Code27)</f>
        <v>0</v>
      </c>
      <c r="BC138" s="132">
        <f>COUNTIF(ParicipationMai1[[#This Row],[1]:[31]],Code27)</f>
        <v>0</v>
      </c>
      <c r="BD138" s="132">
        <f>COUNTIF(ParicipationMai1[[#This Row],[1]:[31]],Code28)</f>
        <v>0</v>
      </c>
      <c r="BE138" s="132">
        <f>COUNTIF(ParicipationMai1[[#This Row],[1]:[31]],code30)</f>
        <v>0</v>
      </c>
      <c r="BF138" s="132">
        <f>COUNTIF(ParicipationMai1[[#This Row],[1]:[31]],Code31)</f>
        <v>0</v>
      </c>
      <c r="BG138" s="132">
        <f>COUNTIF(ParicipationMai1[[#This Row],[1]:[31]],code21)</f>
        <v>0</v>
      </c>
      <c r="BH138" s="132">
        <f>COUNTIF(ParicipationMai1[[#This Row],[1]:[31]],Code24)</f>
        <v>0</v>
      </c>
      <c r="BI138" s="579">
        <f>COUNTIF(ParicipationMai1[[#This Row],[1]:[31]],code18)</f>
        <v>0</v>
      </c>
      <c r="BJ138" s="579">
        <f>COUNTIF(ParicipationMai1[[#This Row],[1]:[31]],code19)</f>
        <v>0</v>
      </c>
      <c r="BK138" s="579">
        <f>COUNTIF(ParicipationMai1[[#This Row],[1]:[31]],code20)</f>
        <v>0</v>
      </c>
      <c r="BL138" s="547">
        <f>COUNTIF(ParicipationMai1[[#This Row],[1]:[31]],code29)</f>
        <v>0</v>
      </c>
      <c r="BM138" s="132"/>
      <c r="BN138" s="132"/>
      <c r="BO138" s="132"/>
      <c r="BP138" s="132"/>
      <c r="BQ138" s="132"/>
      <c r="BR138" s="132"/>
      <c r="BS138" s="132"/>
      <c r="BT138" s="132"/>
      <c r="BU138" s="132"/>
      <c r="BV138" s="132"/>
      <c r="BW138" s="132"/>
      <c r="BX138" s="132"/>
      <c r="BY138" s="132"/>
      <c r="BZ138" s="132"/>
      <c r="CA138" s="132"/>
      <c r="CB138" s="132"/>
      <c r="CC138" s="132"/>
      <c r="CD138" s="132"/>
      <c r="CE138" s="132"/>
      <c r="CF138" s="132"/>
      <c r="CG138" s="132"/>
      <c r="CH138" s="132"/>
      <c r="CI138" s="132"/>
      <c r="CJ138" s="132"/>
      <c r="CK138" s="132"/>
      <c r="CL138" s="132"/>
      <c r="CM138" s="132"/>
      <c r="CN138" s="132"/>
      <c r="CO138" s="132"/>
      <c r="CP138" s="132"/>
      <c r="CQ138" s="132"/>
      <c r="CR138" s="132"/>
      <c r="CS138" s="132"/>
      <c r="CT138" s="132"/>
      <c r="CU138" s="547"/>
      <c r="CV138" s="590">
        <f t="shared" si="4"/>
        <v>0</v>
      </c>
      <c r="CW138" s="573">
        <f t="shared" si="5"/>
        <v>0</v>
      </c>
      <c r="CX138" s="132">
        <f t="shared" si="6"/>
        <v>0</v>
      </c>
      <c r="CY138" s="500">
        <f t="shared" si="7"/>
        <v>0</v>
      </c>
    </row>
    <row r="139" spans="1:103">
      <c r="A139" s="406" t="s">
        <v>578</v>
      </c>
      <c r="B139" s="540" t="str">
        <f>IFERROR(VLOOKUP(ParicipationMai1[[#This Row],[Référence]],ListeÉtudiants1[],18,FALSE),"")</f>
        <v>ASSOUMANI ASMINA</v>
      </c>
      <c r="C139" s="406"/>
      <c r="D139" s="406"/>
      <c r="E139" s="406"/>
      <c r="F139" s="406"/>
      <c r="G139" s="406"/>
      <c r="H139" s="406"/>
      <c r="I139" s="406"/>
      <c r="J139" s="406"/>
      <c r="K139" s="406"/>
      <c r="L139" s="406"/>
      <c r="M139" s="406"/>
      <c r="N139" s="406"/>
      <c r="O139" s="406"/>
      <c r="P139" s="406"/>
      <c r="Q139" s="406"/>
      <c r="R139" s="406"/>
      <c r="S139" s="406"/>
      <c r="T139" s="406"/>
      <c r="U139" s="406"/>
      <c r="V139" s="406"/>
      <c r="W139" s="406"/>
      <c r="X139" s="406"/>
      <c r="Y139" s="406"/>
      <c r="Z139" s="406"/>
      <c r="AA139" s="406"/>
      <c r="AB139" s="406"/>
      <c r="AC139" s="406"/>
      <c r="AD139" s="406"/>
      <c r="AE139" s="406"/>
      <c r="AF139" s="406"/>
      <c r="AG139" s="542"/>
      <c r="AH139" s="131">
        <f>COUNTIF(ParicipationMai1[[1]:[31]],Code1)</f>
        <v>0</v>
      </c>
      <c r="AI139" s="311">
        <f>COUNTIF(ParicipationMai1[[1]:[31]],code22)</f>
        <v>0</v>
      </c>
      <c r="AJ139" s="131">
        <f>COUNTIF(ParicipationMai1[[#This Row],[1]:[31]],Code2)</f>
        <v>0</v>
      </c>
      <c r="AK139" s="131">
        <f>COUNTIF(ParicipationMai1[[#This Row],[1]:[31]],Code3)</f>
        <v>0</v>
      </c>
      <c r="AL139" s="131">
        <f>COUNTIF(ParicipationMai1[[#This Row],[1]:[31]],Code4)</f>
        <v>0</v>
      </c>
      <c r="AM139" s="131">
        <f>COUNTIF(ParicipationMai1[[#This Row],[1]:[31]],Code5)</f>
        <v>0</v>
      </c>
      <c r="AN139" s="131">
        <f>COUNTIF(ParicipationMai1[[#This Row],[1]:[31]],Code23)</f>
        <v>0</v>
      </c>
      <c r="AO139" s="131">
        <f>COUNTIF(ParicipationMai1[[#This Row],[1]:[31]],Code6)</f>
        <v>0</v>
      </c>
      <c r="AP139" s="131">
        <f>COUNTIF(ParicipationMai1[[#This Row],[1]:[31]],Code7)</f>
        <v>0</v>
      </c>
      <c r="AQ139" s="131">
        <f>COUNTIF(ParicipationMai1[[#This Row],[1]:[31]],Code8)</f>
        <v>0</v>
      </c>
      <c r="AR139" s="131">
        <f>COUNTIF(ParicipationMai1[[#This Row],[1]:[31]],Code9)</f>
        <v>0</v>
      </c>
      <c r="AS139" s="131">
        <f>COUNTIF(ParicipationMai1[[#This Row],[1]:[31]],Code10)</f>
        <v>0</v>
      </c>
      <c r="AT139" s="131">
        <f>COUNTIF(ParicipationMai1[[#This Row],[1]:[31]],Code11)</f>
        <v>0</v>
      </c>
      <c r="AU139" s="131">
        <f>COUNTIF(ParicipationMai1[[#This Row],[1]:[31]],Code12)</f>
        <v>0</v>
      </c>
      <c r="AV139" s="131">
        <f>COUNTIF(ParicipationMai1[[#This Row],[1]:[31]],Code13)</f>
        <v>0</v>
      </c>
      <c r="AW139" s="131">
        <f>COUNTIF(ParicipationMai1[[#This Row],[1]:[31]],Code14)</f>
        <v>0</v>
      </c>
      <c r="AX139" s="131">
        <f>COUNTIF(ParicipationMai1[[#This Row],[1]:[31]],Code15)</f>
        <v>0</v>
      </c>
      <c r="AY139" s="131">
        <f>COUNTIF(ParicipationMai1[[#This Row],[1]:[31]],Code16)</f>
        <v>0</v>
      </c>
      <c r="AZ139" s="131">
        <f>COUNTIF(ParicipationMai1[[#This Row],[1]:[31]],Code17)</f>
        <v>0</v>
      </c>
      <c r="BA139" s="131">
        <f>COUNTIF(ParicipationMai1[[#This Row],[1]:[31]],Code26)</f>
        <v>0</v>
      </c>
      <c r="BB139" s="131">
        <f>COUNTIF(ParicipationMai1[[#This Row],[1]:[31]],Code27)</f>
        <v>0</v>
      </c>
      <c r="BC139" s="131">
        <f>COUNTIF(ParicipationMai1[[#This Row],[1]:[31]],Code27)</f>
        <v>0</v>
      </c>
      <c r="BD139" s="131">
        <f>COUNTIF(ParicipationMai1[[#This Row],[1]:[31]],Code28)</f>
        <v>0</v>
      </c>
      <c r="BE139" s="131">
        <f>COUNTIF(ParicipationMai1[[#This Row],[1]:[31]],code30)</f>
        <v>0</v>
      </c>
      <c r="BF139" s="131">
        <f>COUNTIF(ParicipationMai1[[#This Row],[1]:[31]],Code31)</f>
        <v>0</v>
      </c>
      <c r="BG139" s="131">
        <f>COUNTIF(ParicipationMai1[[#This Row],[1]:[31]],code21)</f>
        <v>0</v>
      </c>
      <c r="BH139" s="131">
        <f>COUNTIF(ParicipationMai1[[#This Row],[1]:[31]],Code24)</f>
        <v>0</v>
      </c>
      <c r="BI139" s="568">
        <f>COUNTIF(ParicipationMai1[[#This Row],[1]:[31]],code18)</f>
        <v>0</v>
      </c>
      <c r="BJ139" s="568">
        <f>COUNTIF(ParicipationMai1[[#This Row],[1]:[31]],code19)</f>
        <v>0</v>
      </c>
      <c r="BK139" s="568">
        <f>COUNTIF(ParicipationMai1[[#This Row],[1]:[31]],code20)</f>
        <v>0</v>
      </c>
      <c r="BL139" s="548">
        <f>COUNTIF(ParicipationMai1[[#This Row],[1]:[31]],code29)</f>
        <v>0</v>
      </c>
      <c r="BM139" s="131"/>
      <c r="BN139" s="131"/>
      <c r="BO139" s="131"/>
      <c r="BP139" s="131"/>
      <c r="BQ139" s="131"/>
      <c r="BR139" s="131"/>
      <c r="BS139" s="131"/>
      <c r="BT139" s="131"/>
      <c r="BU139" s="131"/>
      <c r="BV139" s="131"/>
      <c r="BW139" s="131"/>
      <c r="BX139" s="131"/>
      <c r="BY139" s="131"/>
      <c r="BZ139" s="131"/>
      <c r="CA139" s="131"/>
      <c r="CB139" s="131"/>
      <c r="CC139" s="131"/>
      <c r="CD139" s="131"/>
      <c r="CE139" s="131"/>
      <c r="CF139" s="131"/>
      <c r="CG139" s="131"/>
      <c r="CH139" s="131"/>
      <c r="CI139" s="131"/>
      <c r="CJ139" s="131"/>
      <c r="CK139" s="131"/>
      <c r="CL139" s="131"/>
      <c r="CM139" s="131"/>
      <c r="CN139" s="131"/>
      <c r="CO139" s="131"/>
      <c r="CP139" s="131"/>
      <c r="CQ139" s="131"/>
      <c r="CR139" s="131"/>
      <c r="CS139" s="131"/>
      <c r="CT139" s="131"/>
      <c r="CU139" s="548"/>
      <c r="CV139" s="592">
        <f t="shared" ref="CV139:CV155" si="8">SUM((AH139*1)+(AI139*1.5)+(AJ139*2)+(AK139*3)+(AP139*5)+(AQ139*6)+(AR139*7)+(AU139*2)+(AX139*3)+(AY139*4)+(AZ139*5)+(BB139*3)+(BA139*2)+(BG139*2)+(BC139*2)+(BD139*2))</f>
        <v>0</v>
      </c>
      <c r="CW139" s="575">
        <f t="shared" ref="CW139:CW155" si="9">SUM((AN139*1)+(AM139*2)+(AO139*3)+(AP139*4)+(AT139*5)+(AU139*7)+(AV139*7)+(AW139*7)+(AX139*4)+(AY139*3)+(BB139*2)+(BC139*4)+(AZ139*1)+(BG139*2)+(BA139*5)+(BD139*1))</f>
        <v>0</v>
      </c>
      <c r="CX139" s="131">
        <f t="shared" ref="CX139:CX155" si="10">BH139*1+BL139*3</f>
        <v>0</v>
      </c>
      <c r="CY139" s="170">
        <f t="shared" si="7"/>
        <v>0</v>
      </c>
    </row>
    <row r="140" spans="1:103">
      <c r="A140" s="405" t="s">
        <v>579</v>
      </c>
      <c r="B140" s="537" t="str">
        <f>IFERROR(VLOOKUP(ParicipationMai1[[#This Row],[Référence]],ListeÉtudiants1[],18,FALSE),"")</f>
        <v>ATSE KIMBERLEY</v>
      </c>
      <c r="C140" s="405"/>
      <c r="D140" s="405"/>
      <c r="E140" s="405"/>
      <c r="F140" s="405"/>
      <c r="G140" s="405"/>
      <c r="H140" s="405"/>
      <c r="I140" s="405"/>
      <c r="J140" s="405"/>
      <c r="K140" s="405"/>
      <c r="L140" s="405"/>
      <c r="M140" s="405"/>
      <c r="N140" s="405"/>
      <c r="O140" s="405"/>
      <c r="P140" s="405"/>
      <c r="Q140" s="405"/>
      <c r="R140" s="405"/>
      <c r="S140" s="405"/>
      <c r="T140" s="405"/>
      <c r="U140" s="405"/>
      <c r="V140" s="405"/>
      <c r="W140" s="405"/>
      <c r="X140" s="405"/>
      <c r="Y140" s="405"/>
      <c r="Z140" s="405"/>
      <c r="AA140" s="405"/>
      <c r="AB140" s="405"/>
      <c r="AC140" s="405"/>
      <c r="AD140" s="405"/>
      <c r="AE140" s="405"/>
      <c r="AF140" s="405"/>
      <c r="AG140" s="546"/>
      <c r="AH140" s="132">
        <f>COUNTIF(ParicipationMai1[[1]:[31]],Code1)</f>
        <v>0</v>
      </c>
      <c r="AI140" s="538">
        <f>COUNTIF(ParicipationMai1[[1]:[31]],code22)</f>
        <v>0</v>
      </c>
      <c r="AJ140" s="132">
        <f>COUNTIF(ParicipationMai1[[#This Row],[1]:[31]],Code2)</f>
        <v>0</v>
      </c>
      <c r="AK140" s="132">
        <f>COUNTIF(ParicipationMai1[[#This Row],[1]:[31]],Code3)</f>
        <v>0</v>
      </c>
      <c r="AL140" s="132">
        <f>COUNTIF(ParicipationMai1[[#This Row],[1]:[31]],Code4)</f>
        <v>0</v>
      </c>
      <c r="AM140" s="132">
        <f>COUNTIF(ParicipationMai1[[#This Row],[1]:[31]],Code5)</f>
        <v>0</v>
      </c>
      <c r="AN140" s="132">
        <f>COUNTIF(ParicipationMai1[[#This Row],[1]:[31]],Code23)</f>
        <v>0</v>
      </c>
      <c r="AO140" s="132">
        <f>COUNTIF(ParicipationMai1[[#This Row],[1]:[31]],Code6)</f>
        <v>0</v>
      </c>
      <c r="AP140" s="132">
        <f>COUNTIF(ParicipationMai1[[#This Row],[1]:[31]],Code7)</f>
        <v>0</v>
      </c>
      <c r="AQ140" s="132">
        <f>COUNTIF(ParicipationMai1[[#This Row],[1]:[31]],Code8)</f>
        <v>0</v>
      </c>
      <c r="AR140" s="132">
        <f>COUNTIF(ParicipationMai1[[#This Row],[1]:[31]],Code9)</f>
        <v>0</v>
      </c>
      <c r="AS140" s="132">
        <f>COUNTIF(ParicipationMai1[[#This Row],[1]:[31]],Code10)</f>
        <v>0</v>
      </c>
      <c r="AT140" s="132">
        <f>COUNTIF(ParicipationMai1[[#This Row],[1]:[31]],Code11)</f>
        <v>0</v>
      </c>
      <c r="AU140" s="132">
        <f>COUNTIF(ParicipationMai1[[#This Row],[1]:[31]],Code12)</f>
        <v>0</v>
      </c>
      <c r="AV140" s="132">
        <f>COUNTIF(ParicipationMai1[[#This Row],[1]:[31]],Code13)</f>
        <v>0</v>
      </c>
      <c r="AW140" s="132">
        <f>COUNTIF(ParicipationMai1[[#This Row],[1]:[31]],Code14)</f>
        <v>0</v>
      </c>
      <c r="AX140" s="132">
        <f>COUNTIF(ParicipationMai1[[#This Row],[1]:[31]],Code15)</f>
        <v>0</v>
      </c>
      <c r="AY140" s="132">
        <f>COUNTIF(ParicipationMai1[[#This Row],[1]:[31]],Code16)</f>
        <v>0</v>
      </c>
      <c r="AZ140" s="132">
        <f>COUNTIF(ParicipationMai1[[#This Row],[1]:[31]],Code17)</f>
        <v>0</v>
      </c>
      <c r="BA140" s="132">
        <f>COUNTIF(ParicipationMai1[[#This Row],[1]:[31]],Code26)</f>
        <v>0</v>
      </c>
      <c r="BB140" s="132">
        <f>COUNTIF(ParicipationMai1[[#This Row],[1]:[31]],Code27)</f>
        <v>0</v>
      </c>
      <c r="BC140" s="132">
        <f>COUNTIF(ParicipationMai1[[#This Row],[1]:[31]],Code27)</f>
        <v>0</v>
      </c>
      <c r="BD140" s="132">
        <f>COUNTIF(ParicipationMai1[[#This Row],[1]:[31]],Code28)</f>
        <v>0</v>
      </c>
      <c r="BE140" s="132">
        <f>COUNTIF(ParicipationMai1[[#This Row],[1]:[31]],code30)</f>
        <v>0</v>
      </c>
      <c r="BF140" s="132">
        <f>COUNTIF(ParicipationMai1[[#This Row],[1]:[31]],Code31)</f>
        <v>0</v>
      </c>
      <c r="BG140" s="132">
        <f>COUNTIF(ParicipationMai1[[#This Row],[1]:[31]],code21)</f>
        <v>0</v>
      </c>
      <c r="BH140" s="132">
        <f>COUNTIF(ParicipationMai1[[#This Row],[1]:[31]],Code24)</f>
        <v>0</v>
      </c>
      <c r="BI140" s="579">
        <f>COUNTIF(ParicipationMai1[[#This Row],[1]:[31]],code18)</f>
        <v>0</v>
      </c>
      <c r="BJ140" s="579">
        <f>COUNTIF(ParicipationMai1[[#This Row],[1]:[31]],code19)</f>
        <v>0</v>
      </c>
      <c r="BK140" s="579">
        <f>COUNTIF(ParicipationMai1[[#This Row],[1]:[31]],code20)</f>
        <v>0</v>
      </c>
      <c r="BL140" s="547">
        <f>COUNTIF(ParicipationMai1[[#This Row],[1]:[31]],code29)</f>
        <v>0</v>
      </c>
      <c r="BM140" s="132"/>
      <c r="BN140" s="132"/>
      <c r="BO140" s="132"/>
      <c r="BP140" s="132"/>
      <c r="BQ140" s="132"/>
      <c r="BR140" s="132"/>
      <c r="BS140" s="132"/>
      <c r="BT140" s="132"/>
      <c r="BU140" s="132"/>
      <c r="BV140" s="132"/>
      <c r="BW140" s="132"/>
      <c r="BX140" s="132"/>
      <c r="BY140" s="132"/>
      <c r="BZ140" s="132"/>
      <c r="CA140" s="132"/>
      <c r="CB140" s="132"/>
      <c r="CC140" s="132"/>
      <c r="CD140" s="132"/>
      <c r="CE140" s="132"/>
      <c r="CF140" s="132"/>
      <c r="CG140" s="132"/>
      <c r="CH140" s="132"/>
      <c r="CI140" s="132"/>
      <c r="CJ140" s="132"/>
      <c r="CK140" s="132"/>
      <c r="CL140" s="132"/>
      <c r="CM140" s="132"/>
      <c r="CN140" s="132"/>
      <c r="CO140" s="132"/>
      <c r="CP140" s="132"/>
      <c r="CQ140" s="132"/>
      <c r="CR140" s="132"/>
      <c r="CS140" s="132"/>
      <c r="CT140" s="132"/>
      <c r="CU140" s="547"/>
      <c r="CV140" s="590">
        <f t="shared" si="8"/>
        <v>0</v>
      </c>
      <c r="CW140" s="573">
        <f t="shared" si="9"/>
        <v>0</v>
      </c>
      <c r="CX140" s="132">
        <f t="shared" si="10"/>
        <v>0</v>
      </c>
      <c r="CY140" s="500">
        <f t="shared" ref="CY140:CY155" si="11">SUM((BI140*7),(BJ140*10),(BK140*12))</f>
        <v>0</v>
      </c>
    </row>
    <row r="141" spans="1:103">
      <c r="A141" s="406" t="s">
        <v>582</v>
      </c>
      <c r="B141" s="540" t="str">
        <f>IFERROR(VLOOKUP(ParicipationMai1[[#This Row],[Référence]],ListeÉtudiants1[],18,FALSE),"")</f>
        <v>BOLINGO  Malise</v>
      </c>
      <c r="C141" s="406"/>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406"/>
      <c r="Z141" s="406"/>
      <c r="AA141" s="406"/>
      <c r="AB141" s="406"/>
      <c r="AC141" s="406"/>
      <c r="AD141" s="406"/>
      <c r="AE141" s="406"/>
      <c r="AF141" s="406"/>
      <c r="AG141" s="542"/>
      <c r="AH141" s="131">
        <f>COUNTIF(ParicipationMai1[[1]:[31]],Code1)</f>
        <v>0</v>
      </c>
      <c r="AI141" s="311">
        <f>COUNTIF(ParicipationMai1[[1]:[31]],code22)</f>
        <v>0</v>
      </c>
      <c r="AJ141" s="131">
        <f>COUNTIF(ParicipationMai1[[#This Row],[1]:[31]],Code2)</f>
        <v>0</v>
      </c>
      <c r="AK141" s="131">
        <f>COUNTIF(ParicipationMai1[[#This Row],[1]:[31]],Code3)</f>
        <v>0</v>
      </c>
      <c r="AL141" s="131">
        <f>COUNTIF(ParicipationMai1[[#This Row],[1]:[31]],Code4)</f>
        <v>0</v>
      </c>
      <c r="AM141" s="131">
        <f>COUNTIF(ParicipationMai1[[#This Row],[1]:[31]],Code5)</f>
        <v>0</v>
      </c>
      <c r="AN141" s="131">
        <f>COUNTIF(ParicipationMai1[[#This Row],[1]:[31]],Code23)</f>
        <v>0</v>
      </c>
      <c r="AO141" s="131">
        <f>COUNTIF(ParicipationMai1[[#This Row],[1]:[31]],Code6)</f>
        <v>0</v>
      </c>
      <c r="AP141" s="131">
        <f>COUNTIF(ParicipationMai1[[#This Row],[1]:[31]],Code7)</f>
        <v>0</v>
      </c>
      <c r="AQ141" s="131">
        <f>COUNTIF(ParicipationMai1[[#This Row],[1]:[31]],Code8)</f>
        <v>0</v>
      </c>
      <c r="AR141" s="131">
        <f>COUNTIF(ParicipationMai1[[#This Row],[1]:[31]],Code9)</f>
        <v>0</v>
      </c>
      <c r="AS141" s="131">
        <f>COUNTIF(ParicipationMai1[[#This Row],[1]:[31]],Code10)</f>
        <v>0</v>
      </c>
      <c r="AT141" s="131">
        <f>COUNTIF(ParicipationMai1[[#This Row],[1]:[31]],Code11)</f>
        <v>0</v>
      </c>
      <c r="AU141" s="131">
        <f>COUNTIF(ParicipationMai1[[#This Row],[1]:[31]],Code12)</f>
        <v>0</v>
      </c>
      <c r="AV141" s="131">
        <f>COUNTIF(ParicipationMai1[[#This Row],[1]:[31]],Code13)</f>
        <v>0</v>
      </c>
      <c r="AW141" s="131">
        <f>COUNTIF(ParicipationMai1[[#This Row],[1]:[31]],Code14)</f>
        <v>0</v>
      </c>
      <c r="AX141" s="131">
        <f>COUNTIF(ParicipationMai1[[#This Row],[1]:[31]],Code15)</f>
        <v>0</v>
      </c>
      <c r="AY141" s="131">
        <f>COUNTIF(ParicipationMai1[[#This Row],[1]:[31]],Code16)</f>
        <v>0</v>
      </c>
      <c r="AZ141" s="131">
        <f>COUNTIF(ParicipationMai1[[#This Row],[1]:[31]],Code17)</f>
        <v>0</v>
      </c>
      <c r="BA141" s="131">
        <f>COUNTIF(ParicipationMai1[[#This Row],[1]:[31]],Code26)</f>
        <v>0</v>
      </c>
      <c r="BB141" s="131">
        <f>COUNTIF(ParicipationMai1[[#This Row],[1]:[31]],Code27)</f>
        <v>0</v>
      </c>
      <c r="BC141" s="131">
        <f>COUNTIF(ParicipationMai1[[#This Row],[1]:[31]],Code27)</f>
        <v>0</v>
      </c>
      <c r="BD141" s="131">
        <f>COUNTIF(ParicipationMai1[[#This Row],[1]:[31]],Code28)</f>
        <v>0</v>
      </c>
      <c r="BE141" s="131">
        <f>COUNTIF(ParicipationMai1[[#This Row],[1]:[31]],code30)</f>
        <v>0</v>
      </c>
      <c r="BF141" s="131">
        <f>COUNTIF(ParicipationMai1[[#This Row],[1]:[31]],Code31)</f>
        <v>0</v>
      </c>
      <c r="BG141" s="131">
        <f>COUNTIF(ParicipationMai1[[#This Row],[1]:[31]],code21)</f>
        <v>0</v>
      </c>
      <c r="BH141" s="131">
        <f>COUNTIF(ParicipationMai1[[#This Row],[1]:[31]],Code24)</f>
        <v>0</v>
      </c>
      <c r="BI141" s="568">
        <f>COUNTIF(ParicipationMai1[[#This Row],[1]:[31]],code18)</f>
        <v>0</v>
      </c>
      <c r="BJ141" s="568">
        <f>COUNTIF(ParicipationMai1[[#This Row],[1]:[31]],code19)</f>
        <v>0</v>
      </c>
      <c r="BK141" s="568">
        <f>COUNTIF(ParicipationMai1[[#This Row],[1]:[31]],code20)</f>
        <v>0</v>
      </c>
      <c r="BL141" s="548">
        <f>COUNTIF(ParicipationMai1[[#This Row],[1]:[31]],code29)</f>
        <v>0</v>
      </c>
      <c r="BM141" s="131"/>
      <c r="BN141" s="131"/>
      <c r="BO141" s="131"/>
      <c r="BP141" s="131"/>
      <c r="BQ141" s="131"/>
      <c r="BR141" s="131"/>
      <c r="BS141" s="131"/>
      <c r="BT141" s="131"/>
      <c r="BU141" s="131"/>
      <c r="BV141" s="131"/>
      <c r="BW141" s="131"/>
      <c r="BX141" s="131"/>
      <c r="BY141" s="131"/>
      <c r="BZ141" s="131"/>
      <c r="CA141" s="131"/>
      <c r="CB141" s="131"/>
      <c r="CC141" s="131"/>
      <c r="CD141" s="131"/>
      <c r="CE141" s="131"/>
      <c r="CF141" s="131"/>
      <c r="CG141" s="131"/>
      <c r="CH141" s="131"/>
      <c r="CI141" s="131"/>
      <c r="CJ141" s="131"/>
      <c r="CK141" s="131"/>
      <c r="CL141" s="131"/>
      <c r="CM141" s="131"/>
      <c r="CN141" s="131"/>
      <c r="CO141" s="131"/>
      <c r="CP141" s="131"/>
      <c r="CQ141" s="131"/>
      <c r="CR141" s="131"/>
      <c r="CS141" s="131"/>
      <c r="CT141" s="131"/>
      <c r="CU141" s="548"/>
      <c r="CV141" s="592">
        <f t="shared" si="8"/>
        <v>0</v>
      </c>
      <c r="CW141" s="575">
        <f t="shared" si="9"/>
        <v>0</v>
      </c>
      <c r="CX141" s="131">
        <f t="shared" si="10"/>
        <v>0</v>
      </c>
      <c r="CY141" s="170">
        <f t="shared" si="11"/>
        <v>0</v>
      </c>
    </row>
    <row r="142" spans="1:103">
      <c r="A142" s="405" t="s">
        <v>584</v>
      </c>
      <c r="B142" s="537" t="str">
        <f>IFERROR(VLOOKUP(ParicipationMai1[[#This Row],[Référence]],ListeÉtudiants1[],18,FALSE),"")</f>
        <v>CAPAROS Maia</v>
      </c>
      <c r="C142" s="405"/>
      <c r="D142" s="405"/>
      <c r="E142" s="405"/>
      <c r="F142" s="405"/>
      <c r="G142" s="405"/>
      <c r="H142" s="405"/>
      <c r="I142" s="405"/>
      <c r="J142" s="405"/>
      <c r="K142" s="405"/>
      <c r="L142" s="405"/>
      <c r="M142" s="405"/>
      <c r="N142" s="405"/>
      <c r="O142" s="405"/>
      <c r="P142" s="405"/>
      <c r="Q142" s="405"/>
      <c r="R142" s="405"/>
      <c r="S142" s="405"/>
      <c r="T142" s="405"/>
      <c r="U142" s="405"/>
      <c r="V142" s="405"/>
      <c r="W142" s="405"/>
      <c r="X142" s="405"/>
      <c r="Y142" s="405"/>
      <c r="Z142" s="405"/>
      <c r="AA142" s="405"/>
      <c r="AB142" s="405"/>
      <c r="AC142" s="405"/>
      <c r="AD142" s="405"/>
      <c r="AE142" s="405"/>
      <c r="AF142" s="405"/>
      <c r="AG142" s="546"/>
      <c r="AH142" s="132">
        <f>COUNTIF(ParicipationMai1[[1]:[31]],Code1)</f>
        <v>0</v>
      </c>
      <c r="AI142" s="538">
        <f>COUNTIF(ParicipationMai1[[1]:[31]],code22)</f>
        <v>0</v>
      </c>
      <c r="AJ142" s="132">
        <f>COUNTIF(ParicipationMai1[[#This Row],[1]:[31]],Code2)</f>
        <v>0</v>
      </c>
      <c r="AK142" s="132">
        <f>COUNTIF(ParicipationMai1[[#This Row],[1]:[31]],Code3)</f>
        <v>0</v>
      </c>
      <c r="AL142" s="132">
        <f>COUNTIF(ParicipationMai1[[#This Row],[1]:[31]],Code4)</f>
        <v>0</v>
      </c>
      <c r="AM142" s="132">
        <f>COUNTIF(ParicipationMai1[[#This Row],[1]:[31]],Code5)</f>
        <v>0</v>
      </c>
      <c r="AN142" s="132">
        <f>COUNTIF(ParicipationMai1[[#This Row],[1]:[31]],Code23)</f>
        <v>0</v>
      </c>
      <c r="AO142" s="132">
        <f>COUNTIF(ParicipationMai1[[#This Row],[1]:[31]],Code6)</f>
        <v>0</v>
      </c>
      <c r="AP142" s="132">
        <f>COUNTIF(ParicipationMai1[[#This Row],[1]:[31]],Code7)</f>
        <v>0</v>
      </c>
      <c r="AQ142" s="132">
        <f>COUNTIF(ParicipationMai1[[#This Row],[1]:[31]],Code8)</f>
        <v>0</v>
      </c>
      <c r="AR142" s="132">
        <f>COUNTIF(ParicipationMai1[[#This Row],[1]:[31]],Code9)</f>
        <v>0</v>
      </c>
      <c r="AS142" s="132">
        <f>COUNTIF(ParicipationMai1[[#This Row],[1]:[31]],Code10)</f>
        <v>0</v>
      </c>
      <c r="AT142" s="132">
        <f>COUNTIF(ParicipationMai1[[#This Row],[1]:[31]],Code11)</f>
        <v>0</v>
      </c>
      <c r="AU142" s="132">
        <f>COUNTIF(ParicipationMai1[[#This Row],[1]:[31]],Code12)</f>
        <v>0</v>
      </c>
      <c r="AV142" s="132">
        <f>COUNTIF(ParicipationMai1[[#This Row],[1]:[31]],Code13)</f>
        <v>0</v>
      </c>
      <c r="AW142" s="132">
        <f>COUNTIF(ParicipationMai1[[#This Row],[1]:[31]],Code14)</f>
        <v>0</v>
      </c>
      <c r="AX142" s="132">
        <f>COUNTIF(ParicipationMai1[[#This Row],[1]:[31]],Code15)</f>
        <v>0</v>
      </c>
      <c r="AY142" s="132">
        <f>COUNTIF(ParicipationMai1[[#This Row],[1]:[31]],Code16)</f>
        <v>0</v>
      </c>
      <c r="AZ142" s="132">
        <f>COUNTIF(ParicipationMai1[[#This Row],[1]:[31]],Code17)</f>
        <v>0</v>
      </c>
      <c r="BA142" s="132">
        <f>COUNTIF(ParicipationMai1[[#This Row],[1]:[31]],Code26)</f>
        <v>0</v>
      </c>
      <c r="BB142" s="132">
        <f>COUNTIF(ParicipationMai1[[#This Row],[1]:[31]],Code27)</f>
        <v>0</v>
      </c>
      <c r="BC142" s="132">
        <f>COUNTIF(ParicipationMai1[[#This Row],[1]:[31]],Code27)</f>
        <v>0</v>
      </c>
      <c r="BD142" s="132">
        <f>COUNTIF(ParicipationMai1[[#This Row],[1]:[31]],Code28)</f>
        <v>0</v>
      </c>
      <c r="BE142" s="132">
        <f>COUNTIF(ParicipationMai1[[#This Row],[1]:[31]],code30)</f>
        <v>0</v>
      </c>
      <c r="BF142" s="132">
        <f>COUNTIF(ParicipationMai1[[#This Row],[1]:[31]],Code31)</f>
        <v>0</v>
      </c>
      <c r="BG142" s="132">
        <f>COUNTIF(ParicipationMai1[[#This Row],[1]:[31]],code21)</f>
        <v>0</v>
      </c>
      <c r="BH142" s="132">
        <f>COUNTIF(ParicipationMai1[[#This Row],[1]:[31]],Code24)</f>
        <v>0</v>
      </c>
      <c r="BI142" s="579">
        <f>COUNTIF(ParicipationMai1[[#This Row],[1]:[31]],code18)</f>
        <v>0</v>
      </c>
      <c r="BJ142" s="579">
        <f>COUNTIF(ParicipationMai1[[#This Row],[1]:[31]],code19)</f>
        <v>0</v>
      </c>
      <c r="BK142" s="579">
        <f>COUNTIF(ParicipationMai1[[#This Row],[1]:[31]],code20)</f>
        <v>0</v>
      </c>
      <c r="BL142" s="547">
        <f>COUNTIF(ParicipationMai1[[#This Row],[1]:[31]],code29)</f>
        <v>0</v>
      </c>
      <c r="BM142" s="132"/>
      <c r="BN142" s="132"/>
      <c r="BO142" s="132"/>
      <c r="BP142" s="132"/>
      <c r="BQ142" s="132"/>
      <c r="BR142" s="132"/>
      <c r="BS142" s="132"/>
      <c r="BT142" s="132"/>
      <c r="BU142" s="132"/>
      <c r="BV142" s="132"/>
      <c r="BW142" s="132"/>
      <c r="BX142" s="132"/>
      <c r="BY142" s="132"/>
      <c r="BZ142" s="132"/>
      <c r="CA142" s="132"/>
      <c r="CB142" s="132"/>
      <c r="CC142" s="132"/>
      <c r="CD142" s="132"/>
      <c r="CE142" s="132"/>
      <c r="CF142" s="132"/>
      <c r="CG142" s="132"/>
      <c r="CH142" s="132"/>
      <c r="CI142" s="132"/>
      <c r="CJ142" s="132"/>
      <c r="CK142" s="132"/>
      <c r="CL142" s="132"/>
      <c r="CM142" s="132"/>
      <c r="CN142" s="132"/>
      <c r="CO142" s="132"/>
      <c r="CP142" s="132"/>
      <c r="CQ142" s="132"/>
      <c r="CR142" s="132"/>
      <c r="CS142" s="132"/>
      <c r="CT142" s="132"/>
      <c r="CU142" s="547"/>
      <c r="CV142" s="590">
        <f t="shared" si="8"/>
        <v>0</v>
      </c>
      <c r="CW142" s="573">
        <f t="shared" si="9"/>
        <v>0</v>
      </c>
      <c r="CX142" s="132">
        <f t="shared" si="10"/>
        <v>0</v>
      </c>
      <c r="CY142" s="500">
        <f t="shared" si="11"/>
        <v>0</v>
      </c>
    </row>
    <row r="143" spans="1:103">
      <c r="A143" s="406" t="s">
        <v>585</v>
      </c>
      <c r="B143" s="540" t="str">
        <f>IFERROR(VLOOKUP(ParicipationMai1[[#This Row],[Référence]],ListeÉtudiants1[],18,FALSE),"")</f>
        <v>COLLADO ALICIA</v>
      </c>
      <c r="C143" s="406"/>
      <c r="D143" s="406"/>
      <c r="E143" s="406"/>
      <c r="F143" s="406"/>
      <c r="G143" s="406"/>
      <c r="H143" s="406"/>
      <c r="I143" s="406"/>
      <c r="J143" s="406"/>
      <c r="K143" s="406"/>
      <c r="L143" s="406"/>
      <c r="M143" s="406"/>
      <c r="N143" s="406"/>
      <c r="O143" s="406"/>
      <c r="P143" s="406"/>
      <c r="Q143" s="406"/>
      <c r="R143" s="406"/>
      <c r="S143" s="406"/>
      <c r="T143" s="406"/>
      <c r="U143" s="406"/>
      <c r="V143" s="406"/>
      <c r="W143" s="406"/>
      <c r="X143" s="406"/>
      <c r="Y143" s="406"/>
      <c r="Z143" s="406"/>
      <c r="AA143" s="406"/>
      <c r="AB143" s="406"/>
      <c r="AC143" s="406"/>
      <c r="AD143" s="406"/>
      <c r="AE143" s="406"/>
      <c r="AF143" s="406"/>
      <c r="AG143" s="542"/>
      <c r="AH143" s="131">
        <f>COUNTIF(ParicipationMai1[[1]:[31]],Code1)</f>
        <v>0</v>
      </c>
      <c r="AI143" s="311">
        <f>COUNTIF(ParicipationMai1[[1]:[31]],code22)</f>
        <v>0</v>
      </c>
      <c r="AJ143" s="131">
        <f>COUNTIF(ParicipationMai1[[#This Row],[1]:[31]],Code2)</f>
        <v>0</v>
      </c>
      <c r="AK143" s="131">
        <f>COUNTIF(ParicipationMai1[[#This Row],[1]:[31]],Code3)</f>
        <v>0</v>
      </c>
      <c r="AL143" s="131">
        <f>COUNTIF(ParicipationMai1[[#This Row],[1]:[31]],Code4)</f>
        <v>0</v>
      </c>
      <c r="AM143" s="131">
        <f>COUNTIF(ParicipationMai1[[#This Row],[1]:[31]],Code5)</f>
        <v>0</v>
      </c>
      <c r="AN143" s="131">
        <f>COUNTIF(ParicipationMai1[[#This Row],[1]:[31]],Code23)</f>
        <v>0</v>
      </c>
      <c r="AO143" s="131">
        <f>COUNTIF(ParicipationMai1[[#This Row],[1]:[31]],Code6)</f>
        <v>0</v>
      </c>
      <c r="AP143" s="131">
        <f>COUNTIF(ParicipationMai1[[#This Row],[1]:[31]],Code7)</f>
        <v>0</v>
      </c>
      <c r="AQ143" s="131">
        <f>COUNTIF(ParicipationMai1[[#This Row],[1]:[31]],Code8)</f>
        <v>0</v>
      </c>
      <c r="AR143" s="131">
        <f>COUNTIF(ParicipationMai1[[#This Row],[1]:[31]],Code9)</f>
        <v>0</v>
      </c>
      <c r="AS143" s="131">
        <f>COUNTIF(ParicipationMai1[[#This Row],[1]:[31]],Code10)</f>
        <v>0</v>
      </c>
      <c r="AT143" s="131">
        <f>COUNTIF(ParicipationMai1[[#This Row],[1]:[31]],Code11)</f>
        <v>0</v>
      </c>
      <c r="AU143" s="131">
        <f>COUNTIF(ParicipationMai1[[#This Row],[1]:[31]],Code12)</f>
        <v>0</v>
      </c>
      <c r="AV143" s="131">
        <f>COUNTIF(ParicipationMai1[[#This Row],[1]:[31]],Code13)</f>
        <v>0</v>
      </c>
      <c r="AW143" s="131">
        <f>COUNTIF(ParicipationMai1[[#This Row],[1]:[31]],Code14)</f>
        <v>0</v>
      </c>
      <c r="AX143" s="131">
        <f>COUNTIF(ParicipationMai1[[#This Row],[1]:[31]],Code15)</f>
        <v>0</v>
      </c>
      <c r="AY143" s="131">
        <f>COUNTIF(ParicipationMai1[[#This Row],[1]:[31]],Code16)</f>
        <v>0</v>
      </c>
      <c r="AZ143" s="131">
        <f>COUNTIF(ParicipationMai1[[#This Row],[1]:[31]],Code17)</f>
        <v>0</v>
      </c>
      <c r="BA143" s="131">
        <f>COUNTIF(ParicipationMai1[[#This Row],[1]:[31]],Code26)</f>
        <v>0</v>
      </c>
      <c r="BB143" s="131">
        <f>COUNTIF(ParicipationMai1[[#This Row],[1]:[31]],Code27)</f>
        <v>0</v>
      </c>
      <c r="BC143" s="131">
        <f>COUNTIF(ParicipationMai1[[#This Row],[1]:[31]],Code27)</f>
        <v>0</v>
      </c>
      <c r="BD143" s="131">
        <f>COUNTIF(ParicipationMai1[[#This Row],[1]:[31]],Code28)</f>
        <v>0</v>
      </c>
      <c r="BE143" s="131">
        <f>COUNTIF(ParicipationMai1[[#This Row],[1]:[31]],code30)</f>
        <v>0</v>
      </c>
      <c r="BF143" s="131">
        <f>COUNTIF(ParicipationMai1[[#This Row],[1]:[31]],Code31)</f>
        <v>0</v>
      </c>
      <c r="BG143" s="131">
        <f>COUNTIF(ParicipationMai1[[#This Row],[1]:[31]],code21)</f>
        <v>0</v>
      </c>
      <c r="BH143" s="131">
        <f>COUNTIF(ParicipationMai1[[#This Row],[1]:[31]],Code24)</f>
        <v>0</v>
      </c>
      <c r="BI143" s="568">
        <f>COUNTIF(ParicipationMai1[[#This Row],[1]:[31]],code18)</f>
        <v>0</v>
      </c>
      <c r="BJ143" s="568">
        <f>COUNTIF(ParicipationMai1[[#This Row],[1]:[31]],code19)</f>
        <v>0</v>
      </c>
      <c r="BK143" s="568">
        <f>COUNTIF(ParicipationMai1[[#This Row],[1]:[31]],code20)</f>
        <v>0</v>
      </c>
      <c r="BL143" s="548">
        <f>COUNTIF(ParicipationMai1[[#This Row],[1]:[31]],code29)</f>
        <v>0</v>
      </c>
      <c r="BM143" s="131"/>
      <c r="BN143" s="131"/>
      <c r="BO143" s="131"/>
      <c r="BP143" s="131"/>
      <c r="BQ143" s="131"/>
      <c r="BR143" s="131"/>
      <c r="BS143" s="131"/>
      <c r="BT143" s="131"/>
      <c r="BU143" s="131"/>
      <c r="BV143" s="131"/>
      <c r="BW143" s="131"/>
      <c r="BX143" s="131"/>
      <c r="BY143" s="131"/>
      <c r="BZ143" s="131"/>
      <c r="CA143" s="131"/>
      <c r="CB143" s="131"/>
      <c r="CC143" s="131"/>
      <c r="CD143" s="131"/>
      <c r="CE143" s="131"/>
      <c r="CF143" s="131"/>
      <c r="CG143" s="131"/>
      <c r="CH143" s="131"/>
      <c r="CI143" s="131"/>
      <c r="CJ143" s="131"/>
      <c r="CK143" s="131"/>
      <c r="CL143" s="131"/>
      <c r="CM143" s="131"/>
      <c r="CN143" s="131"/>
      <c r="CO143" s="131"/>
      <c r="CP143" s="131"/>
      <c r="CQ143" s="131"/>
      <c r="CR143" s="131"/>
      <c r="CS143" s="131"/>
      <c r="CT143" s="131"/>
      <c r="CU143" s="548"/>
      <c r="CV143" s="595">
        <f t="shared" si="8"/>
        <v>0</v>
      </c>
      <c r="CW143" s="575">
        <f t="shared" si="9"/>
        <v>0</v>
      </c>
      <c r="CX143" s="131">
        <f t="shared" si="10"/>
        <v>0</v>
      </c>
      <c r="CY143" s="170">
        <f t="shared" si="11"/>
        <v>0</v>
      </c>
    </row>
    <row r="144" spans="1:103">
      <c r="A144" s="405" t="s">
        <v>588</v>
      </c>
      <c r="B144" s="537" t="str">
        <f>IFERROR(VLOOKUP(ParicipationMai1[[#This Row],[Référence]],ListeÉtudiants1[],18,FALSE),"")</f>
        <v>FERGUENE Chaineze</v>
      </c>
      <c r="C144" s="405"/>
      <c r="D144" s="405"/>
      <c r="E144" s="405"/>
      <c r="F144" s="405"/>
      <c r="G144" s="405"/>
      <c r="H144" s="405"/>
      <c r="I144" s="405"/>
      <c r="J144" s="405"/>
      <c r="K144" s="405"/>
      <c r="L144" s="405"/>
      <c r="M144" s="405"/>
      <c r="N144" s="405"/>
      <c r="O144" s="405"/>
      <c r="P144" s="405"/>
      <c r="Q144" s="405"/>
      <c r="R144" s="405"/>
      <c r="S144" s="405"/>
      <c r="T144" s="405"/>
      <c r="U144" s="405"/>
      <c r="V144" s="405"/>
      <c r="W144" s="405"/>
      <c r="X144" s="405"/>
      <c r="Y144" s="405"/>
      <c r="Z144" s="405"/>
      <c r="AA144" s="405"/>
      <c r="AB144" s="405"/>
      <c r="AC144" s="405"/>
      <c r="AD144" s="405"/>
      <c r="AE144" s="405"/>
      <c r="AF144" s="405"/>
      <c r="AG144" s="546"/>
      <c r="AH144" s="132">
        <f>COUNTIF(ParicipationMai1[[1]:[31]],Code1)</f>
        <v>0</v>
      </c>
      <c r="AI144" s="538">
        <f>COUNTIF(ParicipationMai1[[1]:[31]],code22)</f>
        <v>0</v>
      </c>
      <c r="AJ144" s="132">
        <f>COUNTIF(ParicipationMai1[[#This Row],[1]:[31]],Code2)</f>
        <v>0</v>
      </c>
      <c r="AK144" s="132">
        <f>COUNTIF(ParicipationMai1[[#This Row],[1]:[31]],Code3)</f>
        <v>0</v>
      </c>
      <c r="AL144" s="132">
        <f>COUNTIF(ParicipationMai1[[#This Row],[1]:[31]],Code4)</f>
        <v>0</v>
      </c>
      <c r="AM144" s="132">
        <f>COUNTIF(ParicipationMai1[[#This Row],[1]:[31]],Code5)</f>
        <v>0</v>
      </c>
      <c r="AN144" s="132">
        <f>COUNTIF(ParicipationMai1[[#This Row],[1]:[31]],Code23)</f>
        <v>0</v>
      </c>
      <c r="AO144" s="132">
        <f>COUNTIF(ParicipationMai1[[#This Row],[1]:[31]],Code6)</f>
        <v>0</v>
      </c>
      <c r="AP144" s="132">
        <f>COUNTIF(ParicipationMai1[[#This Row],[1]:[31]],Code7)</f>
        <v>0</v>
      </c>
      <c r="AQ144" s="132">
        <f>COUNTIF(ParicipationMai1[[#This Row],[1]:[31]],Code8)</f>
        <v>0</v>
      </c>
      <c r="AR144" s="132">
        <f>COUNTIF(ParicipationMai1[[#This Row],[1]:[31]],Code9)</f>
        <v>0</v>
      </c>
      <c r="AS144" s="132">
        <f>COUNTIF(ParicipationMai1[[#This Row],[1]:[31]],Code10)</f>
        <v>0</v>
      </c>
      <c r="AT144" s="132">
        <f>COUNTIF(ParicipationMai1[[#This Row],[1]:[31]],Code11)</f>
        <v>0</v>
      </c>
      <c r="AU144" s="132">
        <f>COUNTIF(ParicipationMai1[[#This Row],[1]:[31]],Code12)</f>
        <v>0</v>
      </c>
      <c r="AV144" s="132">
        <f>COUNTIF(ParicipationMai1[[#This Row],[1]:[31]],Code13)</f>
        <v>0</v>
      </c>
      <c r="AW144" s="132">
        <f>COUNTIF(ParicipationMai1[[#This Row],[1]:[31]],Code14)</f>
        <v>0</v>
      </c>
      <c r="AX144" s="132">
        <f>COUNTIF(ParicipationMai1[[#This Row],[1]:[31]],Code15)</f>
        <v>0</v>
      </c>
      <c r="AY144" s="132">
        <f>COUNTIF(ParicipationMai1[[#This Row],[1]:[31]],Code16)</f>
        <v>0</v>
      </c>
      <c r="AZ144" s="132">
        <f>COUNTIF(ParicipationMai1[[#This Row],[1]:[31]],Code17)</f>
        <v>0</v>
      </c>
      <c r="BA144" s="132">
        <f>COUNTIF(ParicipationMai1[[#This Row],[1]:[31]],Code26)</f>
        <v>0</v>
      </c>
      <c r="BB144" s="132">
        <f>COUNTIF(ParicipationMai1[[#This Row],[1]:[31]],Code27)</f>
        <v>0</v>
      </c>
      <c r="BC144" s="132">
        <f>COUNTIF(ParicipationMai1[[#This Row],[1]:[31]],Code27)</f>
        <v>0</v>
      </c>
      <c r="BD144" s="132">
        <f>COUNTIF(ParicipationMai1[[#This Row],[1]:[31]],Code28)</f>
        <v>0</v>
      </c>
      <c r="BE144" s="132">
        <f>COUNTIF(ParicipationMai1[[#This Row],[1]:[31]],code30)</f>
        <v>0</v>
      </c>
      <c r="BF144" s="132">
        <f>COUNTIF(ParicipationMai1[[#This Row],[1]:[31]],Code31)</f>
        <v>0</v>
      </c>
      <c r="BG144" s="132">
        <f>COUNTIF(ParicipationMai1[[#This Row],[1]:[31]],code21)</f>
        <v>0</v>
      </c>
      <c r="BH144" s="132">
        <f>COUNTIF(ParicipationMai1[[#This Row],[1]:[31]],Code24)</f>
        <v>0</v>
      </c>
      <c r="BI144" s="579">
        <f>COUNTIF(ParicipationMai1[[#This Row],[1]:[31]],code18)</f>
        <v>0</v>
      </c>
      <c r="BJ144" s="579">
        <f>COUNTIF(ParicipationMai1[[#This Row],[1]:[31]],code19)</f>
        <v>0</v>
      </c>
      <c r="BK144" s="579">
        <f>COUNTIF(ParicipationMai1[[#This Row],[1]:[31]],code20)</f>
        <v>0</v>
      </c>
      <c r="BL144" s="547">
        <f>COUNTIF(ParicipationMai1[[#This Row],[1]:[31]],code29)</f>
        <v>0</v>
      </c>
      <c r="BM144" s="132"/>
      <c r="BN144" s="132"/>
      <c r="BO144" s="132"/>
      <c r="BP144" s="132"/>
      <c r="BQ144" s="132"/>
      <c r="BR144" s="132"/>
      <c r="BS144" s="132"/>
      <c r="BT144" s="132"/>
      <c r="BU144" s="132"/>
      <c r="BV144" s="132"/>
      <c r="BW144" s="132"/>
      <c r="BX144" s="132"/>
      <c r="BY144" s="132"/>
      <c r="BZ144" s="132"/>
      <c r="CA144" s="132"/>
      <c r="CB144" s="132"/>
      <c r="CC144" s="132"/>
      <c r="CD144" s="132"/>
      <c r="CE144" s="132"/>
      <c r="CF144" s="132"/>
      <c r="CG144" s="132"/>
      <c r="CH144" s="132"/>
      <c r="CI144" s="132"/>
      <c r="CJ144" s="132"/>
      <c r="CK144" s="132"/>
      <c r="CL144" s="132"/>
      <c r="CM144" s="132"/>
      <c r="CN144" s="132"/>
      <c r="CO144" s="132"/>
      <c r="CP144" s="132"/>
      <c r="CQ144" s="132"/>
      <c r="CR144" s="132"/>
      <c r="CS144" s="132"/>
      <c r="CT144" s="132"/>
      <c r="CU144" s="547"/>
      <c r="CV144" s="594">
        <f t="shared" si="8"/>
        <v>0</v>
      </c>
      <c r="CW144" s="573">
        <f t="shared" si="9"/>
        <v>0</v>
      </c>
      <c r="CX144" s="132">
        <f t="shared" si="10"/>
        <v>0</v>
      </c>
      <c r="CY144" s="500">
        <f t="shared" si="11"/>
        <v>0</v>
      </c>
    </row>
    <row r="145" spans="1:103">
      <c r="A145" s="406" t="s">
        <v>590</v>
      </c>
      <c r="B145" s="540" t="str">
        <f>IFERROR(VLOOKUP(ParicipationMai1[[#This Row],[Référence]],ListeÉtudiants1[],18,FALSE),"")</f>
        <v>HAMEAU KEVIN</v>
      </c>
      <c r="C145" s="406"/>
      <c r="D145" s="406"/>
      <c r="E145" s="406"/>
      <c r="F145" s="406"/>
      <c r="G145" s="406"/>
      <c r="H145" s="406"/>
      <c r="I145" s="406"/>
      <c r="J145" s="406"/>
      <c r="K145" s="406"/>
      <c r="L145" s="406"/>
      <c r="M145" s="406"/>
      <c r="N145" s="406"/>
      <c r="O145" s="406"/>
      <c r="P145" s="406"/>
      <c r="Q145" s="406"/>
      <c r="R145" s="406"/>
      <c r="S145" s="406"/>
      <c r="T145" s="406"/>
      <c r="U145" s="406"/>
      <c r="V145" s="406"/>
      <c r="W145" s="406"/>
      <c r="X145" s="406"/>
      <c r="Y145" s="406"/>
      <c r="Z145" s="406"/>
      <c r="AA145" s="406"/>
      <c r="AB145" s="406"/>
      <c r="AC145" s="406"/>
      <c r="AD145" s="406"/>
      <c r="AE145" s="406"/>
      <c r="AF145" s="406"/>
      <c r="AG145" s="542"/>
      <c r="AH145" s="131">
        <f>COUNTIF(ParicipationMai1[[1]:[31]],Code1)</f>
        <v>0</v>
      </c>
      <c r="AI145" s="311">
        <f>COUNTIF(ParicipationMai1[[1]:[31]],code22)</f>
        <v>0</v>
      </c>
      <c r="AJ145" s="131">
        <f>COUNTIF(ParicipationMai1[[#This Row],[1]:[31]],Code2)</f>
        <v>0</v>
      </c>
      <c r="AK145" s="131">
        <f>COUNTIF(ParicipationMai1[[#This Row],[1]:[31]],Code3)</f>
        <v>0</v>
      </c>
      <c r="AL145" s="131">
        <f>COUNTIF(ParicipationMai1[[#This Row],[1]:[31]],Code4)</f>
        <v>0</v>
      </c>
      <c r="AM145" s="131">
        <f>COUNTIF(ParicipationMai1[[#This Row],[1]:[31]],Code5)</f>
        <v>0</v>
      </c>
      <c r="AN145" s="131">
        <f>COUNTIF(ParicipationMai1[[#This Row],[1]:[31]],Code23)</f>
        <v>0</v>
      </c>
      <c r="AO145" s="131">
        <f>COUNTIF(ParicipationMai1[[#This Row],[1]:[31]],Code6)</f>
        <v>0</v>
      </c>
      <c r="AP145" s="131">
        <f>COUNTIF(ParicipationMai1[[#This Row],[1]:[31]],Code7)</f>
        <v>0</v>
      </c>
      <c r="AQ145" s="131">
        <f>COUNTIF(ParicipationMai1[[#This Row],[1]:[31]],Code8)</f>
        <v>0</v>
      </c>
      <c r="AR145" s="131">
        <f>COUNTIF(ParicipationMai1[[#This Row],[1]:[31]],Code9)</f>
        <v>0</v>
      </c>
      <c r="AS145" s="131">
        <f>COUNTIF(ParicipationMai1[[#This Row],[1]:[31]],Code10)</f>
        <v>0</v>
      </c>
      <c r="AT145" s="131">
        <f>COUNTIF(ParicipationMai1[[#This Row],[1]:[31]],Code11)</f>
        <v>0</v>
      </c>
      <c r="AU145" s="131">
        <f>COUNTIF(ParicipationMai1[[#This Row],[1]:[31]],Code12)</f>
        <v>0</v>
      </c>
      <c r="AV145" s="131">
        <f>COUNTIF(ParicipationMai1[[#This Row],[1]:[31]],Code13)</f>
        <v>0</v>
      </c>
      <c r="AW145" s="131">
        <f>COUNTIF(ParicipationMai1[[#This Row],[1]:[31]],Code14)</f>
        <v>0</v>
      </c>
      <c r="AX145" s="131">
        <f>COUNTIF(ParicipationMai1[[#This Row],[1]:[31]],Code15)</f>
        <v>0</v>
      </c>
      <c r="AY145" s="131">
        <f>COUNTIF(ParicipationMai1[[#This Row],[1]:[31]],Code16)</f>
        <v>0</v>
      </c>
      <c r="AZ145" s="131">
        <f>COUNTIF(ParicipationMai1[[#This Row],[1]:[31]],Code17)</f>
        <v>0</v>
      </c>
      <c r="BA145" s="131">
        <f>COUNTIF(ParicipationMai1[[#This Row],[1]:[31]],Code26)</f>
        <v>0</v>
      </c>
      <c r="BB145" s="131">
        <f>COUNTIF(ParicipationMai1[[#This Row],[1]:[31]],Code27)</f>
        <v>0</v>
      </c>
      <c r="BC145" s="131">
        <f>COUNTIF(ParicipationMai1[[#This Row],[1]:[31]],Code27)</f>
        <v>0</v>
      </c>
      <c r="BD145" s="131">
        <f>COUNTIF(ParicipationMai1[[#This Row],[1]:[31]],Code28)</f>
        <v>0</v>
      </c>
      <c r="BE145" s="131">
        <f>COUNTIF(ParicipationMai1[[#This Row],[1]:[31]],code30)</f>
        <v>0</v>
      </c>
      <c r="BF145" s="131">
        <f>COUNTIF(ParicipationMai1[[#This Row],[1]:[31]],Code31)</f>
        <v>0</v>
      </c>
      <c r="BG145" s="131">
        <f>COUNTIF(ParicipationMai1[[#This Row],[1]:[31]],code21)</f>
        <v>0</v>
      </c>
      <c r="BH145" s="131">
        <f>COUNTIF(ParicipationMai1[[#This Row],[1]:[31]],Code24)</f>
        <v>0</v>
      </c>
      <c r="BI145" s="568">
        <f>COUNTIF(ParicipationMai1[[#This Row],[1]:[31]],code18)</f>
        <v>0</v>
      </c>
      <c r="BJ145" s="568">
        <f>COUNTIF(ParicipationMai1[[#This Row],[1]:[31]],code19)</f>
        <v>0</v>
      </c>
      <c r="BK145" s="568">
        <f>COUNTIF(ParicipationMai1[[#This Row],[1]:[31]],code20)</f>
        <v>0</v>
      </c>
      <c r="BL145" s="548">
        <f>COUNTIF(ParicipationMai1[[#This Row],[1]:[31]],code29)</f>
        <v>0</v>
      </c>
      <c r="BM145" s="131"/>
      <c r="BN145" s="131"/>
      <c r="BO145" s="131"/>
      <c r="BP145" s="131"/>
      <c r="BQ145" s="131"/>
      <c r="BR145" s="131"/>
      <c r="BS145" s="131"/>
      <c r="BT145" s="131"/>
      <c r="BU145" s="131"/>
      <c r="BV145" s="131"/>
      <c r="BW145" s="131"/>
      <c r="BX145" s="131"/>
      <c r="BY145" s="131"/>
      <c r="BZ145" s="131"/>
      <c r="CA145" s="131"/>
      <c r="CB145" s="131"/>
      <c r="CC145" s="131"/>
      <c r="CD145" s="131"/>
      <c r="CE145" s="131"/>
      <c r="CF145" s="131"/>
      <c r="CG145" s="131"/>
      <c r="CH145" s="131"/>
      <c r="CI145" s="131"/>
      <c r="CJ145" s="131"/>
      <c r="CK145" s="131"/>
      <c r="CL145" s="131"/>
      <c r="CM145" s="131"/>
      <c r="CN145" s="131"/>
      <c r="CO145" s="131"/>
      <c r="CP145" s="131"/>
      <c r="CQ145" s="131"/>
      <c r="CR145" s="131"/>
      <c r="CS145" s="131"/>
      <c r="CT145" s="131"/>
      <c r="CU145" s="548"/>
      <c r="CV145" s="592">
        <f t="shared" si="8"/>
        <v>0</v>
      </c>
      <c r="CW145" s="575">
        <f t="shared" si="9"/>
        <v>0</v>
      </c>
      <c r="CX145" s="131">
        <f t="shared" si="10"/>
        <v>0</v>
      </c>
      <c r="CY145" s="170">
        <f t="shared" si="11"/>
        <v>0</v>
      </c>
    </row>
    <row r="146" spans="1:103">
      <c r="A146" s="405" t="s">
        <v>593</v>
      </c>
      <c r="B146" s="537" t="str">
        <f>IFERROR(VLOOKUP(ParicipationMai1[[#This Row],[Référence]],ListeÉtudiants1[],18,FALSE),"")</f>
        <v>KIOLO Carine Laure</v>
      </c>
      <c r="C146" s="405"/>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546"/>
      <c r="AH146" s="132">
        <f>COUNTIF(ParicipationMai1[[1]:[31]],Code1)</f>
        <v>0</v>
      </c>
      <c r="AI146" s="538">
        <f>COUNTIF(ParicipationMai1[[1]:[31]],code22)</f>
        <v>0</v>
      </c>
      <c r="AJ146" s="132">
        <f>COUNTIF(ParicipationMai1[[#This Row],[1]:[31]],Code2)</f>
        <v>0</v>
      </c>
      <c r="AK146" s="132">
        <f>COUNTIF(ParicipationMai1[[#This Row],[1]:[31]],Code3)</f>
        <v>0</v>
      </c>
      <c r="AL146" s="132">
        <f>COUNTIF(ParicipationMai1[[#This Row],[1]:[31]],Code4)</f>
        <v>0</v>
      </c>
      <c r="AM146" s="132">
        <f>COUNTIF(ParicipationMai1[[#This Row],[1]:[31]],Code5)</f>
        <v>0</v>
      </c>
      <c r="AN146" s="132">
        <f>COUNTIF(ParicipationMai1[[#This Row],[1]:[31]],Code23)</f>
        <v>0</v>
      </c>
      <c r="AO146" s="132">
        <f>COUNTIF(ParicipationMai1[[#This Row],[1]:[31]],Code6)</f>
        <v>0</v>
      </c>
      <c r="AP146" s="132">
        <f>COUNTIF(ParicipationMai1[[#This Row],[1]:[31]],Code7)</f>
        <v>0</v>
      </c>
      <c r="AQ146" s="132">
        <f>COUNTIF(ParicipationMai1[[#This Row],[1]:[31]],Code8)</f>
        <v>0</v>
      </c>
      <c r="AR146" s="132">
        <f>COUNTIF(ParicipationMai1[[#This Row],[1]:[31]],Code9)</f>
        <v>0</v>
      </c>
      <c r="AS146" s="132">
        <f>COUNTIF(ParicipationMai1[[#This Row],[1]:[31]],Code10)</f>
        <v>0</v>
      </c>
      <c r="AT146" s="132">
        <f>COUNTIF(ParicipationMai1[[#This Row],[1]:[31]],Code11)</f>
        <v>0</v>
      </c>
      <c r="AU146" s="132">
        <f>COUNTIF(ParicipationMai1[[#This Row],[1]:[31]],Code12)</f>
        <v>0</v>
      </c>
      <c r="AV146" s="132">
        <f>COUNTIF(ParicipationMai1[[#This Row],[1]:[31]],Code13)</f>
        <v>0</v>
      </c>
      <c r="AW146" s="132">
        <f>COUNTIF(ParicipationMai1[[#This Row],[1]:[31]],Code14)</f>
        <v>0</v>
      </c>
      <c r="AX146" s="132">
        <f>COUNTIF(ParicipationMai1[[#This Row],[1]:[31]],Code15)</f>
        <v>0</v>
      </c>
      <c r="AY146" s="132">
        <f>COUNTIF(ParicipationMai1[[#This Row],[1]:[31]],Code16)</f>
        <v>0</v>
      </c>
      <c r="AZ146" s="132">
        <f>COUNTIF(ParicipationMai1[[#This Row],[1]:[31]],Code17)</f>
        <v>0</v>
      </c>
      <c r="BA146" s="132">
        <f>COUNTIF(ParicipationMai1[[#This Row],[1]:[31]],Code26)</f>
        <v>0</v>
      </c>
      <c r="BB146" s="132">
        <f>COUNTIF(ParicipationMai1[[#This Row],[1]:[31]],Code27)</f>
        <v>0</v>
      </c>
      <c r="BC146" s="132">
        <f>COUNTIF(ParicipationMai1[[#This Row],[1]:[31]],Code27)</f>
        <v>0</v>
      </c>
      <c r="BD146" s="132">
        <f>COUNTIF(ParicipationMai1[[#This Row],[1]:[31]],Code28)</f>
        <v>0</v>
      </c>
      <c r="BE146" s="132">
        <f>COUNTIF(ParicipationMai1[[#This Row],[1]:[31]],code30)</f>
        <v>0</v>
      </c>
      <c r="BF146" s="132">
        <f>COUNTIF(ParicipationMai1[[#This Row],[1]:[31]],Code31)</f>
        <v>0</v>
      </c>
      <c r="BG146" s="132">
        <f>COUNTIF(ParicipationMai1[[#This Row],[1]:[31]],code21)</f>
        <v>0</v>
      </c>
      <c r="BH146" s="132">
        <f>COUNTIF(ParicipationMai1[[#This Row],[1]:[31]],Code24)</f>
        <v>0</v>
      </c>
      <c r="BI146" s="579">
        <f>COUNTIF(ParicipationMai1[[#This Row],[1]:[31]],code18)</f>
        <v>0</v>
      </c>
      <c r="BJ146" s="579">
        <f>COUNTIF(ParicipationMai1[[#This Row],[1]:[31]],code19)</f>
        <v>0</v>
      </c>
      <c r="BK146" s="579">
        <f>COUNTIF(ParicipationMai1[[#This Row],[1]:[31]],code20)</f>
        <v>0</v>
      </c>
      <c r="BL146" s="547">
        <f>COUNTIF(ParicipationMai1[[#This Row],[1]:[31]],code29)</f>
        <v>0</v>
      </c>
      <c r="BM146" s="132"/>
      <c r="BN146" s="132"/>
      <c r="BO146" s="132"/>
      <c r="BP146" s="132"/>
      <c r="BQ146" s="132"/>
      <c r="BR146" s="132"/>
      <c r="BS146" s="132"/>
      <c r="BT146" s="132"/>
      <c r="BU146" s="132"/>
      <c r="BV146" s="132"/>
      <c r="BW146" s="132"/>
      <c r="BX146" s="132"/>
      <c r="BY146" s="132"/>
      <c r="BZ146" s="132"/>
      <c r="CA146" s="132"/>
      <c r="CB146" s="132"/>
      <c r="CC146" s="132"/>
      <c r="CD146" s="132"/>
      <c r="CE146" s="132"/>
      <c r="CF146" s="132"/>
      <c r="CG146" s="132"/>
      <c r="CH146" s="132"/>
      <c r="CI146" s="132"/>
      <c r="CJ146" s="132"/>
      <c r="CK146" s="132"/>
      <c r="CL146" s="132"/>
      <c r="CM146" s="132"/>
      <c r="CN146" s="132"/>
      <c r="CO146" s="132"/>
      <c r="CP146" s="132"/>
      <c r="CQ146" s="132"/>
      <c r="CR146" s="132"/>
      <c r="CS146" s="132"/>
      <c r="CT146" s="132"/>
      <c r="CU146" s="547"/>
      <c r="CV146" s="590">
        <f t="shared" si="8"/>
        <v>0</v>
      </c>
      <c r="CW146" s="573">
        <f t="shared" si="9"/>
        <v>0</v>
      </c>
      <c r="CX146" s="132">
        <f t="shared" si="10"/>
        <v>0</v>
      </c>
      <c r="CY146" s="500">
        <f t="shared" si="11"/>
        <v>0</v>
      </c>
    </row>
    <row r="147" spans="1:103">
      <c r="A147" s="406" t="s">
        <v>596</v>
      </c>
      <c r="B147" s="540" t="str">
        <f>IFERROR(VLOOKUP(ParicipationMai1[[#This Row],[Référence]],ListeÉtudiants1[],18,FALSE),"")</f>
        <v>LESUEUR GERALDINE</v>
      </c>
      <c r="C147" s="406"/>
      <c r="D147" s="406"/>
      <c r="E147" s="406"/>
      <c r="F147" s="406"/>
      <c r="G147" s="406"/>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406"/>
      <c r="AE147" s="406"/>
      <c r="AF147" s="406"/>
      <c r="AG147" s="542"/>
      <c r="AH147" s="131">
        <f>COUNTIF(ParicipationMai1[[1]:[31]],Code1)</f>
        <v>0</v>
      </c>
      <c r="AI147" s="311">
        <f>COUNTIF(ParicipationMai1[[1]:[31]],code22)</f>
        <v>0</v>
      </c>
      <c r="AJ147" s="131">
        <f>COUNTIF(ParicipationMai1[[#This Row],[1]:[31]],Code2)</f>
        <v>0</v>
      </c>
      <c r="AK147" s="131">
        <f>COUNTIF(ParicipationMai1[[#This Row],[1]:[31]],Code3)</f>
        <v>0</v>
      </c>
      <c r="AL147" s="131">
        <f>COUNTIF(ParicipationMai1[[#This Row],[1]:[31]],Code4)</f>
        <v>0</v>
      </c>
      <c r="AM147" s="131">
        <f>COUNTIF(ParicipationMai1[[#This Row],[1]:[31]],Code5)</f>
        <v>0</v>
      </c>
      <c r="AN147" s="131">
        <f>COUNTIF(ParicipationMai1[[#This Row],[1]:[31]],Code23)</f>
        <v>0</v>
      </c>
      <c r="AO147" s="131">
        <f>COUNTIF(ParicipationMai1[[#This Row],[1]:[31]],Code6)</f>
        <v>0</v>
      </c>
      <c r="AP147" s="131">
        <f>COUNTIF(ParicipationMai1[[#This Row],[1]:[31]],Code7)</f>
        <v>0</v>
      </c>
      <c r="AQ147" s="131">
        <f>COUNTIF(ParicipationMai1[[#This Row],[1]:[31]],Code8)</f>
        <v>0</v>
      </c>
      <c r="AR147" s="131">
        <f>COUNTIF(ParicipationMai1[[#This Row],[1]:[31]],Code9)</f>
        <v>0</v>
      </c>
      <c r="AS147" s="131">
        <f>COUNTIF(ParicipationMai1[[#This Row],[1]:[31]],Code10)</f>
        <v>0</v>
      </c>
      <c r="AT147" s="131">
        <f>COUNTIF(ParicipationMai1[[#This Row],[1]:[31]],Code11)</f>
        <v>0</v>
      </c>
      <c r="AU147" s="131">
        <f>COUNTIF(ParicipationMai1[[#This Row],[1]:[31]],Code12)</f>
        <v>0</v>
      </c>
      <c r="AV147" s="131">
        <f>COUNTIF(ParicipationMai1[[#This Row],[1]:[31]],Code13)</f>
        <v>0</v>
      </c>
      <c r="AW147" s="131">
        <f>COUNTIF(ParicipationMai1[[#This Row],[1]:[31]],Code14)</f>
        <v>0</v>
      </c>
      <c r="AX147" s="131">
        <f>COUNTIF(ParicipationMai1[[#This Row],[1]:[31]],Code15)</f>
        <v>0</v>
      </c>
      <c r="AY147" s="131">
        <f>COUNTIF(ParicipationMai1[[#This Row],[1]:[31]],Code16)</f>
        <v>0</v>
      </c>
      <c r="AZ147" s="131">
        <f>COUNTIF(ParicipationMai1[[#This Row],[1]:[31]],Code17)</f>
        <v>0</v>
      </c>
      <c r="BA147" s="131">
        <f>COUNTIF(ParicipationMai1[[#This Row],[1]:[31]],Code26)</f>
        <v>0</v>
      </c>
      <c r="BB147" s="131">
        <f>COUNTIF(ParicipationMai1[[#This Row],[1]:[31]],Code27)</f>
        <v>0</v>
      </c>
      <c r="BC147" s="131">
        <f>COUNTIF(ParicipationMai1[[#This Row],[1]:[31]],Code27)</f>
        <v>0</v>
      </c>
      <c r="BD147" s="131">
        <f>COUNTIF(ParicipationMai1[[#This Row],[1]:[31]],Code28)</f>
        <v>0</v>
      </c>
      <c r="BE147" s="131">
        <f>COUNTIF(ParicipationMai1[[#This Row],[1]:[31]],code30)</f>
        <v>0</v>
      </c>
      <c r="BF147" s="131">
        <f>COUNTIF(ParicipationMai1[[#This Row],[1]:[31]],Code31)</f>
        <v>0</v>
      </c>
      <c r="BG147" s="131">
        <f>COUNTIF(ParicipationMai1[[#This Row],[1]:[31]],code21)</f>
        <v>0</v>
      </c>
      <c r="BH147" s="131">
        <f>COUNTIF(ParicipationMai1[[#This Row],[1]:[31]],Code24)</f>
        <v>0</v>
      </c>
      <c r="BI147" s="568">
        <f>COUNTIF(ParicipationMai1[[#This Row],[1]:[31]],code18)</f>
        <v>0</v>
      </c>
      <c r="BJ147" s="568">
        <f>COUNTIF(ParicipationMai1[[#This Row],[1]:[31]],code19)</f>
        <v>0</v>
      </c>
      <c r="BK147" s="568">
        <f>COUNTIF(ParicipationMai1[[#This Row],[1]:[31]],code20)</f>
        <v>0</v>
      </c>
      <c r="BL147" s="548">
        <f>COUNTIF(ParicipationMai1[[#This Row],[1]:[31]],code29)</f>
        <v>0</v>
      </c>
      <c r="BM147" s="131"/>
      <c r="BN147" s="131"/>
      <c r="BO147" s="131"/>
      <c r="BP147" s="131"/>
      <c r="BQ147" s="131"/>
      <c r="BR147" s="131"/>
      <c r="BS147" s="131"/>
      <c r="BT147" s="131"/>
      <c r="BU147" s="131"/>
      <c r="BV147" s="131"/>
      <c r="BW147" s="131"/>
      <c r="BX147" s="131"/>
      <c r="BY147" s="131"/>
      <c r="BZ147" s="131"/>
      <c r="CA147" s="131"/>
      <c r="CB147" s="131"/>
      <c r="CC147" s="131"/>
      <c r="CD147" s="131"/>
      <c r="CE147" s="131"/>
      <c r="CF147" s="131"/>
      <c r="CG147" s="131"/>
      <c r="CH147" s="131"/>
      <c r="CI147" s="131"/>
      <c r="CJ147" s="131"/>
      <c r="CK147" s="131"/>
      <c r="CL147" s="131"/>
      <c r="CM147" s="131"/>
      <c r="CN147" s="131"/>
      <c r="CO147" s="131"/>
      <c r="CP147" s="131"/>
      <c r="CQ147" s="131"/>
      <c r="CR147" s="131"/>
      <c r="CS147" s="131"/>
      <c r="CT147" s="131"/>
      <c r="CU147" s="548"/>
      <c r="CV147" s="592">
        <f t="shared" si="8"/>
        <v>0</v>
      </c>
      <c r="CW147" s="575">
        <f t="shared" si="9"/>
        <v>0</v>
      </c>
      <c r="CX147" s="131">
        <f t="shared" si="10"/>
        <v>0</v>
      </c>
      <c r="CY147" s="170">
        <f t="shared" si="11"/>
        <v>0</v>
      </c>
    </row>
    <row r="148" spans="1:103">
      <c r="A148" s="405" t="s">
        <v>599</v>
      </c>
      <c r="B148" s="543" t="str">
        <f>IFERROR(VLOOKUP(ParicipationMai1[[#This Row],[Référence]],ListeÉtudiants1[],18,FALSE),"")</f>
        <v>LOVE SAMUEL</v>
      </c>
      <c r="C148" s="405"/>
      <c r="D148" s="405"/>
      <c r="E148" s="405"/>
      <c r="F148" s="405"/>
      <c r="G148" s="405"/>
      <c r="H148" s="405"/>
      <c r="I148" s="405"/>
      <c r="J148" s="405"/>
      <c r="K148" s="405"/>
      <c r="L148" s="405"/>
      <c r="M148" s="405"/>
      <c r="N148" s="405"/>
      <c r="O148" s="405"/>
      <c r="P148" s="405"/>
      <c r="Q148" s="405"/>
      <c r="R148" s="405"/>
      <c r="S148" s="405"/>
      <c r="T148" s="405"/>
      <c r="U148" s="405"/>
      <c r="V148" s="405"/>
      <c r="W148" s="405"/>
      <c r="X148" s="405"/>
      <c r="Y148" s="405"/>
      <c r="Z148" s="405"/>
      <c r="AA148" s="405"/>
      <c r="AB148" s="405"/>
      <c r="AC148" s="405"/>
      <c r="AD148" s="405"/>
      <c r="AE148" s="405"/>
      <c r="AF148" s="405"/>
      <c r="AG148" s="546"/>
      <c r="AH148" s="132">
        <f>COUNTIF(ParicipationMai1[[1]:[31]],Code1)</f>
        <v>0</v>
      </c>
      <c r="AI148" s="538">
        <f>COUNTIF(ParicipationMai1[[1]:[31]],code22)</f>
        <v>0</v>
      </c>
      <c r="AJ148" s="132">
        <f>COUNTIF(ParicipationMai1[[#This Row],[1]:[31]],Code2)</f>
        <v>0</v>
      </c>
      <c r="AK148" s="132">
        <f>COUNTIF(ParicipationMai1[[#This Row],[1]:[31]],Code3)</f>
        <v>0</v>
      </c>
      <c r="AL148" s="132">
        <f>COUNTIF(ParicipationMai1[[#This Row],[1]:[31]],Code4)</f>
        <v>0</v>
      </c>
      <c r="AM148" s="132">
        <f>COUNTIF(ParicipationMai1[[#This Row],[1]:[31]],Code5)</f>
        <v>0</v>
      </c>
      <c r="AN148" s="132">
        <f>COUNTIF(ParicipationMai1[[#This Row],[1]:[31]],Code23)</f>
        <v>0</v>
      </c>
      <c r="AO148" s="132">
        <f>COUNTIF(ParicipationMai1[[#This Row],[1]:[31]],Code6)</f>
        <v>0</v>
      </c>
      <c r="AP148" s="132">
        <f>COUNTIF(ParicipationMai1[[#This Row],[1]:[31]],Code7)</f>
        <v>0</v>
      </c>
      <c r="AQ148" s="132">
        <f>COUNTIF(ParicipationMai1[[#This Row],[1]:[31]],Code8)</f>
        <v>0</v>
      </c>
      <c r="AR148" s="132">
        <f>COUNTIF(ParicipationMai1[[#This Row],[1]:[31]],Code9)</f>
        <v>0</v>
      </c>
      <c r="AS148" s="132">
        <f>COUNTIF(ParicipationMai1[[#This Row],[1]:[31]],Code10)</f>
        <v>0</v>
      </c>
      <c r="AT148" s="132">
        <f>COUNTIF(ParicipationMai1[[#This Row],[1]:[31]],Code11)</f>
        <v>0</v>
      </c>
      <c r="AU148" s="132">
        <f>COUNTIF(ParicipationMai1[[#This Row],[1]:[31]],Code12)</f>
        <v>0</v>
      </c>
      <c r="AV148" s="132">
        <f>COUNTIF(ParicipationMai1[[#This Row],[1]:[31]],Code13)</f>
        <v>0</v>
      </c>
      <c r="AW148" s="132">
        <f>COUNTIF(ParicipationMai1[[#This Row],[1]:[31]],Code14)</f>
        <v>0</v>
      </c>
      <c r="AX148" s="132">
        <f>COUNTIF(ParicipationMai1[[#This Row],[1]:[31]],Code15)</f>
        <v>0</v>
      </c>
      <c r="AY148" s="132">
        <f>COUNTIF(ParicipationMai1[[#This Row],[1]:[31]],Code16)</f>
        <v>0</v>
      </c>
      <c r="AZ148" s="132">
        <f>COUNTIF(ParicipationMai1[[#This Row],[1]:[31]],Code17)</f>
        <v>0</v>
      </c>
      <c r="BA148" s="132">
        <f>COUNTIF(ParicipationMai1[[#This Row],[1]:[31]],Code26)</f>
        <v>0</v>
      </c>
      <c r="BB148" s="132">
        <f>COUNTIF(ParicipationMai1[[#This Row],[1]:[31]],Code27)</f>
        <v>0</v>
      </c>
      <c r="BC148" s="132">
        <f>COUNTIF(ParicipationMai1[[#This Row],[1]:[31]],Code27)</f>
        <v>0</v>
      </c>
      <c r="BD148" s="132">
        <f>COUNTIF(ParicipationMai1[[#This Row],[1]:[31]],Code28)</f>
        <v>0</v>
      </c>
      <c r="BE148" s="132">
        <f>COUNTIF(ParicipationMai1[[#This Row],[1]:[31]],code30)</f>
        <v>0</v>
      </c>
      <c r="BF148" s="132">
        <f>COUNTIF(ParicipationMai1[[#This Row],[1]:[31]],Code31)</f>
        <v>0</v>
      </c>
      <c r="BG148" s="132">
        <f>COUNTIF(ParicipationMai1[[#This Row],[1]:[31]],code21)</f>
        <v>0</v>
      </c>
      <c r="BH148" s="132">
        <f>COUNTIF(ParicipationMai1[[#This Row],[1]:[31]],Code24)</f>
        <v>0</v>
      </c>
      <c r="BI148" s="579">
        <f>COUNTIF(ParicipationMai1[[#This Row],[1]:[31]],code18)</f>
        <v>0</v>
      </c>
      <c r="BJ148" s="579">
        <f>COUNTIF(ParicipationMai1[[#This Row],[1]:[31]],code19)</f>
        <v>0</v>
      </c>
      <c r="BK148" s="579">
        <f>COUNTIF(ParicipationMai1[[#This Row],[1]:[31]],code20)</f>
        <v>0</v>
      </c>
      <c r="BL148" s="547">
        <f>COUNTIF(ParicipationMai1[[#This Row],[1]:[31]],code29)</f>
        <v>0</v>
      </c>
      <c r="BM148" s="405"/>
      <c r="BN148" s="405"/>
      <c r="BO148" s="405"/>
      <c r="BP148" s="405"/>
      <c r="BQ148" s="405"/>
      <c r="BR148" s="405"/>
      <c r="BS148" s="405"/>
      <c r="BT148" s="405"/>
      <c r="BU148" s="405"/>
      <c r="BV148" s="405"/>
      <c r="BW148" s="405"/>
      <c r="BX148" s="405"/>
      <c r="BY148" s="405"/>
      <c r="BZ148" s="405"/>
      <c r="CA148" s="405"/>
      <c r="CB148" s="405"/>
      <c r="CC148" s="405"/>
      <c r="CD148" s="405"/>
      <c r="CE148" s="405"/>
      <c r="CF148" s="405"/>
      <c r="CG148" s="405"/>
      <c r="CH148" s="405"/>
      <c r="CI148" s="405"/>
      <c r="CJ148" s="405"/>
      <c r="CK148" s="405"/>
      <c r="CL148" s="405"/>
      <c r="CM148" s="405"/>
      <c r="CN148" s="405"/>
      <c r="CO148" s="405"/>
      <c r="CP148" s="405"/>
      <c r="CQ148" s="405"/>
      <c r="CR148" s="405"/>
      <c r="CS148" s="405"/>
      <c r="CT148" s="132"/>
      <c r="CU148" s="414"/>
      <c r="CV148" s="590">
        <f t="shared" si="8"/>
        <v>0</v>
      </c>
      <c r="CW148" s="573">
        <f t="shared" si="9"/>
        <v>0</v>
      </c>
      <c r="CX148" s="132">
        <f t="shared" si="10"/>
        <v>0</v>
      </c>
      <c r="CY148" s="500">
        <f t="shared" si="11"/>
        <v>0</v>
      </c>
    </row>
    <row r="149" spans="1:103">
      <c r="A149" s="406" t="s">
        <v>602</v>
      </c>
      <c r="B149" s="569" t="str">
        <f>IFERROR(VLOOKUP(ParicipationMai1[[#This Row],[Référence]],ListeÉtudiants1[],18,FALSE),"")</f>
        <v>LOVELY JOSELITA</v>
      </c>
      <c r="C149" s="550"/>
      <c r="D149" s="550"/>
      <c r="E149" s="550"/>
      <c r="F149" s="550"/>
      <c r="G149" s="550"/>
      <c r="H149" s="550"/>
      <c r="I149" s="550"/>
      <c r="J149" s="550"/>
      <c r="K149" s="550"/>
      <c r="L149" s="550"/>
      <c r="M149" s="550"/>
      <c r="N149" s="550"/>
      <c r="O149" s="550"/>
      <c r="P149" s="550"/>
      <c r="Q149" s="550"/>
      <c r="R149" s="550"/>
      <c r="S149" s="550"/>
      <c r="T149" s="550"/>
      <c r="U149" s="550"/>
      <c r="V149" s="550"/>
      <c r="W149" s="550"/>
      <c r="X149" s="550"/>
      <c r="Y149" s="550"/>
      <c r="Z149" s="550"/>
      <c r="AA149" s="550"/>
      <c r="AB149" s="550"/>
      <c r="AC149" s="550"/>
      <c r="AD149" s="550"/>
      <c r="AE149" s="550"/>
      <c r="AF149" s="550"/>
      <c r="AG149" s="570"/>
      <c r="AH149" s="550">
        <f>COUNTIF(ParicipationMai1[[1]:[31]],Code1)</f>
        <v>0</v>
      </c>
      <c r="AI149" s="311">
        <f>COUNTIF(ParicipationMai1[[1]:[31]],code22)</f>
        <v>0</v>
      </c>
      <c r="AJ149" s="550">
        <f>COUNTIF(ParicipationMai1[[#This Row],[1]:[31]],Code2)</f>
        <v>0</v>
      </c>
      <c r="AK149" s="550">
        <f>COUNTIF(ParicipationMai1[[#This Row],[1]:[31]],Code3)</f>
        <v>0</v>
      </c>
      <c r="AL149" s="550">
        <f>COUNTIF(ParicipationMai1[[#This Row],[1]:[31]],Code4)</f>
        <v>0</v>
      </c>
      <c r="AM149" s="131">
        <f>COUNTIF(ParicipationMai1[[#This Row],[1]:[31]],Code5)</f>
        <v>0</v>
      </c>
      <c r="AN149" s="131">
        <f>COUNTIF(ParicipationMai1[[#This Row],[1]:[31]],Code23)</f>
        <v>0</v>
      </c>
      <c r="AO149" s="131">
        <f>COUNTIF(ParicipationMai1[[#This Row],[1]:[31]],Code6)</f>
        <v>0</v>
      </c>
      <c r="AP149" s="131">
        <f>COUNTIF(ParicipationMai1[[#This Row],[1]:[31]],Code7)</f>
        <v>0</v>
      </c>
      <c r="AQ149" s="131">
        <f>COUNTIF(ParicipationMai1[[#This Row],[1]:[31]],Code8)</f>
        <v>0</v>
      </c>
      <c r="AR149" s="131">
        <f>COUNTIF(ParicipationMai1[[#This Row],[1]:[31]],Code9)</f>
        <v>0</v>
      </c>
      <c r="AS149" s="131">
        <f>COUNTIF(ParicipationMai1[[#This Row],[1]:[31]],Code10)</f>
        <v>0</v>
      </c>
      <c r="AT149" s="131">
        <f>COUNTIF(ParicipationMai1[[#This Row],[1]:[31]],Code11)</f>
        <v>0</v>
      </c>
      <c r="AU149" s="131">
        <f>COUNTIF(ParicipationMai1[[#This Row],[1]:[31]],Code12)</f>
        <v>0</v>
      </c>
      <c r="AV149" s="131">
        <f>COUNTIF(ParicipationMai1[[#This Row],[1]:[31]],Code13)</f>
        <v>0</v>
      </c>
      <c r="AW149" s="131">
        <f>COUNTIF(ParicipationMai1[[#This Row],[1]:[31]],Code14)</f>
        <v>0</v>
      </c>
      <c r="AX149" s="131">
        <f>COUNTIF(ParicipationMai1[[#This Row],[1]:[31]],Code15)</f>
        <v>0</v>
      </c>
      <c r="AY149" s="131">
        <f>COUNTIF(ParicipationMai1[[#This Row],[1]:[31]],Code16)</f>
        <v>0</v>
      </c>
      <c r="AZ149" s="131">
        <f>COUNTIF(ParicipationMai1[[#This Row],[1]:[31]],Code17)</f>
        <v>0</v>
      </c>
      <c r="BA149" s="131">
        <f>COUNTIF(ParicipationMai1[[#This Row],[1]:[31]],Code26)</f>
        <v>0</v>
      </c>
      <c r="BB149" s="131">
        <f>COUNTIF(ParicipationMai1[[#This Row],[1]:[31]],Code27)</f>
        <v>0</v>
      </c>
      <c r="BC149" s="131">
        <f>COUNTIF(ParicipationMai1[[#This Row],[1]:[31]],Code27)</f>
        <v>0</v>
      </c>
      <c r="BD149" s="131">
        <f>COUNTIF(ParicipationMai1[[#This Row],[1]:[31]],Code28)</f>
        <v>0</v>
      </c>
      <c r="BE149" s="131">
        <f>COUNTIF(ParicipationMai1[[#This Row],[1]:[31]],code30)</f>
        <v>0</v>
      </c>
      <c r="BF149" s="131">
        <f>COUNTIF(ParicipationMai1[[#This Row],[1]:[31]],Code31)</f>
        <v>0</v>
      </c>
      <c r="BG149" s="131">
        <f>COUNTIF(ParicipationMai1[[#This Row],[1]:[31]],code21)</f>
        <v>0</v>
      </c>
      <c r="BH149" s="131">
        <f>COUNTIF(ParicipationMai1[[#This Row],[1]:[31]],Code24)</f>
        <v>0</v>
      </c>
      <c r="BI149" s="550">
        <f>COUNTIF(ParicipationMai1[[#This Row],[1]:[31]],code18)</f>
        <v>0</v>
      </c>
      <c r="BJ149" s="550">
        <f>COUNTIF(ParicipationMai1[[#This Row],[1]:[31]],code19)</f>
        <v>0</v>
      </c>
      <c r="BK149" s="550">
        <f>COUNTIF(ParicipationMai1[[#This Row],[1]:[31]],code20)</f>
        <v>0</v>
      </c>
      <c r="BL149" s="548">
        <f>COUNTIF(ParicipationMai1[[#This Row],[1]:[31]],code29)</f>
        <v>0</v>
      </c>
      <c r="BM149" s="131"/>
      <c r="BN149" s="131"/>
      <c r="BO149" s="131"/>
      <c r="BP149" s="131"/>
      <c r="BQ149" s="131"/>
      <c r="BR149" s="131"/>
      <c r="BS149" s="131"/>
      <c r="BT149" s="131"/>
      <c r="BU149" s="131"/>
      <c r="BV149" s="131"/>
      <c r="BW149" s="131"/>
      <c r="BX149" s="131"/>
      <c r="BY149" s="131"/>
      <c r="BZ149" s="131"/>
      <c r="CA149" s="131"/>
      <c r="CB149" s="131"/>
      <c r="CC149" s="131"/>
      <c r="CD149" s="131"/>
      <c r="CE149" s="131"/>
      <c r="CF149" s="131"/>
      <c r="CG149" s="131"/>
      <c r="CH149" s="131"/>
      <c r="CI149" s="131"/>
      <c r="CJ149" s="131"/>
      <c r="CK149" s="131"/>
      <c r="CL149" s="131"/>
      <c r="CM149" s="131"/>
      <c r="CN149" s="131"/>
      <c r="CO149" s="131"/>
      <c r="CP149" s="131"/>
      <c r="CQ149" s="131"/>
      <c r="CR149" s="131"/>
      <c r="CS149" s="131"/>
      <c r="CT149" s="131"/>
      <c r="CU149" s="548"/>
      <c r="CV149" s="592">
        <f t="shared" si="8"/>
        <v>0</v>
      </c>
      <c r="CW149" s="575">
        <f t="shared" si="9"/>
        <v>0</v>
      </c>
      <c r="CX149" s="131">
        <f t="shared" si="10"/>
        <v>0</v>
      </c>
      <c r="CY149" s="170">
        <f t="shared" si="11"/>
        <v>0</v>
      </c>
    </row>
    <row r="150" spans="1:103">
      <c r="A150" s="405" t="s">
        <v>606</v>
      </c>
      <c r="B150" s="571" t="str">
        <f>IFERROR(VLOOKUP(ParicipationMai1[[#This Row],[Référence]],ListeÉtudiants1[],18,FALSE),"")</f>
        <v>MALULU INGRID</v>
      </c>
      <c r="C150" s="549"/>
      <c r="D150" s="549"/>
      <c r="E150" s="549"/>
      <c r="F150" s="549"/>
      <c r="G150" s="549"/>
      <c r="H150" s="549"/>
      <c r="I150" s="549"/>
      <c r="J150" s="549"/>
      <c r="K150" s="549"/>
      <c r="L150" s="549"/>
      <c r="M150" s="549"/>
      <c r="N150" s="549"/>
      <c r="O150" s="549"/>
      <c r="P150" s="549"/>
      <c r="Q150" s="549"/>
      <c r="R150" s="549"/>
      <c r="S150" s="549"/>
      <c r="T150" s="549"/>
      <c r="U150" s="549"/>
      <c r="V150" s="549"/>
      <c r="W150" s="549"/>
      <c r="X150" s="549"/>
      <c r="Y150" s="549"/>
      <c r="Z150" s="549"/>
      <c r="AA150" s="549"/>
      <c r="AB150" s="549"/>
      <c r="AC150" s="549"/>
      <c r="AD150" s="549"/>
      <c r="AE150" s="549"/>
      <c r="AF150" s="549"/>
      <c r="AG150" s="572"/>
      <c r="AH150" s="549">
        <f>COUNTIF(ParicipationMai1[[1]:[31]],Code1)</f>
        <v>0</v>
      </c>
      <c r="AI150" s="538">
        <f>COUNTIF(ParicipationMai1[[1]:[31]],code22)</f>
        <v>0</v>
      </c>
      <c r="AJ150" s="549">
        <f>COUNTIF(ParicipationMai1[[#This Row],[1]:[31]],Code2)</f>
        <v>0</v>
      </c>
      <c r="AK150" s="549">
        <f>COUNTIF(ParicipationMai1[[#This Row],[1]:[31]],Code3)</f>
        <v>0</v>
      </c>
      <c r="AL150" s="549">
        <f>COUNTIF(ParicipationMai1[[#This Row],[1]:[31]],Code4)</f>
        <v>0</v>
      </c>
      <c r="AM150" s="132">
        <f>COUNTIF(ParicipationMai1[[#This Row],[1]:[31]],Code5)</f>
        <v>0</v>
      </c>
      <c r="AN150" s="132">
        <f>COUNTIF(ParicipationMai1[[#This Row],[1]:[31]],Code23)</f>
        <v>0</v>
      </c>
      <c r="AO150" s="132">
        <f>COUNTIF(ParicipationMai1[[#This Row],[1]:[31]],Code6)</f>
        <v>0</v>
      </c>
      <c r="AP150" s="132">
        <f>COUNTIF(ParicipationMai1[[#This Row],[1]:[31]],Code7)</f>
        <v>0</v>
      </c>
      <c r="AQ150" s="132">
        <f>COUNTIF(ParicipationMai1[[#This Row],[1]:[31]],Code8)</f>
        <v>0</v>
      </c>
      <c r="AR150" s="132">
        <f>COUNTIF(ParicipationMai1[[#This Row],[1]:[31]],Code9)</f>
        <v>0</v>
      </c>
      <c r="AS150" s="132">
        <f>COUNTIF(ParicipationMai1[[#This Row],[1]:[31]],Code10)</f>
        <v>0</v>
      </c>
      <c r="AT150" s="132">
        <f>COUNTIF(ParicipationMai1[[#This Row],[1]:[31]],Code11)</f>
        <v>0</v>
      </c>
      <c r="AU150" s="132">
        <f>COUNTIF(ParicipationMai1[[#This Row],[1]:[31]],Code12)</f>
        <v>0</v>
      </c>
      <c r="AV150" s="132">
        <f>COUNTIF(ParicipationMai1[[#This Row],[1]:[31]],Code13)</f>
        <v>0</v>
      </c>
      <c r="AW150" s="132">
        <f>COUNTIF(ParicipationMai1[[#This Row],[1]:[31]],Code14)</f>
        <v>0</v>
      </c>
      <c r="AX150" s="132">
        <f>COUNTIF(ParicipationMai1[[#This Row],[1]:[31]],Code15)</f>
        <v>0</v>
      </c>
      <c r="AY150" s="132">
        <f>COUNTIF(ParicipationMai1[[#This Row],[1]:[31]],Code16)</f>
        <v>0</v>
      </c>
      <c r="AZ150" s="132">
        <f>COUNTIF(ParicipationMai1[[#This Row],[1]:[31]],Code17)</f>
        <v>0</v>
      </c>
      <c r="BA150" s="132">
        <f>COUNTIF(ParicipationMai1[[#This Row],[1]:[31]],Code26)</f>
        <v>0</v>
      </c>
      <c r="BB150" s="132">
        <f>COUNTIF(ParicipationMai1[[#This Row],[1]:[31]],Code27)</f>
        <v>0</v>
      </c>
      <c r="BC150" s="132">
        <f>COUNTIF(ParicipationMai1[[#This Row],[1]:[31]],Code27)</f>
        <v>0</v>
      </c>
      <c r="BD150" s="132">
        <f>COUNTIF(ParicipationMai1[[#This Row],[1]:[31]],Code28)</f>
        <v>0</v>
      </c>
      <c r="BE150" s="132">
        <f>COUNTIF(ParicipationMai1[[#This Row],[1]:[31]],code30)</f>
        <v>0</v>
      </c>
      <c r="BF150" s="132">
        <f>COUNTIF(ParicipationMai1[[#This Row],[1]:[31]],Code31)</f>
        <v>0</v>
      </c>
      <c r="BG150" s="132">
        <f>COUNTIF(ParicipationMai1[[#This Row],[1]:[31]],code21)</f>
        <v>0</v>
      </c>
      <c r="BH150" s="132">
        <f>COUNTIF(ParicipationMai1[[#This Row],[1]:[31]],Code24)</f>
        <v>0</v>
      </c>
      <c r="BI150" s="549">
        <f>COUNTIF(ParicipationMai1[[#This Row],[1]:[31]],code18)</f>
        <v>0</v>
      </c>
      <c r="BJ150" s="549">
        <f>COUNTIF(ParicipationMai1[[#This Row],[1]:[31]],code19)</f>
        <v>0</v>
      </c>
      <c r="BK150" s="549">
        <f>COUNTIF(ParicipationMai1[[#This Row],[1]:[31]],code20)</f>
        <v>0</v>
      </c>
      <c r="BL150" s="547">
        <f>COUNTIF(ParicipationMai1[[#This Row],[1]:[31]],code29)</f>
        <v>0</v>
      </c>
      <c r="BM150" s="132"/>
      <c r="BN150" s="132"/>
      <c r="BO150" s="132"/>
      <c r="BP150" s="132"/>
      <c r="BQ150" s="132"/>
      <c r="BR150" s="132"/>
      <c r="BS150" s="132"/>
      <c r="BT150" s="132"/>
      <c r="BU150" s="132"/>
      <c r="BV150" s="132"/>
      <c r="BW150" s="132"/>
      <c r="BX150" s="132"/>
      <c r="BY150" s="132"/>
      <c r="BZ150" s="132"/>
      <c r="CA150" s="132"/>
      <c r="CB150" s="132"/>
      <c r="CC150" s="132"/>
      <c r="CD150" s="132"/>
      <c r="CE150" s="132"/>
      <c r="CF150" s="132"/>
      <c r="CG150" s="132"/>
      <c r="CH150" s="132"/>
      <c r="CI150" s="132"/>
      <c r="CJ150" s="132"/>
      <c r="CK150" s="132"/>
      <c r="CL150" s="132"/>
      <c r="CM150" s="132"/>
      <c r="CN150" s="132"/>
      <c r="CO150" s="132"/>
      <c r="CP150" s="132"/>
      <c r="CQ150" s="132"/>
      <c r="CR150" s="132"/>
      <c r="CS150" s="132"/>
      <c r="CT150" s="132"/>
      <c r="CU150" s="547"/>
      <c r="CV150" s="590">
        <f t="shared" si="8"/>
        <v>0</v>
      </c>
      <c r="CW150" s="573">
        <f t="shared" si="9"/>
        <v>0</v>
      </c>
      <c r="CX150" s="132">
        <f t="shared" si="10"/>
        <v>0</v>
      </c>
      <c r="CY150" s="500">
        <f t="shared" si="11"/>
        <v>0</v>
      </c>
    </row>
    <row r="151" spans="1:103">
      <c r="A151" s="406" t="s">
        <v>608</v>
      </c>
      <c r="B151" s="569" t="str">
        <f>IFERROR(VLOOKUP(ParicipationMai1[[#This Row],[Référence]],ListeÉtudiants1[],18,FALSE),"")</f>
        <v>NGOME BEKOMBO CASIMIR</v>
      </c>
      <c r="C151" s="550"/>
      <c r="D151" s="550"/>
      <c r="E151" s="550"/>
      <c r="F151" s="550"/>
      <c r="G151" s="550"/>
      <c r="H151" s="550"/>
      <c r="I151" s="550"/>
      <c r="J151" s="550"/>
      <c r="K151" s="550"/>
      <c r="L151" s="550"/>
      <c r="M151" s="550"/>
      <c r="N151" s="550"/>
      <c r="O151" s="550"/>
      <c r="P151" s="550"/>
      <c r="Q151" s="550"/>
      <c r="R151" s="550"/>
      <c r="S151" s="550"/>
      <c r="T151" s="550"/>
      <c r="U151" s="550"/>
      <c r="V151" s="550"/>
      <c r="W151" s="550"/>
      <c r="X151" s="550"/>
      <c r="Y151" s="550"/>
      <c r="Z151" s="550"/>
      <c r="AA151" s="550"/>
      <c r="AB151" s="550"/>
      <c r="AC151" s="550"/>
      <c r="AD151" s="550"/>
      <c r="AE151" s="550"/>
      <c r="AF151" s="550"/>
      <c r="AG151" s="570"/>
      <c r="AH151" s="550">
        <f>COUNTIF(ParicipationMai1[[1]:[31]],Code1)</f>
        <v>0</v>
      </c>
      <c r="AI151" s="311">
        <f>COUNTIF(ParicipationMai1[[1]:[31]],code22)</f>
        <v>0</v>
      </c>
      <c r="AJ151" s="550">
        <f>COUNTIF(ParicipationMai1[[#This Row],[1]:[31]],Code2)</f>
        <v>0</v>
      </c>
      <c r="AK151" s="550">
        <f>COUNTIF(ParicipationMai1[[#This Row],[1]:[31]],Code3)</f>
        <v>0</v>
      </c>
      <c r="AL151" s="550">
        <f>COUNTIF(ParicipationMai1[[#This Row],[1]:[31]],Code4)</f>
        <v>0</v>
      </c>
      <c r="AM151" s="131">
        <f>COUNTIF(ParicipationMai1[[#This Row],[1]:[31]],Code5)</f>
        <v>0</v>
      </c>
      <c r="AN151" s="131">
        <f>COUNTIF(ParicipationMai1[[#This Row],[1]:[31]],Code23)</f>
        <v>0</v>
      </c>
      <c r="AO151" s="131">
        <f>COUNTIF(ParicipationMai1[[#This Row],[1]:[31]],Code6)</f>
        <v>0</v>
      </c>
      <c r="AP151" s="131">
        <f>COUNTIF(ParicipationMai1[[#This Row],[1]:[31]],Code7)</f>
        <v>0</v>
      </c>
      <c r="AQ151" s="131">
        <f>COUNTIF(ParicipationMai1[[#This Row],[1]:[31]],Code8)</f>
        <v>0</v>
      </c>
      <c r="AR151" s="131">
        <f>COUNTIF(ParicipationMai1[[#This Row],[1]:[31]],Code9)</f>
        <v>0</v>
      </c>
      <c r="AS151" s="131">
        <f>COUNTIF(ParicipationMai1[[#This Row],[1]:[31]],Code10)</f>
        <v>0</v>
      </c>
      <c r="AT151" s="131">
        <f>COUNTIF(ParicipationMai1[[#This Row],[1]:[31]],Code11)</f>
        <v>0</v>
      </c>
      <c r="AU151" s="131">
        <f>COUNTIF(ParicipationMai1[[#This Row],[1]:[31]],Code12)</f>
        <v>0</v>
      </c>
      <c r="AV151" s="131">
        <f>COUNTIF(ParicipationMai1[[#This Row],[1]:[31]],Code13)</f>
        <v>0</v>
      </c>
      <c r="AW151" s="131">
        <f>COUNTIF(ParicipationMai1[[#This Row],[1]:[31]],Code14)</f>
        <v>0</v>
      </c>
      <c r="AX151" s="131">
        <f>COUNTIF(ParicipationMai1[[#This Row],[1]:[31]],Code15)</f>
        <v>0</v>
      </c>
      <c r="AY151" s="131">
        <f>COUNTIF(ParicipationMai1[[#This Row],[1]:[31]],Code16)</f>
        <v>0</v>
      </c>
      <c r="AZ151" s="131">
        <f>COUNTIF(ParicipationMai1[[#This Row],[1]:[31]],Code17)</f>
        <v>0</v>
      </c>
      <c r="BA151" s="131">
        <f>COUNTIF(ParicipationMai1[[#This Row],[1]:[31]],Code26)</f>
        <v>0</v>
      </c>
      <c r="BB151" s="131">
        <f>COUNTIF(ParicipationMai1[[#This Row],[1]:[31]],Code27)</f>
        <v>0</v>
      </c>
      <c r="BC151" s="131">
        <f>COUNTIF(ParicipationMai1[[#This Row],[1]:[31]],Code27)</f>
        <v>0</v>
      </c>
      <c r="BD151" s="131">
        <f>COUNTIF(ParicipationMai1[[#This Row],[1]:[31]],Code28)</f>
        <v>0</v>
      </c>
      <c r="BE151" s="131">
        <f>COUNTIF(ParicipationMai1[[#This Row],[1]:[31]],code30)</f>
        <v>0</v>
      </c>
      <c r="BF151" s="131">
        <f>COUNTIF(ParicipationMai1[[#This Row],[1]:[31]],Code31)</f>
        <v>0</v>
      </c>
      <c r="BG151" s="131">
        <f>COUNTIF(ParicipationMai1[[#This Row],[1]:[31]],code21)</f>
        <v>0</v>
      </c>
      <c r="BH151" s="131">
        <f>COUNTIF(ParicipationMai1[[#This Row],[1]:[31]],Code24)</f>
        <v>0</v>
      </c>
      <c r="BI151" s="550">
        <f>COUNTIF(ParicipationMai1[[#This Row],[1]:[31]],code18)</f>
        <v>0</v>
      </c>
      <c r="BJ151" s="550">
        <f>COUNTIF(ParicipationMai1[[#This Row],[1]:[31]],code19)</f>
        <v>0</v>
      </c>
      <c r="BK151" s="550">
        <f>COUNTIF(ParicipationMai1[[#This Row],[1]:[31]],code20)</f>
        <v>0</v>
      </c>
      <c r="BL151" s="548">
        <f>COUNTIF(ParicipationMai1[[#This Row],[1]:[31]],code29)</f>
        <v>0</v>
      </c>
      <c r="BM151" s="131"/>
      <c r="BN151" s="131"/>
      <c r="BO151" s="131"/>
      <c r="BP151" s="131"/>
      <c r="BQ151" s="131"/>
      <c r="BR151" s="131"/>
      <c r="BS151" s="131"/>
      <c r="BT151" s="131"/>
      <c r="BU151" s="131"/>
      <c r="BV151" s="131"/>
      <c r="BW151" s="131"/>
      <c r="BX151" s="131"/>
      <c r="BY151" s="131"/>
      <c r="BZ151" s="131"/>
      <c r="CA151" s="131"/>
      <c r="CB151" s="131"/>
      <c r="CC151" s="131"/>
      <c r="CD151" s="131"/>
      <c r="CE151" s="131"/>
      <c r="CF151" s="131"/>
      <c r="CG151" s="131"/>
      <c r="CH151" s="131"/>
      <c r="CI151" s="131"/>
      <c r="CJ151" s="131"/>
      <c r="CK151" s="131"/>
      <c r="CL151" s="131"/>
      <c r="CM151" s="131"/>
      <c r="CN151" s="131"/>
      <c r="CO151" s="131"/>
      <c r="CP151" s="131"/>
      <c r="CQ151" s="131"/>
      <c r="CR151" s="131"/>
      <c r="CS151" s="131"/>
      <c r="CT151" s="131"/>
      <c r="CU151" s="548"/>
      <c r="CV151" s="592">
        <f t="shared" si="8"/>
        <v>0</v>
      </c>
      <c r="CW151" s="575">
        <f t="shared" si="9"/>
        <v>0</v>
      </c>
      <c r="CX151" s="131">
        <f t="shared" si="10"/>
        <v>0</v>
      </c>
      <c r="CY151" s="170">
        <f t="shared" si="11"/>
        <v>0</v>
      </c>
    </row>
    <row r="152" spans="1:103">
      <c r="A152" s="405" t="s">
        <v>609</v>
      </c>
      <c r="B152" s="571" t="str">
        <f>IFERROR(VLOOKUP(ParicipationMai1[[#This Row],[Référence]],ListeÉtudiants1[],18,FALSE),"")</f>
        <v>SAINTRAY  Dorian</v>
      </c>
      <c r="C152" s="549"/>
      <c r="D152" s="549"/>
      <c r="E152" s="549"/>
      <c r="F152" s="549"/>
      <c r="G152" s="549"/>
      <c r="H152" s="549"/>
      <c r="I152" s="549"/>
      <c r="J152" s="549"/>
      <c r="K152" s="549"/>
      <c r="L152" s="549"/>
      <c r="M152" s="549"/>
      <c r="N152" s="549"/>
      <c r="O152" s="549"/>
      <c r="P152" s="549"/>
      <c r="Q152" s="549"/>
      <c r="R152" s="549"/>
      <c r="S152" s="549"/>
      <c r="T152" s="549"/>
      <c r="U152" s="549"/>
      <c r="V152" s="549"/>
      <c r="W152" s="549"/>
      <c r="X152" s="549"/>
      <c r="Y152" s="549"/>
      <c r="Z152" s="549"/>
      <c r="AA152" s="549"/>
      <c r="AB152" s="549"/>
      <c r="AC152" s="549"/>
      <c r="AD152" s="549"/>
      <c r="AE152" s="549"/>
      <c r="AF152" s="549"/>
      <c r="AG152" s="572"/>
      <c r="AH152" s="549">
        <f>COUNTIF(ParicipationMai1[[1]:[31]],Code1)</f>
        <v>0</v>
      </c>
      <c r="AI152" s="538">
        <f>COUNTIF(ParicipationMai1[[1]:[31]],code22)</f>
        <v>0</v>
      </c>
      <c r="AJ152" s="549">
        <f>COUNTIF(ParicipationMai1[[#This Row],[1]:[31]],Code2)</f>
        <v>0</v>
      </c>
      <c r="AK152" s="549">
        <f>COUNTIF(ParicipationMai1[[#This Row],[1]:[31]],Code3)</f>
        <v>0</v>
      </c>
      <c r="AL152" s="549">
        <f>COUNTIF(ParicipationMai1[[#This Row],[1]:[31]],Code4)</f>
        <v>0</v>
      </c>
      <c r="AM152" s="132">
        <f>COUNTIF(ParicipationMai1[[#This Row],[1]:[31]],Code5)</f>
        <v>0</v>
      </c>
      <c r="AN152" s="132">
        <f>COUNTIF(ParicipationMai1[[#This Row],[1]:[31]],Code23)</f>
        <v>0</v>
      </c>
      <c r="AO152" s="132">
        <f>COUNTIF(ParicipationMai1[[#This Row],[1]:[31]],Code6)</f>
        <v>0</v>
      </c>
      <c r="AP152" s="132">
        <f>COUNTIF(ParicipationMai1[[#This Row],[1]:[31]],Code7)</f>
        <v>0</v>
      </c>
      <c r="AQ152" s="132">
        <f>COUNTIF(ParicipationMai1[[#This Row],[1]:[31]],Code8)</f>
        <v>0</v>
      </c>
      <c r="AR152" s="132">
        <f>COUNTIF(ParicipationMai1[[#This Row],[1]:[31]],Code9)</f>
        <v>0</v>
      </c>
      <c r="AS152" s="132">
        <f>COUNTIF(ParicipationMai1[[#This Row],[1]:[31]],Code10)</f>
        <v>0</v>
      </c>
      <c r="AT152" s="132">
        <f>COUNTIF(ParicipationMai1[[#This Row],[1]:[31]],Code11)</f>
        <v>0</v>
      </c>
      <c r="AU152" s="132">
        <f>COUNTIF(ParicipationMai1[[#This Row],[1]:[31]],Code12)</f>
        <v>0</v>
      </c>
      <c r="AV152" s="132">
        <f>COUNTIF(ParicipationMai1[[#This Row],[1]:[31]],Code13)</f>
        <v>0</v>
      </c>
      <c r="AW152" s="132">
        <f>COUNTIF(ParicipationMai1[[#This Row],[1]:[31]],Code14)</f>
        <v>0</v>
      </c>
      <c r="AX152" s="132">
        <f>COUNTIF(ParicipationMai1[[#This Row],[1]:[31]],Code15)</f>
        <v>0</v>
      </c>
      <c r="AY152" s="132">
        <f>COUNTIF(ParicipationMai1[[#This Row],[1]:[31]],Code16)</f>
        <v>0</v>
      </c>
      <c r="AZ152" s="132">
        <f>COUNTIF(ParicipationMai1[[#This Row],[1]:[31]],Code17)</f>
        <v>0</v>
      </c>
      <c r="BA152" s="132">
        <f>COUNTIF(ParicipationMai1[[#This Row],[1]:[31]],Code26)</f>
        <v>0</v>
      </c>
      <c r="BB152" s="132">
        <f>COUNTIF(ParicipationMai1[[#This Row],[1]:[31]],Code27)</f>
        <v>0</v>
      </c>
      <c r="BC152" s="132">
        <f>COUNTIF(ParicipationMai1[[#This Row],[1]:[31]],Code27)</f>
        <v>0</v>
      </c>
      <c r="BD152" s="132">
        <f>COUNTIF(ParicipationMai1[[#This Row],[1]:[31]],Code28)</f>
        <v>0</v>
      </c>
      <c r="BE152" s="132">
        <f>COUNTIF(ParicipationMai1[[#This Row],[1]:[31]],code30)</f>
        <v>0</v>
      </c>
      <c r="BF152" s="132">
        <f>COUNTIF(ParicipationMai1[[#This Row],[1]:[31]],Code31)</f>
        <v>0</v>
      </c>
      <c r="BG152" s="132">
        <f>COUNTIF(ParicipationMai1[[#This Row],[1]:[31]],code21)</f>
        <v>0</v>
      </c>
      <c r="BH152" s="132">
        <f>COUNTIF(ParicipationMai1[[#This Row],[1]:[31]],Code24)</f>
        <v>0</v>
      </c>
      <c r="BI152" s="549">
        <f>COUNTIF(ParicipationMai1[[#This Row],[1]:[31]],code18)</f>
        <v>0</v>
      </c>
      <c r="BJ152" s="549">
        <f>COUNTIF(ParicipationMai1[[#This Row],[1]:[31]],code19)</f>
        <v>0</v>
      </c>
      <c r="BK152" s="549">
        <f>COUNTIF(ParicipationMai1[[#This Row],[1]:[31]],code20)</f>
        <v>0</v>
      </c>
      <c r="BL152" s="547">
        <f>COUNTIF(ParicipationMai1[[#This Row],[1]:[31]],code29)</f>
        <v>0</v>
      </c>
      <c r="BM152" s="132"/>
      <c r="BN152" s="132"/>
      <c r="BO152" s="132"/>
      <c r="BP152" s="132"/>
      <c r="BQ152" s="132"/>
      <c r="BR152" s="132"/>
      <c r="BS152" s="132"/>
      <c r="BT152" s="132"/>
      <c r="BU152" s="132"/>
      <c r="BV152" s="132"/>
      <c r="BW152" s="132"/>
      <c r="BX152" s="132"/>
      <c r="BY152" s="132"/>
      <c r="BZ152" s="132"/>
      <c r="CA152" s="132"/>
      <c r="CB152" s="132"/>
      <c r="CC152" s="132"/>
      <c r="CD152" s="132"/>
      <c r="CE152" s="132"/>
      <c r="CF152" s="132"/>
      <c r="CG152" s="132"/>
      <c r="CH152" s="132"/>
      <c r="CI152" s="132"/>
      <c r="CJ152" s="132"/>
      <c r="CK152" s="132"/>
      <c r="CL152" s="132"/>
      <c r="CM152" s="132"/>
      <c r="CN152" s="132"/>
      <c r="CO152" s="132"/>
      <c r="CP152" s="132"/>
      <c r="CQ152" s="132"/>
      <c r="CR152" s="132"/>
      <c r="CS152" s="132"/>
      <c r="CT152" s="132"/>
      <c r="CU152" s="547"/>
      <c r="CV152" s="590">
        <f t="shared" si="8"/>
        <v>0</v>
      </c>
      <c r="CW152" s="573">
        <f t="shared" si="9"/>
        <v>0</v>
      </c>
      <c r="CX152" s="132">
        <f t="shared" si="10"/>
        <v>0</v>
      </c>
      <c r="CY152" s="500">
        <f t="shared" si="11"/>
        <v>0</v>
      </c>
    </row>
    <row r="153" spans="1:103">
      <c r="A153" s="406" t="s">
        <v>613</v>
      </c>
      <c r="B153" s="569" t="str">
        <f>IFERROR(VLOOKUP(ParicipationMai1[[#This Row],[Référence]],ListeÉtudiants1[],18,FALSE),"")</f>
        <v xml:space="preserve">SISSOKO </v>
      </c>
      <c r="C153" s="550"/>
      <c r="D153" s="550"/>
      <c r="E153" s="550"/>
      <c r="F153" s="550"/>
      <c r="G153" s="550"/>
      <c r="H153" s="550"/>
      <c r="I153" s="550"/>
      <c r="J153" s="550"/>
      <c r="K153" s="550"/>
      <c r="L153" s="550"/>
      <c r="M153" s="550"/>
      <c r="N153" s="550"/>
      <c r="O153" s="550"/>
      <c r="P153" s="550"/>
      <c r="Q153" s="550"/>
      <c r="R153" s="550"/>
      <c r="S153" s="550"/>
      <c r="T153" s="550"/>
      <c r="U153" s="550"/>
      <c r="V153" s="550"/>
      <c r="W153" s="550"/>
      <c r="X153" s="550"/>
      <c r="Y153" s="550"/>
      <c r="Z153" s="550"/>
      <c r="AA153" s="550"/>
      <c r="AB153" s="550"/>
      <c r="AC153" s="550"/>
      <c r="AD153" s="550"/>
      <c r="AE153" s="550"/>
      <c r="AF153" s="550"/>
      <c r="AG153" s="570"/>
      <c r="AH153" s="550">
        <f>COUNTIF(ParicipationMai1[[1]:[31]],Code1)</f>
        <v>0</v>
      </c>
      <c r="AI153" s="311">
        <f>COUNTIF(ParicipationMai1[[1]:[31]],code22)</f>
        <v>0</v>
      </c>
      <c r="AJ153" s="550">
        <f>COUNTIF(ParicipationMai1[[#This Row],[1]:[31]],Code2)</f>
        <v>0</v>
      </c>
      <c r="AK153" s="550">
        <f>COUNTIF(ParicipationMai1[[#This Row],[1]:[31]],Code3)</f>
        <v>0</v>
      </c>
      <c r="AL153" s="550">
        <f>COUNTIF(ParicipationMai1[[#This Row],[1]:[31]],Code4)</f>
        <v>0</v>
      </c>
      <c r="AM153" s="131">
        <f>COUNTIF(ParicipationMai1[[#This Row],[1]:[31]],Code5)</f>
        <v>0</v>
      </c>
      <c r="AN153" s="131">
        <f>COUNTIF(ParicipationMai1[[#This Row],[1]:[31]],Code23)</f>
        <v>0</v>
      </c>
      <c r="AO153" s="131">
        <f>COUNTIF(ParicipationMai1[[#This Row],[1]:[31]],Code6)</f>
        <v>0</v>
      </c>
      <c r="AP153" s="131">
        <f>COUNTIF(ParicipationMai1[[#This Row],[1]:[31]],Code7)</f>
        <v>0</v>
      </c>
      <c r="AQ153" s="131">
        <f>COUNTIF(ParicipationMai1[[#This Row],[1]:[31]],Code8)</f>
        <v>0</v>
      </c>
      <c r="AR153" s="131">
        <f>COUNTIF(ParicipationMai1[[#This Row],[1]:[31]],Code9)</f>
        <v>0</v>
      </c>
      <c r="AS153" s="131">
        <f>COUNTIF(ParicipationMai1[[#This Row],[1]:[31]],Code10)</f>
        <v>0</v>
      </c>
      <c r="AT153" s="131">
        <f>COUNTIF(ParicipationMai1[[#This Row],[1]:[31]],Code11)</f>
        <v>0</v>
      </c>
      <c r="AU153" s="131">
        <f>COUNTIF(ParicipationMai1[[#This Row],[1]:[31]],Code12)</f>
        <v>0</v>
      </c>
      <c r="AV153" s="131">
        <f>COUNTIF(ParicipationMai1[[#This Row],[1]:[31]],Code13)</f>
        <v>0</v>
      </c>
      <c r="AW153" s="131">
        <f>COUNTIF(ParicipationMai1[[#This Row],[1]:[31]],Code14)</f>
        <v>0</v>
      </c>
      <c r="AX153" s="131">
        <f>COUNTIF(ParicipationMai1[[#This Row],[1]:[31]],Code15)</f>
        <v>0</v>
      </c>
      <c r="AY153" s="131">
        <f>COUNTIF(ParicipationMai1[[#This Row],[1]:[31]],Code16)</f>
        <v>0</v>
      </c>
      <c r="AZ153" s="131">
        <f>COUNTIF(ParicipationMai1[[#This Row],[1]:[31]],Code17)</f>
        <v>0</v>
      </c>
      <c r="BA153" s="131">
        <f>COUNTIF(ParicipationMai1[[#This Row],[1]:[31]],Code26)</f>
        <v>0</v>
      </c>
      <c r="BB153" s="131">
        <f>COUNTIF(ParicipationMai1[[#This Row],[1]:[31]],Code27)</f>
        <v>0</v>
      </c>
      <c r="BC153" s="131">
        <f>COUNTIF(ParicipationMai1[[#This Row],[1]:[31]],Code27)</f>
        <v>0</v>
      </c>
      <c r="BD153" s="131">
        <f>COUNTIF(ParicipationMai1[[#This Row],[1]:[31]],Code28)</f>
        <v>0</v>
      </c>
      <c r="BE153" s="131">
        <f>COUNTIF(ParicipationMai1[[#This Row],[1]:[31]],code30)</f>
        <v>0</v>
      </c>
      <c r="BF153" s="131">
        <f>COUNTIF(ParicipationMai1[[#This Row],[1]:[31]],Code31)</f>
        <v>0</v>
      </c>
      <c r="BG153" s="131">
        <f>COUNTIF(ParicipationMai1[[#This Row],[1]:[31]],code21)</f>
        <v>0</v>
      </c>
      <c r="BH153" s="131">
        <f>COUNTIF(ParicipationMai1[[#This Row],[1]:[31]],Code24)</f>
        <v>0</v>
      </c>
      <c r="BI153" s="550">
        <f>COUNTIF(ParicipationMai1[[#This Row],[1]:[31]],code18)</f>
        <v>0</v>
      </c>
      <c r="BJ153" s="550">
        <f>COUNTIF(ParicipationMai1[[#This Row],[1]:[31]],code19)</f>
        <v>0</v>
      </c>
      <c r="BK153" s="550">
        <f>COUNTIF(ParicipationMai1[[#This Row],[1]:[31]],code20)</f>
        <v>0</v>
      </c>
      <c r="BL153" s="548">
        <f>COUNTIF(ParicipationMai1[[#This Row],[1]:[31]],code29)</f>
        <v>0</v>
      </c>
      <c r="BM153" s="131"/>
      <c r="BN153" s="131"/>
      <c r="BO153" s="131"/>
      <c r="BP153" s="131"/>
      <c r="BQ153" s="131"/>
      <c r="BR153" s="131"/>
      <c r="BS153" s="131"/>
      <c r="BT153" s="131"/>
      <c r="BU153" s="131"/>
      <c r="BV153" s="131"/>
      <c r="BW153" s="131"/>
      <c r="BX153" s="131"/>
      <c r="BY153" s="131"/>
      <c r="BZ153" s="131"/>
      <c r="CA153" s="131"/>
      <c r="CB153" s="131"/>
      <c r="CC153" s="131"/>
      <c r="CD153" s="131"/>
      <c r="CE153" s="131"/>
      <c r="CF153" s="131"/>
      <c r="CG153" s="131"/>
      <c r="CH153" s="131"/>
      <c r="CI153" s="131"/>
      <c r="CJ153" s="131"/>
      <c r="CK153" s="131"/>
      <c r="CL153" s="131"/>
      <c r="CM153" s="131"/>
      <c r="CN153" s="131"/>
      <c r="CO153" s="131"/>
      <c r="CP153" s="131"/>
      <c r="CQ153" s="131"/>
      <c r="CR153" s="131"/>
      <c r="CS153" s="131"/>
      <c r="CT153" s="131"/>
      <c r="CU153" s="548"/>
      <c r="CV153" s="592">
        <f t="shared" si="8"/>
        <v>0</v>
      </c>
      <c r="CW153" s="575">
        <f t="shared" si="9"/>
        <v>0</v>
      </c>
      <c r="CX153" s="131">
        <f t="shared" si="10"/>
        <v>0</v>
      </c>
      <c r="CY153" s="170">
        <f t="shared" si="11"/>
        <v>0</v>
      </c>
    </row>
    <row r="154" spans="1:103">
      <c r="A154" s="405" t="s">
        <v>614</v>
      </c>
      <c r="B154" s="571" t="str">
        <f>IFERROR(VLOOKUP(ParicipationMai1[[#This Row],[Référence]],ListeÉtudiants1[],18,FALSE),"")</f>
        <v>ZAKHOUR Samantha</v>
      </c>
      <c r="C154" s="549"/>
      <c r="D154" s="549"/>
      <c r="E154" s="549"/>
      <c r="F154" s="549"/>
      <c r="G154" s="549"/>
      <c r="H154" s="549"/>
      <c r="I154" s="549"/>
      <c r="J154" s="549"/>
      <c r="K154" s="549"/>
      <c r="L154" s="549"/>
      <c r="M154" s="549"/>
      <c r="N154" s="549"/>
      <c r="O154" s="549"/>
      <c r="P154" s="549"/>
      <c r="Q154" s="549"/>
      <c r="R154" s="549"/>
      <c r="S154" s="549"/>
      <c r="T154" s="549"/>
      <c r="U154" s="549"/>
      <c r="V154" s="549"/>
      <c r="W154" s="549"/>
      <c r="X154" s="549"/>
      <c r="Y154" s="549"/>
      <c r="Z154" s="549"/>
      <c r="AA154" s="549"/>
      <c r="AB154" s="549"/>
      <c r="AC154" s="549"/>
      <c r="AD154" s="549"/>
      <c r="AE154" s="549"/>
      <c r="AF154" s="549"/>
      <c r="AG154" s="572"/>
      <c r="AH154" s="549">
        <f>COUNTIF(ParicipationMai1[[1]:[31]],Code1)</f>
        <v>0</v>
      </c>
      <c r="AI154" s="538">
        <f>COUNTIF(ParicipationMai1[[1]:[31]],code22)</f>
        <v>0</v>
      </c>
      <c r="AJ154" s="549">
        <f>COUNTIF(ParicipationMai1[[#This Row],[1]:[31]],Code2)</f>
        <v>0</v>
      </c>
      <c r="AK154" s="549">
        <f>COUNTIF(ParicipationMai1[[#This Row],[1]:[31]],Code3)</f>
        <v>0</v>
      </c>
      <c r="AL154" s="549">
        <f>COUNTIF(ParicipationMai1[[#This Row],[1]:[31]],Code4)</f>
        <v>0</v>
      </c>
      <c r="AM154" s="132">
        <f>COUNTIF(ParicipationMai1[[#This Row],[1]:[31]],Code5)</f>
        <v>0</v>
      </c>
      <c r="AN154" s="132">
        <f>COUNTIF(ParicipationMai1[[#This Row],[1]:[31]],Code23)</f>
        <v>0</v>
      </c>
      <c r="AO154" s="132">
        <f>COUNTIF(ParicipationMai1[[#This Row],[1]:[31]],Code6)</f>
        <v>0</v>
      </c>
      <c r="AP154" s="132">
        <f>COUNTIF(ParicipationMai1[[#This Row],[1]:[31]],Code7)</f>
        <v>0</v>
      </c>
      <c r="AQ154" s="132">
        <f>COUNTIF(ParicipationMai1[[#This Row],[1]:[31]],Code8)</f>
        <v>0</v>
      </c>
      <c r="AR154" s="132">
        <f>COUNTIF(ParicipationMai1[[#This Row],[1]:[31]],Code9)</f>
        <v>0</v>
      </c>
      <c r="AS154" s="132">
        <f>COUNTIF(ParicipationMai1[[#This Row],[1]:[31]],Code10)</f>
        <v>0</v>
      </c>
      <c r="AT154" s="132">
        <f>COUNTIF(ParicipationMai1[[#This Row],[1]:[31]],Code11)</f>
        <v>0</v>
      </c>
      <c r="AU154" s="132">
        <f>COUNTIF(ParicipationMai1[[#This Row],[1]:[31]],Code12)</f>
        <v>0</v>
      </c>
      <c r="AV154" s="132">
        <f>COUNTIF(ParicipationMai1[[#This Row],[1]:[31]],Code13)</f>
        <v>0</v>
      </c>
      <c r="AW154" s="132">
        <f>COUNTIF(ParicipationMai1[[#This Row],[1]:[31]],Code14)</f>
        <v>0</v>
      </c>
      <c r="AX154" s="132">
        <f>COUNTIF(ParicipationMai1[[#This Row],[1]:[31]],Code15)</f>
        <v>0</v>
      </c>
      <c r="AY154" s="132">
        <f>COUNTIF(ParicipationMai1[[#This Row],[1]:[31]],Code16)</f>
        <v>0</v>
      </c>
      <c r="AZ154" s="132">
        <f>COUNTIF(ParicipationMai1[[#This Row],[1]:[31]],Code17)</f>
        <v>0</v>
      </c>
      <c r="BA154" s="132">
        <f>COUNTIF(ParicipationMai1[[#This Row],[1]:[31]],Code26)</f>
        <v>0</v>
      </c>
      <c r="BB154" s="132">
        <f>COUNTIF(ParicipationMai1[[#This Row],[1]:[31]],Code27)</f>
        <v>0</v>
      </c>
      <c r="BC154" s="132">
        <f>COUNTIF(ParicipationMai1[[#This Row],[1]:[31]],Code27)</f>
        <v>0</v>
      </c>
      <c r="BD154" s="132">
        <f>COUNTIF(ParicipationMai1[[#This Row],[1]:[31]],Code28)</f>
        <v>0</v>
      </c>
      <c r="BE154" s="132">
        <f>COUNTIF(ParicipationMai1[[#This Row],[1]:[31]],code30)</f>
        <v>0</v>
      </c>
      <c r="BF154" s="132">
        <f>COUNTIF(ParicipationMai1[[#This Row],[1]:[31]],Code31)</f>
        <v>0</v>
      </c>
      <c r="BG154" s="132">
        <f>COUNTIF(ParicipationMai1[[#This Row],[1]:[31]],code21)</f>
        <v>0</v>
      </c>
      <c r="BH154" s="132">
        <f>COUNTIF(ParicipationMai1[[#This Row],[1]:[31]],Code24)</f>
        <v>0</v>
      </c>
      <c r="BI154" s="549">
        <f>COUNTIF(ParicipationMai1[[#This Row],[1]:[31]],code18)</f>
        <v>0</v>
      </c>
      <c r="BJ154" s="549">
        <f>COUNTIF(ParicipationMai1[[#This Row],[1]:[31]],code19)</f>
        <v>0</v>
      </c>
      <c r="BK154" s="549">
        <f>COUNTIF(ParicipationMai1[[#This Row],[1]:[31]],code20)</f>
        <v>0</v>
      </c>
      <c r="BL154" s="547">
        <f>COUNTIF(ParicipationMai1[[#This Row],[1]:[31]],code29)</f>
        <v>0</v>
      </c>
      <c r="BM154" s="132"/>
      <c r="BN154" s="132"/>
      <c r="BO154" s="132"/>
      <c r="BP154" s="132"/>
      <c r="BQ154" s="132"/>
      <c r="BR154" s="132"/>
      <c r="BS154" s="132"/>
      <c r="BT154" s="132"/>
      <c r="BU154" s="132"/>
      <c r="BV154" s="132"/>
      <c r="BW154" s="132"/>
      <c r="BX154" s="132"/>
      <c r="BY154" s="132"/>
      <c r="BZ154" s="132"/>
      <c r="CA154" s="132"/>
      <c r="CB154" s="132"/>
      <c r="CC154" s="132"/>
      <c r="CD154" s="132"/>
      <c r="CE154" s="132"/>
      <c r="CF154" s="132"/>
      <c r="CG154" s="132"/>
      <c r="CH154" s="132"/>
      <c r="CI154" s="132"/>
      <c r="CJ154" s="132"/>
      <c r="CK154" s="132"/>
      <c r="CL154" s="132"/>
      <c r="CM154" s="132"/>
      <c r="CN154" s="132"/>
      <c r="CO154" s="132"/>
      <c r="CP154" s="132"/>
      <c r="CQ154" s="132"/>
      <c r="CR154" s="132"/>
      <c r="CS154" s="132"/>
      <c r="CT154" s="132"/>
      <c r="CU154" s="547"/>
      <c r="CV154" s="590">
        <f t="shared" si="8"/>
        <v>0</v>
      </c>
      <c r="CW154" s="573">
        <f t="shared" si="9"/>
        <v>0</v>
      </c>
      <c r="CX154" s="132">
        <f t="shared" si="10"/>
        <v>0</v>
      </c>
      <c r="CY154" s="500">
        <f t="shared" si="11"/>
        <v>0</v>
      </c>
    </row>
    <row r="155" spans="1:103" ht="14.25" thickBot="1">
      <c r="A155" s="145"/>
      <c r="B155" s="726" t="str">
        <f>IFERROR(VLOOKUP(ParicipationMai1[[#This Row],[Référence]],ListeÉtudiants1[],18,FALSE),"")</f>
        <v/>
      </c>
      <c r="C155" s="727"/>
      <c r="D155" s="727"/>
      <c r="E155" s="727"/>
      <c r="F155" s="727"/>
      <c r="G155" s="727"/>
      <c r="H155" s="727"/>
      <c r="I155" s="727"/>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8"/>
      <c r="AH155" s="727">
        <f>COUNTIF(ParicipationMai1[[1]:[31]],Code1)</f>
        <v>0</v>
      </c>
      <c r="AI155" s="729">
        <f>COUNTIF(ParicipationMai1[[1]:[31]],code22)</f>
        <v>0</v>
      </c>
      <c r="AJ155" s="727">
        <f>COUNTIF(ParicipationMai1[[#This Row],[1]:[31]],Code2)</f>
        <v>0</v>
      </c>
      <c r="AK155" s="727">
        <f>COUNTIF(ParicipationMai1[[#This Row],[1]:[31]],Code3)</f>
        <v>0</v>
      </c>
      <c r="AL155" s="727">
        <f>COUNTIF(ParicipationMai1[[#This Row],[1]:[31]],Code4)</f>
        <v>0</v>
      </c>
      <c r="AM155" s="150">
        <f>COUNTIF(ParicipationMai1[[#This Row],[1]:[31]],Code5)</f>
        <v>0</v>
      </c>
      <c r="AN155" s="150">
        <f>COUNTIF(ParicipationMai1[[#This Row],[1]:[31]],Code23)</f>
        <v>0</v>
      </c>
      <c r="AO155" s="150">
        <f>COUNTIF(ParicipationMai1[[#This Row],[1]:[31]],Code6)</f>
        <v>0</v>
      </c>
      <c r="AP155" s="150">
        <f>COUNTIF(ParicipationMai1[[#This Row],[1]:[31]],Code7)</f>
        <v>0</v>
      </c>
      <c r="AQ155" s="150">
        <f>COUNTIF(ParicipationMai1[[#This Row],[1]:[31]],Code8)</f>
        <v>0</v>
      </c>
      <c r="AR155" s="150">
        <f>COUNTIF(ParicipationMai1[[#This Row],[1]:[31]],Code9)</f>
        <v>0</v>
      </c>
      <c r="AS155" s="150">
        <f>COUNTIF(ParicipationMai1[[#This Row],[1]:[31]],Code10)</f>
        <v>0</v>
      </c>
      <c r="AT155" s="150">
        <f>COUNTIF(ParicipationMai1[[#This Row],[1]:[31]],Code11)</f>
        <v>0</v>
      </c>
      <c r="AU155" s="150">
        <f>COUNTIF(ParicipationMai1[[#This Row],[1]:[31]],Code12)</f>
        <v>0</v>
      </c>
      <c r="AV155" s="150">
        <f>COUNTIF(ParicipationMai1[[#This Row],[1]:[31]],Code13)</f>
        <v>0</v>
      </c>
      <c r="AW155" s="150">
        <f>COUNTIF(ParicipationMai1[[#This Row],[1]:[31]],Code14)</f>
        <v>0</v>
      </c>
      <c r="AX155" s="150">
        <f>COUNTIF(ParicipationMai1[[#This Row],[1]:[31]],Code15)</f>
        <v>0</v>
      </c>
      <c r="AY155" s="150">
        <f>COUNTIF(ParicipationMai1[[#This Row],[1]:[31]],Code16)</f>
        <v>0</v>
      </c>
      <c r="AZ155" s="150">
        <f>COUNTIF(ParicipationMai1[[#This Row],[1]:[31]],Code17)</f>
        <v>0</v>
      </c>
      <c r="BA155" s="150">
        <f>COUNTIF(ParicipationMai1[[#This Row],[1]:[31]],Code26)</f>
        <v>0</v>
      </c>
      <c r="BB155" s="150">
        <f>COUNTIF(ParicipationMai1[[#This Row],[1]:[31]],Code27)</f>
        <v>0</v>
      </c>
      <c r="BC155" s="150">
        <f>COUNTIF(ParicipationMai1[[#This Row],[1]:[31]],Code27)</f>
        <v>0</v>
      </c>
      <c r="BD155" s="150">
        <f>COUNTIF(ParicipationMai1[[#This Row],[1]:[31]],Code28)</f>
        <v>0</v>
      </c>
      <c r="BE155" s="150">
        <f>COUNTIF(ParicipationMai1[[#This Row],[1]:[31]],code30)</f>
        <v>0</v>
      </c>
      <c r="BF155" s="150">
        <f>COUNTIF(ParicipationMai1[[#This Row],[1]:[31]],Code31)</f>
        <v>0</v>
      </c>
      <c r="BG155" s="150">
        <f>COUNTIF(ParicipationMai1[[#This Row],[1]:[31]],code21)</f>
        <v>0</v>
      </c>
      <c r="BH155" s="150">
        <f>COUNTIF(ParicipationMai1[[#This Row],[1]:[31]],Code24)</f>
        <v>0</v>
      </c>
      <c r="BI155" s="727">
        <f>COUNTIF(ParicipationMai1[[#This Row],[1]:[31]],code18)</f>
        <v>0</v>
      </c>
      <c r="BJ155" s="727">
        <f>COUNTIF(ParicipationMai1[[#This Row],[1]:[31]],code19)</f>
        <v>0</v>
      </c>
      <c r="BK155" s="727">
        <f>COUNTIF(ParicipationMai1[[#This Row],[1]:[31]],code20)</f>
        <v>0</v>
      </c>
      <c r="BL155" s="730">
        <f>COUNTIF(ParicipationMai1[[#This Row],[1]:[31]],code29)</f>
        <v>0</v>
      </c>
      <c r="BM155" s="150"/>
      <c r="BN155" s="150"/>
      <c r="BO155" s="150"/>
      <c r="BP155" s="150"/>
      <c r="BQ155" s="150"/>
      <c r="BR155" s="150"/>
      <c r="BS155" s="150"/>
      <c r="BT155" s="150"/>
      <c r="BU155" s="150"/>
      <c r="BV155" s="150"/>
      <c r="BW155" s="150"/>
      <c r="BX155" s="150"/>
      <c r="BY155" s="150"/>
      <c r="BZ155" s="150"/>
      <c r="CA155" s="150"/>
      <c r="CB155" s="150"/>
      <c r="CC155" s="150"/>
      <c r="CD155" s="150"/>
      <c r="CE155" s="150"/>
      <c r="CF155" s="150"/>
      <c r="CG155" s="150"/>
      <c r="CH155" s="150"/>
      <c r="CI155" s="150"/>
      <c r="CJ155" s="150"/>
      <c r="CK155" s="150"/>
      <c r="CL155" s="150"/>
      <c r="CM155" s="150"/>
      <c r="CN155" s="150"/>
      <c r="CO155" s="150"/>
      <c r="CP155" s="150"/>
      <c r="CQ155" s="150"/>
      <c r="CR155" s="150"/>
      <c r="CS155" s="150"/>
      <c r="CT155" s="150"/>
      <c r="CU155" s="730"/>
      <c r="CV155" s="591">
        <f t="shared" si="8"/>
        <v>0</v>
      </c>
      <c r="CW155" s="731">
        <f t="shared" si="9"/>
        <v>0</v>
      </c>
      <c r="CX155" s="150">
        <f t="shared" si="10"/>
        <v>0</v>
      </c>
      <c r="CY155" s="175">
        <f t="shared" si="11"/>
        <v>0</v>
      </c>
    </row>
    <row r="156" spans="1:103" ht="14.25" thickTop="1"/>
  </sheetData>
  <mergeCells count="5">
    <mergeCell ref="AH9:AX9"/>
    <mergeCell ref="P7:Q7"/>
    <mergeCell ref="A1:D1"/>
    <mergeCell ref="H7:I7"/>
    <mergeCell ref="L7:M7"/>
  </mergeCells>
  <conditionalFormatting sqref="X7">
    <cfRule type="cellIs" dxfId="215" priority="38" operator="equal">
      <formula>"St3"</formula>
    </cfRule>
  </conditionalFormatting>
  <conditionalFormatting sqref="V7">
    <cfRule type="cellIs" dxfId="214" priority="39" operator="equal">
      <formula>"St2"</formula>
    </cfRule>
  </conditionalFormatting>
  <conditionalFormatting sqref="C12:AI33 C11:AG11">
    <cfRule type="expression" dxfId="213" priority="28">
      <formula>C11=Code2</formula>
    </cfRule>
  </conditionalFormatting>
  <conditionalFormatting sqref="CY32:CY33">
    <cfRule type="dataBar" priority="15">
      <dataBar>
        <cfvo type="min"/>
        <cfvo type="num" val="31"/>
        <color theme="4"/>
      </dataBar>
      <extLst>
        <ext xmlns:x14="http://schemas.microsoft.com/office/spreadsheetml/2009/9/main" uri="{B025F937-C7B1-47D3-B67F-A62EFF666E3E}">
          <x14:id>{A897CC1F-005B-4430-9271-08733A601EDC}</x14:id>
        </ext>
      </extLst>
    </cfRule>
  </conditionalFormatting>
  <conditionalFormatting sqref="CY31">
    <cfRule type="dataBar" priority="13">
      <dataBar>
        <cfvo type="min"/>
        <cfvo type="num" val="31"/>
        <color theme="4"/>
      </dataBar>
      <extLst>
        <ext xmlns:x14="http://schemas.microsoft.com/office/spreadsheetml/2009/9/main" uri="{B025F937-C7B1-47D3-B67F-A62EFF666E3E}">
          <x14:id>{7C9F2DE3-700E-413C-BF5E-415205A22E2B}</x14:id>
        </ext>
      </extLst>
    </cfRule>
  </conditionalFormatting>
  <conditionalFormatting sqref="CY12:CY30">
    <cfRule type="dataBar" priority="14">
      <dataBar>
        <cfvo type="min"/>
        <cfvo type="num" val="31"/>
        <color theme="4"/>
      </dataBar>
      <extLst>
        <ext xmlns:x14="http://schemas.microsoft.com/office/spreadsheetml/2009/9/main" uri="{B025F937-C7B1-47D3-B67F-A62EFF666E3E}">
          <x14:id>{8A8DE3B1-1657-4A98-9AAB-4A43C0DA74FE}</x14:id>
        </ext>
      </extLst>
    </cfRule>
  </conditionalFormatting>
  <conditionalFormatting sqref="CY11">
    <cfRule type="dataBar" priority="9">
      <dataBar>
        <cfvo type="min"/>
        <cfvo type="num" val="31"/>
        <color theme="4"/>
      </dataBar>
      <extLst>
        <ext xmlns:x14="http://schemas.microsoft.com/office/spreadsheetml/2009/9/main" uri="{B025F937-C7B1-47D3-B67F-A62EFF666E3E}">
          <x14:id>{4A810C2F-94D0-4866-A0B2-C28DAD9B4D2D}</x14:id>
        </ext>
      </extLst>
    </cfRule>
  </conditionalFormatting>
  <conditionalFormatting sqref="C11:AG155">
    <cfRule type="expression" dxfId="212" priority="3">
      <formula>C11=Code26</formula>
    </cfRule>
    <cfRule type="expression" dxfId="211" priority="4">
      <formula>C11=Code25</formula>
    </cfRule>
    <cfRule type="expression" dxfId="210" priority="5">
      <formula>C11=Code24</formula>
    </cfRule>
    <cfRule type="expression" dxfId="209" priority="6">
      <formula>C11=Code23</formula>
    </cfRule>
    <cfRule type="expression" dxfId="208" priority="7">
      <formula>C11=code22</formula>
    </cfRule>
    <cfRule type="expression" dxfId="207" priority="8">
      <formula>C11=code21</formula>
    </cfRule>
    <cfRule type="expression" dxfId="206" priority="10">
      <formula>C11=code20</formula>
    </cfRule>
    <cfRule type="expression" dxfId="205" priority="11">
      <formula>C11=code19</formula>
    </cfRule>
    <cfRule type="expression" dxfId="204" priority="12">
      <formula>C11=code18</formula>
    </cfRule>
    <cfRule type="expression" dxfId="203" priority="16">
      <formula>C11=Code17</formula>
    </cfRule>
    <cfRule type="expression" dxfId="202" priority="17">
      <formula>C11=Code16</formula>
    </cfRule>
    <cfRule type="expression" dxfId="201" priority="18">
      <formula>C11=Code15</formula>
    </cfRule>
    <cfRule type="expression" dxfId="200" priority="19">
      <formula>C11=Code13</formula>
    </cfRule>
    <cfRule type="expression" dxfId="199" priority="20">
      <formula>C11=Code14</formula>
    </cfRule>
    <cfRule type="expression" dxfId="198" priority="21">
      <formula>C11=Code12</formula>
    </cfRule>
    <cfRule type="expression" dxfId="197" priority="22">
      <formula>C11=Code11</formula>
    </cfRule>
    <cfRule type="expression" dxfId="196" priority="23">
      <formula>C11=Code9</formula>
    </cfRule>
    <cfRule type="expression" dxfId="195" priority="24">
      <formula>C11=Code8</formula>
    </cfRule>
    <cfRule type="expression" dxfId="194" priority="25">
      <formula>C11=Code10</formula>
    </cfRule>
    <cfRule type="expression" dxfId="193" priority="26">
      <formula>C11=Code7</formula>
    </cfRule>
    <cfRule type="expression" dxfId="192" priority="27">
      <formula>C11=Code6</formula>
    </cfRule>
    <cfRule type="expression" dxfId="191" priority="29">
      <formula>C11=Code5</formula>
    </cfRule>
    <cfRule type="expression" dxfId="190" priority="30">
      <formula>C11=Code4</formula>
    </cfRule>
    <cfRule type="expression" dxfId="189" priority="31">
      <formula>C11=Code3</formula>
    </cfRule>
    <cfRule type="expression" dxfId="188" priority="32">
      <formula>C11=Code1</formula>
    </cfRule>
  </conditionalFormatting>
  <conditionalFormatting sqref="C11:AG155">
    <cfRule type="expression" dxfId="187" priority="1">
      <formula>C11=Code28</formula>
    </cfRule>
    <cfRule type="expression" dxfId="186" priority="2">
      <formula>C11=Code27</formula>
    </cfRule>
  </conditionalFormatting>
  <conditionalFormatting sqref="CV149:CX155">
    <cfRule type="dataBar" priority="33">
      <dataBar>
        <cfvo type="min"/>
        <cfvo type="num" val="31"/>
        <color theme="4"/>
      </dataBar>
      <extLst>
        <ext xmlns:x14="http://schemas.microsoft.com/office/spreadsheetml/2009/9/main" uri="{B025F937-C7B1-47D3-B67F-A62EFF666E3E}">
          <x14:id>{5E919A46-5F73-41FE-9457-0B9076A9CBF2}</x14:id>
        </ext>
      </extLst>
    </cfRule>
  </conditionalFormatting>
  <conditionalFormatting sqref="CY149:CY155">
    <cfRule type="dataBar" priority="34">
      <dataBar>
        <cfvo type="min"/>
        <cfvo type="num" val="31"/>
        <color theme="4"/>
      </dataBar>
      <extLst>
        <ext xmlns:x14="http://schemas.microsoft.com/office/spreadsheetml/2009/9/main" uri="{B025F937-C7B1-47D3-B67F-A62EFF666E3E}">
          <x14:id>{386B1888-A0AD-4F12-BB43-9CAEEF8AECAB}</x14:id>
        </ext>
      </extLst>
    </cfRule>
  </conditionalFormatting>
  <conditionalFormatting sqref="CV11:CV155">
    <cfRule type="dataBar" priority="35">
      <dataBar>
        <cfvo type="min"/>
        <cfvo type="num" val="31"/>
        <color theme="4"/>
      </dataBar>
      <extLst>
        <ext xmlns:x14="http://schemas.microsoft.com/office/spreadsheetml/2009/9/main" uri="{B025F937-C7B1-47D3-B67F-A62EFF666E3E}">
          <x14:id>{7208CDB8-CE54-4B8A-BCC2-39B311E0A6AB}</x14:id>
        </ext>
      </extLst>
    </cfRule>
  </conditionalFormatting>
  <conditionalFormatting sqref="CW11:CX155">
    <cfRule type="dataBar" priority="36">
      <dataBar>
        <cfvo type="min"/>
        <cfvo type="num" val="31"/>
        <color theme="4"/>
      </dataBar>
      <extLst>
        <ext xmlns:x14="http://schemas.microsoft.com/office/spreadsheetml/2009/9/main" uri="{B025F937-C7B1-47D3-B67F-A62EFF666E3E}">
          <x14:id>{1BD0C798-FC48-445F-ABF7-B6A906D16F35}</x14:id>
        </ext>
      </extLst>
    </cfRule>
  </conditionalFormatting>
  <dataValidations count="1">
    <dataValidation type="list" errorStyle="warning" allowBlank="1" showInputMessage="1" showErrorMessage="1" errorTitle="Whoops!" error="The Student ID you entered isn't on the Student List sheet. You can click Yes to use what you entered but that Student ID won't be available on the Student Attendance Report sheet." sqref="A11:A155">
      <formula1>IDÉtudiant1</formula1>
    </dataValidation>
  </dataValidations>
  <pageMargins left="0.7" right="0.7" top="0.75" bottom="0.75" header="0.3" footer="0.3"/>
  <pageSetup paperSize="9" orientation="portrait" horizontalDpi="0" verticalDpi="0" r:id="rId1"/>
  <ignoredErrors>
    <ignoredError sqref="G10" numberStoredAsText="1"/>
  </ignoredErrors>
  <extLst>
    <ext xmlns:x14="http://schemas.microsoft.com/office/spreadsheetml/2009/9/main" uri="{78C0D931-6437-407d-A8EE-F0AAD7539E65}">
      <x14:conditionalFormattings>
        <x14:conditionalFormatting xmlns:xm="http://schemas.microsoft.com/office/excel/2006/main">
          <x14:cfRule type="dataBar" id="{A897CC1F-005B-4430-9271-08733A601EDC}">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CY32:CY33</xm:sqref>
        </x14:conditionalFormatting>
        <x14:conditionalFormatting xmlns:xm="http://schemas.microsoft.com/office/excel/2006/main">
          <x14:cfRule type="dataBar" id="{7C9F2DE3-700E-413C-BF5E-415205A22E2B}">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CY31</xm:sqref>
        </x14:conditionalFormatting>
        <x14:conditionalFormatting xmlns:xm="http://schemas.microsoft.com/office/excel/2006/main">
          <x14:cfRule type="dataBar" id="{8A8DE3B1-1657-4A98-9AAB-4A43C0DA74FE}">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CY12:CY30</xm:sqref>
        </x14:conditionalFormatting>
        <x14:conditionalFormatting xmlns:xm="http://schemas.microsoft.com/office/excel/2006/main">
          <x14:cfRule type="dataBar" id="{4A810C2F-94D0-4866-A0B2-C28DAD9B4D2D}">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CY11</xm:sqref>
        </x14:conditionalFormatting>
        <x14:conditionalFormatting xmlns:xm="http://schemas.microsoft.com/office/excel/2006/main">
          <x14:cfRule type="dataBar" id="{5E919A46-5F73-41FE-9457-0B9076A9CBF2}">
            <x14:dataBar minLength="0" maxLength="100" border="1" negativeBarBorderColorSameAsPositive="0">
              <x14:cfvo type="autoMin"/>
              <x14:cfvo type="num">
                <xm:f>31</xm:f>
              </x14:cfvo>
              <x14:borderColor theme="4"/>
              <x14:negativeFillColor rgb="FFFF0000"/>
              <x14:negativeBorderColor rgb="FFFF0000"/>
              <x14:axisColor rgb="FF000000"/>
            </x14:dataBar>
          </x14:cfRule>
          <xm:sqref>CV149:CX155</xm:sqref>
        </x14:conditionalFormatting>
        <x14:conditionalFormatting xmlns:xm="http://schemas.microsoft.com/office/excel/2006/main">
          <x14:cfRule type="dataBar" id="{386B1888-A0AD-4F12-BB43-9CAEEF8AECAB}">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CY149:CY155</xm:sqref>
        </x14:conditionalFormatting>
        <x14:conditionalFormatting xmlns:xm="http://schemas.microsoft.com/office/excel/2006/main">
          <x14:cfRule type="dataBar" id="{7208CDB8-CE54-4B8A-BCC2-39B311E0A6AB}">
            <x14:dataBar minLength="0" maxLength="100" border="1" negativeBarBorderColorSameAsPositive="0">
              <x14:cfvo type="autoMin"/>
              <x14:cfvo type="num">
                <xm:f>31</xm:f>
              </x14:cfvo>
              <x14:borderColor theme="4"/>
              <x14:negativeFillColor rgb="FFFF0000"/>
              <x14:negativeBorderColor rgb="FFFF0000"/>
              <x14:axisColor rgb="FF000000"/>
            </x14:dataBar>
          </x14:cfRule>
          <xm:sqref>CV11:CV155</xm:sqref>
        </x14:conditionalFormatting>
        <x14:conditionalFormatting xmlns:xm="http://schemas.microsoft.com/office/excel/2006/main">
          <x14:cfRule type="dataBar" id="{1BD0C798-FC48-445F-ABF7-B6A906D16F35}">
            <x14:dataBar minLength="0" maxLength="100" border="1" negativeBarBorderColorSameAsPositive="0">
              <x14:cfvo type="autoMin"/>
              <x14:cfvo type="num">
                <xm:f>31</xm:f>
              </x14:cfvo>
              <x14:borderColor theme="4"/>
              <x14:negativeFillColor rgb="FFFF0000"/>
              <x14:negativeBorderColor rgb="FFFF0000"/>
              <x14:axisColor rgb="FF000000"/>
            </x14:dataBar>
          </x14:cfRule>
          <xm:sqref>CW11:CX155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Y157"/>
  <sheetViews>
    <sheetView topLeftCell="A9" workbookViewId="0">
      <selection activeCell="D165" sqref="D165"/>
    </sheetView>
  </sheetViews>
  <sheetFormatPr baseColWidth="10" defaultRowHeight="13.5"/>
  <cols>
    <col min="2" max="2" width="25.28515625" customWidth="1"/>
    <col min="3" max="3" width="6.28515625" customWidth="1"/>
    <col min="4" max="4" width="9" customWidth="1"/>
    <col min="5" max="5" width="4.85546875" customWidth="1"/>
    <col min="6" max="6" width="7.28515625" customWidth="1"/>
    <col min="7" max="7" width="4.85546875" customWidth="1"/>
    <col min="8" max="8" width="6.5703125" customWidth="1"/>
    <col min="9" max="9" width="5" customWidth="1"/>
    <col min="10" max="10" width="6.28515625" customWidth="1"/>
    <col min="11" max="11" width="4.85546875" customWidth="1"/>
    <col min="12" max="12" width="6.5703125" customWidth="1"/>
    <col min="13" max="13" width="4.7109375" customWidth="1"/>
    <col min="14" max="14" width="7" customWidth="1"/>
    <col min="15" max="15" width="5.28515625" customWidth="1"/>
    <col min="16" max="16" width="6.5703125" customWidth="1"/>
    <col min="17" max="17" width="4.85546875" customWidth="1"/>
    <col min="18" max="18" width="11" customWidth="1"/>
    <col min="19" max="19" width="5" customWidth="1"/>
    <col min="20" max="20" width="10.42578125" customWidth="1"/>
    <col min="21" max="21" width="4.28515625" customWidth="1"/>
    <col min="22" max="22" width="10.5703125" customWidth="1"/>
    <col min="23" max="23" width="4.85546875" customWidth="1"/>
    <col min="24" max="24" width="9.42578125" customWidth="1"/>
    <col min="25" max="25" width="5" customWidth="1"/>
    <col min="26" max="26" width="9.42578125" customWidth="1"/>
    <col min="27" max="27" width="5.140625" customWidth="1"/>
    <col min="28" max="28" width="5.28515625" customWidth="1"/>
    <col min="29" max="29" width="4.7109375" customWidth="1"/>
    <col min="30" max="30" width="5.42578125" customWidth="1"/>
    <col min="31" max="31" width="4.85546875" customWidth="1"/>
    <col min="32" max="32" width="4.5703125" customWidth="1"/>
    <col min="33" max="33" width="5.28515625" customWidth="1"/>
    <col min="34" max="34" width="3.5703125" customWidth="1"/>
    <col min="35" max="35" width="3.140625" customWidth="1"/>
    <col min="36" max="36" width="3.42578125" customWidth="1"/>
    <col min="37" max="37" width="3.28515625" customWidth="1"/>
    <col min="38" max="38" width="2.85546875" customWidth="1"/>
    <col min="39" max="39" width="3" customWidth="1"/>
    <col min="40" max="40" width="3.7109375" customWidth="1"/>
    <col min="41" max="41" width="2.7109375" customWidth="1"/>
    <col min="42" max="42" width="3.140625" customWidth="1"/>
    <col min="43" max="43" width="2.28515625" customWidth="1"/>
    <col min="44" max="44" width="3.140625" customWidth="1"/>
    <col min="45" max="45" width="2.5703125" customWidth="1"/>
    <col min="46" max="46" width="2.42578125" customWidth="1"/>
    <col min="47" max="47" width="2.140625" customWidth="1"/>
    <col min="48" max="48" width="2.5703125" customWidth="1"/>
    <col min="49" max="50" width="3" customWidth="1"/>
    <col min="51" max="55" width="2.42578125" customWidth="1"/>
    <col min="56" max="58" width="3.140625" customWidth="1"/>
    <col min="59" max="59" width="3.42578125" customWidth="1"/>
    <col min="60" max="61" width="3.140625" customWidth="1"/>
    <col min="62" max="62" width="3" customWidth="1"/>
    <col min="63" max="64" width="4.7109375" customWidth="1"/>
    <col min="65" max="65" width="3" customWidth="1"/>
    <col min="66" max="66" width="3.42578125" customWidth="1"/>
    <col min="67" max="67" width="3.5703125" customWidth="1"/>
    <col min="68" max="68" width="3" customWidth="1"/>
    <col min="69" max="71" width="3.28515625" customWidth="1"/>
    <col min="72" max="72" width="3.5703125" customWidth="1"/>
    <col min="73" max="73" width="3.28515625" customWidth="1"/>
    <col min="74" max="74" width="3.5703125" customWidth="1"/>
    <col min="75" max="75" width="3.42578125" customWidth="1"/>
    <col min="76" max="76" width="3.5703125" customWidth="1"/>
    <col min="77" max="77" width="4.140625" customWidth="1"/>
    <col min="78" max="78" width="4" customWidth="1"/>
    <col min="79" max="79" width="3.28515625" customWidth="1"/>
    <col min="80" max="80" width="3.140625" customWidth="1"/>
    <col min="81" max="83" width="3.42578125" customWidth="1"/>
    <col min="84" max="86" width="3.28515625" customWidth="1"/>
    <col min="87" max="87" width="3.42578125" customWidth="1"/>
    <col min="88" max="88" width="3.28515625" customWidth="1"/>
    <col min="89" max="89" width="3.140625" customWidth="1"/>
    <col min="90" max="90" width="3.28515625" customWidth="1"/>
    <col min="91" max="92" width="3.140625" customWidth="1"/>
    <col min="93" max="94" width="3.42578125" customWidth="1"/>
    <col min="95" max="95" width="3.140625" customWidth="1"/>
    <col min="96" max="96" width="3.28515625" customWidth="1"/>
    <col min="97" max="98" width="3.140625" customWidth="1"/>
    <col min="99" max="99" width="5" customWidth="1"/>
    <col min="100" max="100" width="16.85546875" customWidth="1"/>
    <col min="101" max="101" width="19" customWidth="1"/>
    <col min="103" max="103" width="20.7109375" customWidth="1"/>
  </cols>
  <sheetData>
    <row r="1" spans="1:103" ht="28.5">
      <c r="A1" s="654" t="s">
        <v>504</v>
      </c>
      <c r="B1" s="655"/>
      <c r="C1" s="22"/>
      <c r="D1" s="22"/>
      <c r="E1" s="22"/>
      <c r="F1" s="22"/>
      <c r="G1" s="22"/>
      <c r="H1" s="22"/>
      <c r="I1" s="22"/>
      <c r="J1" s="22"/>
      <c r="K1" s="22"/>
      <c r="L1" s="22"/>
      <c r="M1" s="22"/>
      <c r="N1" s="22"/>
      <c r="O1" s="22"/>
      <c r="P1" s="22"/>
      <c r="Q1" s="22"/>
      <c r="R1" s="22"/>
      <c r="S1" s="22"/>
      <c r="T1" s="22"/>
      <c r="U1" s="22"/>
      <c r="V1" s="22"/>
      <c r="W1" s="22"/>
      <c r="X1" s="22"/>
      <c r="Y1" s="22"/>
      <c r="Z1" s="22"/>
      <c r="AA1" s="22"/>
      <c r="AB1" s="21"/>
      <c r="AC1" s="21"/>
      <c r="AD1" s="21"/>
      <c r="AE1" s="21"/>
      <c r="AF1" s="23"/>
      <c r="AG1" s="21"/>
      <c r="AH1" s="21"/>
      <c r="AI1" s="24"/>
      <c r="AJ1" s="21"/>
      <c r="AK1" s="32"/>
      <c r="AL1" s="32"/>
      <c r="AM1" s="32"/>
      <c r="AN1" s="32"/>
      <c r="AO1" s="32"/>
      <c r="AP1" s="32"/>
      <c r="AQ1" s="32"/>
      <c r="AR1" s="32"/>
      <c r="AS1" s="32"/>
      <c r="AT1" s="32"/>
      <c r="AU1" s="32"/>
      <c r="AV1" s="32"/>
      <c r="AW1" s="32"/>
      <c r="AX1" s="32"/>
      <c r="AY1" s="32"/>
      <c r="AZ1" s="32"/>
      <c r="BA1" s="32"/>
      <c r="BB1" s="32"/>
      <c r="BC1" s="32"/>
      <c r="BD1" s="32"/>
      <c r="BE1" s="32"/>
      <c r="BF1" s="32"/>
      <c r="BG1" s="32"/>
      <c r="BH1" s="32"/>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row>
    <row r="2" spans="1:103">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row>
    <row r="3" spans="1:103" ht="14.25">
      <c r="C3" s="31" t="s">
        <v>104</v>
      </c>
      <c r="D3" s="208" t="s">
        <v>514</v>
      </c>
      <c r="E3" s="236" t="s">
        <v>527</v>
      </c>
      <c r="F3" s="207" t="s">
        <v>528</v>
      </c>
      <c r="G3" s="209" t="s">
        <v>105</v>
      </c>
      <c r="H3" s="210" t="s">
        <v>515</v>
      </c>
      <c r="I3" s="211" t="s">
        <v>106</v>
      </c>
      <c r="J3" s="210" t="s">
        <v>516</v>
      </c>
      <c r="K3" s="212" t="s">
        <v>107</v>
      </c>
      <c r="L3" s="210" t="s">
        <v>517</v>
      </c>
      <c r="M3" s="213" t="s">
        <v>483</v>
      </c>
      <c r="N3" s="210" t="s">
        <v>518</v>
      </c>
      <c r="O3" s="214" t="s">
        <v>484</v>
      </c>
      <c r="P3" s="207" t="s">
        <v>526</v>
      </c>
      <c r="Q3" s="216" t="s">
        <v>485</v>
      </c>
      <c r="R3" s="207" t="s">
        <v>525</v>
      </c>
      <c r="S3" s="217" t="s">
        <v>489</v>
      </c>
      <c r="T3" s="207" t="s">
        <v>510</v>
      </c>
      <c r="U3" s="218" t="s">
        <v>490</v>
      </c>
      <c r="V3" s="207" t="s">
        <v>511</v>
      </c>
      <c r="W3" s="219" t="s">
        <v>491</v>
      </c>
      <c r="X3" s="207" t="s">
        <v>512</v>
      </c>
      <c r="Y3" s="220" t="s">
        <v>492</v>
      </c>
      <c r="Z3" s="207" t="s">
        <v>513</v>
      </c>
      <c r="AA3" s="207"/>
      <c r="AF3" s="207"/>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row>
    <row r="4" spans="1:103" ht="15" thickBot="1">
      <c r="B4" t="s">
        <v>535</v>
      </c>
      <c r="D4" s="43"/>
      <c r="E4" s="43"/>
      <c r="F4" s="43"/>
      <c r="G4" s="43"/>
      <c r="H4" s="43"/>
      <c r="I4" s="43"/>
      <c r="J4" s="43"/>
      <c r="K4" s="43"/>
      <c r="L4" s="43"/>
      <c r="M4" s="43"/>
      <c r="N4" s="43"/>
      <c r="O4" s="43"/>
      <c r="P4" s="43"/>
      <c r="Q4" s="43"/>
      <c r="R4" s="43"/>
      <c r="S4" s="43"/>
      <c r="T4" s="43"/>
      <c r="U4" s="43"/>
      <c r="V4" s="43"/>
      <c r="W4" s="43"/>
      <c r="X4" s="43"/>
      <c r="Y4" s="43"/>
      <c r="Z4" s="43"/>
      <c r="AA4" s="43"/>
      <c r="AF4" s="43"/>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row>
    <row r="5" spans="1:103" ht="14.25">
      <c r="C5" s="234" t="s">
        <v>529</v>
      </c>
      <c r="D5" s="221" t="s">
        <v>530</v>
      </c>
      <c r="E5" s="222" t="s">
        <v>35</v>
      </c>
      <c r="F5" s="210" t="s">
        <v>519</v>
      </c>
      <c r="G5" s="223" t="s">
        <v>108</v>
      </c>
      <c r="H5" s="43" t="s">
        <v>520</v>
      </c>
      <c r="I5" s="224" t="s">
        <v>109</v>
      </c>
      <c r="J5" s="207" t="s">
        <v>521</v>
      </c>
      <c r="K5" s="225" t="s">
        <v>486</v>
      </c>
      <c r="L5" s="207" t="s">
        <v>522</v>
      </c>
      <c r="M5" s="226" t="s">
        <v>487</v>
      </c>
      <c r="N5" s="207" t="s">
        <v>523</v>
      </c>
      <c r="O5" s="227" t="s">
        <v>488</v>
      </c>
      <c r="P5" s="228" t="s">
        <v>524</v>
      </c>
      <c r="Q5" s="233" t="s">
        <v>507</v>
      </c>
      <c r="R5" s="207" t="s">
        <v>508</v>
      </c>
      <c r="S5" s="229" t="s">
        <v>496</v>
      </c>
      <c r="T5" s="207" t="s">
        <v>499</v>
      </c>
      <c r="U5" s="230" t="s">
        <v>497</v>
      </c>
      <c r="V5" s="207" t="s">
        <v>500</v>
      </c>
      <c r="W5" s="231" t="s">
        <v>498</v>
      </c>
      <c r="X5" s="207" t="s">
        <v>501</v>
      </c>
      <c r="Y5" s="235" t="s">
        <v>531</v>
      </c>
      <c r="Z5" s="43" t="s">
        <v>630</v>
      </c>
      <c r="AA5" s="9"/>
      <c r="AF5" s="43"/>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row>
    <row r="6" spans="1:103" ht="14.25">
      <c r="C6" s="349"/>
      <c r="D6" s="385"/>
      <c r="E6" s="351"/>
      <c r="F6" s="352"/>
      <c r="G6" s="353"/>
      <c r="H6" s="354"/>
      <c r="I6" s="355"/>
      <c r="J6" s="207"/>
      <c r="K6" s="355"/>
      <c r="L6" s="207"/>
      <c r="M6" s="355"/>
      <c r="N6" s="207"/>
      <c r="O6" s="355"/>
      <c r="P6" s="228"/>
      <c r="Q6" s="356"/>
      <c r="R6" s="207"/>
      <c r="S6" s="357"/>
      <c r="T6" s="207"/>
      <c r="U6" s="357"/>
      <c r="V6" s="207"/>
      <c r="W6" s="357"/>
      <c r="X6" s="207"/>
      <c r="Y6" s="358"/>
      <c r="Z6" s="354"/>
      <c r="AA6" s="374"/>
      <c r="AF6" s="43"/>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row>
    <row r="7" spans="1:103" ht="14.25">
      <c r="C7" s="334" t="s">
        <v>604</v>
      </c>
      <c r="D7" s="335" t="s">
        <v>610</v>
      </c>
      <c r="E7" s="375"/>
      <c r="F7" s="375"/>
      <c r="G7" s="344" t="s">
        <v>620</v>
      </c>
      <c r="H7" s="656" t="s">
        <v>621</v>
      </c>
      <c r="I7" s="658"/>
      <c r="J7" s="374"/>
      <c r="K7" s="394" t="s">
        <v>627</v>
      </c>
      <c r="L7" s="656" t="s">
        <v>628</v>
      </c>
      <c r="M7" s="658"/>
      <c r="N7" s="207"/>
      <c r="O7" s="418" t="s">
        <v>631</v>
      </c>
      <c r="P7" s="656" t="s">
        <v>632</v>
      </c>
      <c r="Q7" s="658"/>
      <c r="R7" s="207"/>
      <c r="S7" s="445" t="s">
        <v>634</v>
      </c>
      <c r="T7" s="43" t="s">
        <v>633</v>
      </c>
      <c r="U7" s="458" t="s">
        <v>637</v>
      </c>
      <c r="V7" s="357" t="s">
        <v>638</v>
      </c>
      <c r="W7" s="465" t="s">
        <v>639</v>
      </c>
      <c r="X7" s="357" t="s">
        <v>640</v>
      </c>
      <c r="Y7" s="358"/>
      <c r="Z7" s="354"/>
      <c r="AA7" s="374"/>
      <c r="AF7" s="43"/>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row>
    <row r="8" spans="1:103">
      <c r="C8" s="9"/>
      <c r="D8" s="9"/>
      <c r="E8" s="20"/>
      <c r="F8" s="9"/>
      <c r="G8" s="9"/>
      <c r="H8" s="9"/>
      <c r="I8" s="9"/>
      <c r="J8" s="9"/>
      <c r="K8" s="9"/>
      <c r="L8" s="9"/>
      <c r="M8" s="9"/>
      <c r="N8" s="9"/>
      <c r="O8" s="9"/>
      <c r="P8" s="9"/>
      <c r="Q8" s="9"/>
      <c r="R8" s="9"/>
      <c r="T8" s="9"/>
      <c r="U8" s="9"/>
      <c r="V8" s="9"/>
      <c r="W8" s="9"/>
      <c r="X8" s="9"/>
      <c r="Y8" s="9"/>
      <c r="AA8" s="9"/>
      <c r="AB8" s="9"/>
      <c r="AC8" s="9"/>
      <c r="AD8" s="9"/>
      <c r="AE8" s="9"/>
      <c r="AF8" s="9"/>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row>
    <row r="9" spans="1:103" ht="15" thickBot="1">
      <c r="A9" s="72">
        <f>DATE(2018,7,1)</f>
        <v>43282</v>
      </c>
      <c r="B9" s="153"/>
      <c r="C9" s="151" t="str">
        <f>TEXT(WEEKDAY(DATE(2018,7,1),1),"[$-40c]aaa")</f>
        <v>1900</v>
      </c>
      <c r="D9" s="25" t="str">
        <f>TEXT(WEEKDAY(DATE(2018,7,2),1),"[$-40c]aaa")</f>
        <v>1900</v>
      </c>
      <c r="E9" s="25" t="str">
        <f>TEXT(WEEKDAY(DATE(2018,7,3),1),"[$-40c]aaa")</f>
        <v>1900</v>
      </c>
      <c r="F9" s="25" t="str">
        <f>TEXT(WEEKDAY(DATE(2018,7,4),1),"[$-40c]aaa")</f>
        <v>1900</v>
      </c>
      <c r="G9" s="25" t="str">
        <f>TEXT(WEEKDAY(DATE(2018,7,5),1),"[$-40c]aaa")</f>
        <v>1900</v>
      </c>
      <c r="H9" s="25" t="str">
        <f>TEXT(WEEKDAY(DATE(2018,7,6),1),"[$-40c]aaa")</f>
        <v>1900</v>
      </c>
      <c r="I9" s="25" t="str">
        <f>TEXT(WEEKDAY(DATE(2018,7,7),1),"[$-40c]aaa")</f>
        <v>1900</v>
      </c>
      <c r="J9" s="25" t="str">
        <f>TEXT(WEEKDAY(DATE(2018,7,8),1),"[$-40c]aaa")</f>
        <v>1900</v>
      </c>
      <c r="K9" s="25" t="str">
        <f>TEXT(WEEKDAY(DATE(2018,7,9),1),"[$-40c]aaa")</f>
        <v>1900</v>
      </c>
      <c r="L9" s="25" t="str">
        <f>TEXT(WEEKDAY(DATE(2018,7,10),1),"[$-40c]aaa")</f>
        <v>1900</v>
      </c>
      <c r="M9" s="25" t="str">
        <f>TEXT(WEEKDAY(DATE(2018,7,11),1),"[$-40c]aaa")</f>
        <v>1900</v>
      </c>
      <c r="N9" s="25" t="str">
        <f>TEXT(WEEKDAY(DATE(2018,7,12),1),"[$-40c]aaa")</f>
        <v>1900</v>
      </c>
      <c r="O9" s="25" t="str">
        <f>TEXT(WEEKDAY(DATE(2018,7,13),1),"[$-40c]aaa")</f>
        <v>1900</v>
      </c>
      <c r="P9" s="25" t="str">
        <f>TEXT(WEEKDAY(DATE(2018,7,14),1),"[$-40c]aaa")</f>
        <v>1900</v>
      </c>
      <c r="Q9" s="25" t="str">
        <f>TEXT(WEEKDAY(DATE(2018,7,15),1),"[$-40c]aaa")</f>
        <v>1900</v>
      </c>
      <c r="R9" s="25" t="str">
        <f>TEXT(WEEKDAY(DATE(2018,7,16),1),"[$-40c]aaa")</f>
        <v>1900</v>
      </c>
      <c r="S9" s="25" t="str">
        <f>TEXT(WEEKDAY(DATE(2018,7,17),1),"[$-40c]aaa")</f>
        <v>1900</v>
      </c>
      <c r="T9" s="25" t="str">
        <f>TEXT(WEEKDAY(DATE(2018,7,18),1),"[$-40c]aaa")</f>
        <v>1900</v>
      </c>
      <c r="U9" s="25" t="str">
        <f>TEXT(WEEKDAY(DATE(2018,7,19),1),"[$-40c]aaa")</f>
        <v>1900</v>
      </c>
      <c r="V9" s="25" t="str">
        <f>TEXT(WEEKDAY(DATE(2018,7,20),1),"[$-40c]aaa")</f>
        <v>1900</v>
      </c>
      <c r="W9" s="25" t="str">
        <f>TEXT(WEEKDAY(DATE(2018,7,21),1),"[$-40c]aaa")</f>
        <v>1900</v>
      </c>
      <c r="X9" s="25" t="str">
        <f>TEXT(WEEKDAY(DATE(2018,7,22),1),"[$-40c]aaa")</f>
        <v>1900</v>
      </c>
      <c r="Y9" s="25" t="str">
        <f>TEXT(WEEKDAY(DATE(2018,7,23),1),"[$-40c]aaa")</f>
        <v>1900</v>
      </c>
      <c r="Z9" s="25" t="str">
        <f>TEXT(WEEKDAY(DATE(2018,7,24),1),"[$-40c]aaa")</f>
        <v>1900</v>
      </c>
      <c r="AA9" s="25" t="str">
        <f>TEXT(WEEKDAY(DATE(2018,7,25),1),"[$-40c]aaa")</f>
        <v>1900</v>
      </c>
      <c r="AB9" s="25" t="str">
        <f>TEXT(WEEKDAY(DATE(2018,7,26),1),"[$-40c]aaa")</f>
        <v>1900</v>
      </c>
      <c r="AC9" s="25" t="str">
        <f>TEXT(WEEKDAY(DATE(2018,7,27),1),"[$-40c]aaa")</f>
        <v>1900</v>
      </c>
      <c r="AD9" s="25" t="str">
        <f>TEXT(WEEKDAY(DATE(2018,7,28),1),"[$-40c]aaa")</f>
        <v>1900</v>
      </c>
      <c r="AE9" s="25" t="str">
        <f>TEXT(WEEKDAY(DATE(2018,7,29),1),"[$-40c]aaa")</f>
        <v>1900</v>
      </c>
      <c r="AF9" s="25" t="str">
        <f>TEXT(WEEKDAY(DATE(2018,7,30),1),"[$-40c]aaa")</f>
        <v>1900</v>
      </c>
      <c r="AG9" s="142" t="str">
        <f>TEXT(WEEKDAY(DATE(2018,7,31),1),"[$-40c]aaa")</f>
        <v>1900</v>
      </c>
      <c r="AH9" s="652" t="s">
        <v>36</v>
      </c>
      <c r="AI9" s="652"/>
      <c r="AJ9" s="652"/>
      <c r="AK9" s="652"/>
      <c r="AL9" s="652"/>
      <c r="AM9" s="652"/>
      <c r="AN9" s="652"/>
      <c r="AO9" s="652"/>
      <c r="AP9" s="652"/>
      <c r="AQ9" s="652"/>
      <c r="AR9" s="652"/>
      <c r="AS9" s="652"/>
      <c r="AT9" s="652"/>
      <c r="AU9" s="652"/>
      <c r="AV9" s="652"/>
      <c r="AW9" s="652"/>
      <c r="AX9" s="652"/>
      <c r="AY9" s="140"/>
      <c r="AZ9" s="140"/>
      <c r="BA9" s="140"/>
      <c r="BB9" s="140"/>
      <c r="BC9" s="140"/>
      <c r="BD9" s="140"/>
      <c r="BE9" s="140"/>
      <c r="BF9" s="140"/>
      <c r="BG9" s="140"/>
      <c r="BH9" s="140"/>
      <c r="BI9" s="85"/>
      <c r="BJ9" s="247"/>
      <c r="BK9" s="247"/>
      <c r="BL9" s="247"/>
      <c r="BM9" s="299"/>
      <c r="BN9" s="251"/>
      <c r="BO9" s="251"/>
      <c r="BP9" s="312"/>
      <c r="BQ9" s="251"/>
      <c r="BR9" s="251"/>
      <c r="BS9" s="251"/>
      <c r="BT9" s="251"/>
      <c r="BU9" s="251"/>
      <c r="BV9" s="251"/>
      <c r="BW9" s="251"/>
      <c r="BX9" s="251"/>
      <c r="BY9" s="251"/>
      <c r="BZ9" s="251"/>
      <c r="CA9" s="251" t="s">
        <v>575</v>
      </c>
      <c r="CB9" s="251"/>
      <c r="CC9" s="251"/>
      <c r="CD9" s="251"/>
      <c r="CE9" s="251"/>
      <c r="CF9" s="251"/>
      <c r="CG9" s="251"/>
      <c r="CH9" s="251"/>
      <c r="CI9" s="251"/>
      <c r="CJ9" s="251"/>
      <c r="CK9" s="251"/>
      <c r="CL9" s="251"/>
      <c r="CM9" s="251"/>
      <c r="CN9" s="251"/>
      <c r="CO9" s="251"/>
      <c r="CP9" s="251"/>
      <c r="CQ9" s="251"/>
      <c r="CR9" s="251"/>
      <c r="CS9" s="251"/>
      <c r="CT9" s="251"/>
      <c r="CU9" s="251"/>
      <c r="CV9" s="247"/>
      <c r="CW9" s="247"/>
      <c r="CX9" s="247"/>
      <c r="CY9" s="247"/>
    </row>
    <row r="10" spans="1:103" ht="15.75" thickTop="1" thickBot="1">
      <c r="A10" s="28" t="s">
        <v>33</v>
      </c>
      <c r="B10" s="154" t="s">
        <v>32</v>
      </c>
      <c r="C10" s="399" t="s">
        <v>0</v>
      </c>
      <c r="D10" s="3" t="s">
        <v>1</v>
      </c>
      <c r="E10" s="3" t="s">
        <v>2</v>
      </c>
      <c r="F10" s="3" t="s">
        <v>3</v>
      </c>
      <c r="G10" s="3" t="s">
        <v>4</v>
      </c>
      <c r="H10" s="3" t="s">
        <v>5</v>
      </c>
      <c r="I10" s="399" t="s">
        <v>6</v>
      </c>
      <c r="J10" s="399" t="s">
        <v>7</v>
      </c>
      <c r="K10" s="3" t="s">
        <v>8</v>
      </c>
      <c r="L10" s="3" t="s">
        <v>9</v>
      </c>
      <c r="M10" s="3" t="s">
        <v>10</v>
      </c>
      <c r="N10" s="3" t="s">
        <v>11</v>
      </c>
      <c r="O10" s="3" t="s">
        <v>12</v>
      </c>
      <c r="P10" s="399" t="s">
        <v>13</v>
      </c>
      <c r="Q10" s="399" t="s">
        <v>14</v>
      </c>
      <c r="R10" s="3" t="s">
        <v>15</v>
      </c>
      <c r="S10" s="3" t="s">
        <v>16</v>
      </c>
      <c r="T10" s="3" t="s">
        <v>17</v>
      </c>
      <c r="U10" s="3" t="s">
        <v>18</v>
      </c>
      <c r="V10" s="3" t="s">
        <v>19</v>
      </c>
      <c r="W10" s="399" t="s">
        <v>20</v>
      </c>
      <c r="X10" s="399" t="s">
        <v>21</v>
      </c>
      <c r="Y10" s="3" t="s">
        <v>22</v>
      </c>
      <c r="Z10" s="3" t="s">
        <v>23</v>
      </c>
      <c r="AA10" s="3" t="s">
        <v>24</v>
      </c>
      <c r="AB10" s="3" t="s">
        <v>25</v>
      </c>
      <c r="AC10" s="3" t="s">
        <v>26</v>
      </c>
      <c r="AD10" s="399" t="s">
        <v>27</v>
      </c>
      <c r="AE10" s="399" t="s">
        <v>28</v>
      </c>
      <c r="AF10" s="3" t="s">
        <v>29</v>
      </c>
      <c r="AG10" s="143" t="s">
        <v>30</v>
      </c>
      <c r="AH10" s="55" t="s">
        <v>104</v>
      </c>
      <c r="AI10" s="236" t="s">
        <v>527</v>
      </c>
      <c r="AJ10" s="40" t="s">
        <v>105</v>
      </c>
      <c r="AK10" s="41" t="s">
        <v>106</v>
      </c>
      <c r="AL10" s="42" t="s">
        <v>107</v>
      </c>
      <c r="AM10" s="75" t="s">
        <v>35</v>
      </c>
      <c r="AN10" s="234" t="s">
        <v>529</v>
      </c>
      <c r="AO10" s="76" t="s">
        <v>108</v>
      </c>
      <c r="AP10" s="77" t="s">
        <v>109</v>
      </c>
      <c r="AQ10" s="97" t="s">
        <v>483</v>
      </c>
      <c r="AR10" s="90" t="s">
        <v>484</v>
      </c>
      <c r="AS10" s="95" t="s">
        <v>485</v>
      </c>
      <c r="AT10" s="96" t="s">
        <v>486</v>
      </c>
      <c r="AU10" s="91" t="s">
        <v>487</v>
      </c>
      <c r="AV10" s="129" t="s">
        <v>489</v>
      </c>
      <c r="AW10" s="92" t="s">
        <v>488</v>
      </c>
      <c r="AX10" s="94" t="s">
        <v>490</v>
      </c>
      <c r="AY10" s="91" t="s">
        <v>491</v>
      </c>
      <c r="AZ10" s="111" t="s">
        <v>492</v>
      </c>
      <c r="BA10" s="359" t="s">
        <v>604</v>
      </c>
      <c r="BB10" s="346" t="s">
        <v>620</v>
      </c>
      <c r="BC10" s="417" t="s">
        <v>627</v>
      </c>
      <c r="BD10" s="420" t="s">
        <v>631</v>
      </c>
      <c r="BE10" s="459" t="s">
        <v>637</v>
      </c>
      <c r="BF10" s="105" t="s">
        <v>639</v>
      </c>
      <c r="BG10" s="198" t="s">
        <v>507</v>
      </c>
      <c r="BH10" s="235" t="s">
        <v>531</v>
      </c>
      <c r="BI10" s="133" t="s">
        <v>496</v>
      </c>
      <c r="BJ10" s="135" t="s">
        <v>497</v>
      </c>
      <c r="BK10" s="137" t="s">
        <v>498</v>
      </c>
      <c r="BL10" s="448" t="s">
        <v>634</v>
      </c>
      <c r="BM10" s="313" t="s">
        <v>544</v>
      </c>
      <c r="BN10" s="146" t="s">
        <v>545</v>
      </c>
      <c r="BO10" s="146" t="s">
        <v>546</v>
      </c>
      <c r="BP10" s="146" t="s">
        <v>542</v>
      </c>
      <c r="BQ10" s="146" t="s">
        <v>543</v>
      </c>
      <c r="BR10" s="146" t="s">
        <v>547</v>
      </c>
      <c r="BS10" s="146" t="s">
        <v>548</v>
      </c>
      <c r="BT10" s="146" t="s">
        <v>549</v>
      </c>
      <c r="BU10" s="146" t="s">
        <v>550</v>
      </c>
      <c r="BV10" s="146" t="s">
        <v>551</v>
      </c>
      <c r="BW10" s="146" t="s">
        <v>552</v>
      </c>
      <c r="BX10" s="146" t="s">
        <v>553</v>
      </c>
      <c r="BY10" s="146" t="s">
        <v>574</v>
      </c>
      <c r="BZ10" s="146" t="s">
        <v>554</v>
      </c>
      <c r="CA10" s="146" t="s">
        <v>555</v>
      </c>
      <c r="CB10" s="146" t="s">
        <v>556</v>
      </c>
      <c r="CC10" s="146" t="s">
        <v>558</v>
      </c>
      <c r="CD10" s="146" t="s">
        <v>557</v>
      </c>
      <c r="CE10" s="146" t="s">
        <v>559</v>
      </c>
      <c r="CF10" s="146" t="s">
        <v>560</v>
      </c>
      <c r="CG10" s="146" t="s">
        <v>561</v>
      </c>
      <c r="CH10" s="146" t="s">
        <v>562</v>
      </c>
      <c r="CI10" s="146" t="s">
        <v>563</v>
      </c>
      <c r="CJ10" s="146" t="s">
        <v>564</v>
      </c>
      <c r="CK10" s="146" t="s">
        <v>565</v>
      </c>
      <c r="CL10" s="146" t="s">
        <v>566</v>
      </c>
      <c r="CM10" s="146" t="s">
        <v>567</v>
      </c>
      <c r="CN10" s="146" t="s">
        <v>568</v>
      </c>
      <c r="CO10" s="146" t="s">
        <v>569</v>
      </c>
      <c r="CP10" s="146" t="s">
        <v>570</v>
      </c>
      <c r="CQ10" s="146" t="s">
        <v>571</v>
      </c>
      <c r="CR10" s="146" t="s">
        <v>572</v>
      </c>
      <c r="CS10" s="309" t="s">
        <v>573</v>
      </c>
      <c r="CT10" s="146" t="s">
        <v>642</v>
      </c>
      <c r="CU10" s="155" t="s">
        <v>611</v>
      </c>
      <c r="CV10" s="260" t="s">
        <v>494</v>
      </c>
      <c r="CW10" s="267" t="s">
        <v>495</v>
      </c>
      <c r="CX10" s="270" t="s">
        <v>540</v>
      </c>
      <c r="CY10" s="271" t="s">
        <v>502</v>
      </c>
    </row>
    <row r="11" spans="1:103" ht="14.25" thickTop="1">
      <c r="A11" s="112" t="s">
        <v>71</v>
      </c>
      <c r="B11" s="162" t="str">
        <f>IFERROR(VLOOKUP(ParicipationJuillet1[[#This Row],[Référence]],ListeÉtudiants1[],18,FALSE),"")</f>
        <v>ABDESSEMED MOUNIA</v>
      </c>
      <c r="C11" s="19"/>
      <c r="D11" s="19"/>
      <c r="E11" s="19"/>
      <c r="F11" s="19"/>
      <c r="G11" s="19"/>
      <c r="H11" s="19"/>
      <c r="I11" s="19"/>
      <c r="J11" s="19"/>
      <c r="K11" s="19"/>
      <c r="L11" s="19"/>
      <c r="M11" s="19"/>
      <c r="N11" s="19"/>
      <c r="O11" s="19"/>
      <c r="P11" s="19"/>
      <c r="Q11" s="19"/>
      <c r="R11" s="19"/>
      <c r="S11" s="19"/>
      <c r="T11" s="19"/>
      <c r="U11" s="19"/>
      <c r="V11" s="19"/>
      <c r="W11" s="19"/>
      <c r="X11" s="19"/>
      <c r="Y11" s="19"/>
      <c r="Z11" s="81"/>
      <c r="AA11" s="19"/>
      <c r="AB11" s="19"/>
      <c r="AC11" s="19"/>
      <c r="AD11" s="19"/>
      <c r="AE11" s="19"/>
      <c r="AF11" s="19"/>
      <c r="AG11" s="144"/>
      <c r="AH11" s="439">
        <f>COUNTIF(ParicipationJuillet1[[#This Row],[1]:[31]],Code1)</f>
        <v>0</v>
      </c>
      <c r="AI11" s="435">
        <f>COUNTIF(ParicipationJuillet1[[#This Row],[1]:[31]],code22)</f>
        <v>0</v>
      </c>
      <c r="AJ11" s="439">
        <f>COUNTIF(ParicipationJuillet1[[#This Row],[1]:[31]],Code2)</f>
        <v>0</v>
      </c>
      <c r="AK11" s="439">
        <f>COUNTIF(ParicipationJuillet1[[#This Row],[1]:[31]],Code3)</f>
        <v>0</v>
      </c>
      <c r="AL11" s="439">
        <f>COUNTIF(ParicipationJuillet1[[#This Row],[1]:[31]],Code4)</f>
        <v>0</v>
      </c>
      <c r="AM11" s="435">
        <f>COUNTIF(ParicipationJuillet1[[#This Row],[1]:[31]],Code5)</f>
        <v>0</v>
      </c>
      <c r="AN11" s="435">
        <f>COUNTIF(ParicipationJuillet1[[#This Row],[1]:[31]],Code23)</f>
        <v>0</v>
      </c>
      <c r="AO11" s="435">
        <f>COUNTIF(ParicipationJuillet1[[#This Row],[1]:[31]],Code6)</f>
        <v>0</v>
      </c>
      <c r="AP11" s="435">
        <f>COUNTIF(ParicipationJuillet1[[#This Row],[1]:[31]],Code7)</f>
        <v>0</v>
      </c>
      <c r="AQ11" s="435">
        <f>COUNTIF(ParicipationJuillet1[[#This Row],[1]:[31]],Code8)</f>
        <v>0</v>
      </c>
      <c r="AR11" s="435">
        <f>COUNTIF(ParicipationJuillet1[[#This Row],[1]:[31]],Code9)</f>
        <v>0</v>
      </c>
      <c r="AS11" s="435">
        <f>COUNTIF(ParicipationJuillet1[[#This Row],[1]:[31]],Code10)</f>
        <v>0</v>
      </c>
      <c r="AT11" s="435">
        <f>COUNTIF(ParicipationJuillet1[[#This Row],[1]:[31]],Code11)</f>
        <v>0</v>
      </c>
      <c r="AU11" s="435">
        <f>COUNTIF(ParicipationJuillet1[[#This Row],[1]:[31]],Code12)</f>
        <v>0</v>
      </c>
      <c r="AV11" s="435">
        <f>COUNTIF(ParicipationJuillet1[[#This Row],[1]:[31]],Code13)</f>
        <v>0</v>
      </c>
      <c r="AW11" s="435">
        <f>COUNTIF(ParicipationJuillet1[[#This Row],[1]:[31]],Code14)</f>
        <v>0</v>
      </c>
      <c r="AX11" s="435">
        <f>COUNTIF(ParicipationJuillet1[[#This Row],[1]:[31]],Code15)</f>
        <v>0</v>
      </c>
      <c r="AY11" s="435">
        <f>COUNTIF(ParicipationJuillet1[[#This Row],[1]:[31]],Code16)</f>
        <v>0</v>
      </c>
      <c r="AZ11" s="435">
        <f>COUNTIF(ParicipationJuillet1[[#This Row],[1]:[31]],Code17)</f>
        <v>0</v>
      </c>
      <c r="BA11" s="435">
        <f>COUNTIF(ParicipationJuillet1[[#This Row],[1]:[31]],Code25)</f>
        <v>0</v>
      </c>
      <c r="BB11" s="435">
        <f>COUNTIF(ParicipationJuillet1[[#This Row],[1]:[31]],Code26)</f>
        <v>0</v>
      </c>
      <c r="BC11" s="435">
        <f>COUNTIF(ParicipationJuillet1[[#This Row],[1]:[31]],Code27)</f>
        <v>0</v>
      </c>
      <c r="BD11" s="435">
        <f>COUNTIF(ParicipationJuillet1[[#This Row],[1]:[31]],Code28)</f>
        <v>0</v>
      </c>
      <c r="BE11" s="435">
        <f>COUNTIF(ParicipationJuillet1[[#This Row],[1]:[31]],code30)</f>
        <v>0</v>
      </c>
      <c r="BF11" s="435">
        <f>COUNTIF(ParicipationJuillet1[[#This Row],[1]:[31]],Code31)</f>
        <v>0</v>
      </c>
      <c r="BG11" s="435">
        <f>COUNTIF(ParicipationJuillet1[[#This Row],[1]:[31]],code21)</f>
        <v>0</v>
      </c>
      <c r="BH11" s="435">
        <f>COUNTIF(ParicipationJuillet1[[#This Row],[1]:[31]],Code24)</f>
        <v>0</v>
      </c>
      <c r="BI11" s="435">
        <f>COUNTIF(ParicipationJuillet1[[#This Row],[1]:[31]],code18)</f>
        <v>0</v>
      </c>
      <c r="BJ11" s="435">
        <f>COUNTIF(ParicipationJuillet1[[#This Row],[1]:[31]],code19)</f>
        <v>0</v>
      </c>
      <c r="BK11" s="462">
        <f>COUNTIF(ParicipationJuillet1[[#This Row],[1]:[31]],code20)</f>
        <v>0</v>
      </c>
      <c r="BL11" s="462">
        <f>COUNTIF(ParicipationJuillet1[[#This Row],[1]:[31]],code29)</f>
        <v>0</v>
      </c>
      <c r="BM11" s="504"/>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204"/>
      <c r="CT11" s="204"/>
      <c r="CU11" s="245"/>
      <c r="CV11" s="501">
        <f t="shared" ref="CV11:CV74" si="0">SUM((AH11*1)+(AI11*1.5)+(AJ11*2)+(AK11*3)+(AP11*5)+(AQ11*6)+(AR11*7)+(AU11*2)+(AX11*3)+(AY11*4)+(AZ11*5)+(BB11*3)+(BA11*2)+(BG11*2)+(BC11*2)+(BD11*2))</f>
        <v>0</v>
      </c>
      <c r="CW11" s="501">
        <f t="shared" ref="CW11:CW74" si="1">SUM((AO11*1)+(AN11*2)+(AP11*3)+(AQ11*4)+(AU11*5)+(AV11*7)+(AW11*7)+(AX11*7)+(AY11*4)+(BA11*3)+(AZ11*2)+(BD11*4)+(BC11*1)+(BH11*2)+(BB11*5)+(BG11*1))</f>
        <v>0</v>
      </c>
      <c r="CX11" s="250">
        <f t="shared" ref="CX11:CX74" si="2">BH11*1+BL11*3</f>
        <v>0</v>
      </c>
      <c r="CY11" s="169">
        <f t="shared" ref="CY11:CY74" si="3">SUM((BI11*7)+(BJ11*10)+(BK11*12))</f>
        <v>0</v>
      </c>
    </row>
    <row r="12" spans="1:103">
      <c r="A12" s="112" t="s">
        <v>72</v>
      </c>
      <c r="B12" s="162" t="str">
        <f>IFERROR(VLOOKUP(ParicipationJuillet1[[#This Row],[Référence]],ListeÉtudiants1[],18,FALSE),"")</f>
        <v>ABOSI MAIWENN</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44"/>
      <c r="AH12" s="6">
        <f>COUNTIF(ParicipationJuillet1[[#This Row],[1]:[31]],Code1)</f>
        <v>0</v>
      </c>
      <c r="AI12" s="6">
        <f>COUNTIF(ParicipationJuillet1[[#This Row],[1]:[31]],code22)</f>
        <v>0</v>
      </c>
      <c r="AJ12" s="30">
        <f>COUNTIF(ParicipationJuillet1[[#This Row],[1]:[31]],Code2)</f>
        <v>0</v>
      </c>
      <c r="AK12" s="30">
        <f>COUNTIF(ParicipationJuillet1[[#This Row],[1]:[31]],Code3)</f>
        <v>0</v>
      </c>
      <c r="AL12" s="30">
        <f>COUNTIF(ParicipationJuillet1[[#This Row],[1]:[31]],Code4)</f>
        <v>0</v>
      </c>
      <c r="AM12" s="30">
        <f>COUNTIF(ParicipationJuillet1[[#This Row],[1]:[31]],Code5)</f>
        <v>0</v>
      </c>
      <c r="AN12" s="30">
        <f>COUNTIF(ParicipationJuillet1[[#This Row],[1]:[31]],Code23)</f>
        <v>0</v>
      </c>
      <c r="AO12" s="30">
        <f>COUNTIF(ParicipationJuillet1[[#This Row],[1]:[31]],Code6)</f>
        <v>0</v>
      </c>
      <c r="AP12" s="30">
        <f>COUNTIF(ParicipationJuillet1[[#This Row],[1]:[31]],Code7)</f>
        <v>0</v>
      </c>
      <c r="AQ12" s="30">
        <f>COUNTIF(ParicipationJuillet1[[#This Row],[1]:[31]],Code8)</f>
        <v>0</v>
      </c>
      <c r="AR12" s="30">
        <f>COUNTIF(ParicipationJuillet1[[#This Row],[1]:[31]],Code9)</f>
        <v>0</v>
      </c>
      <c r="AS12" s="30">
        <f>COUNTIF(ParicipationJuillet1[[#This Row],[1]:[31]],Code10)</f>
        <v>0</v>
      </c>
      <c r="AT12" s="30">
        <f>COUNTIF(ParicipationJuillet1[[#This Row],[1]:[31]],Code11)</f>
        <v>0</v>
      </c>
      <c r="AU12" s="30">
        <f>COUNTIF(ParicipationJuillet1[[#This Row],[1]:[31]],Code12)</f>
        <v>0</v>
      </c>
      <c r="AV12" s="30">
        <f>COUNTIF(ParicipationJuillet1[[#This Row],[1]:[31]],Code13)</f>
        <v>0</v>
      </c>
      <c r="AW12" s="30">
        <f>COUNTIF(ParicipationJuillet1[[#This Row],[1]:[31]],Code14)</f>
        <v>0</v>
      </c>
      <c r="AX12" s="30">
        <f>COUNTIF(ParicipationJuillet1[[#This Row],[1]:[31]],Code15)</f>
        <v>0</v>
      </c>
      <c r="AY12" s="30">
        <f>COUNTIF(ParicipationJuillet1[[#This Row],[1]:[31]],Code16)</f>
        <v>0</v>
      </c>
      <c r="AZ12" s="30">
        <f>COUNTIF(ParicipationJuillet1[[#This Row],[1]:[31]],Code17)</f>
        <v>0</v>
      </c>
      <c r="BA12" s="30">
        <f>COUNTIF(ParicipationJuillet1[[#This Row],[1]:[31]],Code25)</f>
        <v>0</v>
      </c>
      <c r="BB12" s="30">
        <f>COUNTIF(ParicipationJuillet1[[#This Row],[1]:[31]],Code26)</f>
        <v>0</v>
      </c>
      <c r="BC12" s="30">
        <f>COUNTIF(ParicipationJuillet1[[#This Row],[1]:[31]],Code27)</f>
        <v>0</v>
      </c>
      <c r="BD12" s="30">
        <f>COUNTIF(ParicipationJuillet1[[#This Row],[1]:[31]],Code28)</f>
        <v>0</v>
      </c>
      <c r="BE12" s="30">
        <f>COUNTIF(ParicipationJuillet1[[#This Row],[1]:[31]],code30)</f>
        <v>0</v>
      </c>
      <c r="BF12" s="30">
        <f>COUNTIF(ParicipationJuillet1[[#This Row],[1]:[31]],Code31)</f>
        <v>0</v>
      </c>
      <c r="BG12" s="30">
        <f>COUNTIF(ParicipationJuillet1[[#This Row],[1]:[31]],code21)</f>
        <v>0</v>
      </c>
      <c r="BH12" s="30">
        <f>COUNTIF(ParicipationJuillet1[[#This Row],[1]:[31]],Code24)</f>
        <v>0</v>
      </c>
      <c r="BI12" s="30">
        <f>COUNTIF(ParicipationJuillet1[[#This Row],[1]:[31]],code18)</f>
        <v>0</v>
      </c>
      <c r="BJ12" s="30">
        <f>COUNTIF(ParicipationJuillet1[[#This Row],[1]:[31]],code19)</f>
        <v>0</v>
      </c>
      <c r="BK12" s="30">
        <f>COUNTIF(ParicipationJuillet1[[#This Row],[1]:[31]],code20)</f>
        <v>0</v>
      </c>
      <c r="BL12" s="164">
        <f>COUNTIF(ParicipationJuillet1[[#This Row],[1]:[31]],code29)</f>
        <v>0</v>
      </c>
      <c r="BM12" s="314"/>
      <c r="BN12" s="314"/>
      <c r="BO12" s="314"/>
      <c r="BP12" s="314"/>
      <c r="BQ12" s="314"/>
      <c r="BR12" s="314"/>
      <c r="BS12" s="314"/>
      <c r="BT12" s="314"/>
      <c r="BU12" s="314"/>
      <c r="BV12" s="314"/>
      <c r="BW12" s="314"/>
      <c r="BX12" s="314"/>
      <c r="BY12" s="314"/>
      <c r="BZ12" s="314"/>
      <c r="CA12" s="314"/>
      <c r="CB12" s="314"/>
      <c r="CC12" s="314"/>
      <c r="CD12" s="314"/>
      <c r="CE12" s="314"/>
      <c r="CF12" s="314"/>
      <c r="CG12" s="314"/>
      <c r="CH12" s="314"/>
      <c r="CI12" s="314"/>
      <c r="CJ12" s="314"/>
      <c r="CK12" s="314"/>
      <c r="CL12" s="314"/>
      <c r="CM12" s="314"/>
      <c r="CN12" s="314"/>
      <c r="CO12" s="314"/>
      <c r="CP12" s="314"/>
      <c r="CQ12" s="314"/>
      <c r="CR12" s="314"/>
      <c r="CS12" s="314"/>
      <c r="CT12" s="314"/>
      <c r="CU12" s="315"/>
      <c r="CV12" s="501">
        <f t="shared" si="0"/>
        <v>0</v>
      </c>
      <c r="CW12" s="501">
        <f t="shared" si="1"/>
        <v>0</v>
      </c>
      <c r="CX12" s="249">
        <f t="shared" si="2"/>
        <v>0</v>
      </c>
      <c r="CY12" s="170">
        <f t="shared" si="3"/>
        <v>0</v>
      </c>
    </row>
    <row r="13" spans="1:103">
      <c r="A13" s="112" t="s">
        <v>73</v>
      </c>
      <c r="B13" s="162" t="str">
        <f>IFERROR(VLOOKUP(ParicipationJuillet1[[#This Row],[Référence]],ListeÉtudiants1[],18,FALSE),"")</f>
        <v>AFKIR SOUMIA</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44"/>
      <c r="AH13" s="6">
        <f>COUNTIF(ParicipationJuillet1[[#This Row],[1]:[31]],Code1)</f>
        <v>0</v>
      </c>
      <c r="AI13" s="6">
        <f>COUNTIF(ParicipationJuillet1[[#This Row],[1]:[31]],code22)</f>
        <v>0</v>
      </c>
      <c r="AJ13" s="30">
        <f>COUNTIF(ParicipationJuillet1[[#This Row],[1]:[31]],Code2)</f>
        <v>0</v>
      </c>
      <c r="AK13" s="30">
        <f>COUNTIF(ParicipationJuillet1[[#This Row],[1]:[31]],Code3)</f>
        <v>0</v>
      </c>
      <c r="AL13" s="30">
        <f>COUNTIF(ParicipationJuillet1[[#This Row],[1]:[31]],Code4)</f>
        <v>0</v>
      </c>
      <c r="AM13" s="30">
        <f>COUNTIF(ParicipationJuillet1[[#This Row],[1]:[31]],Code5)</f>
        <v>0</v>
      </c>
      <c r="AN13" s="30">
        <f>COUNTIF(ParicipationJuillet1[[#This Row],[1]:[31]],Code23)</f>
        <v>0</v>
      </c>
      <c r="AO13" s="30">
        <f>COUNTIF(ParicipationJuillet1[[#This Row],[1]:[31]],Code6)</f>
        <v>0</v>
      </c>
      <c r="AP13" s="30">
        <f>COUNTIF(ParicipationJuillet1[[#This Row],[1]:[31]],Code7)</f>
        <v>0</v>
      </c>
      <c r="AQ13" s="30">
        <f>COUNTIF(ParicipationJuillet1[[#This Row],[1]:[31]],Code8)</f>
        <v>0</v>
      </c>
      <c r="AR13" s="30">
        <f>COUNTIF(ParicipationJuillet1[[#This Row],[1]:[31]],Code9)</f>
        <v>0</v>
      </c>
      <c r="AS13" s="30">
        <f>COUNTIF(ParicipationJuillet1[[#This Row],[1]:[31]],Code10)</f>
        <v>0</v>
      </c>
      <c r="AT13" s="30">
        <f>COUNTIF(ParicipationJuillet1[[#This Row],[1]:[31]],Code11)</f>
        <v>0</v>
      </c>
      <c r="AU13" s="30">
        <f>COUNTIF(ParicipationJuillet1[[#This Row],[1]:[31]],Code12)</f>
        <v>0</v>
      </c>
      <c r="AV13" s="30">
        <f>COUNTIF(ParicipationJuillet1[[#This Row],[1]:[31]],Code13)</f>
        <v>0</v>
      </c>
      <c r="AW13" s="30">
        <f>COUNTIF(ParicipationJuillet1[[#This Row],[1]:[31]],Code14)</f>
        <v>0</v>
      </c>
      <c r="AX13" s="30">
        <f>COUNTIF(ParicipationJuillet1[[#This Row],[1]:[31]],Code15)</f>
        <v>0</v>
      </c>
      <c r="AY13" s="30">
        <f>COUNTIF(ParicipationJuillet1[[#This Row],[1]:[31]],Code16)</f>
        <v>0</v>
      </c>
      <c r="AZ13" s="30">
        <f>COUNTIF(ParicipationJuillet1[[#This Row],[1]:[31]],Code17)</f>
        <v>0</v>
      </c>
      <c r="BA13" s="30">
        <f>COUNTIF(ParicipationJuillet1[[#This Row],[1]:[31]],Code25)</f>
        <v>0</v>
      </c>
      <c r="BB13" s="30">
        <f>COUNTIF(ParicipationJuillet1[[#This Row],[1]:[31]],Code26)</f>
        <v>0</v>
      </c>
      <c r="BC13" s="30">
        <f>COUNTIF(ParicipationJuillet1[[#This Row],[1]:[31]],Code27)</f>
        <v>0</v>
      </c>
      <c r="BD13" s="30">
        <f>COUNTIF(ParicipationJuillet1[[#This Row],[1]:[31]],Code28)</f>
        <v>0</v>
      </c>
      <c r="BE13" s="30">
        <f>COUNTIF(ParicipationJuillet1[[#This Row],[1]:[31]],code30)</f>
        <v>0</v>
      </c>
      <c r="BF13" s="30">
        <f>COUNTIF(ParicipationJuillet1[[#This Row],[1]:[31]],Code31)</f>
        <v>0</v>
      </c>
      <c r="BG13" s="30">
        <f>COUNTIF(ParicipationJuillet1[[#This Row],[1]:[31]],code21)</f>
        <v>0</v>
      </c>
      <c r="BH13" s="30">
        <f>COUNTIF(ParicipationJuillet1[[#This Row],[1]:[31]],Code24)</f>
        <v>0</v>
      </c>
      <c r="BI13" s="30">
        <f>COUNTIF(ParicipationJuillet1[[#This Row],[1]:[31]],code18)</f>
        <v>0</v>
      </c>
      <c r="BJ13" s="30">
        <f>COUNTIF(ParicipationJuillet1[[#This Row],[1]:[31]],code19)</f>
        <v>0</v>
      </c>
      <c r="BK13" s="30">
        <f>COUNTIF(ParicipationJuillet1[[#This Row],[1]:[31]],code20)</f>
        <v>0</v>
      </c>
      <c r="BL13" s="164">
        <f>COUNTIF(ParicipationJuillet1[[#This Row],[1]:[31]],code29)</f>
        <v>0</v>
      </c>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164"/>
      <c r="CV13" s="501">
        <f t="shared" si="0"/>
        <v>0</v>
      </c>
      <c r="CW13" s="501">
        <f t="shared" si="1"/>
        <v>0</v>
      </c>
      <c r="CX13" s="249">
        <f t="shared" si="2"/>
        <v>0</v>
      </c>
      <c r="CY13" s="170">
        <f t="shared" si="3"/>
        <v>0</v>
      </c>
    </row>
    <row r="14" spans="1:103">
      <c r="A14" s="112" t="s">
        <v>74</v>
      </c>
      <c r="B14" s="162" t="str">
        <f>IFERROR(VLOOKUP(ParicipationJuillet1[[#This Row],[Référence]],ListeÉtudiants1[],18,FALSE),"")</f>
        <v>AFRICA NADINE</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44"/>
      <c r="AH14" s="6">
        <f>COUNTIF(ParicipationJuillet1[[#This Row],[1]:[31]],Code1)</f>
        <v>0</v>
      </c>
      <c r="AI14" s="6">
        <f>COUNTIF(ParicipationJuillet1[[#This Row],[1]:[31]],code22)</f>
        <v>0</v>
      </c>
      <c r="AJ14" s="30">
        <f>COUNTIF(ParicipationJuillet1[[#This Row],[1]:[31]],Code2)</f>
        <v>0</v>
      </c>
      <c r="AK14" s="30">
        <f>COUNTIF(ParicipationJuillet1[[#This Row],[1]:[31]],Code3)</f>
        <v>0</v>
      </c>
      <c r="AL14" s="30">
        <f>COUNTIF(ParicipationJuillet1[[#This Row],[1]:[31]],Code4)</f>
        <v>0</v>
      </c>
      <c r="AM14" s="30">
        <f>COUNTIF(ParicipationJuillet1[[#This Row],[1]:[31]],Code5)</f>
        <v>0</v>
      </c>
      <c r="AN14" s="30">
        <f>COUNTIF(ParicipationJuillet1[[#This Row],[1]:[31]],Code23)</f>
        <v>0</v>
      </c>
      <c r="AO14" s="30">
        <f>COUNTIF(ParicipationJuillet1[[#This Row],[1]:[31]],Code6)</f>
        <v>0</v>
      </c>
      <c r="AP14" s="30">
        <f>COUNTIF(ParicipationJuillet1[[#This Row],[1]:[31]],Code7)</f>
        <v>0</v>
      </c>
      <c r="AQ14" s="30">
        <f>COUNTIF(ParicipationJuillet1[[#This Row],[1]:[31]],Code8)</f>
        <v>0</v>
      </c>
      <c r="AR14" s="30">
        <f>COUNTIF(ParicipationJuillet1[[#This Row],[1]:[31]],Code9)</f>
        <v>0</v>
      </c>
      <c r="AS14" s="30">
        <f>COUNTIF(ParicipationJuillet1[[#This Row],[1]:[31]],Code10)</f>
        <v>0</v>
      </c>
      <c r="AT14" s="30">
        <f>COUNTIF(ParicipationJuillet1[[#This Row],[1]:[31]],Code11)</f>
        <v>0</v>
      </c>
      <c r="AU14" s="30">
        <f>COUNTIF(ParicipationJuillet1[[#This Row],[1]:[31]],Code12)</f>
        <v>0</v>
      </c>
      <c r="AV14" s="30">
        <f>COUNTIF(ParicipationJuillet1[[#This Row],[1]:[31]],Code13)</f>
        <v>0</v>
      </c>
      <c r="AW14" s="30">
        <f>COUNTIF(ParicipationJuillet1[[#This Row],[1]:[31]],Code14)</f>
        <v>0</v>
      </c>
      <c r="AX14" s="30">
        <f>COUNTIF(ParicipationJuillet1[[#This Row],[1]:[31]],Code15)</f>
        <v>0</v>
      </c>
      <c r="AY14" s="30">
        <f>COUNTIF(ParicipationJuillet1[[#This Row],[1]:[31]],Code16)</f>
        <v>0</v>
      </c>
      <c r="AZ14" s="30">
        <f>COUNTIF(ParicipationJuillet1[[#This Row],[1]:[31]],Code17)</f>
        <v>0</v>
      </c>
      <c r="BA14" s="30">
        <f>COUNTIF(ParicipationJuillet1[[#This Row],[1]:[31]],Code25)</f>
        <v>0</v>
      </c>
      <c r="BB14" s="30">
        <f>COUNTIF(ParicipationJuillet1[[#This Row],[1]:[31]],Code26)</f>
        <v>0</v>
      </c>
      <c r="BC14" s="30">
        <f>COUNTIF(ParicipationJuillet1[[#This Row],[1]:[31]],Code27)</f>
        <v>0</v>
      </c>
      <c r="BD14" s="30">
        <f>COUNTIF(ParicipationJuillet1[[#This Row],[1]:[31]],Code28)</f>
        <v>0</v>
      </c>
      <c r="BE14" s="30">
        <f>COUNTIF(ParicipationJuillet1[[#This Row],[1]:[31]],code30)</f>
        <v>0</v>
      </c>
      <c r="BF14" s="30">
        <f>COUNTIF(ParicipationJuillet1[[#This Row],[1]:[31]],Code31)</f>
        <v>0</v>
      </c>
      <c r="BG14" s="30">
        <f>COUNTIF(ParicipationJuillet1[[#This Row],[1]:[31]],code21)</f>
        <v>0</v>
      </c>
      <c r="BH14" s="30">
        <f>COUNTIF(ParicipationJuillet1[[#This Row],[1]:[31]],Code24)</f>
        <v>0</v>
      </c>
      <c r="BI14" s="30">
        <f>COUNTIF(ParicipationJuillet1[[#This Row],[1]:[31]],code18)</f>
        <v>0</v>
      </c>
      <c r="BJ14" s="30">
        <f>COUNTIF(ParicipationJuillet1[[#This Row],[1]:[31]],code19)</f>
        <v>0</v>
      </c>
      <c r="BK14" s="30">
        <f>COUNTIF(ParicipationJuillet1[[#This Row],[1]:[31]],code20)</f>
        <v>0</v>
      </c>
      <c r="BL14" s="164">
        <f>COUNTIF(ParicipationJuillet1[[#This Row],[1]:[31]],code29)</f>
        <v>0</v>
      </c>
      <c r="BM14" s="314"/>
      <c r="BN14" s="314"/>
      <c r="BO14" s="314"/>
      <c r="BP14" s="314"/>
      <c r="BQ14" s="314"/>
      <c r="BR14" s="314"/>
      <c r="BS14" s="314"/>
      <c r="BT14" s="314"/>
      <c r="BU14" s="314"/>
      <c r="BV14" s="314"/>
      <c r="BW14" s="314"/>
      <c r="BX14" s="314"/>
      <c r="BY14" s="314"/>
      <c r="BZ14" s="314"/>
      <c r="CA14" s="314"/>
      <c r="CB14" s="314"/>
      <c r="CC14" s="314"/>
      <c r="CD14" s="314"/>
      <c r="CE14" s="314"/>
      <c r="CF14" s="314"/>
      <c r="CG14" s="314"/>
      <c r="CH14" s="314"/>
      <c r="CI14" s="314"/>
      <c r="CJ14" s="314"/>
      <c r="CK14" s="314"/>
      <c r="CL14" s="314"/>
      <c r="CM14" s="314"/>
      <c r="CN14" s="314"/>
      <c r="CO14" s="314"/>
      <c r="CP14" s="314"/>
      <c r="CQ14" s="314"/>
      <c r="CR14" s="314"/>
      <c r="CS14" s="314"/>
      <c r="CT14" s="314"/>
      <c r="CU14" s="315"/>
      <c r="CV14" s="501">
        <f t="shared" si="0"/>
        <v>0</v>
      </c>
      <c r="CW14" s="501">
        <f t="shared" si="1"/>
        <v>0</v>
      </c>
      <c r="CX14" s="249">
        <f t="shared" si="2"/>
        <v>0</v>
      </c>
      <c r="CY14" s="170">
        <f t="shared" si="3"/>
        <v>0</v>
      </c>
    </row>
    <row r="15" spans="1:103">
      <c r="A15" s="112" t="s">
        <v>75</v>
      </c>
      <c r="B15" s="162" t="str">
        <f>IFERROR(VLOOKUP(ParicipationJuillet1[[#This Row],[Référence]],ListeÉtudiants1[],18,FALSE),"")</f>
        <v>AINAUD  MATHILDE</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44"/>
      <c r="AH15" s="6">
        <f>COUNTIF(ParicipationJuillet1[[#This Row],[1]:[31]],Code1)</f>
        <v>0</v>
      </c>
      <c r="AI15" s="6">
        <f>COUNTIF(ParicipationJuillet1[[#This Row],[1]:[31]],code22)</f>
        <v>0</v>
      </c>
      <c r="AJ15" s="30">
        <f>COUNTIF(ParicipationJuillet1[[#This Row],[1]:[31]],Code2)</f>
        <v>0</v>
      </c>
      <c r="AK15" s="30">
        <f>COUNTIF(ParicipationJuillet1[[#This Row],[1]:[31]],Code3)</f>
        <v>0</v>
      </c>
      <c r="AL15" s="30">
        <f>COUNTIF(ParicipationJuillet1[[#This Row],[1]:[31]],Code4)</f>
        <v>0</v>
      </c>
      <c r="AM15" s="30">
        <f>COUNTIF(ParicipationJuillet1[[#This Row],[1]:[31]],Code5)</f>
        <v>0</v>
      </c>
      <c r="AN15" s="30">
        <f>COUNTIF(ParicipationJuillet1[[#This Row],[1]:[31]],Code23)</f>
        <v>0</v>
      </c>
      <c r="AO15" s="30">
        <f>COUNTIF(ParicipationJuillet1[[#This Row],[1]:[31]],Code6)</f>
        <v>0</v>
      </c>
      <c r="AP15" s="30">
        <f>COUNTIF(ParicipationJuillet1[[#This Row],[1]:[31]],Code7)</f>
        <v>0</v>
      </c>
      <c r="AQ15" s="30">
        <f>COUNTIF(ParicipationJuillet1[[#This Row],[1]:[31]],Code8)</f>
        <v>0</v>
      </c>
      <c r="AR15" s="30">
        <f>COUNTIF(ParicipationJuillet1[[#This Row],[1]:[31]],Code9)</f>
        <v>0</v>
      </c>
      <c r="AS15" s="30">
        <f>COUNTIF(ParicipationJuillet1[[#This Row],[1]:[31]],Code10)</f>
        <v>0</v>
      </c>
      <c r="AT15" s="30">
        <f>COUNTIF(ParicipationJuillet1[[#This Row],[1]:[31]],Code11)</f>
        <v>0</v>
      </c>
      <c r="AU15" s="30">
        <f>COUNTIF(ParicipationJuillet1[[#This Row],[1]:[31]],Code12)</f>
        <v>0</v>
      </c>
      <c r="AV15" s="30">
        <f>COUNTIF(ParicipationJuillet1[[#This Row],[1]:[31]],Code13)</f>
        <v>0</v>
      </c>
      <c r="AW15" s="30">
        <f>COUNTIF(ParicipationJuillet1[[#This Row],[1]:[31]],Code14)</f>
        <v>0</v>
      </c>
      <c r="AX15" s="30">
        <f>COUNTIF(ParicipationJuillet1[[#This Row],[1]:[31]],Code15)</f>
        <v>0</v>
      </c>
      <c r="AY15" s="30">
        <f>COUNTIF(ParicipationJuillet1[[#This Row],[1]:[31]],Code16)</f>
        <v>0</v>
      </c>
      <c r="AZ15" s="30">
        <f>COUNTIF(ParicipationJuillet1[[#This Row],[1]:[31]],Code17)</f>
        <v>0</v>
      </c>
      <c r="BA15" s="30">
        <f>COUNTIF(ParicipationJuillet1[[#This Row],[1]:[31]],Code25)</f>
        <v>0</v>
      </c>
      <c r="BB15" s="30">
        <f>COUNTIF(ParicipationJuillet1[[#This Row],[1]:[31]],Code26)</f>
        <v>0</v>
      </c>
      <c r="BC15" s="30">
        <f>COUNTIF(ParicipationJuillet1[[#This Row],[1]:[31]],Code27)</f>
        <v>0</v>
      </c>
      <c r="BD15" s="30">
        <f>COUNTIF(ParicipationJuillet1[[#This Row],[1]:[31]],Code28)</f>
        <v>0</v>
      </c>
      <c r="BE15" s="30">
        <f>COUNTIF(ParicipationJuillet1[[#This Row],[1]:[31]],code30)</f>
        <v>0</v>
      </c>
      <c r="BF15" s="30">
        <f>COUNTIF(ParicipationJuillet1[[#This Row],[1]:[31]],Code31)</f>
        <v>0</v>
      </c>
      <c r="BG15" s="30">
        <f>COUNTIF(ParicipationJuillet1[[#This Row],[1]:[31]],code21)</f>
        <v>0</v>
      </c>
      <c r="BH15" s="30">
        <f>COUNTIF(ParicipationJuillet1[[#This Row],[1]:[31]],Code24)</f>
        <v>0</v>
      </c>
      <c r="BI15" s="30">
        <f>COUNTIF(ParicipationJuillet1[[#This Row],[1]:[31]],code18)</f>
        <v>0</v>
      </c>
      <c r="BJ15" s="30">
        <f>COUNTIF(ParicipationJuillet1[[#This Row],[1]:[31]],code19)</f>
        <v>0</v>
      </c>
      <c r="BK15" s="30">
        <f>COUNTIF(ParicipationJuillet1[[#This Row],[1]:[31]],code20)</f>
        <v>0</v>
      </c>
      <c r="BL15" s="164">
        <f>COUNTIF(ParicipationJuillet1[[#This Row],[1]:[31]],code29)</f>
        <v>0</v>
      </c>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164"/>
      <c r="CV15" s="501">
        <f t="shared" si="0"/>
        <v>0</v>
      </c>
      <c r="CW15" s="501">
        <f t="shared" si="1"/>
        <v>0</v>
      </c>
      <c r="CX15" s="249">
        <f t="shared" si="2"/>
        <v>0</v>
      </c>
      <c r="CY15" s="170">
        <f t="shared" si="3"/>
        <v>0</v>
      </c>
    </row>
    <row r="16" spans="1:103">
      <c r="A16" s="112" t="s">
        <v>357</v>
      </c>
      <c r="B16" s="162" t="str">
        <f>IFERROR(VLOOKUP(ParicipationJuillet1[[#This Row],[Référence]],ListeÉtudiants1[],18,FALSE),"")</f>
        <v>AIT CHALALET SELENA</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44"/>
      <c r="AH16" s="6">
        <f>COUNTIF(ParicipationJuillet1[[#This Row],[1]:[31]],Code1)</f>
        <v>0</v>
      </c>
      <c r="AI16" s="6">
        <f>COUNTIF(ParicipationJuillet1[[#This Row],[1]:[31]],code22)</f>
        <v>0</v>
      </c>
      <c r="AJ16" s="30">
        <f>COUNTIF(ParicipationJuillet1[[#This Row],[1]:[31]],Code2)</f>
        <v>0</v>
      </c>
      <c r="AK16" s="30">
        <f>COUNTIF(ParicipationJuillet1[[#This Row],[1]:[31]],Code3)</f>
        <v>0</v>
      </c>
      <c r="AL16" s="30">
        <f>COUNTIF(ParicipationJuillet1[[#This Row],[1]:[31]],Code4)</f>
        <v>0</v>
      </c>
      <c r="AM16" s="30">
        <f>COUNTIF(ParicipationJuillet1[[#This Row],[1]:[31]],Code5)</f>
        <v>0</v>
      </c>
      <c r="AN16" s="30">
        <f>COUNTIF(ParicipationJuillet1[[#This Row],[1]:[31]],Code23)</f>
        <v>0</v>
      </c>
      <c r="AO16" s="30">
        <f>COUNTIF(ParicipationJuillet1[[#This Row],[1]:[31]],Code6)</f>
        <v>0</v>
      </c>
      <c r="AP16" s="30">
        <f>COUNTIF(ParicipationJuillet1[[#This Row],[1]:[31]],Code7)</f>
        <v>0</v>
      </c>
      <c r="AQ16" s="30">
        <f>COUNTIF(ParicipationJuillet1[[#This Row],[1]:[31]],Code8)</f>
        <v>0</v>
      </c>
      <c r="AR16" s="30">
        <f>COUNTIF(ParicipationJuillet1[[#This Row],[1]:[31]],Code9)</f>
        <v>0</v>
      </c>
      <c r="AS16" s="30">
        <f>COUNTIF(ParicipationJuillet1[[#This Row],[1]:[31]],Code10)</f>
        <v>0</v>
      </c>
      <c r="AT16" s="30">
        <f>COUNTIF(ParicipationJuillet1[[#This Row],[1]:[31]],Code11)</f>
        <v>0</v>
      </c>
      <c r="AU16" s="30">
        <f>COUNTIF(ParicipationJuillet1[[#This Row],[1]:[31]],Code12)</f>
        <v>0</v>
      </c>
      <c r="AV16" s="30">
        <f>COUNTIF(ParicipationJuillet1[[#This Row],[1]:[31]],Code13)</f>
        <v>0</v>
      </c>
      <c r="AW16" s="30">
        <f>COUNTIF(ParicipationJuillet1[[#This Row],[1]:[31]],Code14)</f>
        <v>0</v>
      </c>
      <c r="AX16" s="30">
        <f>COUNTIF(ParicipationJuillet1[[#This Row],[1]:[31]],Code15)</f>
        <v>0</v>
      </c>
      <c r="AY16" s="30">
        <f>COUNTIF(ParicipationJuillet1[[#This Row],[1]:[31]],Code16)</f>
        <v>0</v>
      </c>
      <c r="AZ16" s="30">
        <f>COUNTIF(ParicipationJuillet1[[#This Row],[1]:[31]],Code17)</f>
        <v>0</v>
      </c>
      <c r="BA16" s="30">
        <f>COUNTIF(ParicipationJuillet1[[#This Row],[1]:[31]],Code25)</f>
        <v>0</v>
      </c>
      <c r="BB16" s="30">
        <f>COUNTIF(ParicipationJuillet1[[#This Row],[1]:[31]],Code26)</f>
        <v>0</v>
      </c>
      <c r="BC16" s="30">
        <f>COUNTIF(ParicipationJuillet1[[#This Row],[1]:[31]],Code27)</f>
        <v>0</v>
      </c>
      <c r="BD16" s="30">
        <f>COUNTIF(ParicipationJuillet1[[#This Row],[1]:[31]],Code28)</f>
        <v>0</v>
      </c>
      <c r="BE16" s="30">
        <f>COUNTIF(ParicipationJuillet1[[#This Row],[1]:[31]],code30)</f>
        <v>0</v>
      </c>
      <c r="BF16" s="30">
        <f>COUNTIF(ParicipationJuillet1[[#This Row],[1]:[31]],Code31)</f>
        <v>0</v>
      </c>
      <c r="BG16" s="30">
        <f>COUNTIF(ParicipationJuillet1[[#This Row],[1]:[31]],code21)</f>
        <v>0</v>
      </c>
      <c r="BH16" s="30">
        <f>COUNTIF(ParicipationJuillet1[[#This Row],[1]:[31]],Code24)</f>
        <v>0</v>
      </c>
      <c r="BI16" s="30">
        <f>COUNTIF(ParicipationJuillet1[[#This Row],[1]:[31]],code18)</f>
        <v>0</v>
      </c>
      <c r="BJ16" s="30">
        <f>COUNTIF(ParicipationJuillet1[[#This Row],[1]:[31]],code19)</f>
        <v>0</v>
      </c>
      <c r="BK16" s="30">
        <f>COUNTIF(ParicipationJuillet1[[#This Row],[1]:[31]],code20)</f>
        <v>0</v>
      </c>
      <c r="BL16" s="164">
        <f>COUNTIF(ParicipationJuillet1[[#This Row],[1]:[31]],code29)</f>
        <v>0</v>
      </c>
      <c r="BM16" s="314"/>
      <c r="BN16" s="314"/>
      <c r="BO16" s="314"/>
      <c r="BP16" s="314"/>
      <c r="BQ16" s="314"/>
      <c r="BR16" s="314"/>
      <c r="BS16" s="314"/>
      <c r="BT16" s="314"/>
      <c r="BU16" s="314"/>
      <c r="BV16" s="314"/>
      <c r="BW16" s="314"/>
      <c r="BX16" s="314"/>
      <c r="BY16" s="314"/>
      <c r="BZ16" s="314"/>
      <c r="CA16" s="314"/>
      <c r="CB16" s="314"/>
      <c r="CC16" s="314"/>
      <c r="CD16" s="314"/>
      <c r="CE16" s="314"/>
      <c r="CF16" s="314"/>
      <c r="CG16" s="314"/>
      <c r="CH16" s="314"/>
      <c r="CI16" s="314"/>
      <c r="CJ16" s="314"/>
      <c r="CK16" s="314"/>
      <c r="CL16" s="314"/>
      <c r="CM16" s="314"/>
      <c r="CN16" s="314"/>
      <c r="CO16" s="314"/>
      <c r="CP16" s="314"/>
      <c r="CQ16" s="314"/>
      <c r="CR16" s="314"/>
      <c r="CS16" s="314"/>
      <c r="CT16" s="314"/>
      <c r="CU16" s="315"/>
      <c r="CV16" s="501">
        <f t="shared" si="0"/>
        <v>0</v>
      </c>
      <c r="CW16" s="501">
        <f t="shared" si="1"/>
        <v>0</v>
      </c>
      <c r="CX16" s="249">
        <f t="shared" si="2"/>
        <v>0</v>
      </c>
      <c r="CY16" s="170">
        <f t="shared" si="3"/>
        <v>0</v>
      </c>
    </row>
    <row r="17" spans="1:103">
      <c r="A17" s="112" t="s">
        <v>358</v>
      </c>
      <c r="B17" s="162" t="str">
        <f>IFERROR(VLOOKUP(ParicipationJuillet1[[#This Row],[Référence]],ListeÉtudiants1[],18,FALSE),"")</f>
        <v>AJINCA NATHAN</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44"/>
      <c r="AH17" s="6">
        <f>COUNTIF(ParicipationJuillet1[[#This Row],[1]:[31]],Code1)</f>
        <v>0</v>
      </c>
      <c r="AI17" s="6">
        <f>COUNTIF(ParicipationJuillet1[[#This Row],[1]:[31]],code22)</f>
        <v>0</v>
      </c>
      <c r="AJ17" s="30">
        <f>COUNTIF(ParicipationJuillet1[[#This Row],[1]:[31]],Code2)</f>
        <v>0</v>
      </c>
      <c r="AK17" s="30">
        <f>COUNTIF(ParicipationJuillet1[[#This Row],[1]:[31]],Code3)</f>
        <v>0</v>
      </c>
      <c r="AL17" s="30">
        <f>COUNTIF(ParicipationJuillet1[[#This Row],[1]:[31]],Code4)</f>
        <v>0</v>
      </c>
      <c r="AM17" s="30">
        <f>COUNTIF(ParicipationJuillet1[[#This Row],[1]:[31]],Code5)</f>
        <v>0</v>
      </c>
      <c r="AN17" s="30">
        <f>COUNTIF(ParicipationJuillet1[[#This Row],[1]:[31]],Code23)</f>
        <v>0</v>
      </c>
      <c r="AO17" s="30">
        <f>COUNTIF(ParicipationJuillet1[[#This Row],[1]:[31]],Code6)</f>
        <v>0</v>
      </c>
      <c r="AP17" s="30">
        <f>COUNTIF(ParicipationJuillet1[[#This Row],[1]:[31]],Code7)</f>
        <v>0</v>
      </c>
      <c r="AQ17" s="30">
        <f>COUNTIF(ParicipationJuillet1[[#This Row],[1]:[31]],Code8)</f>
        <v>0</v>
      </c>
      <c r="AR17" s="30">
        <f>COUNTIF(ParicipationJuillet1[[#This Row],[1]:[31]],Code9)</f>
        <v>0</v>
      </c>
      <c r="AS17" s="30">
        <f>COUNTIF(ParicipationJuillet1[[#This Row],[1]:[31]],Code10)</f>
        <v>0</v>
      </c>
      <c r="AT17" s="30">
        <f>COUNTIF(ParicipationJuillet1[[#This Row],[1]:[31]],Code11)</f>
        <v>0</v>
      </c>
      <c r="AU17" s="30">
        <f>COUNTIF(ParicipationJuillet1[[#This Row],[1]:[31]],Code12)</f>
        <v>0</v>
      </c>
      <c r="AV17" s="30">
        <f>COUNTIF(ParicipationJuillet1[[#This Row],[1]:[31]],Code13)</f>
        <v>0</v>
      </c>
      <c r="AW17" s="30">
        <f>COUNTIF(ParicipationJuillet1[[#This Row],[1]:[31]],Code14)</f>
        <v>0</v>
      </c>
      <c r="AX17" s="30">
        <f>COUNTIF(ParicipationJuillet1[[#This Row],[1]:[31]],Code15)</f>
        <v>0</v>
      </c>
      <c r="AY17" s="30">
        <f>COUNTIF(ParicipationJuillet1[[#This Row],[1]:[31]],Code16)</f>
        <v>0</v>
      </c>
      <c r="AZ17" s="30">
        <f>COUNTIF(ParicipationJuillet1[[#This Row],[1]:[31]],Code17)</f>
        <v>0</v>
      </c>
      <c r="BA17" s="30">
        <f>COUNTIF(ParicipationJuillet1[[#This Row],[1]:[31]],Code25)</f>
        <v>0</v>
      </c>
      <c r="BB17" s="30">
        <f>COUNTIF(ParicipationJuillet1[[#This Row],[1]:[31]],Code26)</f>
        <v>0</v>
      </c>
      <c r="BC17" s="30">
        <f>COUNTIF(ParicipationJuillet1[[#This Row],[1]:[31]],Code27)</f>
        <v>0</v>
      </c>
      <c r="BD17" s="30">
        <f>COUNTIF(ParicipationJuillet1[[#This Row],[1]:[31]],Code28)</f>
        <v>0</v>
      </c>
      <c r="BE17" s="30">
        <f>COUNTIF(ParicipationJuillet1[[#This Row],[1]:[31]],code30)</f>
        <v>0</v>
      </c>
      <c r="BF17" s="30">
        <f>COUNTIF(ParicipationJuillet1[[#This Row],[1]:[31]],Code31)</f>
        <v>0</v>
      </c>
      <c r="BG17" s="30">
        <f>COUNTIF(ParicipationJuillet1[[#This Row],[1]:[31]],code21)</f>
        <v>0</v>
      </c>
      <c r="BH17" s="30">
        <f>COUNTIF(ParicipationJuillet1[[#This Row],[1]:[31]],Code24)</f>
        <v>0</v>
      </c>
      <c r="BI17" s="30">
        <f>COUNTIF(ParicipationJuillet1[[#This Row],[1]:[31]],code18)</f>
        <v>0</v>
      </c>
      <c r="BJ17" s="30">
        <f>COUNTIF(ParicipationJuillet1[[#This Row],[1]:[31]],code19)</f>
        <v>0</v>
      </c>
      <c r="BK17" s="30">
        <f>COUNTIF(ParicipationJuillet1[[#This Row],[1]:[31]],code20)</f>
        <v>0</v>
      </c>
      <c r="BL17" s="164">
        <f>COUNTIF(ParicipationJuillet1[[#This Row],[1]:[31]],code29)</f>
        <v>0</v>
      </c>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164"/>
      <c r="CV17" s="501">
        <f t="shared" si="0"/>
        <v>0</v>
      </c>
      <c r="CW17" s="501">
        <f t="shared" si="1"/>
        <v>0</v>
      </c>
      <c r="CX17" s="249">
        <f t="shared" si="2"/>
        <v>0</v>
      </c>
      <c r="CY17" s="170">
        <f t="shared" si="3"/>
        <v>0</v>
      </c>
    </row>
    <row r="18" spans="1:103">
      <c r="A18" s="112" t="s">
        <v>359</v>
      </c>
      <c r="B18" s="162" t="str">
        <f>IFERROR(VLOOKUP(ParicipationJuillet1[[#This Row],[Référence]],ListeÉtudiants1[],18,FALSE),"")</f>
        <v>ALBINA IONA</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44"/>
      <c r="AH18" s="6">
        <f>COUNTIF(ParicipationJuillet1[[#This Row],[1]:[31]],Code1)</f>
        <v>0</v>
      </c>
      <c r="AI18" s="6">
        <f>COUNTIF(ParicipationJuillet1[[#This Row],[1]:[31]],code22)</f>
        <v>0</v>
      </c>
      <c r="AJ18" s="30">
        <f>COUNTIF(ParicipationJuillet1[[#This Row],[1]:[31]],Code2)</f>
        <v>0</v>
      </c>
      <c r="AK18" s="30">
        <f>COUNTIF(ParicipationJuillet1[[#This Row],[1]:[31]],Code3)</f>
        <v>0</v>
      </c>
      <c r="AL18" s="30">
        <f>COUNTIF(ParicipationJuillet1[[#This Row],[1]:[31]],Code4)</f>
        <v>0</v>
      </c>
      <c r="AM18" s="30">
        <f>COUNTIF(ParicipationJuillet1[[#This Row],[1]:[31]],Code5)</f>
        <v>0</v>
      </c>
      <c r="AN18" s="30">
        <f>COUNTIF(ParicipationJuillet1[[#This Row],[1]:[31]],Code23)</f>
        <v>0</v>
      </c>
      <c r="AO18" s="30">
        <f>COUNTIF(ParicipationJuillet1[[#This Row],[1]:[31]],Code6)</f>
        <v>0</v>
      </c>
      <c r="AP18" s="30">
        <f>COUNTIF(ParicipationJuillet1[[#This Row],[1]:[31]],Code7)</f>
        <v>0</v>
      </c>
      <c r="AQ18" s="30">
        <f>COUNTIF(ParicipationJuillet1[[#This Row],[1]:[31]],Code8)</f>
        <v>0</v>
      </c>
      <c r="AR18" s="30">
        <f>COUNTIF(ParicipationJuillet1[[#This Row],[1]:[31]],Code9)</f>
        <v>0</v>
      </c>
      <c r="AS18" s="30">
        <f>COUNTIF(ParicipationJuillet1[[#This Row],[1]:[31]],Code10)</f>
        <v>0</v>
      </c>
      <c r="AT18" s="30">
        <f>COUNTIF(ParicipationJuillet1[[#This Row],[1]:[31]],Code11)</f>
        <v>0</v>
      </c>
      <c r="AU18" s="30">
        <f>COUNTIF(ParicipationJuillet1[[#This Row],[1]:[31]],Code12)</f>
        <v>0</v>
      </c>
      <c r="AV18" s="30">
        <f>COUNTIF(ParicipationJuillet1[[#This Row],[1]:[31]],Code13)</f>
        <v>0</v>
      </c>
      <c r="AW18" s="30">
        <f>COUNTIF(ParicipationJuillet1[[#This Row],[1]:[31]],Code14)</f>
        <v>0</v>
      </c>
      <c r="AX18" s="30">
        <f>COUNTIF(ParicipationJuillet1[[#This Row],[1]:[31]],Code15)</f>
        <v>0</v>
      </c>
      <c r="AY18" s="30">
        <f>COUNTIF(ParicipationJuillet1[[#This Row],[1]:[31]],Code16)</f>
        <v>0</v>
      </c>
      <c r="AZ18" s="30">
        <f>COUNTIF(ParicipationJuillet1[[#This Row],[1]:[31]],Code17)</f>
        <v>0</v>
      </c>
      <c r="BA18" s="30">
        <f>COUNTIF(ParicipationJuillet1[[#This Row],[1]:[31]],Code25)</f>
        <v>0</v>
      </c>
      <c r="BB18" s="30">
        <f>COUNTIF(ParicipationJuillet1[[#This Row],[1]:[31]],Code26)</f>
        <v>0</v>
      </c>
      <c r="BC18" s="30">
        <f>COUNTIF(ParicipationJuillet1[[#This Row],[1]:[31]],Code27)</f>
        <v>0</v>
      </c>
      <c r="BD18" s="30">
        <f>COUNTIF(ParicipationJuillet1[[#This Row],[1]:[31]],Code28)</f>
        <v>0</v>
      </c>
      <c r="BE18" s="30">
        <f>COUNTIF(ParicipationJuillet1[[#This Row],[1]:[31]],code30)</f>
        <v>0</v>
      </c>
      <c r="BF18" s="30">
        <f>COUNTIF(ParicipationJuillet1[[#This Row],[1]:[31]],Code31)</f>
        <v>0</v>
      </c>
      <c r="BG18" s="30">
        <f>COUNTIF(ParicipationJuillet1[[#This Row],[1]:[31]],code21)</f>
        <v>0</v>
      </c>
      <c r="BH18" s="30">
        <f>COUNTIF(ParicipationJuillet1[[#This Row],[1]:[31]],Code24)</f>
        <v>0</v>
      </c>
      <c r="BI18" s="30">
        <f>COUNTIF(ParicipationJuillet1[[#This Row],[1]:[31]],code18)</f>
        <v>0</v>
      </c>
      <c r="BJ18" s="30">
        <f>COUNTIF(ParicipationJuillet1[[#This Row],[1]:[31]],code19)</f>
        <v>0</v>
      </c>
      <c r="BK18" s="30">
        <f>COUNTIF(ParicipationJuillet1[[#This Row],[1]:[31]],code20)</f>
        <v>0</v>
      </c>
      <c r="BL18" s="164">
        <f>COUNTIF(ParicipationJuillet1[[#This Row],[1]:[31]],code29)</f>
        <v>0</v>
      </c>
      <c r="BM18" s="314"/>
      <c r="BN18" s="314"/>
      <c r="BO18" s="314"/>
      <c r="BP18" s="314"/>
      <c r="BQ18" s="314"/>
      <c r="BR18" s="314"/>
      <c r="BS18" s="314"/>
      <c r="BT18" s="314"/>
      <c r="BU18" s="314"/>
      <c r="BV18" s="314"/>
      <c r="BW18" s="314"/>
      <c r="BX18" s="314"/>
      <c r="BY18" s="314"/>
      <c r="BZ18" s="314"/>
      <c r="CA18" s="314"/>
      <c r="CB18" s="314"/>
      <c r="CC18" s="314"/>
      <c r="CD18" s="314"/>
      <c r="CE18" s="314"/>
      <c r="CF18" s="314"/>
      <c r="CG18" s="314"/>
      <c r="CH18" s="314"/>
      <c r="CI18" s="314"/>
      <c r="CJ18" s="314"/>
      <c r="CK18" s="314"/>
      <c r="CL18" s="314"/>
      <c r="CM18" s="314"/>
      <c r="CN18" s="314"/>
      <c r="CO18" s="314"/>
      <c r="CP18" s="314"/>
      <c r="CQ18" s="314"/>
      <c r="CR18" s="314"/>
      <c r="CS18" s="314"/>
      <c r="CT18" s="314"/>
      <c r="CU18" s="315"/>
      <c r="CV18" s="501">
        <f t="shared" si="0"/>
        <v>0</v>
      </c>
      <c r="CW18" s="501">
        <f t="shared" si="1"/>
        <v>0</v>
      </c>
      <c r="CX18" s="249">
        <f t="shared" si="2"/>
        <v>0</v>
      </c>
      <c r="CY18" s="170">
        <f t="shared" si="3"/>
        <v>0</v>
      </c>
    </row>
    <row r="19" spans="1:103">
      <c r="A19" s="112" t="s">
        <v>360</v>
      </c>
      <c r="B19" s="162" t="str">
        <f>IFERROR(VLOOKUP(ParicipationJuillet1[[#This Row],[Référence]],ListeÉtudiants1[],18,FALSE),"")</f>
        <v>ALCHEK MONA</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44"/>
      <c r="AH19" s="6">
        <f>COUNTIF(ParicipationJuillet1[[#This Row],[1]:[31]],Code1)</f>
        <v>0</v>
      </c>
      <c r="AI19" s="6">
        <f>COUNTIF(ParicipationJuillet1[[#This Row],[1]:[31]],code22)</f>
        <v>0</v>
      </c>
      <c r="AJ19" s="30">
        <f>COUNTIF(ParicipationJuillet1[[#This Row],[1]:[31]],Code2)</f>
        <v>0</v>
      </c>
      <c r="AK19" s="30">
        <f>COUNTIF(ParicipationJuillet1[[#This Row],[1]:[31]],Code3)</f>
        <v>0</v>
      </c>
      <c r="AL19" s="30">
        <f>COUNTIF(ParicipationJuillet1[[#This Row],[1]:[31]],Code4)</f>
        <v>0</v>
      </c>
      <c r="AM19" s="30">
        <f>COUNTIF(ParicipationJuillet1[[#This Row],[1]:[31]],Code5)</f>
        <v>0</v>
      </c>
      <c r="AN19" s="30">
        <f>COUNTIF(ParicipationJuillet1[[#This Row],[1]:[31]],Code23)</f>
        <v>0</v>
      </c>
      <c r="AO19" s="30">
        <f>COUNTIF(ParicipationJuillet1[[#This Row],[1]:[31]],Code6)</f>
        <v>0</v>
      </c>
      <c r="AP19" s="30">
        <f>COUNTIF(ParicipationJuillet1[[#This Row],[1]:[31]],Code7)</f>
        <v>0</v>
      </c>
      <c r="AQ19" s="30">
        <f>COUNTIF(ParicipationJuillet1[[#This Row],[1]:[31]],Code8)</f>
        <v>0</v>
      </c>
      <c r="AR19" s="30">
        <f>COUNTIF(ParicipationJuillet1[[#This Row],[1]:[31]],Code9)</f>
        <v>0</v>
      </c>
      <c r="AS19" s="30">
        <f>COUNTIF(ParicipationJuillet1[[#This Row],[1]:[31]],Code10)</f>
        <v>0</v>
      </c>
      <c r="AT19" s="30">
        <f>COUNTIF(ParicipationJuillet1[[#This Row],[1]:[31]],Code11)</f>
        <v>0</v>
      </c>
      <c r="AU19" s="30">
        <f>COUNTIF(ParicipationJuillet1[[#This Row],[1]:[31]],Code12)</f>
        <v>0</v>
      </c>
      <c r="AV19" s="30">
        <f>COUNTIF(ParicipationJuillet1[[#This Row],[1]:[31]],Code13)</f>
        <v>0</v>
      </c>
      <c r="AW19" s="30">
        <f>COUNTIF(ParicipationJuillet1[[#This Row],[1]:[31]],Code14)</f>
        <v>0</v>
      </c>
      <c r="AX19" s="30">
        <f>COUNTIF(ParicipationJuillet1[[#This Row],[1]:[31]],Code15)</f>
        <v>0</v>
      </c>
      <c r="AY19" s="30">
        <f>COUNTIF(ParicipationJuillet1[[#This Row],[1]:[31]],Code16)</f>
        <v>0</v>
      </c>
      <c r="AZ19" s="30">
        <f>COUNTIF(ParicipationJuillet1[[#This Row],[1]:[31]],Code17)</f>
        <v>0</v>
      </c>
      <c r="BA19" s="30">
        <f>COUNTIF(ParicipationJuillet1[[#This Row],[1]:[31]],Code25)</f>
        <v>0</v>
      </c>
      <c r="BB19" s="30">
        <f>COUNTIF(ParicipationJuillet1[[#This Row],[1]:[31]],Code26)</f>
        <v>0</v>
      </c>
      <c r="BC19" s="30">
        <f>COUNTIF(ParicipationJuillet1[[#This Row],[1]:[31]],Code27)</f>
        <v>0</v>
      </c>
      <c r="BD19" s="30">
        <f>COUNTIF(ParicipationJuillet1[[#This Row],[1]:[31]],Code28)</f>
        <v>0</v>
      </c>
      <c r="BE19" s="30">
        <f>COUNTIF(ParicipationJuillet1[[#This Row],[1]:[31]],code30)</f>
        <v>0</v>
      </c>
      <c r="BF19" s="30">
        <f>COUNTIF(ParicipationJuillet1[[#This Row],[1]:[31]],Code31)</f>
        <v>0</v>
      </c>
      <c r="BG19" s="30">
        <f>COUNTIF(ParicipationJuillet1[[#This Row],[1]:[31]],code21)</f>
        <v>0</v>
      </c>
      <c r="BH19" s="30">
        <f>COUNTIF(ParicipationJuillet1[[#This Row],[1]:[31]],Code24)</f>
        <v>0</v>
      </c>
      <c r="BI19" s="30">
        <f>COUNTIF(ParicipationJuillet1[[#This Row],[1]:[31]],code18)</f>
        <v>0</v>
      </c>
      <c r="BJ19" s="30">
        <f>COUNTIF(ParicipationJuillet1[[#This Row],[1]:[31]],code19)</f>
        <v>0</v>
      </c>
      <c r="BK19" s="30">
        <f>COUNTIF(ParicipationJuillet1[[#This Row],[1]:[31]],code20)</f>
        <v>0</v>
      </c>
      <c r="BL19" s="164">
        <f>COUNTIF(ParicipationJuillet1[[#This Row],[1]:[31]],code29)</f>
        <v>0</v>
      </c>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164"/>
      <c r="CV19" s="501">
        <f t="shared" si="0"/>
        <v>0</v>
      </c>
      <c r="CW19" s="501">
        <f t="shared" si="1"/>
        <v>0</v>
      </c>
      <c r="CX19" s="249">
        <f t="shared" si="2"/>
        <v>0</v>
      </c>
      <c r="CY19" s="170">
        <f t="shared" si="3"/>
        <v>0</v>
      </c>
    </row>
    <row r="20" spans="1:103">
      <c r="A20" s="112" t="s">
        <v>361</v>
      </c>
      <c r="B20" s="162" t="str">
        <f>IFERROR(VLOOKUP(ParicipationJuillet1[[#This Row],[Référence]],ListeÉtudiants1[],18,FALSE),"")</f>
        <v>ALLOUCH EINAT</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44"/>
      <c r="AH20" s="6">
        <f>COUNTIF(ParicipationJuillet1[[#This Row],[1]:[31]],Code1)</f>
        <v>0</v>
      </c>
      <c r="AI20" s="6">
        <f>COUNTIF(ParicipationJuillet1[[#This Row],[1]:[31]],code22)</f>
        <v>0</v>
      </c>
      <c r="AJ20" s="30">
        <f>COUNTIF(ParicipationJuillet1[[#This Row],[1]:[31]],Code2)</f>
        <v>0</v>
      </c>
      <c r="AK20" s="30">
        <f>COUNTIF(ParicipationJuillet1[[#This Row],[1]:[31]],Code3)</f>
        <v>0</v>
      </c>
      <c r="AL20" s="30">
        <f>COUNTIF(ParicipationJuillet1[[#This Row],[1]:[31]],Code4)</f>
        <v>0</v>
      </c>
      <c r="AM20" s="30">
        <f>COUNTIF(ParicipationJuillet1[[#This Row],[1]:[31]],Code5)</f>
        <v>0</v>
      </c>
      <c r="AN20" s="30">
        <f>COUNTIF(ParicipationJuillet1[[#This Row],[1]:[31]],Code23)</f>
        <v>0</v>
      </c>
      <c r="AO20" s="30">
        <f>COUNTIF(ParicipationJuillet1[[#This Row],[1]:[31]],Code6)</f>
        <v>0</v>
      </c>
      <c r="AP20" s="30">
        <f>COUNTIF(ParicipationJuillet1[[#This Row],[1]:[31]],Code7)</f>
        <v>0</v>
      </c>
      <c r="AQ20" s="30">
        <f>COUNTIF(ParicipationJuillet1[[#This Row],[1]:[31]],Code8)</f>
        <v>0</v>
      </c>
      <c r="AR20" s="30">
        <f>COUNTIF(ParicipationJuillet1[[#This Row],[1]:[31]],Code9)</f>
        <v>0</v>
      </c>
      <c r="AS20" s="30">
        <f>COUNTIF(ParicipationJuillet1[[#This Row],[1]:[31]],Code10)</f>
        <v>0</v>
      </c>
      <c r="AT20" s="30">
        <f>COUNTIF(ParicipationJuillet1[[#This Row],[1]:[31]],Code11)</f>
        <v>0</v>
      </c>
      <c r="AU20" s="30">
        <f>COUNTIF(ParicipationJuillet1[[#This Row],[1]:[31]],Code12)</f>
        <v>0</v>
      </c>
      <c r="AV20" s="30">
        <f>COUNTIF(ParicipationJuillet1[[#This Row],[1]:[31]],Code13)</f>
        <v>0</v>
      </c>
      <c r="AW20" s="30">
        <f>COUNTIF(ParicipationJuillet1[[#This Row],[1]:[31]],Code14)</f>
        <v>0</v>
      </c>
      <c r="AX20" s="30">
        <f>COUNTIF(ParicipationJuillet1[[#This Row],[1]:[31]],Code15)</f>
        <v>0</v>
      </c>
      <c r="AY20" s="30">
        <f>COUNTIF(ParicipationJuillet1[[#This Row],[1]:[31]],Code16)</f>
        <v>0</v>
      </c>
      <c r="AZ20" s="30">
        <f>COUNTIF(ParicipationJuillet1[[#This Row],[1]:[31]],Code17)</f>
        <v>0</v>
      </c>
      <c r="BA20" s="30">
        <f>COUNTIF(ParicipationJuillet1[[#This Row],[1]:[31]],Code25)</f>
        <v>0</v>
      </c>
      <c r="BB20" s="30">
        <f>COUNTIF(ParicipationJuillet1[[#This Row],[1]:[31]],Code26)</f>
        <v>0</v>
      </c>
      <c r="BC20" s="30">
        <f>COUNTIF(ParicipationJuillet1[[#This Row],[1]:[31]],Code27)</f>
        <v>0</v>
      </c>
      <c r="BD20" s="30">
        <f>COUNTIF(ParicipationJuillet1[[#This Row],[1]:[31]],Code28)</f>
        <v>0</v>
      </c>
      <c r="BE20" s="30">
        <f>COUNTIF(ParicipationJuillet1[[#This Row],[1]:[31]],code30)</f>
        <v>0</v>
      </c>
      <c r="BF20" s="30">
        <f>COUNTIF(ParicipationJuillet1[[#This Row],[1]:[31]],Code31)</f>
        <v>0</v>
      </c>
      <c r="BG20" s="30">
        <f>COUNTIF(ParicipationJuillet1[[#This Row],[1]:[31]],code21)</f>
        <v>0</v>
      </c>
      <c r="BH20" s="30">
        <f>COUNTIF(ParicipationJuillet1[[#This Row],[1]:[31]],Code24)</f>
        <v>0</v>
      </c>
      <c r="BI20" s="30">
        <f>COUNTIF(ParicipationJuillet1[[#This Row],[1]:[31]],code18)</f>
        <v>0</v>
      </c>
      <c r="BJ20" s="30">
        <f>COUNTIF(ParicipationJuillet1[[#This Row],[1]:[31]],code19)</f>
        <v>0</v>
      </c>
      <c r="BK20" s="30">
        <f>COUNTIF(ParicipationJuillet1[[#This Row],[1]:[31]],code20)</f>
        <v>0</v>
      </c>
      <c r="BL20" s="164">
        <f>COUNTIF(ParicipationJuillet1[[#This Row],[1]:[31]],code29)</f>
        <v>0</v>
      </c>
      <c r="BM20" s="314"/>
      <c r="BN20" s="314"/>
      <c r="BO20" s="314"/>
      <c r="BP20" s="314"/>
      <c r="BQ20" s="314"/>
      <c r="BR20" s="314"/>
      <c r="BS20" s="314"/>
      <c r="BT20" s="314"/>
      <c r="BU20" s="314"/>
      <c r="BV20" s="314"/>
      <c r="BW20" s="314"/>
      <c r="BX20" s="314"/>
      <c r="BY20" s="314"/>
      <c r="BZ20" s="314"/>
      <c r="CA20" s="314"/>
      <c r="CB20" s="314"/>
      <c r="CC20" s="314"/>
      <c r="CD20" s="314"/>
      <c r="CE20" s="314"/>
      <c r="CF20" s="314"/>
      <c r="CG20" s="314"/>
      <c r="CH20" s="314"/>
      <c r="CI20" s="314"/>
      <c r="CJ20" s="314"/>
      <c r="CK20" s="314"/>
      <c r="CL20" s="314"/>
      <c r="CM20" s="314"/>
      <c r="CN20" s="314"/>
      <c r="CO20" s="314"/>
      <c r="CP20" s="314"/>
      <c r="CQ20" s="314"/>
      <c r="CR20" s="314"/>
      <c r="CS20" s="314"/>
      <c r="CT20" s="314"/>
      <c r="CU20" s="315"/>
      <c r="CV20" s="501">
        <f t="shared" si="0"/>
        <v>0</v>
      </c>
      <c r="CW20" s="501">
        <f t="shared" si="1"/>
        <v>0</v>
      </c>
      <c r="CX20" s="249">
        <f t="shared" si="2"/>
        <v>0</v>
      </c>
      <c r="CY20" s="170">
        <f t="shared" si="3"/>
        <v>0</v>
      </c>
    </row>
    <row r="21" spans="1:103">
      <c r="A21" s="112" t="s">
        <v>362</v>
      </c>
      <c r="B21" s="162" t="str">
        <f>IFERROR(VLOOKUP(ParicipationJuillet1[[#This Row],[Référence]],ListeÉtudiants1[],18,FALSE),"")</f>
        <v>ANCELE-VALCIN KATIANA</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44"/>
      <c r="AH21" s="6">
        <f>COUNTIF(ParicipationJuillet1[[#This Row],[1]:[31]],Code1)</f>
        <v>0</v>
      </c>
      <c r="AI21" s="6">
        <f>COUNTIF(ParicipationJuillet1[[#This Row],[1]:[31]],code22)</f>
        <v>0</v>
      </c>
      <c r="AJ21" s="30">
        <f>COUNTIF(ParicipationJuillet1[[#This Row],[1]:[31]],Code2)</f>
        <v>0</v>
      </c>
      <c r="AK21" s="30">
        <f>COUNTIF(ParicipationJuillet1[[#This Row],[1]:[31]],Code3)</f>
        <v>0</v>
      </c>
      <c r="AL21" s="30">
        <f>COUNTIF(ParicipationJuillet1[[#This Row],[1]:[31]],Code4)</f>
        <v>0</v>
      </c>
      <c r="AM21" s="30">
        <f>COUNTIF(ParicipationJuillet1[[#This Row],[1]:[31]],Code5)</f>
        <v>0</v>
      </c>
      <c r="AN21" s="30">
        <f>COUNTIF(ParicipationJuillet1[[#This Row],[1]:[31]],Code23)</f>
        <v>0</v>
      </c>
      <c r="AO21" s="30">
        <f>COUNTIF(ParicipationJuillet1[[#This Row],[1]:[31]],Code6)</f>
        <v>0</v>
      </c>
      <c r="AP21" s="30">
        <f>COUNTIF(ParicipationJuillet1[[#This Row],[1]:[31]],Code7)</f>
        <v>0</v>
      </c>
      <c r="AQ21" s="30">
        <f>COUNTIF(ParicipationJuillet1[[#This Row],[1]:[31]],Code8)</f>
        <v>0</v>
      </c>
      <c r="AR21" s="30">
        <f>COUNTIF(ParicipationJuillet1[[#This Row],[1]:[31]],Code9)</f>
        <v>0</v>
      </c>
      <c r="AS21" s="30">
        <f>COUNTIF(ParicipationJuillet1[[#This Row],[1]:[31]],Code10)</f>
        <v>0</v>
      </c>
      <c r="AT21" s="30">
        <f>COUNTIF(ParicipationJuillet1[[#This Row],[1]:[31]],Code11)</f>
        <v>0</v>
      </c>
      <c r="AU21" s="30">
        <f>COUNTIF(ParicipationJuillet1[[#This Row],[1]:[31]],Code12)</f>
        <v>0</v>
      </c>
      <c r="AV21" s="30">
        <f>COUNTIF(ParicipationJuillet1[[#This Row],[1]:[31]],Code13)</f>
        <v>0</v>
      </c>
      <c r="AW21" s="30">
        <f>COUNTIF(ParicipationJuillet1[[#This Row],[1]:[31]],Code14)</f>
        <v>0</v>
      </c>
      <c r="AX21" s="30">
        <f>COUNTIF(ParicipationJuillet1[[#This Row],[1]:[31]],Code15)</f>
        <v>0</v>
      </c>
      <c r="AY21" s="30">
        <f>COUNTIF(ParicipationJuillet1[[#This Row],[1]:[31]],Code16)</f>
        <v>0</v>
      </c>
      <c r="AZ21" s="30">
        <f>COUNTIF(ParicipationJuillet1[[#This Row],[1]:[31]],Code17)</f>
        <v>0</v>
      </c>
      <c r="BA21" s="30">
        <f>COUNTIF(ParicipationJuillet1[[#This Row],[1]:[31]],Code25)</f>
        <v>0</v>
      </c>
      <c r="BB21" s="30">
        <f>COUNTIF(ParicipationJuillet1[[#This Row],[1]:[31]],Code26)</f>
        <v>0</v>
      </c>
      <c r="BC21" s="30">
        <f>COUNTIF(ParicipationJuillet1[[#This Row],[1]:[31]],Code27)</f>
        <v>0</v>
      </c>
      <c r="BD21" s="30">
        <f>COUNTIF(ParicipationJuillet1[[#This Row],[1]:[31]],Code28)</f>
        <v>0</v>
      </c>
      <c r="BE21" s="30">
        <f>COUNTIF(ParicipationJuillet1[[#This Row],[1]:[31]],code30)</f>
        <v>0</v>
      </c>
      <c r="BF21" s="30">
        <f>COUNTIF(ParicipationJuillet1[[#This Row],[1]:[31]],Code31)</f>
        <v>0</v>
      </c>
      <c r="BG21" s="30">
        <f>COUNTIF(ParicipationJuillet1[[#This Row],[1]:[31]],code21)</f>
        <v>0</v>
      </c>
      <c r="BH21" s="30">
        <f>COUNTIF(ParicipationJuillet1[[#This Row],[1]:[31]],Code24)</f>
        <v>0</v>
      </c>
      <c r="BI21" s="30">
        <f>COUNTIF(ParicipationJuillet1[[#This Row],[1]:[31]],code18)</f>
        <v>0</v>
      </c>
      <c r="BJ21" s="30">
        <f>COUNTIF(ParicipationJuillet1[[#This Row],[1]:[31]],code19)</f>
        <v>0</v>
      </c>
      <c r="BK21" s="30">
        <f>COUNTIF(ParicipationJuillet1[[#This Row],[1]:[31]],code20)</f>
        <v>0</v>
      </c>
      <c r="BL21" s="164">
        <f>COUNTIF(ParicipationJuillet1[[#This Row],[1]:[31]],code29)</f>
        <v>0</v>
      </c>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164"/>
      <c r="CV21" s="501">
        <f t="shared" si="0"/>
        <v>0</v>
      </c>
      <c r="CW21" s="501">
        <f t="shared" si="1"/>
        <v>0</v>
      </c>
      <c r="CX21" s="249">
        <f t="shared" si="2"/>
        <v>0</v>
      </c>
      <c r="CY21" s="170">
        <f t="shared" si="3"/>
        <v>0</v>
      </c>
    </row>
    <row r="22" spans="1:103">
      <c r="A22" s="112" t="s">
        <v>363</v>
      </c>
      <c r="B22" s="162" t="str">
        <f>IFERROR(VLOOKUP(ParicipationJuillet1[[#This Row],[Référence]],ListeÉtudiants1[],18,FALSE),"")</f>
        <v>ANDRE ORNELLA</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44"/>
      <c r="AH22" s="6">
        <f>COUNTIF(ParicipationJuillet1[[#This Row],[1]:[31]],Code1)</f>
        <v>0</v>
      </c>
      <c r="AI22" s="6">
        <f>COUNTIF(ParicipationJuillet1[[#This Row],[1]:[31]],code22)</f>
        <v>0</v>
      </c>
      <c r="AJ22" s="30">
        <f>COUNTIF(ParicipationJuillet1[[#This Row],[1]:[31]],Code2)</f>
        <v>0</v>
      </c>
      <c r="AK22" s="30">
        <f>COUNTIF(ParicipationJuillet1[[#This Row],[1]:[31]],Code3)</f>
        <v>0</v>
      </c>
      <c r="AL22" s="30">
        <f>COUNTIF(ParicipationJuillet1[[#This Row],[1]:[31]],Code4)</f>
        <v>0</v>
      </c>
      <c r="AM22" s="30">
        <f>COUNTIF(ParicipationJuillet1[[#This Row],[1]:[31]],Code5)</f>
        <v>0</v>
      </c>
      <c r="AN22" s="30">
        <f>COUNTIF(ParicipationJuillet1[[#This Row],[1]:[31]],Code23)</f>
        <v>0</v>
      </c>
      <c r="AO22" s="30">
        <f>COUNTIF(ParicipationJuillet1[[#This Row],[1]:[31]],Code6)</f>
        <v>0</v>
      </c>
      <c r="AP22" s="30">
        <f>COUNTIF(ParicipationJuillet1[[#This Row],[1]:[31]],Code7)</f>
        <v>0</v>
      </c>
      <c r="AQ22" s="30">
        <f>COUNTIF(ParicipationJuillet1[[#This Row],[1]:[31]],Code8)</f>
        <v>0</v>
      </c>
      <c r="AR22" s="30">
        <f>COUNTIF(ParicipationJuillet1[[#This Row],[1]:[31]],Code9)</f>
        <v>0</v>
      </c>
      <c r="AS22" s="30">
        <f>COUNTIF(ParicipationJuillet1[[#This Row],[1]:[31]],Code10)</f>
        <v>0</v>
      </c>
      <c r="AT22" s="30">
        <f>COUNTIF(ParicipationJuillet1[[#This Row],[1]:[31]],Code11)</f>
        <v>0</v>
      </c>
      <c r="AU22" s="30">
        <f>COUNTIF(ParicipationJuillet1[[#This Row],[1]:[31]],Code12)</f>
        <v>0</v>
      </c>
      <c r="AV22" s="30">
        <f>COUNTIF(ParicipationJuillet1[[#This Row],[1]:[31]],Code13)</f>
        <v>0</v>
      </c>
      <c r="AW22" s="30">
        <f>COUNTIF(ParicipationJuillet1[[#This Row],[1]:[31]],Code14)</f>
        <v>0</v>
      </c>
      <c r="AX22" s="30">
        <f>COUNTIF(ParicipationJuillet1[[#This Row],[1]:[31]],Code15)</f>
        <v>0</v>
      </c>
      <c r="AY22" s="30">
        <f>COUNTIF(ParicipationJuillet1[[#This Row],[1]:[31]],Code16)</f>
        <v>0</v>
      </c>
      <c r="AZ22" s="30">
        <f>COUNTIF(ParicipationJuillet1[[#This Row],[1]:[31]],Code17)</f>
        <v>0</v>
      </c>
      <c r="BA22" s="30">
        <f>COUNTIF(ParicipationJuillet1[[#This Row],[1]:[31]],Code25)</f>
        <v>0</v>
      </c>
      <c r="BB22" s="30">
        <f>COUNTIF(ParicipationJuillet1[[#This Row],[1]:[31]],Code26)</f>
        <v>0</v>
      </c>
      <c r="BC22" s="30">
        <f>COUNTIF(ParicipationJuillet1[[#This Row],[1]:[31]],Code27)</f>
        <v>0</v>
      </c>
      <c r="BD22" s="30">
        <f>COUNTIF(ParicipationJuillet1[[#This Row],[1]:[31]],Code28)</f>
        <v>0</v>
      </c>
      <c r="BE22" s="30">
        <f>COUNTIF(ParicipationJuillet1[[#This Row],[1]:[31]],code30)</f>
        <v>0</v>
      </c>
      <c r="BF22" s="30">
        <f>COUNTIF(ParicipationJuillet1[[#This Row],[1]:[31]],Code31)</f>
        <v>0</v>
      </c>
      <c r="BG22" s="30">
        <f>COUNTIF(ParicipationJuillet1[[#This Row],[1]:[31]],code21)</f>
        <v>0</v>
      </c>
      <c r="BH22" s="30">
        <f>COUNTIF(ParicipationJuillet1[[#This Row],[1]:[31]],Code24)</f>
        <v>0</v>
      </c>
      <c r="BI22" s="30">
        <f>COUNTIF(ParicipationJuillet1[[#This Row],[1]:[31]],code18)</f>
        <v>0</v>
      </c>
      <c r="BJ22" s="30">
        <f>COUNTIF(ParicipationJuillet1[[#This Row],[1]:[31]],code19)</f>
        <v>0</v>
      </c>
      <c r="BK22" s="30">
        <f>COUNTIF(ParicipationJuillet1[[#This Row],[1]:[31]],code20)</f>
        <v>0</v>
      </c>
      <c r="BL22" s="164">
        <f>COUNTIF(ParicipationJuillet1[[#This Row],[1]:[31]],code29)</f>
        <v>0</v>
      </c>
      <c r="BM22" s="314"/>
      <c r="BN22" s="314"/>
      <c r="BO22" s="314"/>
      <c r="BP22" s="314"/>
      <c r="BQ22" s="314"/>
      <c r="BR22" s="314"/>
      <c r="BS22" s="314"/>
      <c r="BT22" s="314"/>
      <c r="BU22" s="314"/>
      <c r="BV22" s="314"/>
      <c r="BW22" s="314"/>
      <c r="BX22" s="314"/>
      <c r="BY22" s="314"/>
      <c r="BZ22" s="314"/>
      <c r="CA22" s="314"/>
      <c r="CB22" s="314"/>
      <c r="CC22" s="314"/>
      <c r="CD22" s="314"/>
      <c r="CE22" s="314"/>
      <c r="CF22" s="314"/>
      <c r="CG22" s="314"/>
      <c r="CH22" s="314"/>
      <c r="CI22" s="314"/>
      <c r="CJ22" s="314"/>
      <c r="CK22" s="314"/>
      <c r="CL22" s="314"/>
      <c r="CM22" s="314"/>
      <c r="CN22" s="314"/>
      <c r="CO22" s="314"/>
      <c r="CP22" s="314"/>
      <c r="CQ22" s="314"/>
      <c r="CR22" s="314"/>
      <c r="CS22" s="314"/>
      <c r="CT22" s="314"/>
      <c r="CU22" s="315"/>
      <c r="CV22" s="501">
        <f t="shared" si="0"/>
        <v>0</v>
      </c>
      <c r="CW22" s="501">
        <f t="shared" si="1"/>
        <v>0</v>
      </c>
      <c r="CX22" s="249">
        <f t="shared" si="2"/>
        <v>0</v>
      </c>
      <c r="CY22" s="170">
        <f t="shared" si="3"/>
        <v>0</v>
      </c>
    </row>
    <row r="23" spans="1:103">
      <c r="A23" s="112" t="s">
        <v>364</v>
      </c>
      <c r="B23" s="162" t="str">
        <f>IFERROR(VLOOKUP(ParicipationJuillet1[[#This Row],[Référence]],ListeÉtudiants1[],18,FALSE),"")</f>
        <v>ANGRE GRACE</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44"/>
      <c r="AH23" s="6">
        <f>COUNTIF(ParicipationJuillet1[[#This Row],[1]:[31]],Code1)</f>
        <v>0</v>
      </c>
      <c r="AI23" s="6">
        <f>COUNTIF(ParicipationJuillet1[[#This Row],[1]:[31]],code22)</f>
        <v>0</v>
      </c>
      <c r="AJ23" s="30">
        <f>COUNTIF(ParicipationJuillet1[[#This Row],[1]:[31]],Code2)</f>
        <v>0</v>
      </c>
      <c r="AK23" s="30">
        <f>COUNTIF(ParicipationJuillet1[[#This Row],[1]:[31]],Code3)</f>
        <v>0</v>
      </c>
      <c r="AL23" s="30">
        <f>COUNTIF(ParicipationJuillet1[[#This Row],[1]:[31]],Code4)</f>
        <v>0</v>
      </c>
      <c r="AM23" s="30">
        <f>COUNTIF(ParicipationJuillet1[[#This Row],[1]:[31]],Code5)</f>
        <v>0</v>
      </c>
      <c r="AN23" s="30">
        <f>COUNTIF(ParicipationJuillet1[[#This Row],[1]:[31]],Code23)</f>
        <v>0</v>
      </c>
      <c r="AO23" s="30">
        <f>COUNTIF(ParicipationJuillet1[[#This Row],[1]:[31]],Code6)</f>
        <v>0</v>
      </c>
      <c r="AP23" s="30">
        <f>COUNTIF(ParicipationJuillet1[[#This Row],[1]:[31]],Code7)</f>
        <v>0</v>
      </c>
      <c r="AQ23" s="30">
        <f>COUNTIF(ParicipationJuillet1[[#This Row],[1]:[31]],Code8)</f>
        <v>0</v>
      </c>
      <c r="AR23" s="30">
        <f>COUNTIF(ParicipationJuillet1[[#This Row],[1]:[31]],Code9)</f>
        <v>0</v>
      </c>
      <c r="AS23" s="30">
        <f>COUNTIF(ParicipationJuillet1[[#This Row],[1]:[31]],Code10)</f>
        <v>0</v>
      </c>
      <c r="AT23" s="30">
        <f>COUNTIF(ParicipationJuillet1[[#This Row],[1]:[31]],Code11)</f>
        <v>0</v>
      </c>
      <c r="AU23" s="30">
        <f>COUNTIF(ParicipationJuillet1[[#This Row],[1]:[31]],Code12)</f>
        <v>0</v>
      </c>
      <c r="AV23" s="30">
        <f>COUNTIF(ParicipationJuillet1[[#This Row],[1]:[31]],Code13)</f>
        <v>0</v>
      </c>
      <c r="AW23" s="30">
        <f>COUNTIF(ParicipationJuillet1[[#This Row],[1]:[31]],Code14)</f>
        <v>0</v>
      </c>
      <c r="AX23" s="30">
        <f>COUNTIF(ParicipationJuillet1[[#This Row],[1]:[31]],Code15)</f>
        <v>0</v>
      </c>
      <c r="AY23" s="30">
        <f>COUNTIF(ParicipationJuillet1[[#This Row],[1]:[31]],Code16)</f>
        <v>0</v>
      </c>
      <c r="AZ23" s="30">
        <f>COUNTIF(ParicipationJuillet1[[#This Row],[1]:[31]],Code17)</f>
        <v>0</v>
      </c>
      <c r="BA23" s="30">
        <f>COUNTIF(ParicipationJuillet1[[#This Row],[1]:[31]],Code25)</f>
        <v>0</v>
      </c>
      <c r="BB23" s="30">
        <f>COUNTIF(ParicipationJuillet1[[#This Row],[1]:[31]],Code26)</f>
        <v>0</v>
      </c>
      <c r="BC23" s="30">
        <f>COUNTIF(ParicipationJuillet1[[#This Row],[1]:[31]],Code27)</f>
        <v>0</v>
      </c>
      <c r="BD23" s="30">
        <f>COUNTIF(ParicipationJuillet1[[#This Row],[1]:[31]],Code28)</f>
        <v>0</v>
      </c>
      <c r="BE23" s="30">
        <f>COUNTIF(ParicipationJuillet1[[#This Row],[1]:[31]],code30)</f>
        <v>0</v>
      </c>
      <c r="BF23" s="30">
        <f>COUNTIF(ParicipationJuillet1[[#This Row],[1]:[31]],Code31)</f>
        <v>0</v>
      </c>
      <c r="BG23" s="30">
        <f>COUNTIF(ParicipationJuillet1[[#This Row],[1]:[31]],code21)</f>
        <v>0</v>
      </c>
      <c r="BH23" s="30">
        <f>COUNTIF(ParicipationJuillet1[[#This Row],[1]:[31]],Code24)</f>
        <v>0</v>
      </c>
      <c r="BI23" s="30">
        <f>COUNTIF(ParicipationJuillet1[[#This Row],[1]:[31]],code18)</f>
        <v>0</v>
      </c>
      <c r="BJ23" s="30">
        <f>COUNTIF(ParicipationJuillet1[[#This Row],[1]:[31]],code19)</f>
        <v>0</v>
      </c>
      <c r="BK23" s="30">
        <f>COUNTIF(ParicipationJuillet1[[#This Row],[1]:[31]],code20)</f>
        <v>0</v>
      </c>
      <c r="BL23" s="164">
        <f>COUNTIF(ParicipationJuillet1[[#This Row],[1]:[31]],code29)</f>
        <v>0</v>
      </c>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164"/>
      <c r="CV23" s="501">
        <f t="shared" si="0"/>
        <v>0</v>
      </c>
      <c r="CW23" s="501">
        <f t="shared" si="1"/>
        <v>0</v>
      </c>
      <c r="CX23" s="249">
        <f t="shared" si="2"/>
        <v>0</v>
      </c>
      <c r="CY23" s="170">
        <f t="shared" si="3"/>
        <v>0</v>
      </c>
    </row>
    <row r="24" spans="1:103">
      <c r="A24" s="112" t="s">
        <v>365</v>
      </c>
      <c r="B24" s="162" t="str">
        <f>IFERROR(VLOOKUP(ParicipationJuillet1[[#This Row],[Référence]],ListeÉtudiants1[],18,FALSE),"")</f>
        <v>BAESSA ELISA</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44"/>
      <c r="AH24" s="6">
        <f>COUNTIF(ParicipationJuillet1[[#This Row],[1]:[31]],Code1)</f>
        <v>0</v>
      </c>
      <c r="AI24" s="6">
        <f>COUNTIF(ParicipationJuillet1[[#This Row],[1]:[31]],code22)</f>
        <v>0</v>
      </c>
      <c r="AJ24" s="30">
        <f>COUNTIF(ParicipationJuillet1[[#This Row],[1]:[31]],Code2)</f>
        <v>0</v>
      </c>
      <c r="AK24" s="30">
        <f>COUNTIF(ParicipationJuillet1[[#This Row],[1]:[31]],Code3)</f>
        <v>0</v>
      </c>
      <c r="AL24" s="30">
        <f>COUNTIF(ParicipationJuillet1[[#This Row],[1]:[31]],Code4)</f>
        <v>0</v>
      </c>
      <c r="AM24" s="30">
        <f>COUNTIF(ParicipationJuillet1[[#This Row],[1]:[31]],Code5)</f>
        <v>0</v>
      </c>
      <c r="AN24" s="30">
        <f>COUNTIF(ParicipationJuillet1[[#This Row],[1]:[31]],Code23)</f>
        <v>0</v>
      </c>
      <c r="AO24" s="30">
        <f>COUNTIF(ParicipationJuillet1[[#This Row],[1]:[31]],Code6)</f>
        <v>0</v>
      </c>
      <c r="AP24" s="30">
        <f>COUNTIF(ParicipationJuillet1[[#This Row],[1]:[31]],Code7)</f>
        <v>0</v>
      </c>
      <c r="AQ24" s="30">
        <f>COUNTIF(ParicipationJuillet1[[#This Row],[1]:[31]],Code8)</f>
        <v>0</v>
      </c>
      <c r="AR24" s="30">
        <f>COUNTIF(ParicipationJuillet1[[#This Row],[1]:[31]],Code9)</f>
        <v>0</v>
      </c>
      <c r="AS24" s="30">
        <f>COUNTIF(ParicipationJuillet1[[#This Row],[1]:[31]],Code10)</f>
        <v>0</v>
      </c>
      <c r="AT24" s="30">
        <f>COUNTIF(ParicipationJuillet1[[#This Row],[1]:[31]],Code11)</f>
        <v>0</v>
      </c>
      <c r="AU24" s="30">
        <f>COUNTIF(ParicipationJuillet1[[#This Row],[1]:[31]],Code12)</f>
        <v>0</v>
      </c>
      <c r="AV24" s="30">
        <f>COUNTIF(ParicipationJuillet1[[#This Row],[1]:[31]],Code13)</f>
        <v>0</v>
      </c>
      <c r="AW24" s="30">
        <f>COUNTIF(ParicipationJuillet1[[#This Row],[1]:[31]],Code14)</f>
        <v>0</v>
      </c>
      <c r="AX24" s="30">
        <f>COUNTIF(ParicipationJuillet1[[#This Row],[1]:[31]],Code15)</f>
        <v>0</v>
      </c>
      <c r="AY24" s="30">
        <f>COUNTIF(ParicipationJuillet1[[#This Row],[1]:[31]],Code16)</f>
        <v>0</v>
      </c>
      <c r="AZ24" s="30">
        <f>COUNTIF(ParicipationJuillet1[[#This Row],[1]:[31]],Code17)</f>
        <v>0</v>
      </c>
      <c r="BA24" s="30">
        <f>COUNTIF(ParicipationJuillet1[[#This Row],[1]:[31]],Code25)</f>
        <v>0</v>
      </c>
      <c r="BB24" s="30">
        <f>COUNTIF(ParicipationJuillet1[[#This Row],[1]:[31]],Code26)</f>
        <v>0</v>
      </c>
      <c r="BC24" s="30">
        <f>COUNTIF(ParicipationJuillet1[[#This Row],[1]:[31]],Code27)</f>
        <v>0</v>
      </c>
      <c r="BD24" s="30">
        <f>COUNTIF(ParicipationJuillet1[[#This Row],[1]:[31]],Code28)</f>
        <v>0</v>
      </c>
      <c r="BE24" s="30">
        <f>COUNTIF(ParicipationJuillet1[[#This Row],[1]:[31]],code30)</f>
        <v>0</v>
      </c>
      <c r="BF24" s="30">
        <f>COUNTIF(ParicipationJuillet1[[#This Row],[1]:[31]],Code31)</f>
        <v>0</v>
      </c>
      <c r="BG24" s="30">
        <f>COUNTIF(ParicipationJuillet1[[#This Row],[1]:[31]],code21)</f>
        <v>0</v>
      </c>
      <c r="BH24" s="30">
        <f>COUNTIF(ParicipationJuillet1[[#This Row],[1]:[31]],Code24)</f>
        <v>0</v>
      </c>
      <c r="BI24" s="30">
        <f>COUNTIF(ParicipationJuillet1[[#This Row],[1]:[31]],code18)</f>
        <v>0</v>
      </c>
      <c r="BJ24" s="30">
        <f>COUNTIF(ParicipationJuillet1[[#This Row],[1]:[31]],code19)</f>
        <v>0</v>
      </c>
      <c r="BK24" s="30">
        <f>COUNTIF(ParicipationJuillet1[[#This Row],[1]:[31]],code20)</f>
        <v>0</v>
      </c>
      <c r="BL24" s="164">
        <f>COUNTIF(ParicipationJuillet1[[#This Row],[1]:[31]],code29)</f>
        <v>0</v>
      </c>
      <c r="BM24" s="314"/>
      <c r="BN24" s="314"/>
      <c r="BO24" s="314"/>
      <c r="BP24" s="314"/>
      <c r="BQ24" s="314"/>
      <c r="BR24" s="314"/>
      <c r="BS24" s="314"/>
      <c r="BT24" s="314"/>
      <c r="BU24" s="314"/>
      <c r="BV24" s="314"/>
      <c r="BW24" s="314"/>
      <c r="BX24" s="314"/>
      <c r="BY24" s="314"/>
      <c r="BZ24" s="314"/>
      <c r="CA24" s="314"/>
      <c r="CB24" s="314"/>
      <c r="CC24" s="314"/>
      <c r="CD24" s="314"/>
      <c r="CE24" s="314"/>
      <c r="CF24" s="314"/>
      <c r="CG24" s="314"/>
      <c r="CH24" s="314"/>
      <c r="CI24" s="314"/>
      <c r="CJ24" s="314"/>
      <c r="CK24" s="314"/>
      <c r="CL24" s="314"/>
      <c r="CM24" s="314"/>
      <c r="CN24" s="314"/>
      <c r="CO24" s="314"/>
      <c r="CP24" s="314"/>
      <c r="CQ24" s="314"/>
      <c r="CR24" s="314"/>
      <c r="CS24" s="314"/>
      <c r="CT24" s="314"/>
      <c r="CU24" s="315"/>
      <c r="CV24" s="501">
        <f t="shared" si="0"/>
        <v>0</v>
      </c>
      <c r="CW24" s="501">
        <f t="shared" si="1"/>
        <v>0</v>
      </c>
      <c r="CX24" s="249">
        <f t="shared" si="2"/>
        <v>0</v>
      </c>
      <c r="CY24" s="170">
        <f t="shared" si="3"/>
        <v>0</v>
      </c>
    </row>
    <row r="25" spans="1:103">
      <c r="A25" s="112" t="s">
        <v>366</v>
      </c>
      <c r="B25" s="162" t="str">
        <f>IFERROR(VLOOKUP(ParicipationJuillet1[[#This Row],[Référence]],ListeÉtudiants1[],18,FALSE),"")</f>
        <v>BARREIROS  KATIE</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44"/>
      <c r="AH25" s="6">
        <f>COUNTIF(ParicipationJuillet1[[#This Row],[1]:[31]],Code1)</f>
        <v>0</v>
      </c>
      <c r="AI25" s="6">
        <f>COUNTIF(ParicipationJuillet1[[#This Row],[1]:[31]],code22)</f>
        <v>0</v>
      </c>
      <c r="AJ25" s="30">
        <f>COUNTIF(ParicipationJuillet1[[#This Row],[1]:[31]],Code2)</f>
        <v>0</v>
      </c>
      <c r="AK25" s="30">
        <f>COUNTIF(ParicipationJuillet1[[#This Row],[1]:[31]],Code3)</f>
        <v>0</v>
      </c>
      <c r="AL25" s="30">
        <f>COUNTIF(ParicipationJuillet1[[#This Row],[1]:[31]],Code4)</f>
        <v>0</v>
      </c>
      <c r="AM25" s="30">
        <f>COUNTIF(ParicipationJuillet1[[#This Row],[1]:[31]],Code5)</f>
        <v>0</v>
      </c>
      <c r="AN25" s="30">
        <f>COUNTIF(ParicipationJuillet1[[#This Row],[1]:[31]],Code23)</f>
        <v>0</v>
      </c>
      <c r="AO25" s="30">
        <f>COUNTIF(ParicipationJuillet1[[#This Row],[1]:[31]],Code6)</f>
        <v>0</v>
      </c>
      <c r="AP25" s="30">
        <f>COUNTIF(ParicipationJuillet1[[#This Row],[1]:[31]],Code7)</f>
        <v>0</v>
      </c>
      <c r="AQ25" s="30">
        <f>COUNTIF(ParicipationJuillet1[[#This Row],[1]:[31]],Code8)</f>
        <v>0</v>
      </c>
      <c r="AR25" s="30">
        <f>COUNTIF(ParicipationJuillet1[[#This Row],[1]:[31]],Code9)</f>
        <v>0</v>
      </c>
      <c r="AS25" s="30">
        <f>COUNTIF(ParicipationJuillet1[[#This Row],[1]:[31]],Code10)</f>
        <v>0</v>
      </c>
      <c r="AT25" s="30">
        <f>COUNTIF(ParicipationJuillet1[[#This Row],[1]:[31]],Code11)</f>
        <v>0</v>
      </c>
      <c r="AU25" s="30">
        <f>COUNTIF(ParicipationJuillet1[[#This Row],[1]:[31]],Code12)</f>
        <v>0</v>
      </c>
      <c r="AV25" s="30">
        <f>COUNTIF(ParicipationJuillet1[[#This Row],[1]:[31]],Code13)</f>
        <v>0</v>
      </c>
      <c r="AW25" s="30">
        <f>COUNTIF(ParicipationJuillet1[[#This Row],[1]:[31]],Code14)</f>
        <v>0</v>
      </c>
      <c r="AX25" s="30">
        <f>COUNTIF(ParicipationJuillet1[[#This Row],[1]:[31]],Code15)</f>
        <v>0</v>
      </c>
      <c r="AY25" s="30">
        <f>COUNTIF(ParicipationJuillet1[[#This Row],[1]:[31]],Code16)</f>
        <v>0</v>
      </c>
      <c r="AZ25" s="30">
        <f>COUNTIF(ParicipationJuillet1[[#This Row],[1]:[31]],Code17)</f>
        <v>0</v>
      </c>
      <c r="BA25" s="30">
        <f>COUNTIF(ParicipationJuillet1[[#This Row],[1]:[31]],Code25)</f>
        <v>0</v>
      </c>
      <c r="BB25" s="30">
        <f>COUNTIF(ParicipationJuillet1[[#This Row],[1]:[31]],Code26)</f>
        <v>0</v>
      </c>
      <c r="BC25" s="30">
        <f>COUNTIF(ParicipationJuillet1[[#This Row],[1]:[31]],Code27)</f>
        <v>0</v>
      </c>
      <c r="BD25" s="30">
        <f>COUNTIF(ParicipationJuillet1[[#This Row],[1]:[31]],Code28)</f>
        <v>0</v>
      </c>
      <c r="BE25" s="30">
        <f>COUNTIF(ParicipationJuillet1[[#This Row],[1]:[31]],code30)</f>
        <v>0</v>
      </c>
      <c r="BF25" s="30">
        <f>COUNTIF(ParicipationJuillet1[[#This Row],[1]:[31]],Code31)</f>
        <v>0</v>
      </c>
      <c r="BG25" s="30">
        <f>COUNTIF(ParicipationJuillet1[[#This Row],[1]:[31]],code21)</f>
        <v>0</v>
      </c>
      <c r="BH25" s="30">
        <f>COUNTIF(ParicipationJuillet1[[#This Row],[1]:[31]],Code24)</f>
        <v>0</v>
      </c>
      <c r="BI25" s="30">
        <f>COUNTIF(ParicipationJuillet1[[#This Row],[1]:[31]],code18)</f>
        <v>0</v>
      </c>
      <c r="BJ25" s="30">
        <f>COUNTIF(ParicipationJuillet1[[#This Row],[1]:[31]],code19)</f>
        <v>0</v>
      </c>
      <c r="BK25" s="30">
        <f>COUNTIF(ParicipationJuillet1[[#This Row],[1]:[31]],code20)</f>
        <v>0</v>
      </c>
      <c r="BL25" s="164">
        <f>COUNTIF(ParicipationJuillet1[[#This Row],[1]:[31]],code29)</f>
        <v>0</v>
      </c>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164"/>
      <c r="CV25" s="501">
        <f t="shared" si="0"/>
        <v>0</v>
      </c>
      <c r="CW25" s="501">
        <f t="shared" si="1"/>
        <v>0</v>
      </c>
      <c r="CX25" s="249">
        <f t="shared" si="2"/>
        <v>0</v>
      </c>
      <c r="CY25" s="170">
        <f t="shared" si="3"/>
        <v>0</v>
      </c>
    </row>
    <row r="26" spans="1:103">
      <c r="A26" s="112" t="s">
        <v>367</v>
      </c>
      <c r="B26" s="162" t="str">
        <f>IFERROR(VLOOKUP(ParicipationJuillet1[[#This Row],[Référence]],ListeÉtudiants1[],18,FALSE),"")</f>
        <v>BASTARDIE JULIEN</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44"/>
      <c r="AH26" s="6">
        <f>COUNTIF(ParicipationJuillet1[[#This Row],[1]:[31]],Code1)</f>
        <v>0</v>
      </c>
      <c r="AI26" s="6">
        <f>COUNTIF(ParicipationJuillet1[[#This Row],[1]:[31]],code22)</f>
        <v>0</v>
      </c>
      <c r="AJ26" s="30">
        <f>COUNTIF(ParicipationJuillet1[[#This Row],[1]:[31]],Code2)</f>
        <v>0</v>
      </c>
      <c r="AK26" s="30">
        <f>COUNTIF(ParicipationJuillet1[[#This Row],[1]:[31]],Code3)</f>
        <v>0</v>
      </c>
      <c r="AL26" s="30">
        <f>COUNTIF(ParicipationJuillet1[[#This Row],[1]:[31]],Code4)</f>
        <v>0</v>
      </c>
      <c r="AM26" s="30">
        <f>COUNTIF(ParicipationJuillet1[[#This Row],[1]:[31]],Code5)</f>
        <v>0</v>
      </c>
      <c r="AN26" s="30">
        <f>COUNTIF(ParicipationJuillet1[[#This Row],[1]:[31]],Code23)</f>
        <v>0</v>
      </c>
      <c r="AO26" s="30">
        <f>COUNTIF(ParicipationJuillet1[[#This Row],[1]:[31]],Code6)</f>
        <v>0</v>
      </c>
      <c r="AP26" s="30">
        <f>COUNTIF(ParicipationJuillet1[[#This Row],[1]:[31]],Code7)</f>
        <v>0</v>
      </c>
      <c r="AQ26" s="30">
        <f>COUNTIF(ParicipationJuillet1[[#This Row],[1]:[31]],Code8)</f>
        <v>0</v>
      </c>
      <c r="AR26" s="30">
        <f>COUNTIF(ParicipationJuillet1[[#This Row],[1]:[31]],Code9)</f>
        <v>0</v>
      </c>
      <c r="AS26" s="30">
        <f>COUNTIF(ParicipationJuillet1[[#This Row],[1]:[31]],Code10)</f>
        <v>0</v>
      </c>
      <c r="AT26" s="30">
        <f>COUNTIF(ParicipationJuillet1[[#This Row],[1]:[31]],Code11)</f>
        <v>0</v>
      </c>
      <c r="AU26" s="30">
        <f>COUNTIF(ParicipationJuillet1[[#This Row],[1]:[31]],Code12)</f>
        <v>0</v>
      </c>
      <c r="AV26" s="30">
        <f>COUNTIF(ParicipationJuillet1[[#This Row],[1]:[31]],Code13)</f>
        <v>0</v>
      </c>
      <c r="AW26" s="30">
        <f>COUNTIF(ParicipationJuillet1[[#This Row],[1]:[31]],Code14)</f>
        <v>0</v>
      </c>
      <c r="AX26" s="30">
        <f>COUNTIF(ParicipationJuillet1[[#This Row],[1]:[31]],Code15)</f>
        <v>0</v>
      </c>
      <c r="AY26" s="30">
        <f>COUNTIF(ParicipationJuillet1[[#This Row],[1]:[31]],Code16)</f>
        <v>0</v>
      </c>
      <c r="AZ26" s="30">
        <f>COUNTIF(ParicipationJuillet1[[#This Row],[1]:[31]],Code17)</f>
        <v>0</v>
      </c>
      <c r="BA26" s="30">
        <f>COUNTIF(ParicipationJuillet1[[#This Row],[1]:[31]],Code25)</f>
        <v>0</v>
      </c>
      <c r="BB26" s="30">
        <f>COUNTIF(ParicipationJuillet1[[#This Row],[1]:[31]],Code26)</f>
        <v>0</v>
      </c>
      <c r="BC26" s="30">
        <f>COUNTIF(ParicipationJuillet1[[#This Row],[1]:[31]],Code27)</f>
        <v>0</v>
      </c>
      <c r="BD26" s="30">
        <f>COUNTIF(ParicipationJuillet1[[#This Row],[1]:[31]],Code28)</f>
        <v>0</v>
      </c>
      <c r="BE26" s="30">
        <f>COUNTIF(ParicipationJuillet1[[#This Row],[1]:[31]],code30)</f>
        <v>0</v>
      </c>
      <c r="BF26" s="30">
        <f>COUNTIF(ParicipationJuillet1[[#This Row],[1]:[31]],Code31)</f>
        <v>0</v>
      </c>
      <c r="BG26" s="30">
        <f>COUNTIF(ParicipationJuillet1[[#This Row],[1]:[31]],code21)</f>
        <v>0</v>
      </c>
      <c r="BH26" s="30">
        <f>COUNTIF(ParicipationJuillet1[[#This Row],[1]:[31]],Code24)</f>
        <v>0</v>
      </c>
      <c r="BI26" s="30">
        <f>COUNTIF(ParicipationJuillet1[[#This Row],[1]:[31]],code18)</f>
        <v>0</v>
      </c>
      <c r="BJ26" s="30">
        <f>COUNTIF(ParicipationJuillet1[[#This Row],[1]:[31]],code19)</f>
        <v>0</v>
      </c>
      <c r="BK26" s="30">
        <f>COUNTIF(ParicipationJuillet1[[#This Row],[1]:[31]],code20)</f>
        <v>0</v>
      </c>
      <c r="BL26" s="164">
        <f>COUNTIF(ParicipationJuillet1[[#This Row],[1]:[31]],code29)</f>
        <v>0</v>
      </c>
      <c r="BM26" s="314"/>
      <c r="BN26" s="314"/>
      <c r="BO26" s="314"/>
      <c r="BP26" s="314"/>
      <c r="BQ26" s="314"/>
      <c r="BR26" s="314"/>
      <c r="BS26" s="314"/>
      <c r="BT26" s="314"/>
      <c r="BU26" s="314"/>
      <c r="BV26" s="314"/>
      <c r="BW26" s="314"/>
      <c r="BX26" s="314"/>
      <c r="BY26" s="314"/>
      <c r="BZ26" s="314"/>
      <c r="CA26" s="314"/>
      <c r="CB26" s="314"/>
      <c r="CC26" s="314"/>
      <c r="CD26" s="314"/>
      <c r="CE26" s="314"/>
      <c r="CF26" s="314"/>
      <c r="CG26" s="314"/>
      <c r="CH26" s="314"/>
      <c r="CI26" s="314"/>
      <c r="CJ26" s="314"/>
      <c r="CK26" s="314"/>
      <c r="CL26" s="314"/>
      <c r="CM26" s="314"/>
      <c r="CN26" s="314"/>
      <c r="CO26" s="314"/>
      <c r="CP26" s="314"/>
      <c r="CQ26" s="314"/>
      <c r="CR26" s="314"/>
      <c r="CS26" s="314"/>
      <c r="CT26" s="314"/>
      <c r="CU26" s="315"/>
      <c r="CV26" s="501">
        <f t="shared" si="0"/>
        <v>0</v>
      </c>
      <c r="CW26" s="501">
        <f t="shared" si="1"/>
        <v>0</v>
      </c>
      <c r="CX26" s="249">
        <f t="shared" si="2"/>
        <v>0</v>
      </c>
      <c r="CY26" s="170">
        <f t="shared" si="3"/>
        <v>0</v>
      </c>
    </row>
    <row r="27" spans="1:103">
      <c r="A27" s="112" t="s">
        <v>368</v>
      </c>
      <c r="B27" s="162" t="str">
        <f>IFERROR(VLOOKUP(ParicipationJuillet1[[#This Row],[Référence]],ListeÉtudiants1[],18,FALSE),"")</f>
        <v>BAUDET M0RGANE</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44"/>
      <c r="AH27" s="6">
        <f>COUNTIF(ParicipationJuillet1[[#This Row],[1]:[31]],Code1)</f>
        <v>0</v>
      </c>
      <c r="AI27" s="6">
        <f>COUNTIF(ParicipationJuillet1[[#This Row],[1]:[31]],code22)</f>
        <v>0</v>
      </c>
      <c r="AJ27" s="30">
        <f>COUNTIF(ParicipationJuillet1[[#This Row],[1]:[31]],Code2)</f>
        <v>0</v>
      </c>
      <c r="AK27" s="30">
        <f>COUNTIF(ParicipationJuillet1[[#This Row],[1]:[31]],Code3)</f>
        <v>0</v>
      </c>
      <c r="AL27" s="30">
        <f>COUNTIF(ParicipationJuillet1[[#This Row],[1]:[31]],Code4)</f>
        <v>0</v>
      </c>
      <c r="AM27" s="30">
        <f>COUNTIF(ParicipationJuillet1[[#This Row],[1]:[31]],Code5)</f>
        <v>0</v>
      </c>
      <c r="AN27" s="30">
        <f>COUNTIF(ParicipationJuillet1[[#This Row],[1]:[31]],Code23)</f>
        <v>0</v>
      </c>
      <c r="AO27" s="30">
        <f>COUNTIF(ParicipationJuillet1[[#This Row],[1]:[31]],Code6)</f>
        <v>0</v>
      </c>
      <c r="AP27" s="30">
        <f>COUNTIF(ParicipationJuillet1[[#This Row],[1]:[31]],Code7)</f>
        <v>0</v>
      </c>
      <c r="AQ27" s="30">
        <f>COUNTIF(ParicipationJuillet1[[#This Row],[1]:[31]],Code8)</f>
        <v>0</v>
      </c>
      <c r="AR27" s="30">
        <f>COUNTIF(ParicipationJuillet1[[#This Row],[1]:[31]],Code9)</f>
        <v>0</v>
      </c>
      <c r="AS27" s="30">
        <f>COUNTIF(ParicipationJuillet1[[#This Row],[1]:[31]],Code10)</f>
        <v>0</v>
      </c>
      <c r="AT27" s="30">
        <f>COUNTIF(ParicipationJuillet1[[#This Row],[1]:[31]],Code11)</f>
        <v>0</v>
      </c>
      <c r="AU27" s="30">
        <f>COUNTIF(ParicipationJuillet1[[#This Row],[1]:[31]],Code12)</f>
        <v>0</v>
      </c>
      <c r="AV27" s="30">
        <f>COUNTIF(ParicipationJuillet1[[#This Row],[1]:[31]],Code13)</f>
        <v>0</v>
      </c>
      <c r="AW27" s="30">
        <f>COUNTIF(ParicipationJuillet1[[#This Row],[1]:[31]],Code14)</f>
        <v>0</v>
      </c>
      <c r="AX27" s="30">
        <f>COUNTIF(ParicipationJuillet1[[#This Row],[1]:[31]],Code15)</f>
        <v>0</v>
      </c>
      <c r="AY27" s="30">
        <f>COUNTIF(ParicipationJuillet1[[#This Row],[1]:[31]],Code16)</f>
        <v>0</v>
      </c>
      <c r="AZ27" s="30">
        <f>COUNTIF(ParicipationJuillet1[[#This Row],[1]:[31]],Code17)</f>
        <v>0</v>
      </c>
      <c r="BA27" s="30">
        <f>COUNTIF(ParicipationJuillet1[[#This Row],[1]:[31]],Code25)</f>
        <v>0</v>
      </c>
      <c r="BB27" s="30">
        <f>COUNTIF(ParicipationJuillet1[[#This Row],[1]:[31]],Code26)</f>
        <v>0</v>
      </c>
      <c r="BC27" s="30">
        <f>COUNTIF(ParicipationJuillet1[[#This Row],[1]:[31]],Code27)</f>
        <v>0</v>
      </c>
      <c r="BD27" s="30">
        <f>COUNTIF(ParicipationJuillet1[[#This Row],[1]:[31]],Code28)</f>
        <v>0</v>
      </c>
      <c r="BE27" s="30">
        <f>COUNTIF(ParicipationJuillet1[[#This Row],[1]:[31]],code30)</f>
        <v>0</v>
      </c>
      <c r="BF27" s="30">
        <f>COUNTIF(ParicipationJuillet1[[#This Row],[1]:[31]],Code31)</f>
        <v>0</v>
      </c>
      <c r="BG27" s="30">
        <f>COUNTIF(ParicipationJuillet1[[#This Row],[1]:[31]],code21)</f>
        <v>0</v>
      </c>
      <c r="BH27" s="30">
        <f>COUNTIF(ParicipationJuillet1[[#This Row],[1]:[31]],Code24)</f>
        <v>0</v>
      </c>
      <c r="BI27" s="30">
        <f>COUNTIF(ParicipationJuillet1[[#This Row],[1]:[31]],code18)</f>
        <v>0</v>
      </c>
      <c r="BJ27" s="30">
        <f>COUNTIF(ParicipationJuillet1[[#This Row],[1]:[31]],code19)</f>
        <v>0</v>
      </c>
      <c r="BK27" s="30">
        <f>COUNTIF(ParicipationJuillet1[[#This Row],[1]:[31]],code20)</f>
        <v>0</v>
      </c>
      <c r="BL27" s="164">
        <f>COUNTIF(ParicipationJuillet1[[#This Row],[1]:[31]],code29)</f>
        <v>0</v>
      </c>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164"/>
      <c r="CV27" s="501">
        <f t="shared" si="0"/>
        <v>0</v>
      </c>
      <c r="CW27" s="501">
        <f t="shared" si="1"/>
        <v>0</v>
      </c>
      <c r="CX27" s="249">
        <f t="shared" si="2"/>
        <v>0</v>
      </c>
      <c r="CY27" s="170">
        <f t="shared" si="3"/>
        <v>0</v>
      </c>
    </row>
    <row r="28" spans="1:103">
      <c r="A28" s="112" t="s">
        <v>369</v>
      </c>
      <c r="B28" s="162" t="str">
        <f>IFERROR(VLOOKUP(ParicipationJuillet1[[#This Row],[Référence]],ListeÉtudiants1[],18,FALSE),"")</f>
        <v>BENOIST SANDY</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44"/>
      <c r="AH28" s="6">
        <f>COUNTIF(ParicipationJuillet1[[#This Row],[1]:[31]],Code1)</f>
        <v>0</v>
      </c>
      <c r="AI28" s="6">
        <f>COUNTIF(ParicipationJuillet1[[#This Row],[1]:[31]],code22)</f>
        <v>0</v>
      </c>
      <c r="AJ28" s="30">
        <f>COUNTIF(ParicipationJuillet1[[#This Row],[1]:[31]],Code2)</f>
        <v>0</v>
      </c>
      <c r="AK28" s="30">
        <f>COUNTIF(ParicipationJuillet1[[#This Row],[1]:[31]],Code3)</f>
        <v>0</v>
      </c>
      <c r="AL28" s="30">
        <f>COUNTIF(ParicipationJuillet1[[#This Row],[1]:[31]],Code4)</f>
        <v>0</v>
      </c>
      <c r="AM28" s="30">
        <f>COUNTIF(ParicipationJuillet1[[#This Row],[1]:[31]],Code5)</f>
        <v>0</v>
      </c>
      <c r="AN28" s="30">
        <f>COUNTIF(ParicipationJuillet1[[#This Row],[1]:[31]],Code23)</f>
        <v>0</v>
      </c>
      <c r="AO28" s="30">
        <f>COUNTIF(ParicipationJuillet1[[#This Row],[1]:[31]],Code6)</f>
        <v>0</v>
      </c>
      <c r="AP28" s="30">
        <f>COUNTIF(ParicipationJuillet1[[#This Row],[1]:[31]],Code7)</f>
        <v>0</v>
      </c>
      <c r="AQ28" s="30">
        <f>COUNTIF(ParicipationJuillet1[[#This Row],[1]:[31]],Code8)</f>
        <v>0</v>
      </c>
      <c r="AR28" s="30">
        <f>COUNTIF(ParicipationJuillet1[[#This Row],[1]:[31]],Code9)</f>
        <v>0</v>
      </c>
      <c r="AS28" s="30">
        <f>COUNTIF(ParicipationJuillet1[[#This Row],[1]:[31]],Code10)</f>
        <v>0</v>
      </c>
      <c r="AT28" s="30">
        <f>COUNTIF(ParicipationJuillet1[[#This Row],[1]:[31]],Code11)</f>
        <v>0</v>
      </c>
      <c r="AU28" s="30">
        <f>COUNTIF(ParicipationJuillet1[[#This Row],[1]:[31]],Code12)</f>
        <v>0</v>
      </c>
      <c r="AV28" s="30">
        <f>COUNTIF(ParicipationJuillet1[[#This Row],[1]:[31]],Code13)</f>
        <v>0</v>
      </c>
      <c r="AW28" s="30">
        <f>COUNTIF(ParicipationJuillet1[[#This Row],[1]:[31]],Code14)</f>
        <v>0</v>
      </c>
      <c r="AX28" s="30">
        <f>COUNTIF(ParicipationJuillet1[[#This Row],[1]:[31]],Code15)</f>
        <v>0</v>
      </c>
      <c r="AY28" s="30">
        <f>COUNTIF(ParicipationJuillet1[[#This Row],[1]:[31]],Code16)</f>
        <v>0</v>
      </c>
      <c r="AZ28" s="30">
        <f>COUNTIF(ParicipationJuillet1[[#This Row],[1]:[31]],Code17)</f>
        <v>0</v>
      </c>
      <c r="BA28" s="30">
        <f>COUNTIF(ParicipationJuillet1[[#This Row],[1]:[31]],Code25)</f>
        <v>0</v>
      </c>
      <c r="BB28" s="30">
        <f>COUNTIF(ParicipationJuillet1[[#This Row],[1]:[31]],Code26)</f>
        <v>0</v>
      </c>
      <c r="BC28" s="30">
        <f>COUNTIF(ParicipationJuillet1[[#This Row],[1]:[31]],Code27)</f>
        <v>0</v>
      </c>
      <c r="BD28" s="30">
        <f>COUNTIF(ParicipationJuillet1[[#This Row],[1]:[31]],Code28)</f>
        <v>0</v>
      </c>
      <c r="BE28" s="30">
        <f>COUNTIF(ParicipationJuillet1[[#This Row],[1]:[31]],code30)</f>
        <v>0</v>
      </c>
      <c r="BF28" s="30">
        <f>COUNTIF(ParicipationJuillet1[[#This Row],[1]:[31]],Code31)</f>
        <v>0</v>
      </c>
      <c r="BG28" s="30">
        <f>COUNTIF(ParicipationJuillet1[[#This Row],[1]:[31]],code21)</f>
        <v>0</v>
      </c>
      <c r="BH28" s="30">
        <f>COUNTIF(ParicipationJuillet1[[#This Row],[1]:[31]],Code24)</f>
        <v>0</v>
      </c>
      <c r="BI28" s="30">
        <f>COUNTIF(ParicipationJuillet1[[#This Row],[1]:[31]],code18)</f>
        <v>0</v>
      </c>
      <c r="BJ28" s="30">
        <f>COUNTIF(ParicipationJuillet1[[#This Row],[1]:[31]],code19)</f>
        <v>0</v>
      </c>
      <c r="BK28" s="30">
        <f>COUNTIF(ParicipationJuillet1[[#This Row],[1]:[31]],code20)</f>
        <v>0</v>
      </c>
      <c r="BL28" s="164">
        <f>COUNTIF(ParicipationJuillet1[[#This Row],[1]:[31]],code29)</f>
        <v>0</v>
      </c>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4"/>
      <c r="CQ28" s="314"/>
      <c r="CR28" s="314"/>
      <c r="CS28" s="314"/>
      <c r="CT28" s="314"/>
      <c r="CU28" s="315"/>
      <c r="CV28" s="501">
        <f t="shared" si="0"/>
        <v>0</v>
      </c>
      <c r="CW28" s="501">
        <f t="shared" si="1"/>
        <v>0</v>
      </c>
      <c r="CX28" s="249">
        <f t="shared" si="2"/>
        <v>0</v>
      </c>
      <c r="CY28" s="170">
        <f t="shared" si="3"/>
        <v>0</v>
      </c>
    </row>
    <row r="29" spans="1:103">
      <c r="A29" s="112" t="s">
        <v>370</v>
      </c>
      <c r="B29" s="162" t="str">
        <f>IFERROR(VLOOKUP(ParicipationJuillet1[[#This Row],[Référence]],ListeÉtudiants1[],18,FALSE),"")</f>
        <v>BENOUARETH NAWEL</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44"/>
      <c r="AH29" s="6">
        <f>COUNTIF(ParicipationJuillet1[[#This Row],[1]:[31]],Code1)</f>
        <v>0</v>
      </c>
      <c r="AI29" s="6">
        <f>COUNTIF(ParicipationJuillet1[[#This Row],[1]:[31]],code22)</f>
        <v>0</v>
      </c>
      <c r="AJ29" s="30">
        <f>COUNTIF(ParicipationJuillet1[[#This Row],[1]:[31]],Code2)</f>
        <v>0</v>
      </c>
      <c r="AK29" s="30">
        <f>COUNTIF(ParicipationJuillet1[[#This Row],[1]:[31]],Code3)</f>
        <v>0</v>
      </c>
      <c r="AL29" s="30">
        <f>COUNTIF(ParicipationJuillet1[[#This Row],[1]:[31]],Code4)</f>
        <v>0</v>
      </c>
      <c r="AM29" s="30">
        <f>COUNTIF(ParicipationJuillet1[[#This Row],[1]:[31]],Code5)</f>
        <v>0</v>
      </c>
      <c r="AN29" s="30">
        <f>COUNTIF(ParicipationJuillet1[[#This Row],[1]:[31]],Code23)</f>
        <v>0</v>
      </c>
      <c r="AO29" s="30">
        <f>COUNTIF(ParicipationJuillet1[[#This Row],[1]:[31]],Code6)</f>
        <v>0</v>
      </c>
      <c r="AP29" s="30">
        <f>COUNTIF(ParicipationJuillet1[[#This Row],[1]:[31]],Code7)</f>
        <v>0</v>
      </c>
      <c r="AQ29" s="30">
        <f>COUNTIF(ParicipationJuillet1[[#This Row],[1]:[31]],Code8)</f>
        <v>0</v>
      </c>
      <c r="AR29" s="30">
        <f>COUNTIF(ParicipationJuillet1[[#This Row],[1]:[31]],Code9)</f>
        <v>0</v>
      </c>
      <c r="AS29" s="30">
        <f>COUNTIF(ParicipationJuillet1[[#This Row],[1]:[31]],Code10)</f>
        <v>0</v>
      </c>
      <c r="AT29" s="30">
        <f>COUNTIF(ParicipationJuillet1[[#This Row],[1]:[31]],Code11)</f>
        <v>0</v>
      </c>
      <c r="AU29" s="30">
        <f>COUNTIF(ParicipationJuillet1[[#This Row],[1]:[31]],Code12)</f>
        <v>0</v>
      </c>
      <c r="AV29" s="30">
        <f>COUNTIF(ParicipationJuillet1[[#This Row],[1]:[31]],Code13)</f>
        <v>0</v>
      </c>
      <c r="AW29" s="30">
        <f>COUNTIF(ParicipationJuillet1[[#This Row],[1]:[31]],Code14)</f>
        <v>0</v>
      </c>
      <c r="AX29" s="30">
        <f>COUNTIF(ParicipationJuillet1[[#This Row],[1]:[31]],Code15)</f>
        <v>0</v>
      </c>
      <c r="AY29" s="30">
        <f>COUNTIF(ParicipationJuillet1[[#This Row],[1]:[31]],Code16)</f>
        <v>0</v>
      </c>
      <c r="AZ29" s="30">
        <f>COUNTIF(ParicipationJuillet1[[#This Row],[1]:[31]],Code17)</f>
        <v>0</v>
      </c>
      <c r="BA29" s="30">
        <f>COUNTIF(ParicipationJuillet1[[#This Row],[1]:[31]],Code25)</f>
        <v>0</v>
      </c>
      <c r="BB29" s="30">
        <f>COUNTIF(ParicipationJuillet1[[#This Row],[1]:[31]],Code26)</f>
        <v>0</v>
      </c>
      <c r="BC29" s="30">
        <f>COUNTIF(ParicipationJuillet1[[#This Row],[1]:[31]],Code27)</f>
        <v>0</v>
      </c>
      <c r="BD29" s="30">
        <f>COUNTIF(ParicipationJuillet1[[#This Row],[1]:[31]],Code28)</f>
        <v>0</v>
      </c>
      <c r="BE29" s="30">
        <f>COUNTIF(ParicipationJuillet1[[#This Row],[1]:[31]],code30)</f>
        <v>0</v>
      </c>
      <c r="BF29" s="30">
        <f>COUNTIF(ParicipationJuillet1[[#This Row],[1]:[31]],Code31)</f>
        <v>0</v>
      </c>
      <c r="BG29" s="30">
        <f>COUNTIF(ParicipationJuillet1[[#This Row],[1]:[31]],code21)</f>
        <v>0</v>
      </c>
      <c r="BH29" s="30">
        <f>COUNTIF(ParicipationJuillet1[[#This Row],[1]:[31]],Code24)</f>
        <v>0</v>
      </c>
      <c r="BI29" s="30">
        <f>COUNTIF(ParicipationJuillet1[[#This Row],[1]:[31]],code18)</f>
        <v>0</v>
      </c>
      <c r="BJ29" s="30">
        <f>COUNTIF(ParicipationJuillet1[[#This Row],[1]:[31]],code19)</f>
        <v>0</v>
      </c>
      <c r="BK29" s="30">
        <f>COUNTIF(ParicipationJuillet1[[#This Row],[1]:[31]],code20)</f>
        <v>0</v>
      </c>
      <c r="BL29" s="164">
        <f>COUNTIF(ParicipationJuillet1[[#This Row],[1]:[31]],code29)</f>
        <v>0</v>
      </c>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164"/>
      <c r="CV29" s="501">
        <f t="shared" si="0"/>
        <v>0</v>
      </c>
      <c r="CW29" s="501">
        <f t="shared" si="1"/>
        <v>0</v>
      </c>
      <c r="CX29" s="249">
        <f t="shared" si="2"/>
        <v>0</v>
      </c>
      <c r="CY29" s="170">
        <f t="shared" si="3"/>
        <v>0</v>
      </c>
    </row>
    <row r="30" spans="1:103">
      <c r="A30" s="112" t="s">
        <v>371</v>
      </c>
      <c r="B30" s="162" t="str">
        <f>IFERROR(VLOOKUP(ParicipationJuillet1[[#This Row],[Référence]],ListeÉtudiants1[],18,FALSE),"")</f>
        <v>BERNARD LUDOVIC</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44"/>
      <c r="AH30" s="6">
        <f>COUNTIF(ParicipationJuillet1[[#This Row],[1]:[31]],Code1)</f>
        <v>0</v>
      </c>
      <c r="AI30" s="6">
        <f>COUNTIF(ParicipationJuillet1[[#This Row],[1]:[31]],code22)</f>
        <v>0</v>
      </c>
      <c r="AJ30" s="30">
        <f>COUNTIF(ParicipationJuillet1[[#This Row],[1]:[31]],Code2)</f>
        <v>0</v>
      </c>
      <c r="AK30" s="30">
        <f>COUNTIF(ParicipationJuillet1[[#This Row],[1]:[31]],Code3)</f>
        <v>0</v>
      </c>
      <c r="AL30" s="30">
        <f>COUNTIF(ParicipationJuillet1[[#This Row],[1]:[31]],Code4)</f>
        <v>0</v>
      </c>
      <c r="AM30" s="30">
        <f>COUNTIF(ParicipationJuillet1[[#This Row],[1]:[31]],Code5)</f>
        <v>0</v>
      </c>
      <c r="AN30" s="30">
        <f>COUNTIF(ParicipationJuillet1[[#This Row],[1]:[31]],Code23)</f>
        <v>0</v>
      </c>
      <c r="AO30" s="30">
        <f>COUNTIF(ParicipationJuillet1[[#This Row],[1]:[31]],Code6)</f>
        <v>0</v>
      </c>
      <c r="AP30" s="30">
        <f>COUNTIF(ParicipationJuillet1[[#This Row],[1]:[31]],Code7)</f>
        <v>0</v>
      </c>
      <c r="AQ30" s="30">
        <f>COUNTIF(ParicipationJuillet1[[#This Row],[1]:[31]],Code8)</f>
        <v>0</v>
      </c>
      <c r="AR30" s="30">
        <f>COUNTIF(ParicipationJuillet1[[#This Row],[1]:[31]],Code9)</f>
        <v>0</v>
      </c>
      <c r="AS30" s="30">
        <f>COUNTIF(ParicipationJuillet1[[#This Row],[1]:[31]],Code10)</f>
        <v>0</v>
      </c>
      <c r="AT30" s="30">
        <f>COUNTIF(ParicipationJuillet1[[#This Row],[1]:[31]],Code11)</f>
        <v>0</v>
      </c>
      <c r="AU30" s="30">
        <f>COUNTIF(ParicipationJuillet1[[#This Row],[1]:[31]],Code12)</f>
        <v>0</v>
      </c>
      <c r="AV30" s="30">
        <f>COUNTIF(ParicipationJuillet1[[#This Row],[1]:[31]],Code13)</f>
        <v>0</v>
      </c>
      <c r="AW30" s="30">
        <f>COUNTIF(ParicipationJuillet1[[#This Row],[1]:[31]],Code14)</f>
        <v>0</v>
      </c>
      <c r="AX30" s="30">
        <f>COUNTIF(ParicipationJuillet1[[#This Row],[1]:[31]],Code15)</f>
        <v>0</v>
      </c>
      <c r="AY30" s="30">
        <f>COUNTIF(ParicipationJuillet1[[#This Row],[1]:[31]],Code16)</f>
        <v>0</v>
      </c>
      <c r="AZ30" s="30">
        <f>COUNTIF(ParicipationJuillet1[[#This Row],[1]:[31]],Code17)</f>
        <v>0</v>
      </c>
      <c r="BA30" s="30">
        <f>COUNTIF(ParicipationJuillet1[[#This Row],[1]:[31]],Code25)</f>
        <v>0</v>
      </c>
      <c r="BB30" s="30">
        <f>COUNTIF(ParicipationJuillet1[[#This Row],[1]:[31]],Code26)</f>
        <v>0</v>
      </c>
      <c r="BC30" s="30">
        <f>COUNTIF(ParicipationJuillet1[[#This Row],[1]:[31]],Code27)</f>
        <v>0</v>
      </c>
      <c r="BD30" s="30">
        <f>COUNTIF(ParicipationJuillet1[[#This Row],[1]:[31]],Code28)</f>
        <v>0</v>
      </c>
      <c r="BE30" s="30">
        <f>COUNTIF(ParicipationJuillet1[[#This Row],[1]:[31]],code30)</f>
        <v>0</v>
      </c>
      <c r="BF30" s="30">
        <f>COUNTIF(ParicipationJuillet1[[#This Row],[1]:[31]],Code31)</f>
        <v>0</v>
      </c>
      <c r="BG30" s="30">
        <f>COUNTIF(ParicipationJuillet1[[#This Row],[1]:[31]],code21)</f>
        <v>0</v>
      </c>
      <c r="BH30" s="30">
        <f>COUNTIF(ParicipationJuillet1[[#This Row],[1]:[31]],Code24)</f>
        <v>0</v>
      </c>
      <c r="BI30" s="30">
        <f>COUNTIF(ParicipationJuillet1[[#This Row],[1]:[31]],code18)</f>
        <v>0</v>
      </c>
      <c r="BJ30" s="30">
        <f>COUNTIF(ParicipationJuillet1[[#This Row],[1]:[31]],code19)</f>
        <v>0</v>
      </c>
      <c r="BK30" s="30">
        <f>COUNTIF(ParicipationJuillet1[[#This Row],[1]:[31]],code20)</f>
        <v>0</v>
      </c>
      <c r="BL30" s="164">
        <f>COUNTIF(ParicipationJuillet1[[#This Row],[1]:[31]],code29)</f>
        <v>0</v>
      </c>
      <c r="BM30" s="314"/>
      <c r="BN30" s="314"/>
      <c r="BO30" s="314"/>
      <c r="BP30" s="314"/>
      <c r="BQ30" s="314"/>
      <c r="BR30" s="314"/>
      <c r="BS30" s="314"/>
      <c r="BT30" s="314"/>
      <c r="BU30" s="314"/>
      <c r="BV30" s="314"/>
      <c r="BW30" s="314"/>
      <c r="BX30" s="314"/>
      <c r="BY30" s="314"/>
      <c r="BZ30" s="314"/>
      <c r="CA30" s="314"/>
      <c r="CB30" s="314"/>
      <c r="CC30" s="314"/>
      <c r="CD30" s="314"/>
      <c r="CE30" s="314"/>
      <c r="CF30" s="314"/>
      <c r="CG30" s="314"/>
      <c r="CH30" s="314"/>
      <c r="CI30" s="314"/>
      <c r="CJ30" s="314"/>
      <c r="CK30" s="314"/>
      <c r="CL30" s="314"/>
      <c r="CM30" s="314"/>
      <c r="CN30" s="314"/>
      <c r="CO30" s="314"/>
      <c r="CP30" s="314"/>
      <c r="CQ30" s="314"/>
      <c r="CR30" s="314"/>
      <c r="CS30" s="314"/>
      <c r="CT30" s="314"/>
      <c r="CU30" s="315"/>
      <c r="CV30" s="501">
        <f t="shared" si="0"/>
        <v>0</v>
      </c>
      <c r="CW30" s="501">
        <f t="shared" si="1"/>
        <v>0</v>
      </c>
      <c r="CX30" s="249">
        <f t="shared" si="2"/>
        <v>0</v>
      </c>
      <c r="CY30" s="170">
        <f t="shared" si="3"/>
        <v>0</v>
      </c>
    </row>
    <row r="31" spans="1:103">
      <c r="A31" s="112" t="s">
        <v>372</v>
      </c>
      <c r="B31" s="162" t="str">
        <f>IFERROR(VLOOKUP(ParicipationJuillet1[[#This Row],[Référence]],ListeÉtudiants1[],18,FALSE),"")</f>
        <v>BESTEL AGATHE</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44"/>
      <c r="AH31" s="6">
        <f>COUNTIF(ParicipationJuillet1[[#This Row],[1]:[31]],Code1)</f>
        <v>0</v>
      </c>
      <c r="AI31" s="6">
        <f>COUNTIF(ParicipationJuillet1[[#This Row],[1]:[31]],code22)</f>
        <v>0</v>
      </c>
      <c r="AJ31" s="30">
        <f>COUNTIF(ParicipationJuillet1[[#This Row],[1]:[31]],Code2)</f>
        <v>0</v>
      </c>
      <c r="AK31" s="30">
        <f>COUNTIF(ParicipationJuillet1[[#This Row],[1]:[31]],Code3)</f>
        <v>0</v>
      </c>
      <c r="AL31" s="30">
        <f>COUNTIF(ParicipationJuillet1[[#This Row],[1]:[31]],Code4)</f>
        <v>0</v>
      </c>
      <c r="AM31" s="30">
        <f>COUNTIF(ParicipationJuillet1[[#This Row],[1]:[31]],Code5)</f>
        <v>0</v>
      </c>
      <c r="AN31" s="30">
        <f>COUNTIF(ParicipationJuillet1[[#This Row],[1]:[31]],Code23)</f>
        <v>0</v>
      </c>
      <c r="AO31" s="30">
        <f>COUNTIF(ParicipationJuillet1[[#This Row],[1]:[31]],Code6)</f>
        <v>0</v>
      </c>
      <c r="AP31" s="30">
        <f>COUNTIF(ParicipationJuillet1[[#This Row],[1]:[31]],Code7)</f>
        <v>0</v>
      </c>
      <c r="AQ31" s="30">
        <f>COUNTIF(ParicipationJuillet1[[#This Row],[1]:[31]],Code8)</f>
        <v>0</v>
      </c>
      <c r="AR31" s="30">
        <f>COUNTIF(ParicipationJuillet1[[#This Row],[1]:[31]],Code9)</f>
        <v>0</v>
      </c>
      <c r="AS31" s="30">
        <f>COUNTIF(ParicipationJuillet1[[#This Row],[1]:[31]],Code10)</f>
        <v>0</v>
      </c>
      <c r="AT31" s="30">
        <f>COUNTIF(ParicipationJuillet1[[#This Row],[1]:[31]],Code11)</f>
        <v>0</v>
      </c>
      <c r="AU31" s="30">
        <f>COUNTIF(ParicipationJuillet1[[#This Row],[1]:[31]],Code12)</f>
        <v>0</v>
      </c>
      <c r="AV31" s="30">
        <f>COUNTIF(ParicipationJuillet1[[#This Row],[1]:[31]],Code13)</f>
        <v>0</v>
      </c>
      <c r="AW31" s="30">
        <f>COUNTIF(ParicipationJuillet1[[#This Row],[1]:[31]],Code14)</f>
        <v>0</v>
      </c>
      <c r="AX31" s="30">
        <f>COUNTIF(ParicipationJuillet1[[#This Row],[1]:[31]],Code15)</f>
        <v>0</v>
      </c>
      <c r="AY31" s="30">
        <f>COUNTIF(ParicipationJuillet1[[#This Row],[1]:[31]],Code16)</f>
        <v>0</v>
      </c>
      <c r="AZ31" s="30">
        <f>COUNTIF(ParicipationJuillet1[[#This Row],[1]:[31]],Code17)</f>
        <v>0</v>
      </c>
      <c r="BA31" s="30">
        <f>COUNTIF(ParicipationJuillet1[[#This Row],[1]:[31]],Code25)</f>
        <v>0</v>
      </c>
      <c r="BB31" s="30">
        <f>COUNTIF(ParicipationJuillet1[[#This Row],[1]:[31]],Code26)</f>
        <v>0</v>
      </c>
      <c r="BC31" s="30">
        <f>COUNTIF(ParicipationJuillet1[[#This Row],[1]:[31]],Code27)</f>
        <v>0</v>
      </c>
      <c r="BD31" s="30">
        <f>COUNTIF(ParicipationJuillet1[[#This Row],[1]:[31]],Code28)</f>
        <v>0</v>
      </c>
      <c r="BE31" s="30">
        <f>COUNTIF(ParicipationJuillet1[[#This Row],[1]:[31]],code30)</f>
        <v>0</v>
      </c>
      <c r="BF31" s="30">
        <f>COUNTIF(ParicipationJuillet1[[#This Row],[1]:[31]],Code31)</f>
        <v>0</v>
      </c>
      <c r="BG31" s="30">
        <f>COUNTIF(ParicipationJuillet1[[#This Row],[1]:[31]],code21)</f>
        <v>0</v>
      </c>
      <c r="BH31" s="30">
        <f>COUNTIF(ParicipationJuillet1[[#This Row],[1]:[31]],Code24)</f>
        <v>0</v>
      </c>
      <c r="BI31" s="30">
        <f>COUNTIF(ParicipationJuillet1[[#This Row],[1]:[31]],code18)</f>
        <v>0</v>
      </c>
      <c r="BJ31" s="30">
        <f>COUNTIF(ParicipationJuillet1[[#This Row],[1]:[31]],code19)</f>
        <v>0</v>
      </c>
      <c r="BK31" s="30">
        <f>COUNTIF(ParicipationJuillet1[[#This Row],[1]:[31]],code20)</f>
        <v>0</v>
      </c>
      <c r="BL31" s="164">
        <f>COUNTIF(ParicipationJuillet1[[#This Row],[1]:[31]],code29)</f>
        <v>0</v>
      </c>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164"/>
      <c r="CV31" s="501">
        <f t="shared" si="0"/>
        <v>0</v>
      </c>
      <c r="CW31" s="501">
        <f t="shared" si="1"/>
        <v>0</v>
      </c>
      <c r="CX31" s="249">
        <f t="shared" si="2"/>
        <v>0</v>
      </c>
      <c r="CY31" s="170">
        <f t="shared" si="3"/>
        <v>0</v>
      </c>
    </row>
    <row r="32" spans="1:103">
      <c r="A32" s="112" t="s">
        <v>373</v>
      </c>
      <c r="B32" s="162" t="str">
        <f>IFERROR(VLOOKUP(ParicipationJuillet1[[#This Row],[Référence]],ListeÉtudiants1[],18,FALSE),"")</f>
        <v>BLOT  WENDY</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44"/>
      <c r="AH32" s="6">
        <f>COUNTIF(ParicipationJuillet1[[#This Row],[1]:[31]],Code1)</f>
        <v>0</v>
      </c>
      <c r="AI32" s="6">
        <f>COUNTIF(ParicipationJuillet1[[#This Row],[1]:[31]],code22)</f>
        <v>0</v>
      </c>
      <c r="AJ32" s="30">
        <f>COUNTIF(ParicipationJuillet1[[#This Row],[1]:[31]],Code2)</f>
        <v>0</v>
      </c>
      <c r="AK32" s="30">
        <f>COUNTIF(ParicipationJuillet1[[#This Row],[1]:[31]],Code3)</f>
        <v>0</v>
      </c>
      <c r="AL32" s="30">
        <f>COUNTIF(ParicipationJuillet1[[#This Row],[1]:[31]],Code4)</f>
        <v>0</v>
      </c>
      <c r="AM32" s="30">
        <f>COUNTIF(ParicipationJuillet1[[#This Row],[1]:[31]],Code5)</f>
        <v>0</v>
      </c>
      <c r="AN32" s="30">
        <f>COUNTIF(ParicipationJuillet1[[#This Row],[1]:[31]],Code23)</f>
        <v>0</v>
      </c>
      <c r="AO32" s="30">
        <f>COUNTIF(ParicipationJuillet1[[#This Row],[1]:[31]],Code6)</f>
        <v>0</v>
      </c>
      <c r="AP32" s="30">
        <f>COUNTIF(ParicipationJuillet1[[#This Row],[1]:[31]],Code7)</f>
        <v>0</v>
      </c>
      <c r="AQ32" s="30">
        <f>COUNTIF(ParicipationJuillet1[[#This Row],[1]:[31]],Code8)</f>
        <v>0</v>
      </c>
      <c r="AR32" s="30">
        <f>COUNTIF(ParicipationJuillet1[[#This Row],[1]:[31]],Code9)</f>
        <v>0</v>
      </c>
      <c r="AS32" s="30">
        <f>COUNTIF(ParicipationJuillet1[[#This Row],[1]:[31]],Code10)</f>
        <v>0</v>
      </c>
      <c r="AT32" s="30">
        <f>COUNTIF(ParicipationJuillet1[[#This Row],[1]:[31]],Code11)</f>
        <v>0</v>
      </c>
      <c r="AU32" s="30">
        <f>COUNTIF(ParicipationJuillet1[[#This Row],[1]:[31]],Code12)</f>
        <v>0</v>
      </c>
      <c r="AV32" s="30">
        <f>COUNTIF(ParicipationJuillet1[[#This Row],[1]:[31]],Code13)</f>
        <v>0</v>
      </c>
      <c r="AW32" s="30">
        <f>COUNTIF(ParicipationJuillet1[[#This Row],[1]:[31]],Code14)</f>
        <v>0</v>
      </c>
      <c r="AX32" s="30">
        <f>COUNTIF(ParicipationJuillet1[[#This Row],[1]:[31]],Code15)</f>
        <v>0</v>
      </c>
      <c r="AY32" s="30">
        <f>COUNTIF(ParicipationJuillet1[[#This Row],[1]:[31]],Code16)</f>
        <v>0</v>
      </c>
      <c r="AZ32" s="30">
        <f>COUNTIF(ParicipationJuillet1[[#This Row],[1]:[31]],Code17)</f>
        <v>0</v>
      </c>
      <c r="BA32" s="30">
        <f>COUNTIF(ParicipationJuillet1[[#This Row],[1]:[31]],Code25)</f>
        <v>0</v>
      </c>
      <c r="BB32" s="30">
        <f>COUNTIF(ParicipationJuillet1[[#This Row],[1]:[31]],Code26)</f>
        <v>0</v>
      </c>
      <c r="BC32" s="30">
        <f>COUNTIF(ParicipationJuillet1[[#This Row],[1]:[31]],Code27)</f>
        <v>0</v>
      </c>
      <c r="BD32" s="30">
        <f>COUNTIF(ParicipationJuillet1[[#This Row],[1]:[31]],Code28)</f>
        <v>0</v>
      </c>
      <c r="BE32" s="30">
        <f>COUNTIF(ParicipationJuillet1[[#This Row],[1]:[31]],code30)</f>
        <v>0</v>
      </c>
      <c r="BF32" s="30">
        <f>COUNTIF(ParicipationJuillet1[[#This Row],[1]:[31]],Code31)</f>
        <v>0</v>
      </c>
      <c r="BG32" s="30">
        <f>COUNTIF(ParicipationJuillet1[[#This Row],[1]:[31]],code21)</f>
        <v>0</v>
      </c>
      <c r="BH32" s="30">
        <f>COUNTIF(ParicipationJuillet1[[#This Row],[1]:[31]],Code24)</f>
        <v>0</v>
      </c>
      <c r="BI32" s="30">
        <f>COUNTIF(ParicipationJuillet1[[#This Row],[1]:[31]],code18)</f>
        <v>0</v>
      </c>
      <c r="BJ32" s="30">
        <f>COUNTIF(ParicipationJuillet1[[#This Row],[1]:[31]],code19)</f>
        <v>0</v>
      </c>
      <c r="BK32" s="30">
        <f>COUNTIF(ParicipationJuillet1[[#This Row],[1]:[31]],code20)</f>
        <v>0</v>
      </c>
      <c r="BL32" s="164">
        <f>COUNTIF(ParicipationJuillet1[[#This Row],[1]:[31]],code29)</f>
        <v>0</v>
      </c>
      <c r="BM32" s="314"/>
      <c r="BN32" s="314"/>
      <c r="BO32" s="314"/>
      <c r="BP32" s="314"/>
      <c r="BQ32" s="314"/>
      <c r="BR32" s="314"/>
      <c r="BS32" s="314"/>
      <c r="BT32" s="314"/>
      <c r="BU32" s="314"/>
      <c r="BV32" s="314"/>
      <c r="BW32" s="314"/>
      <c r="BX32" s="314"/>
      <c r="BY32" s="314"/>
      <c r="BZ32" s="314"/>
      <c r="CA32" s="314"/>
      <c r="CB32" s="314"/>
      <c r="CC32" s="314"/>
      <c r="CD32" s="314"/>
      <c r="CE32" s="314"/>
      <c r="CF32" s="314"/>
      <c r="CG32" s="314"/>
      <c r="CH32" s="314"/>
      <c r="CI32" s="314"/>
      <c r="CJ32" s="314"/>
      <c r="CK32" s="314"/>
      <c r="CL32" s="314"/>
      <c r="CM32" s="314"/>
      <c r="CN32" s="314"/>
      <c r="CO32" s="314"/>
      <c r="CP32" s="314"/>
      <c r="CQ32" s="314"/>
      <c r="CR32" s="314"/>
      <c r="CS32" s="314"/>
      <c r="CT32" s="314"/>
      <c r="CU32" s="315"/>
      <c r="CV32" s="501">
        <f t="shared" si="0"/>
        <v>0</v>
      </c>
      <c r="CW32" s="501">
        <f t="shared" si="1"/>
        <v>0</v>
      </c>
      <c r="CX32" s="249">
        <f t="shared" si="2"/>
        <v>0</v>
      </c>
      <c r="CY32" s="171">
        <f t="shared" si="3"/>
        <v>0</v>
      </c>
    </row>
    <row r="33" spans="1:103">
      <c r="A33" s="112" t="s">
        <v>374</v>
      </c>
      <c r="B33" s="162" t="str">
        <f>IFERROR(VLOOKUP(ParicipationJuillet1[[#This Row],[Référence]],ListeÉtudiants1[],18,FALSE),"")</f>
        <v>BOISSELET CHRISTELLE</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44"/>
      <c r="AH33" s="6">
        <f>COUNTIF(ParicipationJuillet1[[#This Row],[1]:[31]],Code1)</f>
        <v>0</v>
      </c>
      <c r="AI33" s="6">
        <f>COUNTIF(ParicipationJuillet1[[#This Row],[1]:[31]],code22)</f>
        <v>0</v>
      </c>
      <c r="AJ33" s="30">
        <f>COUNTIF(ParicipationJuillet1[[#This Row],[1]:[31]],Code2)</f>
        <v>0</v>
      </c>
      <c r="AK33" s="30">
        <f>COUNTIF(ParicipationJuillet1[[#This Row],[1]:[31]],Code3)</f>
        <v>0</v>
      </c>
      <c r="AL33" s="30">
        <f>COUNTIF(ParicipationJuillet1[[#This Row],[1]:[31]],Code4)</f>
        <v>0</v>
      </c>
      <c r="AM33" s="30">
        <f>COUNTIF(ParicipationJuillet1[[#This Row],[1]:[31]],Code5)</f>
        <v>0</v>
      </c>
      <c r="AN33" s="30">
        <f>COUNTIF(ParicipationJuillet1[[#This Row],[1]:[31]],Code23)</f>
        <v>0</v>
      </c>
      <c r="AO33" s="30">
        <f>COUNTIF(ParicipationJuillet1[[#This Row],[1]:[31]],Code6)</f>
        <v>0</v>
      </c>
      <c r="AP33" s="30">
        <f>COUNTIF(ParicipationJuillet1[[#This Row],[1]:[31]],Code7)</f>
        <v>0</v>
      </c>
      <c r="AQ33" s="30">
        <f>COUNTIF(ParicipationJuillet1[[#This Row],[1]:[31]],Code8)</f>
        <v>0</v>
      </c>
      <c r="AR33" s="30">
        <f>COUNTIF(ParicipationJuillet1[[#This Row],[1]:[31]],Code9)</f>
        <v>0</v>
      </c>
      <c r="AS33" s="30">
        <f>COUNTIF(ParicipationJuillet1[[#This Row],[1]:[31]],Code10)</f>
        <v>0</v>
      </c>
      <c r="AT33" s="30">
        <f>COUNTIF(ParicipationJuillet1[[#This Row],[1]:[31]],Code11)</f>
        <v>0</v>
      </c>
      <c r="AU33" s="30">
        <f>COUNTIF(ParicipationJuillet1[[#This Row],[1]:[31]],Code12)</f>
        <v>0</v>
      </c>
      <c r="AV33" s="30">
        <f>COUNTIF(ParicipationJuillet1[[#This Row],[1]:[31]],Code13)</f>
        <v>0</v>
      </c>
      <c r="AW33" s="30">
        <f>COUNTIF(ParicipationJuillet1[[#This Row],[1]:[31]],Code14)</f>
        <v>0</v>
      </c>
      <c r="AX33" s="30">
        <f>COUNTIF(ParicipationJuillet1[[#This Row],[1]:[31]],Code15)</f>
        <v>0</v>
      </c>
      <c r="AY33" s="30">
        <f>COUNTIF(ParicipationJuillet1[[#This Row],[1]:[31]],Code16)</f>
        <v>0</v>
      </c>
      <c r="AZ33" s="30">
        <f>COUNTIF(ParicipationJuillet1[[#This Row],[1]:[31]],Code17)</f>
        <v>0</v>
      </c>
      <c r="BA33" s="30">
        <f>COUNTIF(ParicipationJuillet1[[#This Row],[1]:[31]],Code25)</f>
        <v>0</v>
      </c>
      <c r="BB33" s="30">
        <f>COUNTIF(ParicipationJuillet1[[#This Row],[1]:[31]],Code26)</f>
        <v>0</v>
      </c>
      <c r="BC33" s="30">
        <f>COUNTIF(ParicipationJuillet1[[#This Row],[1]:[31]],Code27)</f>
        <v>0</v>
      </c>
      <c r="BD33" s="30">
        <f>COUNTIF(ParicipationJuillet1[[#This Row],[1]:[31]],Code28)</f>
        <v>0</v>
      </c>
      <c r="BE33" s="30">
        <f>COUNTIF(ParicipationJuillet1[[#This Row],[1]:[31]],code30)</f>
        <v>0</v>
      </c>
      <c r="BF33" s="30">
        <f>COUNTIF(ParicipationJuillet1[[#This Row],[1]:[31]],Code31)</f>
        <v>0</v>
      </c>
      <c r="BG33" s="30">
        <f>COUNTIF(ParicipationJuillet1[[#This Row],[1]:[31]],code21)</f>
        <v>0</v>
      </c>
      <c r="BH33" s="30">
        <f>COUNTIF(ParicipationJuillet1[[#This Row],[1]:[31]],Code24)</f>
        <v>0</v>
      </c>
      <c r="BI33" s="30">
        <f>COUNTIF(ParicipationJuillet1[[#This Row],[1]:[31]],code18)</f>
        <v>0</v>
      </c>
      <c r="BJ33" s="30">
        <f>COUNTIF(ParicipationJuillet1[[#This Row],[1]:[31]],code19)</f>
        <v>0</v>
      </c>
      <c r="BK33" s="30">
        <f>COUNTIF(ParicipationJuillet1[[#This Row],[1]:[31]],code20)</f>
        <v>0</v>
      </c>
      <c r="BL33" s="164">
        <f>COUNTIF(ParicipationJuillet1[[#This Row],[1]:[31]],code29)</f>
        <v>0</v>
      </c>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164"/>
      <c r="CV33" s="501">
        <f t="shared" si="0"/>
        <v>0</v>
      </c>
      <c r="CW33" s="501">
        <f t="shared" si="1"/>
        <v>0</v>
      </c>
      <c r="CX33" s="249">
        <f t="shared" si="2"/>
        <v>0</v>
      </c>
      <c r="CY33" s="171">
        <f t="shared" si="3"/>
        <v>0</v>
      </c>
    </row>
    <row r="34" spans="1:103">
      <c r="A34" s="112" t="s">
        <v>375</v>
      </c>
      <c r="B34" s="162" t="str">
        <f>IFERROR(VLOOKUP(ParicipationJuillet1[[#This Row],[Référence]],ListeÉtudiants1[],18,FALSE),"")</f>
        <v>BOUCAUD  CHRISTINE</v>
      </c>
      <c r="C34" s="530"/>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44"/>
      <c r="AH34" s="6">
        <f>COUNTIF(ParicipationJuillet1[[#This Row],[1]:[31]],Code1)</f>
        <v>0</v>
      </c>
      <c r="AI34" s="6">
        <f>COUNTIF(ParicipationJuillet1[[#This Row],[1]:[31]],code22)</f>
        <v>0</v>
      </c>
      <c r="AJ34" s="30">
        <f>COUNTIF(ParicipationJuillet1[[#This Row],[1]:[31]],Code2)</f>
        <v>0</v>
      </c>
      <c r="AK34" s="30">
        <f>COUNTIF(ParicipationJuillet1[[#This Row],[1]:[31]],Code3)</f>
        <v>0</v>
      </c>
      <c r="AL34" s="30">
        <f>COUNTIF(ParicipationJuillet1[[#This Row],[1]:[31]],Code4)</f>
        <v>0</v>
      </c>
      <c r="AM34" s="30">
        <f>COUNTIF(ParicipationJuillet1[[#This Row],[1]:[31]],Code5)</f>
        <v>0</v>
      </c>
      <c r="AN34" s="30">
        <f>COUNTIF(ParicipationJuillet1[[#This Row],[1]:[31]],Code23)</f>
        <v>0</v>
      </c>
      <c r="AO34" s="30">
        <f>COUNTIF(ParicipationJuillet1[[#This Row],[1]:[31]],Code6)</f>
        <v>0</v>
      </c>
      <c r="AP34" s="30">
        <f>COUNTIF(ParicipationJuillet1[[#This Row],[1]:[31]],Code7)</f>
        <v>0</v>
      </c>
      <c r="AQ34" s="30">
        <f>COUNTIF(ParicipationJuillet1[[#This Row],[1]:[31]],Code8)</f>
        <v>0</v>
      </c>
      <c r="AR34" s="30">
        <f>COUNTIF(ParicipationJuillet1[[#This Row],[1]:[31]],Code9)</f>
        <v>0</v>
      </c>
      <c r="AS34" s="30">
        <f>COUNTIF(ParicipationJuillet1[[#This Row],[1]:[31]],Code10)</f>
        <v>0</v>
      </c>
      <c r="AT34" s="30">
        <f>COUNTIF(ParicipationJuillet1[[#This Row],[1]:[31]],Code11)</f>
        <v>0</v>
      </c>
      <c r="AU34" s="30">
        <f>COUNTIF(ParicipationJuillet1[[#This Row],[1]:[31]],Code12)</f>
        <v>0</v>
      </c>
      <c r="AV34" s="30">
        <f>COUNTIF(ParicipationJuillet1[[#This Row],[1]:[31]],Code13)</f>
        <v>0</v>
      </c>
      <c r="AW34" s="30">
        <f>COUNTIF(ParicipationJuillet1[[#This Row],[1]:[31]],Code14)</f>
        <v>0</v>
      </c>
      <c r="AX34" s="30">
        <f>COUNTIF(ParicipationJuillet1[[#This Row],[1]:[31]],Code15)</f>
        <v>0</v>
      </c>
      <c r="AY34" s="30">
        <f>COUNTIF(ParicipationJuillet1[[#This Row],[1]:[31]],Code16)</f>
        <v>0</v>
      </c>
      <c r="AZ34" s="30">
        <f>COUNTIF(ParicipationJuillet1[[#This Row],[1]:[31]],Code17)</f>
        <v>0</v>
      </c>
      <c r="BA34" s="30">
        <f>COUNTIF(ParicipationJuillet1[[#This Row],[1]:[31]],Code25)</f>
        <v>0</v>
      </c>
      <c r="BB34" s="30">
        <f>COUNTIF(ParicipationJuillet1[[#This Row],[1]:[31]],Code26)</f>
        <v>0</v>
      </c>
      <c r="BC34" s="30">
        <f>COUNTIF(ParicipationJuillet1[[#This Row],[1]:[31]],Code27)</f>
        <v>0</v>
      </c>
      <c r="BD34" s="30">
        <f>COUNTIF(ParicipationJuillet1[[#This Row],[1]:[31]],Code28)</f>
        <v>0</v>
      </c>
      <c r="BE34" s="30">
        <f>COUNTIF(ParicipationJuillet1[[#This Row],[1]:[31]],code30)</f>
        <v>0</v>
      </c>
      <c r="BF34" s="30">
        <f>COUNTIF(ParicipationJuillet1[[#This Row],[1]:[31]],Code31)</f>
        <v>0</v>
      </c>
      <c r="BG34" s="30">
        <f>COUNTIF(ParicipationJuillet1[[#This Row],[1]:[31]],code21)</f>
        <v>0</v>
      </c>
      <c r="BH34" s="30">
        <f>COUNTIF(ParicipationJuillet1[[#This Row],[1]:[31]],Code24)</f>
        <v>0</v>
      </c>
      <c r="BI34" s="30">
        <f>COUNTIF(ParicipationJuillet1[[#This Row],[1]:[31]],code18)</f>
        <v>0</v>
      </c>
      <c r="BJ34" s="30">
        <f>COUNTIF(ParicipationJuillet1[[#This Row],[1]:[31]],code19)</f>
        <v>0</v>
      </c>
      <c r="BK34" s="30">
        <f>COUNTIF(ParicipationJuillet1[[#This Row],[1]:[31]],code20)</f>
        <v>0</v>
      </c>
      <c r="BL34" s="164">
        <f>COUNTIF(ParicipationJuillet1[[#This Row],[1]:[31]],code29)</f>
        <v>0</v>
      </c>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164"/>
      <c r="CV34" s="505">
        <f t="shared" si="0"/>
        <v>0</v>
      </c>
      <c r="CW34" s="505">
        <f t="shared" si="1"/>
        <v>0</v>
      </c>
      <c r="CX34" s="641">
        <f t="shared" si="2"/>
        <v>0</v>
      </c>
      <c r="CY34" s="171">
        <f t="shared" si="3"/>
        <v>0</v>
      </c>
    </row>
    <row r="35" spans="1:103">
      <c r="A35" s="112" t="s">
        <v>376</v>
      </c>
      <c r="B35" s="162" t="str">
        <f>IFERROR(VLOOKUP(ParicipationJuillet1[[#This Row],[Référence]],ListeÉtudiants1[],18,FALSE),"")</f>
        <v>BOUKHARAZ MARINA</v>
      </c>
      <c r="AG35" s="725"/>
      <c r="AH35" s="6">
        <f>COUNTIF(ParicipationJuillet1[[#This Row],[1]:[31]],Code1)</f>
        <v>0</v>
      </c>
      <c r="AI35" s="474">
        <f>COUNTIF(ParicipationJuillet1[[#This Row],[1]:[31]],code22)</f>
        <v>0</v>
      </c>
      <c r="AJ35" s="138">
        <f>COUNTIF(ParicipationJuillet1[[#This Row],[1]:[31]],Code2)</f>
        <v>0</v>
      </c>
      <c r="AK35" s="138">
        <f>COUNTIF(ParicipationJuillet1[[#This Row],[1]:[31]],Code3)</f>
        <v>0</v>
      </c>
      <c r="AL35" s="138">
        <f>COUNTIF(ParicipationJuillet1[[#This Row],[1]:[31]],Code4)</f>
        <v>0</v>
      </c>
      <c r="AM35" s="472">
        <f>COUNTIF(ParicipationJuillet1[[#This Row],[1]:[31]],Code5)</f>
        <v>0</v>
      </c>
      <c r="AN35" s="472">
        <f>COUNTIF(ParicipationJuillet1[[#This Row],[1]:[31]],Code23)</f>
        <v>0</v>
      </c>
      <c r="AO35" s="472">
        <f>COUNTIF(ParicipationJuillet1[[#This Row],[1]:[31]],Code6)</f>
        <v>0</v>
      </c>
      <c r="AP35" s="472">
        <f>COUNTIF(ParicipationJuillet1[[#This Row],[1]:[31]],Code7)</f>
        <v>0</v>
      </c>
      <c r="AQ35" s="472">
        <f>COUNTIF(ParicipationJuillet1[[#This Row],[1]:[31]],Code8)</f>
        <v>0</v>
      </c>
      <c r="AR35" s="472">
        <f>COUNTIF(ParicipationJuillet1[[#This Row],[1]:[31]],Code9)</f>
        <v>0</v>
      </c>
      <c r="AS35" s="472">
        <f>COUNTIF(ParicipationJuillet1[[#This Row],[1]:[31]],Code10)</f>
        <v>0</v>
      </c>
      <c r="AT35" s="472">
        <f>COUNTIF(ParicipationJuillet1[[#This Row],[1]:[31]],Code11)</f>
        <v>0</v>
      </c>
      <c r="AU35" s="472">
        <f>COUNTIF(ParicipationJuillet1[[#This Row],[1]:[31]],Code12)</f>
        <v>0</v>
      </c>
      <c r="AV35" s="472">
        <f>COUNTIF(ParicipationJuillet1[[#This Row],[1]:[31]],Code13)</f>
        <v>0</v>
      </c>
      <c r="AW35" s="472">
        <f>COUNTIF(ParicipationJuillet1[[#This Row],[1]:[31]],Code14)</f>
        <v>0</v>
      </c>
      <c r="AX35" s="472">
        <f>COUNTIF(ParicipationJuillet1[[#This Row],[1]:[31]],Code15)</f>
        <v>0</v>
      </c>
      <c r="AY35" s="472">
        <f>COUNTIF(ParicipationJuillet1[[#This Row],[1]:[31]],Code16)</f>
        <v>0</v>
      </c>
      <c r="AZ35" s="472">
        <f>COUNTIF(ParicipationJuillet1[[#This Row],[1]:[31]],Code17)</f>
        <v>0</v>
      </c>
      <c r="BA35" s="472">
        <f>COUNTIF(ParicipationJuillet1[[#This Row],[1]:[31]],Code25)</f>
        <v>0</v>
      </c>
      <c r="BB35" s="472">
        <f>COUNTIF(ParicipationJuillet1[[#This Row],[1]:[31]],Code26)</f>
        <v>0</v>
      </c>
      <c r="BC35" s="472">
        <f>COUNTIF(ParicipationJuillet1[[#This Row],[1]:[31]],Code27)</f>
        <v>0</v>
      </c>
      <c r="BD35" s="472">
        <f>COUNTIF(ParicipationJuillet1[[#This Row],[1]:[31]],Code28)</f>
        <v>0</v>
      </c>
      <c r="BE35" s="472">
        <f>COUNTIF(ParicipationJuillet1[[#This Row],[1]:[31]],code30)</f>
        <v>0</v>
      </c>
      <c r="BF35" s="472">
        <f>COUNTIF(ParicipationJuillet1[[#This Row],[1]:[31]],Code31)</f>
        <v>0</v>
      </c>
      <c r="BG35" s="472">
        <f>COUNTIF(ParicipationJuillet1[[#This Row],[1]:[31]],code21)</f>
        <v>0</v>
      </c>
      <c r="BH35" s="472">
        <f>COUNTIF(ParicipationJuillet1[[#This Row],[1]:[31]],Code24)</f>
        <v>0</v>
      </c>
      <c r="BI35" s="472">
        <f>COUNTIF(ParicipationJuillet1[[#This Row],[1]:[31]],code18)</f>
        <v>0</v>
      </c>
      <c r="BJ35" s="472">
        <f>COUNTIF(ParicipationJuillet1[[#This Row],[1]:[31]],code19)</f>
        <v>0</v>
      </c>
      <c r="BK35" s="472">
        <f>COUNTIF(ParicipationJuillet1[[#This Row],[1]:[31]],code20)</f>
        <v>0</v>
      </c>
      <c r="BL35" s="516">
        <f>COUNTIF(ParicipationJuillet1[[#This Row],[1]:[31]],code29)</f>
        <v>0</v>
      </c>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2"/>
      <c r="CU35" s="516"/>
      <c r="CV35" s="501">
        <f t="shared" si="0"/>
        <v>0</v>
      </c>
      <c r="CW35" s="501">
        <f t="shared" si="1"/>
        <v>0</v>
      </c>
      <c r="CX35" s="472">
        <f t="shared" si="2"/>
        <v>0</v>
      </c>
      <c r="CY35" s="584">
        <f t="shared" si="3"/>
        <v>0</v>
      </c>
    </row>
    <row r="36" spans="1:103">
      <c r="A36" s="112" t="s">
        <v>377</v>
      </c>
      <c r="B36" s="162" t="str">
        <f>IFERROR(VLOOKUP(ParicipationJuillet1[[#This Row],[Référence]],ListeÉtudiants1[],18,FALSE),"")</f>
        <v>BOUTILLIER LAETITIA</v>
      </c>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640"/>
      <c r="AH36" s="6">
        <f>COUNTIF(ParicipationJuillet1[[#This Row],[1]:[31]],Code1)</f>
        <v>0</v>
      </c>
      <c r="AI36" s="475">
        <f>COUNTIF(ParicipationJuillet1[[#This Row],[1]:[31]],code22)</f>
        <v>0</v>
      </c>
      <c r="AJ36" s="202">
        <f>COUNTIF(ParicipationJuillet1[[#This Row],[1]:[31]],Code2)</f>
        <v>0</v>
      </c>
      <c r="AK36" s="202">
        <f>COUNTIF(ParicipationJuillet1[[#This Row],[1]:[31]],Code3)</f>
        <v>0</v>
      </c>
      <c r="AL36" s="202">
        <f>COUNTIF(ParicipationJuillet1[[#This Row],[1]:[31]],Code4)</f>
        <v>0</v>
      </c>
      <c r="AM36" s="473">
        <f>COUNTIF(ParicipationJuillet1[[#This Row],[1]:[31]],Code5)</f>
        <v>0</v>
      </c>
      <c r="AN36" s="473">
        <f>COUNTIF(ParicipationJuillet1[[#This Row],[1]:[31]],Code23)</f>
        <v>0</v>
      </c>
      <c r="AO36" s="473">
        <f>COUNTIF(ParicipationJuillet1[[#This Row],[1]:[31]],Code6)</f>
        <v>0</v>
      </c>
      <c r="AP36" s="473">
        <f>COUNTIF(ParicipationJuillet1[[#This Row],[1]:[31]],Code7)</f>
        <v>0</v>
      </c>
      <c r="AQ36" s="473">
        <f>COUNTIF(ParicipationJuillet1[[#This Row],[1]:[31]],Code8)</f>
        <v>0</v>
      </c>
      <c r="AR36" s="473">
        <f>COUNTIF(ParicipationJuillet1[[#This Row],[1]:[31]],Code9)</f>
        <v>0</v>
      </c>
      <c r="AS36" s="473">
        <f>COUNTIF(ParicipationJuillet1[[#This Row],[1]:[31]],Code10)</f>
        <v>0</v>
      </c>
      <c r="AT36" s="473">
        <f>COUNTIF(ParicipationJuillet1[[#This Row],[1]:[31]],Code11)</f>
        <v>0</v>
      </c>
      <c r="AU36" s="473">
        <f>COUNTIF(ParicipationJuillet1[[#This Row],[1]:[31]],Code12)</f>
        <v>0</v>
      </c>
      <c r="AV36" s="473">
        <f>COUNTIF(ParicipationJuillet1[[#This Row],[1]:[31]],Code13)</f>
        <v>0</v>
      </c>
      <c r="AW36" s="473">
        <f>COUNTIF(ParicipationJuillet1[[#This Row],[1]:[31]],Code14)</f>
        <v>0</v>
      </c>
      <c r="AX36" s="473">
        <f>COUNTIF(ParicipationJuillet1[[#This Row],[1]:[31]],Code15)</f>
        <v>0</v>
      </c>
      <c r="AY36" s="473">
        <f>COUNTIF(ParicipationJuillet1[[#This Row],[1]:[31]],Code16)</f>
        <v>0</v>
      </c>
      <c r="AZ36" s="473">
        <f>COUNTIF(ParicipationJuillet1[[#This Row],[1]:[31]],Code17)</f>
        <v>0</v>
      </c>
      <c r="BA36" s="473">
        <f>COUNTIF(ParicipationJuillet1[[#This Row],[1]:[31]],Code25)</f>
        <v>0</v>
      </c>
      <c r="BB36" s="473">
        <f>COUNTIF(ParicipationJuillet1[[#This Row],[1]:[31]],Code26)</f>
        <v>0</v>
      </c>
      <c r="BC36" s="473">
        <f>COUNTIF(ParicipationJuillet1[[#This Row],[1]:[31]],Code27)</f>
        <v>0</v>
      </c>
      <c r="BD36" s="473">
        <f>COUNTIF(ParicipationJuillet1[[#This Row],[1]:[31]],Code28)</f>
        <v>0</v>
      </c>
      <c r="BE36" s="473">
        <f>COUNTIF(ParicipationJuillet1[[#This Row],[1]:[31]],code30)</f>
        <v>0</v>
      </c>
      <c r="BF36" s="473">
        <f>COUNTIF(ParicipationJuillet1[[#This Row],[1]:[31]],Code31)</f>
        <v>0</v>
      </c>
      <c r="BG36" s="473">
        <f>COUNTIF(ParicipationJuillet1[[#This Row],[1]:[31]],code21)</f>
        <v>0</v>
      </c>
      <c r="BH36" s="473">
        <f>COUNTIF(ParicipationJuillet1[[#This Row],[1]:[31]],Code24)</f>
        <v>0</v>
      </c>
      <c r="BI36" s="473">
        <f>COUNTIF(ParicipationJuillet1[[#This Row],[1]:[31]],code18)</f>
        <v>0</v>
      </c>
      <c r="BJ36" s="473">
        <f>COUNTIF(ParicipationJuillet1[[#This Row],[1]:[31]],code19)</f>
        <v>0</v>
      </c>
      <c r="BK36" s="473">
        <f>COUNTIF(ParicipationJuillet1[[#This Row],[1]:[31]],code20)</f>
        <v>0</v>
      </c>
      <c r="BL36" s="516">
        <f>COUNTIF(ParicipationJuillet1[[#This Row],[1]:[31]],code29)</f>
        <v>0</v>
      </c>
      <c r="BM36" s="473"/>
      <c r="BN36" s="473"/>
      <c r="BO36" s="473"/>
      <c r="BP36" s="473"/>
      <c r="BQ36" s="473"/>
      <c r="BR36" s="473"/>
      <c r="BS36" s="473"/>
      <c r="BT36" s="473"/>
      <c r="BU36" s="473"/>
      <c r="BV36" s="473"/>
      <c r="BW36" s="473"/>
      <c r="BX36" s="473"/>
      <c r="BY36" s="473"/>
      <c r="BZ36" s="473"/>
      <c r="CA36" s="473"/>
      <c r="CB36" s="473"/>
      <c r="CC36" s="473"/>
      <c r="CD36" s="473"/>
      <c r="CE36" s="473"/>
      <c r="CF36" s="473"/>
      <c r="CG36" s="473"/>
      <c r="CH36" s="473"/>
      <c r="CI36" s="473"/>
      <c r="CJ36" s="473"/>
      <c r="CK36" s="473"/>
      <c r="CL36" s="473"/>
      <c r="CM36" s="473"/>
      <c r="CN36" s="473"/>
      <c r="CO36" s="473"/>
      <c r="CP36" s="473"/>
      <c r="CQ36" s="473"/>
      <c r="CR36" s="473"/>
      <c r="CS36" s="473"/>
      <c r="CT36" s="473"/>
      <c r="CU36" s="516"/>
      <c r="CV36" s="501">
        <f t="shared" si="0"/>
        <v>0</v>
      </c>
      <c r="CW36" s="501">
        <f t="shared" si="1"/>
        <v>0</v>
      </c>
      <c r="CX36" s="473">
        <f t="shared" si="2"/>
        <v>0</v>
      </c>
      <c r="CY36" s="512">
        <f t="shared" si="3"/>
        <v>0</v>
      </c>
    </row>
    <row r="37" spans="1:103">
      <c r="A37" s="112" t="s">
        <v>378</v>
      </c>
      <c r="B37" s="162" t="str">
        <f>IFERROR(VLOOKUP(ParicipationJuillet1[[#This Row],[Référence]],ListeÉtudiants1[],18,FALSE),"")</f>
        <v>BRIAND OCEANE</v>
      </c>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640"/>
      <c r="AH37" s="202">
        <f>COUNTIF(ParicipationJuillet1[[#This Row],[1]:[31]],Code1)</f>
        <v>0</v>
      </c>
      <c r="AI37" s="475">
        <f>COUNTIF(ParicipationJuillet1[[#This Row],[1]:[31]],code22)</f>
        <v>0</v>
      </c>
      <c r="AJ37" s="202">
        <f>COUNTIF(ParicipationJuillet1[[#This Row],[1]:[31]],Code2)</f>
        <v>0</v>
      </c>
      <c r="AK37" s="202">
        <f>COUNTIF(ParicipationJuillet1[[#This Row],[1]:[31]],Code3)</f>
        <v>0</v>
      </c>
      <c r="AL37" s="202">
        <f>COUNTIF(ParicipationJuillet1[[#This Row],[1]:[31]],Code4)</f>
        <v>0</v>
      </c>
      <c r="AM37" s="473">
        <f>COUNTIF(ParicipationJuillet1[[#This Row],[1]:[31]],Code5)</f>
        <v>0</v>
      </c>
      <c r="AN37" s="473">
        <f>COUNTIF(ParicipationJuillet1[[#This Row],[1]:[31]],Code23)</f>
        <v>0</v>
      </c>
      <c r="AO37" s="473">
        <f>COUNTIF(ParicipationJuillet1[[#This Row],[1]:[31]],Code6)</f>
        <v>0</v>
      </c>
      <c r="AP37" s="473">
        <f>COUNTIF(ParicipationJuillet1[[#This Row],[1]:[31]],Code7)</f>
        <v>0</v>
      </c>
      <c r="AQ37" s="473">
        <f>COUNTIF(ParicipationJuillet1[[#This Row],[1]:[31]],Code8)</f>
        <v>0</v>
      </c>
      <c r="AR37" s="473">
        <f>COUNTIF(ParicipationJuillet1[[#This Row],[1]:[31]],Code9)</f>
        <v>0</v>
      </c>
      <c r="AS37" s="473">
        <f>COUNTIF(ParicipationJuillet1[[#This Row],[1]:[31]],Code10)</f>
        <v>0</v>
      </c>
      <c r="AT37" s="473">
        <f>COUNTIF(ParicipationJuillet1[[#This Row],[1]:[31]],Code11)</f>
        <v>0</v>
      </c>
      <c r="AU37" s="473">
        <f>COUNTIF(ParicipationJuillet1[[#This Row],[1]:[31]],Code12)</f>
        <v>0</v>
      </c>
      <c r="AV37" s="473">
        <f>COUNTIF(ParicipationJuillet1[[#This Row],[1]:[31]],Code13)</f>
        <v>0</v>
      </c>
      <c r="AW37" s="473">
        <f>COUNTIF(ParicipationJuillet1[[#This Row],[1]:[31]],Code14)</f>
        <v>0</v>
      </c>
      <c r="AX37" s="473">
        <f>COUNTIF(ParicipationJuillet1[[#This Row],[1]:[31]],Code15)</f>
        <v>0</v>
      </c>
      <c r="AY37" s="473">
        <f>COUNTIF(ParicipationJuillet1[[#This Row],[1]:[31]],Code16)</f>
        <v>0</v>
      </c>
      <c r="AZ37" s="473">
        <f>COUNTIF(ParicipationJuillet1[[#This Row],[1]:[31]],Code17)</f>
        <v>0</v>
      </c>
      <c r="BA37" s="473">
        <f>COUNTIF(ParicipationJuillet1[[#This Row],[1]:[31]],Code25)</f>
        <v>0</v>
      </c>
      <c r="BB37" s="473">
        <f>COUNTIF(ParicipationJuillet1[[#This Row],[1]:[31]],Code26)</f>
        <v>0</v>
      </c>
      <c r="BC37" s="473">
        <f>COUNTIF(ParicipationJuillet1[[#This Row],[1]:[31]],Code27)</f>
        <v>0</v>
      </c>
      <c r="BD37" s="473">
        <f>COUNTIF(ParicipationJuillet1[[#This Row],[1]:[31]],Code28)</f>
        <v>0</v>
      </c>
      <c r="BE37" s="473">
        <f>COUNTIF(ParicipationJuillet1[[#This Row],[1]:[31]],code30)</f>
        <v>0</v>
      </c>
      <c r="BF37" s="473">
        <f>COUNTIF(ParicipationJuillet1[[#This Row],[1]:[31]],Code31)</f>
        <v>0</v>
      </c>
      <c r="BG37" s="473">
        <f>COUNTIF(ParicipationJuillet1[[#This Row],[1]:[31]],code21)</f>
        <v>0</v>
      </c>
      <c r="BH37" s="473">
        <f>COUNTIF(ParicipationJuillet1[[#This Row],[1]:[31]],Code24)</f>
        <v>0</v>
      </c>
      <c r="BI37" s="473">
        <f>COUNTIF(ParicipationJuillet1[[#This Row],[1]:[31]],code18)</f>
        <v>0</v>
      </c>
      <c r="BJ37" s="473">
        <f>COUNTIF(ParicipationJuillet1[[#This Row],[1]:[31]],code19)</f>
        <v>0</v>
      </c>
      <c r="BK37" s="473">
        <f>COUNTIF(ParicipationJuillet1[[#This Row],[1]:[31]],code20)</f>
        <v>0</v>
      </c>
      <c r="BL37" s="516">
        <f>COUNTIF(ParicipationJuillet1[[#This Row],[1]:[31]],code29)</f>
        <v>0</v>
      </c>
      <c r="BM37" s="473"/>
      <c r="BN37" s="473"/>
      <c r="BO37" s="473"/>
      <c r="BP37" s="473"/>
      <c r="BQ37" s="473"/>
      <c r="BR37" s="473"/>
      <c r="BS37" s="473"/>
      <c r="BT37" s="473"/>
      <c r="BU37" s="473"/>
      <c r="BV37" s="473"/>
      <c r="BW37" s="473"/>
      <c r="BX37" s="473"/>
      <c r="BY37" s="473"/>
      <c r="BZ37" s="473"/>
      <c r="CA37" s="473"/>
      <c r="CB37" s="473"/>
      <c r="CC37" s="473"/>
      <c r="CD37" s="473"/>
      <c r="CE37" s="473"/>
      <c r="CF37" s="473"/>
      <c r="CG37" s="473"/>
      <c r="CH37" s="473"/>
      <c r="CI37" s="473"/>
      <c r="CJ37" s="473"/>
      <c r="CK37" s="473"/>
      <c r="CL37" s="473"/>
      <c r="CM37" s="473"/>
      <c r="CN37" s="473"/>
      <c r="CO37" s="473"/>
      <c r="CP37" s="473"/>
      <c r="CQ37" s="473"/>
      <c r="CR37" s="473"/>
      <c r="CS37" s="473"/>
      <c r="CT37" s="473"/>
      <c r="CU37" s="516"/>
      <c r="CV37" s="501">
        <f t="shared" si="0"/>
        <v>0</v>
      </c>
      <c r="CW37" s="501">
        <f t="shared" si="1"/>
        <v>0</v>
      </c>
      <c r="CX37" s="473">
        <f t="shared" si="2"/>
        <v>0</v>
      </c>
      <c r="CY37" s="512">
        <f t="shared" si="3"/>
        <v>0</v>
      </c>
    </row>
    <row r="38" spans="1:103">
      <c r="A38" s="112" t="s">
        <v>379</v>
      </c>
      <c r="B38" s="162" t="str">
        <f>IFERROR(VLOOKUP(ParicipationJuillet1[[#This Row],[Référence]],ListeÉtudiants1[],18,FALSE),"")</f>
        <v>BRITES TRACA ELODIE</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640"/>
      <c r="AH38" s="202">
        <f>COUNTIF(ParicipationJuillet1[[#This Row],[1]:[31]],Code1)</f>
        <v>0</v>
      </c>
      <c r="AI38" s="475">
        <f>COUNTIF(ParicipationJuillet1[[#This Row],[1]:[31]],code22)</f>
        <v>0</v>
      </c>
      <c r="AJ38" s="202">
        <f>COUNTIF(ParicipationJuillet1[[#This Row],[1]:[31]],Code2)</f>
        <v>0</v>
      </c>
      <c r="AK38" s="202">
        <f>COUNTIF(ParicipationJuillet1[[#This Row],[1]:[31]],Code3)</f>
        <v>0</v>
      </c>
      <c r="AL38" s="202">
        <f>COUNTIF(ParicipationJuillet1[[#This Row],[1]:[31]],Code4)</f>
        <v>0</v>
      </c>
      <c r="AM38" s="473">
        <f>COUNTIF(ParicipationJuillet1[[#This Row],[1]:[31]],Code5)</f>
        <v>0</v>
      </c>
      <c r="AN38" s="473">
        <f>COUNTIF(ParicipationJuillet1[[#This Row],[1]:[31]],Code23)</f>
        <v>0</v>
      </c>
      <c r="AO38" s="473">
        <f>COUNTIF(ParicipationJuillet1[[#This Row],[1]:[31]],Code6)</f>
        <v>0</v>
      </c>
      <c r="AP38" s="473">
        <f>COUNTIF(ParicipationJuillet1[[#This Row],[1]:[31]],Code7)</f>
        <v>0</v>
      </c>
      <c r="AQ38" s="473">
        <f>COUNTIF(ParicipationJuillet1[[#This Row],[1]:[31]],Code8)</f>
        <v>0</v>
      </c>
      <c r="AR38" s="473">
        <f>COUNTIF(ParicipationJuillet1[[#This Row],[1]:[31]],Code9)</f>
        <v>0</v>
      </c>
      <c r="AS38" s="473">
        <f>COUNTIF(ParicipationJuillet1[[#This Row],[1]:[31]],Code10)</f>
        <v>0</v>
      </c>
      <c r="AT38" s="473">
        <f>COUNTIF(ParicipationJuillet1[[#This Row],[1]:[31]],Code11)</f>
        <v>0</v>
      </c>
      <c r="AU38" s="473">
        <f>COUNTIF(ParicipationJuillet1[[#This Row],[1]:[31]],Code12)</f>
        <v>0</v>
      </c>
      <c r="AV38" s="473">
        <f>COUNTIF(ParicipationJuillet1[[#This Row],[1]:[31]],Code13)</f>
        <v>0</v>
      </c>
      <c r="AW38" s="473">
        <f>COUNTIF(ParicipationJuillet1[[#This Row],[1]:[31]],Code14)</f>
        <v>0</v>
      </c>
      <c r="AX38" s="473">
        <f>COUNTIF(ParicipationJuillet1[[#This Row],[1]:[31]],Code15)</f>
        <v>0</v>
      </c>
      <c r="AY38" s="473">
        <f>COUNTIF(ParicipationJuillet1[[#This Row],[1]:[31]],Code16)</f>
        <v>0</v>
      </c>
      <c r="AZ38" s="473">
        <f>COUNTIF(ParicipationJuillet1[[#This Row],[1]:[31]],Code17)</f>
        <v>0</v>
      </c>
      <c r="BA38" s="473">
        <f>COUNTIF(ParicipationJuillet1[[#This Row],[1]:[31]],Code25)</f>
        <v>0</v>
      </c>
      <c r="BB38" s="473">
        <f>COUNTIF(ParicipationJuillet1[[#This Row],[1]:[31]],Code26)</f>
        <v>0</v>
      </c>
      <c r="BC38" s="473">
        <f>COUNTIF(ParicipationJuillet1[[#This Row],[1]:[31]],Code27)</f>
        <v>0</v>
      </c>
      <c r="BD38" s="473">
        <f>COUNTIF(ParicipationJuillet1[[#This Row],[1]:[31]],Code28)</f>
        <v>0</v>
      </c>
      <c r="BE38" s="473">
        <f>COUNTIF(ParicipationJuillet1[[#This Row],[1]:[31]],code30)</f>
        <v>0</v>
      </c>
      <c r="BF38" s="473">
        <f>COUNTIF(ParicipationJuillet1[[#This Row],[1]:[31]],Code31)</f>
        <v>0</v>
      </c>
      <c r="BG38" s="473">
        <f>COUNTIF(ParicipationJuillet1[[#This Row],[1]:[31]],code21)</f>
        <v>0</v>
      </c>
      <c r="BH38" s="473">
        <f>COUNTIF(ParicipationJuillet1[[#This Row],[1]:[31]],Code24)</f>
        <v>0</v>
      </c>
      <c r="BI38" s="473">
        <f>COUNTIF(ParicipationJuillet1[[#This Row],[1]:[31]],code18)</f>
        <v>0</v>
      </c>
      <c r="BJ38" s="473">
        <f>COUNTIF(ParicipationJuillet1[[#This Row],[1]:[31]],code19)</f>
        <v>0</v>
      </c>
      <c r="BK38" s="473">
        <f>COUNTIF(ParicipationJuillet1[[#This Row],[1]:[31]],code20)</f>
        <v>0</v>
      </c>
      <c r="BL38" s="516">
        <f>COUNTIF(ParicipationJuillet1[[#This Row],[1]:[31]],code29)</f>
        <v>0</v>
      </c>
      <c r="BM38" s="473"/>
      <c r="BN38" s="473"/>
      <c r="BO38" s="473"/>
      <c r="BP38" s="473"/>
      <c r="BQ38" s="473"/>
      <c r="BR38" s="473"/>
      <c r="BS38" s="473"/>
      <c r="BT38" s="473"/>
      <c r="BU38" s="473"/>
      <c r="BV38" s="473"/>
      <c r="BW38" s="473"/>
      <c r="BX38" s="473"/>
      <c r="BY38" s="473"/>
      <c r="BZ38" s="473"/>
      <c r="CA38" s="473"/>
      <c r="CB38" s="473"/>
      <c r="CC38" s="473"/>
      <c r="CD38" s="473"/>
      <c r="CE38" s="473"/>
      <c r="CF38" s="473"/>
      <c r="CG38" s="473"/>
      <c r="CH38" s="473"/>
      <c r="CI38" s="473"/>
      <c r="CJ38" s="473"/>
      <c r="CK38" s="473"/>
      <c r="CL38" s="473"/>
      <c r="CM38" s="473"/>
      <c r="CN38" s="473"/>
      <c r="CO38" s="473"/>
      <c r="CP38" s="473"/>
      <c r="CQ38" s="473"/>
      <c r="CR38" s="473"/>
      <c r="CS38" s="473"/>
      <c r="CT38" s="473"/>
      <c r="CU38" s="516"/>
      <c r="CV38" s="501">
        <f t="shared" si="0"/>
        <v>0</v>
      </c>
      <c r="CW38" s="501">
        <f t="shared" si="1"/>
        <v>0</v>
      </c>
      <c r="CX38" s="473">
        <f t="shared" si="2"/>
        <v>0</v>
      </c>
      <c r="CY38" s="512">
        <f t="shared" si="3"/>
        <v>0</v>
      </c>
    </row>
    <row r="39" spans="1:103">
      <c r="A39" s="112" t="s">
        <v>380</v>
      </c>
      <c r="B39" s="162" t="str">
        <f>IFERROR(VLOOKUP(ParicipationJuillet1[[#This Row],[Référence]],ListeÉtudiants1[],18,FALSE),"")</f>
        <v>BRONZE  MARINE</v>
      </c>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640"/>
      <c r="AH39" s="202">
        <f>COUNTIF(ParicipationJuillet1[[#This Row],[1]:[31]],Code1)</f>
        <v>0</v>
      </c>
      <c r="AI39" s="475">
        <f>COUNTIF(ParicipationJuillet1[[#This Row],[1]:[31]],code22)</f>
        <v>0</v>
      </c>
      <c r="AJ39" s="202">
        <f>COUNTIF(ParicipationJuillet1[[#This Row],[1]:[31]],Code2)</f>
        <v>0</v>
      </c>
      <c r="AK39" s="202">
        <f>COUNTIF(ParicipationJuillet1[[#This Row],[1]:[31]],Code3)</f>
        <v>0</v>
      </c>
      <c r="AL39" s="202">
        <f>COUNTIF(ParicipationJuillet1[[#This Row],[1]:[31]],Code4)</f>
        <v>0</v>
      </c>
      <c r="AM39" s="473">
        <f>COUNTIF(ParicipationJuillet1[[#This Row],[1]:[31]],Code5)</f>
        <v>0</v>
      </c>
      <c r="AN39" s="473">
        <f>COUNTIF(ParicipationJuillet1[[#This Row],[1]:[31]],Code23)</f>
        <v>0</v>
      </c>
      <c r="AO39" s="473">
        <f>COUNTIF(ParicipationJuillet1[[#This Row],[1]:[31]],Code6)</f>
        <v>0</v>
      </c>
      <c r="AP39" s="473">
        <f>COUNTIF(ParicipationJuillet1[[#This Row],[1]:[31]],Code7)</f>
        <v>0</v>
      </c>
      <c r="AQ39" s="473">
        <f>COUNTIF(ParicipationJuillet1[[#This Row],[1]:[31]],Code8)</f>
        <v>0</v>
      </c>
      <c r="AR39" s="473">
        <f>COUNTIF(ParicipationJuillet1[[#This Row],[1]:[31]],Code9)</f>
        <v>0</v>
      </c>
      <c r="AS39" s="473">
        <f>COUNTIF(ParicipationJuillet1[[#This Row],[1]:[31]],Code10)</f>
        <v>0</v>
      </c>
      <c r="AT39" s="473">
        <f>COUNTIF(ParicipationJuillet1[[#This Row],[1]:[31]],Code11)</f>
        <v>0</v>
      </c>
      <c r="AU39" s="473">
        <f>COUNTIF(ParicipationJuillet1[[#This Row],[1]:[31]],Code12)</f>
        <v>0</v>
      </c>
      <c r="AV39" s="473">
        <f>COUNTIF(ParicipationJuillet1[[#This Row],[1]:[31]],Code13)</f>
        <v>0</v>
      </c>
      <c r="AW39" s="473">
        <f>COUNTIF(ParicipationJuillet1[[#This Row],[1]:[31]],Code14)</f>
        <v>0</v>
      </c>
      <c r="AX39" s="473">
        <f>COUNTIF(ParicipationJuillet1[[#This Row],[1]:[31]],Code15)</f>
        <v>0</v>
      </c>
      <c r="AY39" s="473">
        <f>COUNTIF(ParicipationJuillet1[[#This Row],[1]:[31]],Code16)</f>
        <v>0</v>
      </c>
      <c r="AZ39" s="473">
        <f>COUNTIF(ParicipationJuillet1[[#This Row],[1]:[31]],Code17)</f>
        <v>0</v>
      </c>
      <c r="BA39" s="473">
        <f>COUNTIF(ParicipationJuillet1[[#This Row],[1]:[31]],Code25)</f>
        <v>0</v>
      </c>
      <c r="BB39" s="473">
        <f>COUNTIF(ParicipationJuillet1[[#This Row],[1]:[31]],Code26)</f>
        <v>0</v>
      </c>
      <c r="BC39" s="473">
        <f>COUNTIF(ParicipationJuillet1[[#This Row],[1]:[31]],Code27)</f>
        <v>0</v>
      </c>
      <c r="BD39" s="473">
        <f>COUNTIF(ParicipationJuillet1[[#This Row],[1]:[31]],Code28)</f>
        <v>0</v>
      </c>
      <c r="BE39" s="473">
        <f>COUNTIF(ParicipationJuillet1[[#This Row],[1]:[31]],code30)</f>
        <v>0</v>
      </c>
      <c r="BF39" s="473">
        <f>COUNTIF(ParicipationJuillet1[[#This Row],[1]:[31]],Code31)</f>
        <v>0</v>
      </c>
      <c r="BG39" s="473">
        <f>COUNTIF(ParicipationJuillet1[[#This Row],[1]:[31]],code21)</f>
        <v>0</v>
      </c>
      <c r="BH39" s="473">
        <f>COUNTIF(ParicipationJuillet1[[#This Row],[1]:[31]],Code24)</f>
        <v>0</v>
      </c>
      <c r="BI39" s="473">
        <f>COUNTIF(ParicipationJuillet1[[#This Row],[1]:[31]],code18)</f>
        <v>0</v>
      </c>
      <c r="BJ39" s="473">
        <f>COUNTIF(ParicipationJuillet1[[#This Row],[1]:[31]],code19)</f>
        <v>0</v>
      </c>
      <c r="BK39" s="473">
        <f>COUNTIF(ParicipationJuillet1[[#This Row],[1]:[31]],code20)</f>
        <v>0</v>
      </c>
      <c r="BL39" s="516">
        <f>COUNTIF(ParicipationJuillet1[[#This Row],[1]:[31]],code29)</f>
        <v>0</v>
      </c>
      <c r="BM39" s="473"/>
      <c r="BN39" s="473"/>
      <c r="BO39" s="473"/>
      <c r="BP39" s="473"/>
      <c r="BQ39" s="473"/>
      <c r="BR39" s="473"/>
      <c r="BS39" s="473"/>
      <c r="BT39" s="473"/>
      <c r="BU39" s="473"/>
      <c r="BV39" s="473"/>
      <c r="BW39" s="473"/>
      <c r="BX39" s="473"/>
      <c r="BY39" s="473"/>
      <c r="BZ39" s="473"/>
      <c r="CA39" s="473"/>
      <c r="CB39" s="473"/>
      <c r="CC39" s="473"/>
      <c r="CD39" s="473"/>
      <c r="CE39" s="473"/>
      <c r="CF39" s="473"/>
      <c r="CG39" s="473"/>
      <c r="CH39" s="473"/>
      <c r="CI39" s="473"/>
      <c r="CJ39" s="473"/>
      <c r="CK39" s="473"/>
      <c r="CL39" s="473"/>
      <c r="CM39" s="473"/>
      <c r="CN39" s="473"/>
      <c r="CO39" s="473"/>
      <c r="CP39" s="473"/>
      <c r="CQ39" s="473"/>
      <c r="CR39" s="473"/>
      <c r="CS39" s="473"/>
      <c r="CT39" s="473"/>
      <c r="CU39" s="516"/>
      <c r="CV39" s="501">
        <f t="shared" si="0"/>
        <v>0</v>
      </c>
      <c r="CW39" s="501">
        <f t="shared" si="1"/>
        <v>0</v>
      </c>
      <c r="CX39" s="473">
        <f t="shared" si="2"/>
        <v>0</v>
      </c>
      <c r="CY39" s="512">
        <f t="shared" si="3"/>
        <v>0</v>
      </c>
    </row>
    <row r="40" spans="1:103">
      <c r="A40" s="112" t="s">
        <v>381</v>
      </c>
      <c r="B40" s="162" t="str">
        <f>IFERROR(VLOOKUP(ParicipationJuillet1[[#This Row],[Référence]],ListeÉtudiants1[],18,FALSE),"")</f>
        <v>CAMISON VICTORIA</v>
      </c>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640"/>
      <c r="AH40" s="202">
        <f>COUNTIF(ParicipationJuillet1[[#This Row],[1]:[31]],Code1)</f>
        <v>0</v>
      </c>
      <c r="AI40" s="475">
        <f>COUNTIF(ParicipationJuillet1[[#This Row],[1]:[31]],code22)</f>
        <v>0</v>
      </c>
      <c r="AJ40" s="202">
        <f>COUNTIF(ParicipationJuillet1[[#This Row],[1]:[31]],Code2)</f>
        <v>0</v>
      </c>
      <c r="AK40" s="202">
        <f>COUNTIF(ParicipationJuillet1[[#This Row],[1]:[31]],Code3)</f>
        <v>0</v>
      </c>
      <c r="AL40" s="202">
        <f>COUNTIF(ParicipationJuillet1[[#This Row],[1]:[31]],Code4)</f>
        <v>0</v>
      </c>
      <c r="AM40" s="473">
        <f>COUNTIF(ParicipationJuillet1[[#This Row],[1]:[31]],Code5)</f>
        <v>0</v>
      </c>
      <c r="AN40" s="473">
        <f>COUNTIF(ParicipationJuillet1[[#This Row],[1]:[31]],Code23)</f>
        <v>0</v>
      </c>
      <c r="AO40" s="473">
        <f>COUNTIF(ParicipationJuillet1[[#This Row],[1]:[31]],Code6)</f>
        <v>0</v>
      </c>
      <c r="AP40" s="473">
        <f>COUNTIF(ParicipationJuillet1[[#This Row],[1]:[31]],Code7)</f>
        <v>0</v>
      </c>
      <c r="AQ40" s="473">
        <f>COUNTIF(ParicipationJuillet1[[#This Row],[1]:[31]],Code8)</f>
        <v>0</v>
      </c>
      <c r="AR40" s="473">
        <f>COUNTIF(ParicipationJuillet1[[#This Row],[1]:[31]],Code9)</f>
        <v>0</v>
      </c>
      <c r="AS40" s="473">
        <f>COUNTIF(ParicipationJuillet1[[#This Row],[1]:[31]],Code10)</f>
        <v>0</v>
      </c>
      <c r="AT40" s="473">
        <f>COUNTIF(ParicipationJuillet1[[#This Row],[1]:[31]],Code11)</f>
        <v>0</v>
      </c>
      <c r="AU40" s="473">
        <f>COUNTIF(ParicipationJuillet1[[#This Row],[1]:[31]],Code12)</f>
        <v>0</v>
      </c>
      <c r="AV40" s="473">
        <f>COUNTIF(ParicipationJuillet1[[#This Row],[1]:[31]],Code13)</f>
        <v>0</v>
      </c>
      <c r="AW40" s="473">
        <f>COUNTIF(ParicipationJuillet1[[#This Row],[1]:[31]],Code14)</f>
        <v>0</v>
      </c>
      <c r="AX40" s="473">
        <f>COUNTIF(ParicipationJuillet1[[#This Row],[1]:[31]],Code15)</f>
        <v>0</v>
      </c>
      <c r="AY40" s="473">
        <f>COUNTIF(ParicipationJuillet1[[#This Row],[1]:[31]],Code16)</f>
        <v>0</v>
      </c>
      <c r="AZ40" s="473">
        <f>COUNTIF(ParicipationJuillet1[[#This Row],[1]:[31]],Code17)</f>
        <v>0</v>
      </c>
      <c r="BA40" s="473">
        <f>COUNTIF(ParicipationJuillet1[[#This Row],[1]:[31]],Code25)</f>
        <v>0</v>
      </c>
      <c r="BB40" s="473">
        <f>COUNTIF(ParicipationJuillet1[[#This Row],[1]:[31]],Code26)</f>
        <v>0</v>
      </c>
      <c r="BC40" s="473">
        <f>COUNTIF(ParicipationJuillet1[[#This Row],[1]:[31]],Code27)</f>
        <v>0</v>
      </c>
      <c r="BD40" s="473">
        <f>COUNTIF(ParicipationJuillet1[[#This Row],[1]:[31]],Code28)</f>
        <v>0</v>
      </c>
      <c r="BE40" s="473">
        <f>COUNTIF(ParicipationJuillet1[[#This Row],[1]:[31]],code30)</f>
        <v>0</v>
      </c>
      <c r="BF40" s="473">
        <f>COUNTIF(ParicipationJuillet1[[#This Row],[1]:[31]],Code31)</f>
        <v>0</v>
      </c>
      <c r="BG40" s="473">
        <f>COUNTIF(ParicipationJuillet1[[#This Row],[1]:[31]],code21)</f>
        <v>0</v>
      </c>
      <c r="BH40" s="473">
        <f>COUNTIF(ParicipationJuillet1[[#This Row],[1]:[31]],Code24)</f>
        <v>0</v>
      </c>
      <c r="BI40" s="473">
        <f>COUNTIF(ParicipationJuillet1[[#This Row],[1]:[31]],code18)</f>
        <v>0</v>
      </c>
      <c r="BJ40" s="473">
        <f>COUNTIF(ParicipationJuillet1[[#This Row],[1]:[31]],code19)</f>
        <v>0</v>
      </c>
      <c r="BK40" s="473">
        <f>COUNTIF(ParicipationJuillet1[[#This Row],[1]:[31]],code20)</f>
        <v>0</v>
      </c>
      <c r="BL40" s="516">
        <f>COUNTIF(ParicipationJuillet1[[#This Row],[1]:[31]],code29)</f>
        <v>0</v>
      </c>
      <c r="BM40" s="473"/>
      <c r="BN40" s="473"/>
      <c r="BO40" s="473"/>
      <c r="BP40" s="473"/>
      <c r="BQ40" s="473"/>
      <c r="BR40" s="473"/>
      <c r="BS40" s="473"/>
      <c r="BT40" s="473"/>
      <c r="BU40" s="473"/>
      <c r="BV40" s="473"/>
      <c r="BW40" s="473"/>
      <c r="BX40" s="473"/>
      <c r="BY40" s="473"/>
      <c r="BZ40" s="473"/>
      <c r="CA40" s="473"/>
      <c r="CB40" s="473"/>
      <c r="CC40" s="473"/>
      <c r="CD40" s="473"/>
      <c r="CE40" s="473"/>
      <c r="CF40" s="473"/>
      <c r="CG40" s="473"/>
      <c r="CH40" s="473"/>
      <c r="CI40" s="473"/>
      <c r="CJ40" s="473"/>
      <c r="CK40" s="473"/>
      <c r="CL40" s="473"/>
      <c r="CM40" s="473"/>
      <c r="CN40" s="473"/>
      <c r="CO40" s="473"/>
      <c r="CP40" s="473"/>
      <c r="CQ40" s="473"/>
      <c r="CR40" s="473"/>
      <c r="CS40" s="473"/>
      <c r="CT40" s="473"/>
      <c r="CU40" s="516"/>
      <c r="CV40" s="501">
        <f t="shared" si="0"/>
        <v>0</v>
      </c>
      <c r="CW40" s="501">
        <f t="shared" si="1"/>
        <v>0</v>
      </c>
      <c r="CX40" s="473">
        <f t="shared" si="2"/>
        <v>0</v>
      </c>
      <c r="CY40" s="512">
        <f t="shared" si="3"/>
        <v>0</v>
      </c>
    </row>
    <row r="41" spans="1:103">
      <c r="A41" s="112" t="s">
        <v>382</v>
      </c>
      <c r="B41" s="162" t="str">
        <f>IFERROR(VLOOKUP(ParicipationJuillet1[[#This Row],[Référence]],ListeÉtudiants1[],18,FALSE),"")</f>
        <v>CEBIN AMANDINE</v>
      </c>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640"/>
      <c r="AH41" s="202">
        <f>COUNTIF(ParicipationJuillet1[[#This Row],[1]:[31]],Code1)</f>
        <v>0</v>
      </c>
      <c r="AI41" s="475">
        <f>COUNTIF(ParicipationJuillet1[[#This Row],[1]:[31]],code22)</f>
        <v>0</v>
      </c>
      <c r="AJ41" s="202">
        <f>COUNTIF(ParicipationJuillet1[[#This Row],[1]:[31]],Code2)</f>
        <v>0</v>
      </c>
      <c r="AK41" s="202">
        <f>COUNTIF(ParicipationJuillet1[[#This Row],[1]:[31]],Code3)</f>
        <v>0</v>
      </c>
      <c r="AL41" s="202">
        <f>COUNTIF(ParicipationJuillet1[[#This Row],[1]:[31]],Code4)</f>
        <v>0</v>
      </c>
      <c r="AM41" s="473">
        <f>COUNTIF(ParicipationJuillet1[[#This Row],[1]:[31]],Code5)</f>
        <v>0</v>
      </c>
      <c r="AN41" s="473">
        <f>COUNTIF(ParicipationJuillet1[[#This Row],[1]:[31]],Code23)</f>
        <v>0</v>
      </c>
      <c r="AO41" s="473">
        <f>COUNTIF(ParicipationJuillet1[[#This Row],[1]:[31]],Code6)</f>
        <v>0</v>
      </c>
      <c r="AP41" s="473">
        <f>COUNTIF(ParicipationJuillet1[[#This Row],[1]:[31]],Code7)</f>
        <v>0</v>
      </c>
      <c r="AQ41" s="473">
        <f>COUNTIF(ParicipationJuillet1[[#This Row],[1]:[31]],Code8)</f>
        <v>0</v>
      </c>
      <c r="AR41" s="473">
        <f>COUNTIF(ParicipationJuillet1[[#This Row],[1]:[31]],Code9)</f>
        <v>0</v>
      </c>
      <c r="AS41" s="473">
        <f>COUNTIF(ParicipationJuillet1[[#This Row],[1]:[31]],Code10)</f>
        <v>0</v>
      </c>
      <c r="AT41" s="473">
        <f>COUNTIF(ParicipationJuillet1[[#This Row],[1]:[31]],Code11)</f>
        <v>0</v>
      </c>
      <c r="AU41" s="473">
        <f>COUNTIF(ParicipationJuillet1[[#This Row],[1]:[31]],Code12)</f>
        <v>0</v>
      </c>
      <c r="AV41" s="473">
        <f>COUNTIF(ParicipationJuillet1[[#This Row],[1]:[31]],Code13)</f>
        <v>0</v>
      </c>
      <c r="AW41" s="473">
        <f>COUNTIF(ParicipationJuillet1[[#This Row],[1]:[31]],Code14)</f>
        <v>0</v>
      </c>
      <c r="AX41" s="473">
        <f>COUNTIF(ParicipationJuillet1[[#This Row],[1]:[31]],Code15)</f>
        <v>0</v>
      </c>
      <c r="AY41" s="473">
        <f>COUNTIF(ParicipationJuillet1[[#This Row],[1]:[31]],Code16)</f>
        <v>0</v>
      </c>
      <c r="AZ41" s="473">
        <f>COUNTIF(ParicipationJuillet1[[#This Row],[1]:[31]],Code17)</f>
        <v>0</v>
      </c>
      <c r="BA41" s="473">
        <f>COUNTIF(ParicipationJuillet1[[#This Row],[1]:[31]],Code25)</f>
        <v>0</v>
      </c>
      <c r="BB41" s="473">
        <f>COUNTIF(ParicipationJuillet1[[#This Row],[1]:[31]],Code26)</f>
        <v>0</v>
      </c>
      <c r="BC41" s="473">
        <f>COUNTIF(ParicipationJuillet1[[#This Row],[1]:[31]],Code27)</f>
        <v>0</v>
      </c>
      <c r="BD41" s="473">
        <f>COUNTIF(ParicipationJuillet1[[#This Row],[1]:[31]],Code28)</f>
        <v>0</v>
      </c>
      <c r="BE41" s="473">
        <f>COUNTIF(ParicipationJuillet1[[#This Row],[1]:[31]],code30)</f>
        <v>0</v>
      </c>
      <c r="BF41" s="473">
        <f>COUNTIF(ParicipationJuillet1[[#This Row],[1]:[31]],Code31)</f>
        <v>0</v>
      </c>
      <c r="BG41" s="473">
        <f>COUNTIF(ParicipationJuillet1[[#This Row],[1]:[31]],code21)</f>
        <v>0</v>
      </c>
      <c r="BH41" s="473">
        <f>COUNTIF(ParicipationJuillet1[[#This Row],[1]:[31]],Code24)</f>
        <v>0</v>
      </c>
      <c r="BI41" s="473">
        <f>COUNTIF(ParicipationJuillet1[[#This Row],[1]:[31]],code18)</f>
        <v>0</v>
      </c>
      <c r="BJ41" s="473">
        <f>COUNTIF(ParicipationJuillet1[[#This Row],[1]:[31]],code19)</f>
        <v>0</v>
      </c>
      <c r="BK41" s="473">
        <f>COUNTIF(ParicipationJuillet1[[#This Row],[1]:[31]],code20)</f>
        <v>0</v>
      </c>
      <c r="BL41" s="516">
        <f>COUNTIF(ParicipationJuillet1[[#This Row],[1]:[31]],code29)</f>
        <v>0</v>
      </c>
      <c r="BM41" s="473"/>
      <c r="BN41" s="473"/>
      <c r="BO41" s="473"/>
      <c r="BP41" s="473"/>
      <c r="BQ41" s="473"/>
      <c r="BR41" s="473"/>
      <c r="BS41" s="473"/>
      <c r="BT41" s="473"/>
      <c r="BU41" s="473"/>
      <c r="BV41" s="473"/>
      <c r="BW41" s="473"/>
      <c r="BX41" s="473"/>
      <c r="BY41" s="473"/>
      <c r="BZ41" s="473"/>
      <c r="CA41" s="473"/>
      <c r="CB41" s="473"/>
      <c r="CC41" s="473"/>
      <c r="CD41" s="473"/>
      <c r="CE41" s="473"/>
      <c r="CF41" s="473"/>
      <c r="CG41" s="473"/>
      <c r="CH41" s="473"/>
      <c r="CI41" s="473"/>
      <c r="CJ41" s="473"/>
      <c r="CK41" s="473"/>
      <c r="CL41" s="473"/>
      <c r="CM41" s="473"/>
      <c r="CN41" s="473"/>
      <c r="CO41" s="473"/>
      <c r="CP41" s="473"/>
      <c r="CQ41" s="473"/>
      <c r="CR41" s="473"/>
      <c r="CS41" s="473"/>
      <c r="CT41" s="473"/>
      <c r="CU41" s="516"/>
      <c r="CV41" s="501">
        <f t="shared" si="0"/>
        <v>0</v>
      </c>
      <c r="CW41" s="501">
        <f t="shared" si="1"/>
        <v>0</v>
      </c>
      <c r="CX41" s="473">
        <f t="shared" si="2"/>
        <v>0</v>
      </c>
      <c r="CY41" s="512">
        <f t="shared" si="3"/>
        <v>0</v>
      </c>
    </row>
    <row r="42" spans="1:103">
      <c r="A42" s="112" t="s">
        <v>383</v>
      </c>
      <c r="B42" s="162" t="str">
        <f>IFERROR(VLOOKUP(ParicipationJuillet1[[#This Row],[Référence]],ListeÉtudiants1[],18,FALSE),"")</f>
        <v>CHARPAGNE MORGANE</v>
      </c>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640"/>
      <c r="AH42" s="202">
        <f>COUNTIF(ParicipationJuillet1[[#This Row],[1]:[31]],Code1)</f>
        <v>0</v>
      </c>
      <c r="AI42" s="475">
        <f>COUNTIF(ParicipationJuillet1[[#This Row],[1]:[31]],code22)</f>
        <v>0</v>
      </c>
      <c r="AJ42" s="202">
        <f>COUNTIF(ParicipationJuillet1[[#This Row],[1]:[31]],Code2)</f>
        <v>0</v>
      </c>
      <c r="AK42" s="202">
        <f>COUNTIF(ParicipationJuillet1[[#This Row],[1]:[31]],Code3)</f>
        <v>0</v>
      </c>
      <c r="AL42" s="202">
        <f>COUNTIF(ParicipationJuillet1[[#This Row],[1]:[31]],Code4)</f>
        <v>0</v>
      </c>
      <c r="AM42" s="473">
        <f>COUNTIF(ParicipationJuillet1[[#This Row],[1]:[31]],Code5)</f>
        <v>0</v>
      </c>
      <c r="AN42" s="473">
        <f>COUNTIF(ParicipationJuillet1[[#This Row],[1]:[31]],Code23)</f>
        <v>0</v>
      </c>
      <c r="AO42" s="473">
        <f>COUNTIF(ParicipationJuillet1[[#This Row],[1]:[31]],Code6)</f>
        <v>0</v>
      </c>
      <c r="AP42" s="473">
        <f>COUNTIF(ParicipationJuillet1[[#This Row],[1]:[31]],Code7)</f>
        <v>0</v>
      </c>
      <c r="AQ42" s="473">
        <f>COUNTIF(ParicipationJuillet1[[#This Row],[1]:[31]],Code8)</f>
        <v>0</v>
      </c>
      <c r="AR42" s="473">
        <f>COUNTIF(ParicipationJuillet1[[#This Row],[1]:[31]],Code9)</f>
        <v>0</v>
      </c>
      <c r="AS42" s="473">
        <f>COUNTIF(ParicipationJuillet1[[#This Row],[1]:[31]],Code10)</f>
        <v>0</v>
      </c>
      <c r="AT42" s="473">
        <f>COUNTIF(ParicipationJuillet1[[#This Row],[1]:[31]],Code11)</f>
        <v>0</v>
      </c>
      <c r="AU42" s="473">
        <f>COUNTIF(ParicipationJuillet1[[#This Row],[1]:[31]],Code12)</f>
        <v>0</v>
      </c>
      <c r="AV42" s="473">
        <f>COUNTIF(ParicipationJuillet1[[#This Row],[1]:[31]],Code13)</f>
        <v>0</v>
      </c>
      <c r="AW42" s="473">
        <f>COUNTIF(ParicipationJuillet1[[#This Row],[1]:[31]],Code14)</f>
        <v>0</v>
      </c>
      <c r="AX42" s="473">
        <f>COUNTIF(ParicipationJuillet1[[#This Row],[1]:[31]],Code15)</f>
        <v>0</v>
      </c>
      <c r="AY42" s="473">
        <f>COUNTIF(ParicipationJuillet1[[#This Row],[1]:[31]],Code16)</f>
        <v>0</v>
      </c>
      <c r="AZ42" s="473">
        <f>COUNTIF(ParicipationJuillet1[[#This Row],[1]:[31]],Code17)</f>
        <v>0</v>
      </c>
      <c r="BA42" s="473">
        <f>COUNTIF(ParicipationJuillet1[[#This Row],[1]:[31]],Code25)</f>
        <v>0</v>
      </c>
      <c r="BB42" s="473">
        <f>COUNTIF(ParicipationJuillet1[[#This Row],[1]:[31]],Code26)</f>
        <v>0</v>
      </c>
      <c r="BC42" s="473">
        <f>COUNTIF(ParicipationJuillet1[[#This Row],[1]:[31]],Code27)</f>
        <v>0</v>
      </c>
      <c r="BD42" s="473">
        <f>COUNTIF(ParicipationJuillet1[[#This Row],[1]:[31]],Code28)</f>
        <v>0</v>
      </c>
      <c r="BE42" s="473">
        <f>COUNTIF(ParicipationJuillet1[[#This Row],[1]:[31]],code30)</f>
        <v>0</v>
      </c>
      <c r="BF42" s="473">
        <f>COUNTIF(ParicipationJuillet1[[#This Row],[1]:[31]],Code31)</f>
        <v>0</v>
      </c>
      <c r="BG42" s="473">
        <f>COUNTIF(ParicipationJuillet1[[#This Row],[1]:[31]],code21)</f>
        <v>0</v>
      </c>
      <c r="BH42" s="473">
        <f>COUNTIF(ParicipationJuillet1[[#This Row],[1]:[31]],Code24)</f>
        <v>0</v>
      </c>
      <c r="BI42" s="473">
        <f>COUNTIF(ParicipationJuillet1[[#This Row],[1]:[31]],code18)</f>
        <v>0</v>
      </c>
      <c r="BJ42" s="473">
        <f>COUNTIF(ParicipationJuillet1[[#This Row],[1]:[31]],code19)</f>
        <v>0</v>
      </c>
      <c r="BK42" s="473">
        <f>COUNTIF(ParicipationJuillet1[[#This Row],[1]:[31]],code20)</f>
        <v>0</v>
      </c>
      <c r="BL42" s="516">
        <f>COUNTIF(ParicipationJuillet1[[#This Row],[1]:[31]],code29)</f>
        <v>0</v>
      </c>
      <c r="BM42" s="473"/>
      <c r="BN42" s="473"/>
      <c r="BO42" s="473"/>
      <c r="BP42" s="473"/>
      <c r="BQ42" s="473"/>
      <c r="BR42" s="473"/>
      <c r="BS42" s="473"/>
      <c r="BT42" s="473"/>
      <c r="BU42" s="473"/>
      <c r="BV42" s="473"/>
      <c r="BW42" s="473"/>
      <c r="BX42" s="473"/>
      <c r="BY42" s="473"/>
      <c r="BZ42" s="473"/>
      <c r="CA42" s="473"/>
      <c r="CB42" s="473"/>
      <c r="CC42" s="473"/>
      <c r="CD42" s="473"/>
      <c r="CE42" s="473"/>
      <c r="CF42" s="473"/>
      <c r="CG42" s="473"/>
      <c r="CH42" s="473"/>
      <c r="CI42" s="473"/>
      <c r="CJ42" s="473"/>
      <c r="CK42" s="473"/>
      <c r="CL42" s="473"/>
      <c r="CM42" s="473"/>
      <c r="CN42" s="473"/>
      <c r="CO42" s="473"/>
      <c r="CP42" s="473"/>
      <c r="CQ42" s="473"/>
      <c r="CR42" s="473"/>
      <c r="CS42" s="473"/>
      <c r="CT42" s="473"/>
      <c r="CU42" s="516"/>
      <c r="CV42" s="501">
        <f t="shared" si="0"/>
        <v>0</v>
      </c>
      <c r="CW42" s="501">
        <f t="shared" si="1"/>
        <v>0</v>
      </c>
      <c r="CX42" s="473">
        <f t="shared" si="2"/>
        <v>0</v>
      </c>
      <c r="CY42" s="512">
        <f t="shared" si="3"/>
        <v>0</v>
      </c>
    </row>
    <row r="43" spans="1:103">
      <c r="A43" s="112" t="s">
        <v>384</v>
      </c>
      <c r="B43" s="162" t="str">
        <f>IFERROR(VLOOKUP(ParicipationJuillet1[[#This Row],[Référence]],ListeÉtudiants1[],18,FALSE),"")</f>
        <v>CIRACI AYLA</v>
      </c>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640"/>
      <c r="AH43" s="202">
        <f>COUNTIF(ParicipationJuillet1[[#This Row],[1]:[31]],Code1)</f>
        <v>0</v>
      </c>
      <c r="AI43" s="475">
        <f>COUNTIF(ParicipationJuillet1[[#This Row],[1]:[31]],code22)</f>
        <v>0</v>
      </c>
      <c r="AJ43" s="202">
        <f>COUNTIF(ParicipationJuillet1[[#This Row],[1]:[31]],Code2)</f>
        <v>0</v>
      </c>
      <c r="AK43" s="202">
        <f>COUNTIF(ParicipationJuillet1[[#This Row],[1]:[31]],Code3)</f>
        <v>0</v>
      </c>
      <c r="AL43" s="202">
        <f>COUNTIF(ParicipationJuillet1[[#This Row],[1]:[31]],Code4)</f>
        <v>0</v>
      </c>
      <c r="AM43" s="473">
        <f>COUNTIF(ParicipationJuillet1[[#This Row],[1]:[31]],Code5)</f>
        <v>0</v>
      </c>
      <c r="AN43" s="473">
        <f>COUNTIF(ParicipationJuillet1[[#This Row],[1]:[31]],Code23)</f>
        <v>0</v>
      </c>
      <c r="AO43" s="473">
        <f>COUNTIF(ParicipationJuillet1[[#This Row],[1]:[31]],Code6)</f>
        <v>0</v>
      </c>
      <c r="AP43" s="473">
        <f>COUNTIF(ParicipationJuillet1[[#This Row],[1]:[31]],Code7)</f>
        <v>0</v>
      </c>
      <c r="AQ43" s="473">
        <f>COUNTIF(ParicipationJuillet1[[#This Row],[1]:[31]],Code8)</f>
        <v>0</v>
      </c>
      <c r="AR43" s="473">
        <f>COUNTIF(ParicipationJuillet1[[#This Row],[1]:[31]],Code9)</f>
        <v>0</v>
      </c>
      <c r="AS43" s="473">
        <f>COUNTIF(ParicipationJuillet1[[#This Row],[1]:[31]],Code10)</f>
        <v>0</v>
      </c>
      <c r="AT43" s="473">
        <f>COUNTIF(ParicipationJuillet1[[#This Row],[1]:[31]],Code11)</f>
        <v>0</v>
      </c>
      <c r="AU43" s="473">
        <f>COUNTIF(ParicipationJuillet1[[#This Row],[1]:[31]],Code12)</f>
        <v>0</v>
      </c>
      <c r="AV43" s="473">
        <f>COUNTIF(ParicipationJuillet1[[#This Row],[1]:[31]],Code13)</f>
        <v>0</v>
      </c>
      <c r="AW43" s="473">
        <f>COUNTIF(ParicipationJuillet1[[#This Row],[1]:[31]],Code14)</f>
        <v>0</v>
      </c>
      <c r="AX43" s="473">
        <f>COUNTIF(ParicipationJuillet1[[#This Row],[1]:[31]],Code15)</f>
        <v>0</v>
      </c>
      <c r="AY43" s="473">
        <f>COUNTIF(ParicipationJuillet1[[#This Row],[1]:[31]],Code16)</f>
        <v>0</v>
      </c>
      <c r="AZ43" s="473">
        <f>COUNTIF(ParicipationJuillet1[[#This Row],[1]:[31]],Code17)</f>
        <v>0</v>
      </c>
      <c r="BA43" s="473">
        <f>COUNTIF(ParicipationJuillet1[[#This Row],[1]:[31]],Code25)</f>
        <v>0</v>
      </c>
      <c r="BB43" s="473">
        <f>COUNTIF(ParicipationJuillet1[[#This Row],[1]:[31]],Code26)</f>
        <v>0</v>
      </c>
      <c r="BC43" s="473">
        <f>COUNTIF(ParicipationJuillet1[[#This Row],[1]:[31]],Code27)</f>
        <v>0</v>
      </c>
      <c r="BD43" s="473">
        <f>COUNTIF(ParicipationJuillet1[[#This Row],[1]:[31]],Code28)</f>
        <v>0</v>
      </c>
      <c r="BE43" s="473">
        <f>COUNTIF(ParicipationJuillet1[[#This Row],[1]:[31]],code30)</f>
        <v>0</v>
      </c>
      <c r="BF43" s="473">
        <f>COUNTIF(ParicipationJuillet1[[#This Row],[1]:[31]],Code31)</f>
        <v>0</v>
      </c>
      <c r="BG43" s="473">
        <f>COUNTIF(ParicipationJuillet1[[#This Row],[1]:[31]],code21)</f>
        <v>0</v>
      </c>
      <c r="BH43" s="473">
        <f>COUNTIF(ParicipationJuillet1[[#This Row],[1]:[31]],Code24)</f>
        <v>0</v>
      </c>
      <c r="BI43" s="473">
        <f>COUNTIF(ParicipationJuillet1[[#This Row],[1]:[31]],code18)</f>
        <v>0</v>
      </c>
      <c r="BJ43" s="473">
        <f>COUNTIF(ParicipationJuillet1[[#This Row],[1]:[31]],code19)</f>
        <v>0</v>
      </c>
      <c r="BK43" s="473">
        <f>COUNTIF(ParicipationJuillet1[[#This Row],[1]:[31]],code20)</f>
        <v>0</v>
      </c>
      <c r="BL43" s="516">
        <f>COUNTIF(ParicipationJuillet1[[#This Row],[1]:[31]],code29)</f>
        <v>0</v>
      </c>
      <c r="BM43" s="473"/>
      <c r="BN43" s="473"/>
      <c r="BO43" s="473"/>
      <c r="BP43" s="473"/>
      <c r="BQ43" s="473"/>
      <c r="BR43" s="473"/>
      <c r="BS43" s="473"/>
      <c r="BT43" s="473"/>
      <c r="BU43" s="473"/>
      <c r="BV43" s="473"/>
      <c r="BW43" s="473"/>
      <c r="BX43" s="473"/>
      <c r="BY43" s="473"/>
      <c r="BZ43" s="473"/>
      <c r="CA43" s="473"/>
      <c r="CB43" s="473"/>
      <c r="CC43" s="473"/>
      <c r="CD43" s="473"/>
      <c r="CE43" s="473"/>
      <c r="CF43" s="473"/>
      <c r="CG43" s="473"/>
      <c r="CH43" s="473"/>
      <c r="CI43" s="473"/>
      <c r="CJ43" s="473"/>
      <c r="CK43" s="473"/>
      <c r="CL43" s="473"/>
      <c r="CM43" s="473"/>
      <c r="CN43" s="473"/>
      <c r="CO43" s="473"/>
      <c r="CP43" s="473"/>
      <c r="CQ43" s="473"/>
      <c r="CR43" s="473"/>
      <c r="CS43" s="473"/>
      <c r="CT43" s="473"/>
      <c r="CU43" s="516"/>
      <c r="CV43" s="501">
        <f t="shared" si="0"/>
        <v>0</v>
      </c>
      <c r="CW43" s="501">
        <f t="shared" si="1"/>
        <v>0</v>
      </c>
      <c r="CX43" s="473">
        <f t="shared" si="2"/>
        <v>0</v>
      </c>
      <c r="CY43" s="512">
        <f t="shared" si="3"/>
        <v>0</v>
      </c>
    </row>
    <row r="44" spans="1:103">
      <c r="A44" s="112" t="s">
        <v>385</v>
      </c>
      <c r="B44" s="162" t="str">
        <f>IFERROR(VLOOKUP(ParicipationJuillet1[[#This Row],[Référence]],ListeÉtudiants1[],18,FALSE),"")</f>
        <v>CLARY VERONIQUE</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640"/>
      <c r="AH44" s="202">
        <f>COUNTIF(ParicipationJuillet1[[#This Row],[1]:[31]],Code1)</f>
        <v>0</v>
      </c>
      <c r="AI44" s="475">
        <f>COUNTIF(ParicipationJuillet1[[#This Row],[1]:[31]],code22)</f>
        <v>0</v>
      </c>
      <c r="AJ44" s="202">
        <f>COUNTIF(ParicipationJuillet1[[#This Row],[1]:[31]],Code2)</f>
        <v>0</v>
      </c>
      <c r="AK44" s="202">
        <f>COUNTIF(ParicipationJuillet1[[#This Row],[1]:[31]],Code3)</f>
        <v>0</v>
      </c>
      <c r="AL44" s="202">
        <f>COUNTIF(ParicipationJuillet1[[#This Row],[1]:[31]],Code4)</f>
        <v>0</v>
      </c>
      <c r="AM44" s="473">
        <f>COUNTIF(ParicipationJuillet1[[#This Row],[1]:[31]],Code5)</f>
        <v>0</v>
      </c>
      <c r="AN44" s="473">
        <f>COUNTIF(ParicipationJuillet1[[#This Row],[1]:[31]],Code23)</f>
        <v>0</v>
      </c>
      <c r="AO44" s="473">
        <f>COUNTIF(ParicipationJuillet1[[#This Row],[1]:[31]],Code6)</f>
        <v>0</v>
      </c>
      <c r="AP44" s="473">
        <f>COUNTIF(ParicipationJuillet1[[#This Row],[1]:[31]],Code7)</f>
        <v>0</v>
      </c>
      <c r="AQ44" s="473">
        <f>COUNTIF(ParicipationJuillet1[[#This Row],[1]:[31]],Code8)</f>
        <v>0</v>
      </c>
      <c r="AR44" s="473">
        <f>COUNTIF(ParicipationJuillet1[[#This Row],[1]:[31]],Code9)</f>
        <v>0</v>
      </c>
      <c r="AS44" s="473">
        <f>COUNTIF(ParicipationJuillet1[[#This Row],[1]:[31]],Code10)</f>
        <v>0</v>
      </c>
      <c r="AT44" s="473">
        <f>COUNTIF(ParicipationJuillet1[[#This Row],[1]:[31]],Code11)</f>
        <v>0</v>
      </c>
      <c r="AU44" s="473">
        <f>COUNTIF(ParicipationJuillet1[[#This Row],[1]:[31]],Code12)</f>
        <v>0</v>
      </c>
      <c r="AV44" s="473">
        <f>COUNTIF(ParicipationJuillet1[[#This Row],[1]:[31]],Code13)</f>
        <v>0</v>
      </c>
      <c r="AW44" s="473">
        <f>COUNTIF(ParicipationJuillet1[[#This Row],[1]:[31]],Code14)</f>
        <v>0</v>
      </c>
      <c r="AX44" s="473">
        <f>COUNTIF(ParicipationJuillet1[[#This Row],[1]:[31]],Code15)</f>
        <v>0</v>
      </c>
      <c r="AY44" s="473">
        <f>COUNTIF(ParicipationJuillet1[[#This Row],[1]:[31]],Code16)</f>
        <v>0</v>
      </c>
      <c r="AZ44" s="473">
        <f>COUNTIF(ParicipationJuillet1[[#This Row],[1]:[31]],Code17)</f>
        <v>0</v>
      </c>
      <c r="BA44" s="473">
        <f>COUNTIF(ParicipationJuillet1[[#This Row],[1]:[31]],Code25)</f>
        <v>0</v>
      </c>
      <c r="BB44" s="473">
        <f>COUNTIF(ParicipationJuillet1[[#This Row],[1]:[31]],Code26)</f>
        <v>0</v>
      </c>
      <c r="BC44" s="473">
        <f>COUNTIF(ParicipationJuillet1[[#This Row],[1]:[31]],Code27)</f>
        <v>0</v>
      </c>
      <c r="BD44" s="473">
        <f>COUNTIF(ParicipationJuillet1[[#This Row],[1]:[31]],Code28)</f>
        <v>0</v>
      </c>
      <c r="BE44" s="473">
        <f>COUNTIF(ParicipationJuillet1[[#This Row],[1]:[31]],code30)</f>
        <v>0</v>
      </c>
      <c r="BF44" s="473">
        <f>COUNTIF(ParicipationJuillet1[[#This Row],[1]:[31]],Code31)</f>
        <v>0</v>
      </c>
      <c r="BG44" s="473">
        <f>COUNTIF(ParicipationJuillet1[[#This Row],[1]:[31]],code21)</f>
        <v>0</v>
      </c>
      <c r="BH44" s="473">
        <f>COUNTIF(ParicipationJuillet1[[#This Row],[1]:[31]],Code24)</f>
        <v>0</v>
      </c>
      <c r="BI44" s="473">
        <f>COUNTIF(ParicipationJuillet1[[#This Row],[1]:[31]],code18)</f>
        <v>0</v>
      </c>
      <c r="BJ44" s="473">
        <f>COUNTIF(ParicipationJuillet1[[#This Row],[1]:[31]],code19)</f>
        <v>0</v>
      </c>
      <c r="BK44" s="473">
        <f>COUNTIF(ParicipationJuillet1[[#This Row],[1]:[31]],code20)</f>
        <v>0</v>
      </c>
      <c r="BL44" s="516">
        <f>COUNTIF(ParicipationJuillet1[[#This Row],[1]:[31]],code29)</f>
        <v>0</v>
      </c>
      <c r="BM44" s="473"/>
      <c r="BN44" s="473"/>
      <c r="BO44" s="473"/>
      <c r="BP44" s="473"/>
      <c r="BQ44" s="473"/>
      <c r="BR44" s="473"/>
      <c r="BS44" s="473"/>
      <c r="BT44" s="473"/>
      <c r="BU44" s="473"/>
      <c r="BV44" s="473"/>
      <c r="BW44" s="473"/>
      <c r="BX44" s="473"/>
      <c r="BY44" s="473"/>
      <c r="BZ44" s="473"/>
      <c r="CA44" s="473"/>
      <c r="CB44" s="473"/>
      <c r="CC44" s="473"/>
      <c r="CD44" s="473"/>
      <c r="CE44" s="473"/>
      <c r="CF44" s="473"/>
      <c r="CG44" s="473"/>
      <c r="CH44" s="473"/>
      <c r="CI44" s="473"/>
      <c r="CJ44" s="473"/>
      <c r="CK44" s="473"/>
      <c r="CL44" s="473"/>
      <c r="CM44" s="473"/>
      <c r="CN44" s="473"/>
      <c r="CO44" s="473"/>
      <c r="CP44" s="473"/>
      <c r="CQ44" s="473"/>
      <c r="CR44" s="473"/>
      <c r="CS44" s="473"/>
      <c r="CT44" s="473"/>
      <c r="CU44" s="516"/>
      <c r="CV44" s="501">
        <f t="shared" si="0"/>
        <v>0</v>
      </c>
      <c r="CW44" s="501">
        <f t="shared" si="1"/>
        <v>0</v>
      </c>
      <c r="CX44" s="473">
        <f t="shared" si="2"/>
        <v>0</v>
      </c>
      <c r="CY44" s="512">
        <f t="shared" si="3"/>
        <v>0</v>
      </c>
    </row>
    <row r="45" spans="1:103">
      <c r="A45" s="112" t="s">
        <v>386</v>
      </c>
      <c r="B45" s="162" t="str">
        <f>IFERROR(VLOOKUP(ParicipationJuillet1[[#This Row],[Référence]],ListeÉtudiants1[],18,FALSE),"")</f>
        <v>CLAUDIN LAURENE</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640"/>
      <c r="AH45" s="202">
        <f>COUNTIF(ParicipationJuillet1[[#This Row],[1]:[31]],Code1)</f>
        <v>0</v>
      </c>
      <c r="AI45" s="475">
        <f>COUNTIF(ParicipationJuillet1[[#This Row],[1]:[31]],code22)</f>
        <v>0</v>
      </c>
      <c r="AJ45" s="202">
        <f>COUNTIF(ParicipationJuillet1[[#This Row],[1]:[31]],Code2)</f>
        <v>0</v>
      </c>
      <c r="AK45" s="202">
        <f>COUNTIF(ParicipationJuillet1[[#This Row],[1]:[31]],Code3)</f>
        <v>0</v>
      </c>
      <c r="AL45" s="202">
        <f>COUNTIF(ParicipationJuillet1[[#This Row],[1]:[31]],Code4)</f>
        <v>0</v>
      </c>
      <c r="AM45" s="473">
        <f>COUNTIF(ParicipationJuillet1[[#This Row],[1]:[31]],Code5)</f>
        <v>0</v>
      </c>
      <c r="AN45" s="473">
        <f>COUNTIF(ParicipationJuillet1[[#This Row],[1]:[31]],Code23)</f>
        <v>0</v>
      </c>
      <c r="AO45" s="473">
        <f>COUNTIF(ParicipationJuillet1[[#This Row],[1]:[31]],Code6)</f>
        <v>0</v>
      </c>
      <c r="AP45" s="473">
        <f>COUNTIF(ParicipationJuillet1[[#This Row],[1]:[31]],Code7)</f>
        <v>0</v>
      </c>
      <c r="AQ45" s="473">
        <f>COUNTIF(ParicipationJuillet1[[#This Row],[1]:[31]],Code8)</f>
        <v>0</v>
      </c>
      <c r="AR45" s="473">
        <f>COUNTIF(ParicipationJuillet1[[#This Row],[1]:[31]],Code9)</f>
        <v>0</v>
      </c>
      <c r="AS45" s="473">
        <f>COUNTIF(ParicipationJuillet1[[#This Row],[1]:[31]],Code10)</f>
        <v>0</v>
      </c>
      <c r="AT45" s="473">
        <f>COUNTIF(ParicipationJuillet1[[#This Row],[1]:[31]],Code11)</f>
        <v>0</v>
      </c>
      <c r="AU45" s="473">
        <f>COUNTIF(ParicipationJuillet1[[#This Row],[1]:[31]],Code12)</f>
        <v>0</v>
      </c>
      <c r="AV45" s="473">
        <f>COUNTIF(ParicipationJuillet1[[#This Row],[1]:[31]],Code13)</f>
        <v>0</v>
      </c>
      <c r="AW45" s="473">
        <f>COUNTIF(ParicipationJuillet1[[#This Row],[1]:[31]],Code14)</f>
        <v>0</v>
      </c>
      <c r="AX45" s="473">
        <f>COUNTIF(ParicipationJuillet1[[#This Row],[1]:[31]],Code15)</f>
        <v>0</v>
      </c>
      <c r="AY45" s="473">
        <f>COUNTIF(ParicipationJuillet1[[#This Row],[1]:[31]],Code16)</f>
        <v>0</v>
      </c>
      <c r="AZ45" s="473">
        <f>COUNTIF(ParicipationJuillet1[[#This Row],[1]:[31]],Code17)</f>
        <v>0</v>
      </c>
      <c r="BA45" s="473">
        <f>COUNTIF(ParicipationJuillet1[[#This Row],[1]:[31]],Code25)</f>
        <v>0</v>
      </c>
      <c r="BB45" s="473">
        <f>COUNTIF(ParicipationJuillet1[[#This Row],[1]:[31]],Code26)</f>
        <v>0</v>
      </c>
      <c r="BC45" s="473">
        <f>COUNTIF(ParicipationJuillet1[[#This Row],[1]:[31]],Code27)</f>
        <v>0</v>
      </c>
      <c r="BD45" s="473">
        <f>COUNTIF(ParicipationJuillet1[[#This Row],[1]:[31]],Code28)</f>
        <v>0</v>
      </c>
      <c r="BE45" s="473">
        <f>COUNTIF(ParicipationJuillet1[[#This Row],[1]:[31]],code30)</f>
        <v>0</v>
      </c>
      <c r="BF45" s="473">
        <f>COUNTIF(ParicipationJuillet1[[#This Row],[1]:[31]],Code31)</f>
        <v>0</v>
      </c>
      <c r="BG45" s="473">
        <f>COUNTIF(ParicipationJuillet1[[#This Row],[1]:[31]],code21)</f>
        <v>0</v>
      </c>
      <c r="BH45" s="473">
        <f>COUNTIF(ParicipationJuillet1[[#This Row],[1]:[31]],Code24)</f>
        <v>0</v>
      </c>
      <c r="BI45" s="473">
        <f>COUNTIF(ParicipationJuillet1[[#This Row],[1]:[31]],code18)</f>
        <v>0</v>
      </c>
      <c r="BJ45" s="473">
        <f>COUNTIF(ParicipationJuillet1[[#This Row],[1]:[31]],code19)</f>
        <v>0</v>
      </c>
      <c r="BK45" s="473">
        <f>COUNTIF(ParicipationJuillet1[[#This Row],[1]:[31]],code20)</f>
        <v>0</v>
      </c>
      <c r="BL45" s="516">
        <f>COUNTIF(ParicipationJuillet1[[#This Row],[1]:[31]],code29)</f>
        <v>0</v>
      </c>
      <c r="BM45" s="473"/>
      <c r="BN45" s="473"/>
      <c r="BO45" s="473"/>
      <c r="BP45" s="473"/>
      <c r="BQ45" s="473"/>
      <c r="BR45" s="473"/>
      <c r="BS45" s="473"/>
      <c r="BT45" s="473"/>
      <c r="BU45" s="473"/>
      <c r="BV45" s="473"/>
      <c r="BW45" s="473"/>
      <c r="BX45" s="473"/>
      <c r="BY45" s="473"/>
      <c r="BZ45" s="473"/>
      <c r="CA45" s="473"/>
      <c r="CB45" s="473"/>
      <c r="CC45" s="473"/>
      <c r="CD45" s="473"/>
      <c r="CE45" s="473"/>
      <c r="CF45" s="473"/>
      <c r="CG45" s="473"/>
      <c r="CH45" s="473"/>
      <c r="CI45" s="473"/>
      <c r="CJ45" s="473"/>
      <c r="CK45" s="473"/>
      <c r="CL45" s="473"/>
      <c r="CM45" s="473"/>
      <c r="CN45" s="473"/>
      <c r="CO45" s="473"/>
      <c r="CP45" s="473"/>
      <c r="CQ45" s="473"/>
      <c r="CR45" s="473"/>
      <c r="CS45" s="473"/>
      <c r="CT45" s="473"/>
      <c r="CU45" s="516"/>
      <c r="CV45" s="501">
        <f t="shared" si="0"/>
        <v>0</v>
      </c>
      <c r="CW45" s="501">
        <f t="shared" si="1"/>
        <v>0</v>
      </c>
      <c r="CX45" s="473">
        <f t="shared" si="2"/>
        <v>0</v>
      </c>
      <c r="CY45" s="512">
        <f t="shared" si="3"/>
        <v>0</v>
      </c>
    </row>
    <row r="46" spans="1:103">
      <c r="A46" s="112" t="s">
        <v>387</v>
      </c>
      <c r="B46" s="162" t="str">
        <f>IFERROR(VLOOKUP(ParicipationJuillet1[[#This Row],[Référence]],ListeÉtudiants1[],18,FALSE),"")</f>
        <v>CORDEREIX MARIE</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640"/>
      <c r="AH46" s="202">
        <f>COUNTIF(ParicipationJuillet1[[#This Row],[1]:[31]],Code1)</f>
        <v>0</v>
      </c>
      <c r="AI46" s="475">
        <f>COUNTIF(ParicipationJuillet1[[#This Row],[1]:[31]],code22)</f>
        <v>0</v>
      </c>
      <c r="AJ46" s="202">
        <f>COUNTIF(ParicipationJuillet1[[#This Row],[1]:[31]],Code2)</f>
        <v>0</v>
      </c>
      <c r="AK46" s="202">
        <f>COUNTIF(ParicipationJuillet1[[#This Row],[1]:[31]],Code3)</f>
        <v>0</v>
      </c>
      <c r="AL46" s="202">
        <f>COUNTIF(ParicipationJuillet1[[#This Row],[1]:[31]],Code4)</f>
        <v>0</v>
      </c>
      <c r="AM46" s="473">
        <f>COUNTIF(ParicipationJuillet1[[#This Row],[1]:[31]],Code5)</f>
        <v>0</v>
      </c>
      <c r="AN46" s="473">
        <f>COUNTIF(ParicipationJuillet1[[#This Row],[1]:[31]],Code23)</f>
        <v>0</v>
      </c>
      <c r="AO46" s="473">
        <f>COUNTIF(ParicipationJuillet1[[#This Row],[1]:[31]],Code6)</f>
        <v>0</v>
      </c>
      <c r="AP46" s="473">
        <f>COUNTIF(ParicipationJuillet1[[#This Row],[1]:[31]],Code7)</f>
        <v>0</v>
      </c>
      <c r="AQ46" s="473">
        <f>COUNTIF(ParicipationJuillet1[[#This Row],[1]:[31]],Code8)</f>
        <v>0</v>
      </c>
      <c r="AR46" s="473">
        <f>COUNTIF(ParicipationJuillet1[[#This Row],[1]:[31]],Code9)</f>
        <v>0</v>
      </c>
      <c r="AS46" s="473">
        <f>COUNTIF(ParicipationJuillet1[[#This Row],[1]:[31]],Code10)</f>
        <v>0</v>
      </c>
      <c r="AT46" s="473">
        <f>COUNTIF(ParicipationJuillet1[[#This Row],[1]:[31]],Code11)</f>
        <v>0</v>
      </c>
      <c r="AU46" s="473">
        <f>COUNTIF(ParicipationJuillet1[[#This Row],[1]:[31]],Code12)</f>
        <v>0</v>
      </c>
      <c r="AV46" s="473">
        <f>COUNTIF(ParicipationJuillet1[[#This Row],[1]:[31]],Code13)</f>
        <v>0</v>
      </c>
      <c r="AW46" s="473">
        <f>COUNTIF(ParicipationJuillet1[[#This Row],[1]:[31]],Code14)</f>
        <v>0</v>
      </c>
      <c r="AX46" s="473">
        <f>COUNTIF(ParicipationJuillet1[[#This Row],[1]:[31]],Code15)</f>
        <v>0</v>
      </c>
      <c r="AY46" s="473">
        <f>COUNTIF(ParicipationJuillet1[[#This Row],[1]:[31]],Code16)</f>
        <v>0</v>
      </c>
      <c r="AZ46" s="473">
        <f>COUNTIF(ParicipationJuillet1[[#This Row],[1]:[31]],Code17)</f>
        <v>0</v>
      </c>
      <c r="BA46" s="473">
        <f>COUNTIF(ParicipationJuillet1[[#This Row],[1]:[31]],Code25)</f>
        <v>0</v>
      </c>
      <c r="BB46" s="473">
        <f>COUNTIF(ParicipationJuillet1[[#This Row],[1]:[31]],Code26)</f>
        <v>0</v>
      </c>
      <c r="BC46" s="473">
        <f>COUNTIF(ParicipationJuillet1[[#This Row],[1]:[31]],Code27)</f>
        <v>0</v>
      </c>
      <c r="BD46" s="473">
        <f>COUNTIF(ParicipationJuillet1[[#This Row],[1]:[31]],Code28)</f>
        <v>0</v>
      </c>
      <c r="BE46" s="473">
        <f>COUNTIF(ParicipationJuillet1[[#This Row],[1]:[31]],code30)</f>
        <v>0</v>
      </c>
      <c r="BF46" s="473">
        <f>COUNTIF(ParicipationJuillet1[[#This Row],[1]:[31]],Code31)</f>
        <v>0</v>
      </c>
      <c r="BG46" s="473">
        <f>COUNTIF(ParicipationJuillet1[[#This Row],[1]:[31]],code21)</f>
        <v>0</v>
      </c>
      <c r="BH46" s="473">
        <f>COUNTIF(ParicipationJuillet1[[#This Row],[1]:[31]],Code24)</f>
        <v>0</v>
      </c>
      <c r="BI46" s="473">
        <f>COUNTIF(ParicipationJuillet1[[#This Row],[1]:[31]],code18)</f>
        <v>0</v>
      </c>
      <c r="BJ46" s="473">
        <f>COUNTIF(ParicipationJuillet1[[#This Row],[1]:[31]],code19)</f>
        <v>0</v>
      </c>
      <c r="BK46" s="473">
        <f>COUNTIF(ParicipationJuillet1[[#This Row],[1]:[31]],code20)</f>
        <v>0</v>
      </c>
      <c r="BL46" s="516">
        <f>COUNTIF(ParicipationJuillet1[[#This Row],[1]:[31]],code29)</f>
        <v>0</v>
      </c>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516"/>
      <c r="CV46" s="501">
        <f t="shared" si="0"/>
        <v>0</v>
      </c>
      <c r="CW46" s="501">
        <f t="shared" si="1"/>
        <v>0</v>
      </c>
      <c r="CX46" s="473">
        <f t="shared" si="2"/>
        <v>0</v>
      </c>
      <c r="CY46" s="512">
        <f t="shared" si="3"/>
        <v>0</v>
      </c>
    </row>
    <row r="47" spans="1:103">
      <c r="A47" s="112" t="s">
        <v>388</v>
      </c>
      <c r="B47" s="162" t="str">
        <f>IFERROR(VLOOKUP(ParicipationJuillet1[[#This Row],[Référence]],ListeÉtudiants1[],18,FALSE),"")</f>
        <v>CORNELIS  ESTELLE</v>
      </c>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640"/>
      <c r="AH47" s="202">
        <f>COUNTIF(ParicipationJuillet1[[#This Row],[1]:[31]],Code1)</f>
        <v>0</v>
      </c>
      <c r="AI47" s="475">
        <f>COUNTIF(ParicipationJuillet1[[#This Row],[1]:[31]],code22)</f>
        <v>0</v>
      </c>
      <c r="AJ47" s="202">
        <f>COUNTIF(ParicipationJuillet1[[#This Row],[1]:[31]],Code2)</f>
        <v>0</v>
      </c>
      <c r="AK47" s="202">
        <f>COUNTIF(ParicipationJuillet1[[#This Row],[1]:[31]],Code3)</f>
        <v>0</v>
      </c>
      <c r="AL47" s="202">
        <f>COUNTIF(ParicipationJuillet1[[#This Row],[1]:[31]],Code4)</f>
        <v>0</v>
      </c>
      <c r="AM47" s="473">
        <f>COUNTIF(ParicipationJuillet1[[#This Row],[1]:[31]],Code5)</f>
        <v>0</v>
      </c>
      <c r="AN47" s="473">
        <f>COUNTIF(ParicipationJuillet1[[#This Row],[1]:[31]],Code23)</f>
        <v>0</v>
      </c>
      <c r="AO47" s="473">
        <f>COUNTIF(ParicipationJuillet1[[#This Row],[1]:[31]],Code6)</f>
        <v>0</v>
      </c>
      <c r="AP47" s="473">
        <f>COUNTIF(ParicipationJuillet1[[#This Row],[1]:[31]],Code7)</f>
        <v>0</v>
      </c>
      <c r="AQ47" s="473">
        <f>COUNTIF(ParicipationJuillet1[[#This Row],[1]:[31]],Code8)</f>
        <v>0</v>
      </c>
      <c r="AR47" s="473">
        <f>COUNTIF(ParicipationJuillet1[[#This Row],[1]:[31]],Code9)</f>
        <v>0</v>
      </c>
      <c r="AS47" s="473">
        <f>COUNTIF(ParicipationJuillet1[[#This Row],[1]:[31]],Code10)</f>
        <v>0</v>
      </c>
      <c r="AT47" s="473">
        <f>COUNTIF(ParicipationJuillet1[[#This Row],[1]:[31]],Code11)</f>
        <v>0</v>
      </c>
      <c r="AU47" s="473">
        <f>COUNTIF(ParicipationJuillet1[[#This Row],[1]:[31]],Code12)</f>
        <v>0</v>
      </c>
      <c r="AV47" s="473">
        <f>COUNTIF(ParicipationJuillet1[[#This Row],[1]:[31]],Code13)</f>
        <v>0</v>
      </c>
      <c r="AW47" s="473">
        <f>COUNTIF(ParicipationJuillet1[[#This Row],[1]:[31]],Code14)</f>
        <v>0</v>
      </c>
      <c r="AX47" s="473">
        <f>COUNTIF(ParicipationJuillet1[[#This Row],[1]:[31]],Code15)</f>
        <v>0</v>
      </c>
      <c r="AY47" s="473">
        <f>COUNTIF(ParicipationJuillet1[[#This Row],[1]:[31]],Code16)</f>
        <v>0</v>
      </c>
      <c r="AZ47" s="473">
        <f>COUNTIF(ParicipationJuillet1[[#This Row],[1]:[31]],Code17)</f>
        <v>0</v>
      </c>
      <c r="BA47" s="473">
        <f>COUNTIF(ParicipationJuillet1[[#This Row],[1]:[31]],Code25)</f>
        <v>0</v>
      </c>
      <c r="BB47" s="473">
        <f>COUNTIF(ParicipationJuillet1[[#This Row],[1]:[31]],Code26)</f>
        <v>0</v>
      </c>
      <c r="BC47" s="473">
        <f>COUNTIF(ParicipationJuillet1[[#This Row],[1]:[31]],Code27)</f>
        <v>0</v>
      </c>
      <c r="BD47" s="473">
        <f>COUNTIF(ParicipationJuillet1[[#This Row],[1]:[31]],Code28)</f>
        <v>0</v>
      </c>
      <c r="BE47" s="473">
        <f>COUNTIF(ParicipationJuillet1[[#This Row],[1]:[31]],code30)</f>
        <v>0</v>
      </c>
      <c r="BF47" s="473">
        <f>COUNTIF(ParicipationJuillet1[[#This Row],[1]:[31]],Code31)</f>
        <v>0</v>
      </c>
      <c r="BG47" s="473">
        <f>COUNTIF(ParicipationJuillet1[[#This Row],[1]:[31]],code21)</f>
        <v>0</v>
      </c>
      <c r="BH47" s="473">
        <f>COUNTIF(ParicipationJuillet1[[#This Row],[1]:[31]],Code24)</f>
        <v>0</v>
      </c>
      <c r="BI47" s="473">
        <f>COUNTIF(ParicipationJuillet1[[#This Row],[1]:[31]],code18)</f>
        <v>0</v>
      </c>
      <c r="BJ47" s="473">
        <f>COUNTIF(ParicipationJuillet1[[#This Row],[1]:[31]],code19)</f>
        <v>0</v>
      </c>
      <c r="BK47" s="473">
        <f>COUNTIF(ParicipationJuillet1[[#This Row],[1]:[31]],code20)</f>
        <v>0</v>
      </c>
      <c r="BL47" s="516">
        <f>COUNTIF(ParicipationJuillet1[[#This Row],[1]:[31]],code29)</f>
        <v>0</v>
      </c>
      <c r="BM47" s="473"/>
      <c r="BN47" s="473"/>
      <c r="BO47" s="473"/>
      <c r="BP47" s="473"/>
      <c r="BQ47" s="473"/>
      <c r="BR47" s="473"/>
      <c r="BS47" s="473"/>
      <c r="BT47" s="473"/>
      <c r="BU47" s="473"/>
      <c r="BV47" s="473"/>
      <c r="BW47" s="473"/>
      <c r="BX47" s="473"/>
      <c r="BY47" s="473"/>
      <c r="BZ47" s="473"/>
      <c r="CA47" s="473"/>
      <c r="CB47" s="473"/>
      <c r="CC47" s="473"/>
      <c r="CD47" s="473"/>
      <c r="CE47" s="473"/>
      <c r="CF47" s="473"/>
      <c r="CG47" s="473"/>
      <c r="CH47" s="473"/>
      <c r="CI47" s="473"/>
      <c r="CJ47" s="473"/>
      <c r="CK47" s="473"/>
      <c r="CL47" s="473"/>
      <c r="CM47" s="473"/>
      <c r="CN47" s="473"/>
      <c r="CO47" s="473"/>
      <c r="CP47" s="473"/>
      <c r="CQ47" s="473"/>
      <c r="CR47" s="473"/>
      <c r="CS47" s="473"/>
      <c r="CT47" s="473"/>
      <c r="CU47" s="516"/>
      <c r="CV47" s="501">
        <f t="shared" si="0"/>
        <v>0</v>
      </c>
      <c r="CW47" s="501">
        <f t="shared" si="1"/>
        <v>0</v>
      </c>
      <c r="CX47" s="473">
        <f t="shared" si="2"/>
        <v>0</v>
      </c>
      <c r="CY47" s="512">
        <f t="shared" si="3"/>
        <v>0</v>
      </c>
    </row>
    <row r="48" spans="1:103">
      <c r="A48" s="112" t="s">
        <v>389</v>
      </c>
      <c r="B48" s="162" t="str">
        <f>IFERROR(VLOOKUP(ParicipationJuillet1[[#This Row],[Référence]],ListeÉtudiants1[],18,FALSE),"")</f>
        <v>COULIBALY COLLO</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640"/>
      <c r="AH48" s="202">
        <f>COUNTIF(ParicipationJuillet1[[#This Row],[1]:[31]],Code1)</f>
        <v>0</v>
      </c>
      <c r="AI48" s="475">
        <f>COUNTIF(ParicipationJuillet1[[#This Row],[1]:[31]],code22)</f>
        <v>0</v>
      </c>
      <c r="AJ48" s="202">
        <f>COUNTIF(ParicipationJuillet1[[#This Row],[1]:[31]],Code2)</f>
        <v>0</v>
      </c>
      <c r="AK48" s="202">
        <f>COUNTIF(ParicipationJuillet1[[#This Row],[1]:[31]],Code3)</f>
        <v>0</v>
      </c>
      <c r="AL48" s="202">
        <f>COUNTIF(ParicipationJuillet1[[#This Row],[1]:[31]],Code4)</f>
        <v>0</v>
      </c>
      <c r="AM48" s="473">
        <f>COUNTIF(ParicipationJuillet1[[#This Row],[1]:[31]],Code5)</f>
        <v>0</v>
      </c>
      <c r="AN48" s="473">
        <f>COUNTIF(ParicipationJuillet1[[#This Row],[1]:[31]],Code23)</f>
        <v>0</v>
      </c>
      <c r="AO48" s="473">
        <f>COUNTIF(ParicipationJuillet1[[#This Row],[1]:[31]],Code6)</f>
        <v>0</v>
      </c>
      <c r="AP48" s="473">
        <f>COUNTIF(ParicipationJuillet1[[#This Row],[1]:[31]],Code7)</f>
        <v>0</v>
      </c>
      <c r="AQ48" s="473">
        <f>COUNTIF(ParicipationJuillet1[[#This Row],[1]:[31]],Code8)</f>
        <v>0</v>
      </c>
      <c r="AR48" s="473">
        <f>COUNTIF(ParicipationJuillet1[[#This Row],[1]:[31]],Code9)</f>
        <v>0</v>
      </c>
      <c r="AS48" s="473">
        <f>COUNTIF(ParicipationJuillet1[[#This Row],[1]:[31]],Code10)</f>
        <v>0</v>
      </c>
      <c r="AT48" s="473">
        <f>COUNTIF(ParicipationJuillet1[[#This Row],[1]:[31]],Code11)</f>
        <v>0</v>
      </c>
      <c r="AU48" s="473">
        <f>COUNTIF(ParicipationJuillet1[[#This Row],[1]:[31]],Code12)</f>
        <v>0</v>
      </c>
      <c r="AV48" s="473">
        <f>COUNTIF(ParicipationJuillet1[[#This Row],[1]:[31]],Code13)</f>
        <v>0</v>
      </c>
      <c r="AW48" s="473">
        <f>COUNTIF(ParicipationJuillet1[[#This Row],[1]:[31]],Code14)</f>
        <v>0</v>
      </c>
      <c r="AX48" s="473">
        <f>COUNTIF(ParicipationJuillet1[[#This Row],[1]:[31]],Code15)</f>
        <v>0</v>
      </c>
      <c r="AY48" s="473">
        <f>COUNTIF(ParicipationJuillet1[[#This Row],[1]:[31]],Code16)</f>
        <v>0</v>
      </c>
      <c r="AZ48" s="473">
        <f>COUNTIF(ParicipationJuillet1[[#This Row],[1]:[31]],Code17)</f>
        <v>0</v>
      </c>
      <c r="BA48" s="473">
        <f>COUNTIF(ParicipationJuillet1[[#This Row],[1]:[31]],Code25)</f>
        <v>0</v>
      </c>
      <c r="BB48" s="473">
        <f>COUNTIF(ParicipationJuillet1[[#This Row],[1]:[31]],Code26)</f>
        <v>0</v>
      </c>
      <c r="BC48" s="473">
        <f>COUNTIF(ParicipationJuillet1[[#This Row],[1]:[31]],Code27)</f>
        <v>0</v>
      </c>
      <c r="BD48" s="473">
        <f>COUNTIF(ParicipationJuillet1[[#This Row],[1]:[31]],Code28)</f>
        <v>0</v>
      </c>
      <c r="BE48" s="473">
        <f>COUNTIF(ParicipationJuillet1[[#This Row],[1]:[31]],code30)</f>
        <v>0</v>
      </c>
      <c r="BF48" s="473">
        <f>COUNTIF(ParicipationJuillet1[[#This Row],[1]:[31]],Code31)</f>
        <v>0</v>
      </c>
      <c r="BG48" s="473">
        <f>COUNTIF(ParicipationJuillet1[[#This Row],[1]:[31]],code21)</f>
        <v>0</v>
      </c>
      <c r="BH48" s="473">
        <f>COUNTIF(ParicipationJuillet1[[#This Row],[1]:[31]],Code24)</f>
        <v>0</v>
      </c>
      <c r="BI48" s="473">
        <f>COUNTIF(ParicipationJuillet1[[#This Row],[1]:[31]],code18)</f>
        <v>0</v>
      </c>
      <c r="BJ48" s="473">
        <f>COUNTIF(ParicipationJuillet1[[#This Row],[1]:[31]],code19)</f>
        <v>0</v>
      </c>
      <c r="BK48" s="473">
        <f>COUNTIF(ParicipationJuillet1[[#This Row],[1]:[31]],code20)</f>
        <v>0</v>
      </c>
      <c r="BL48" s="516">
        <f>COUNTIF(ParicipationJuillet1[[#This Row],[1]:[31]],code29)</f>
        <v>0</v>
      </c>
      <c r="BM48" s="473"/>
      <c r="BN48" s="473"/>
      <c r="BO48" s="473"/>
      <c r="BP48" s="473"/>
      <c r="BQ48" s="473"/>
      <c r="BR48" s="473"/>
      <c r="BS48" s="473"/>
      <c r="BT48" s="473"/>
      <c r="BU48" s="473"/>
      <c r="BV48" s="473"/>
      <c r="BW48" s="473"/>
      <c r="BX48" s="473"/>
      <c r="BY48" s="473"/>
      <c r="BZ48" s="473"/>
      <c r="CA48" s="473"/>
      <c r="CB48" s="473"/>
      <c r="CC48" s="473"/>
      <c r="CD48" s="473"/>
      <c r="CE48" s="473"/>
      <c r="CF48" s="473"/>
      <c r="CG48" s="473"/>
      <c r="CH48" s="473"/>
      <c r="CI48" s="473"/>
      <c r="CJ48" s="473"/>
      <c r="CK48" s="473"/>
      <c r="CL48" s="473"/>
      <c r="CM48" s="473"/>
      <c r="CN48" s="473"/>
      <c r="CO48" s="473"/>
      <c r="CP48" s="473"/>
      <c r="CQ48" s="473"/>
      <c r="CR48" s="473"/>
      <c r="CS48" s="473"/>
      <c r="CT48" s="473"/>
      <c r="CU48" s="516"/>
      <c r="CV48" s="501">
        <f t="shared" si="0"/>
        <v>0</v>
      </c>
      <c r="CW48" s="501">
        <f t="shared" si="1"/>
        <v>0</v>
      </c>
      <c r="CX48" s="473">
        <f t="shared" si="2"/>
        <v>0</v>
      </c>
      <c r="CY48" s="512">
        <f t="shared" si="3"/>
        <v>0</v>
      </c>
    </row>
    <row r="49" spans="1:103">
      <c r="A49" s="112" t="s">
        <v>390</v>
      </c>
      <c r="B49" s="162" t="str">
        <f>IFERROR(VLOOKUP(ParicipationJuillet1[[#This Row],[Référence]],ListeÉtudiants1[],18,FALSE),"")</f>
        <v>DAGNET ANNAH</v>
      </c>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640"/>
      <c r="AH49" s="202">
        <f>COUNTIF(ParicipationJuillet1[[#This Row],[1]:[31]],Code1)</f>
        <v>0</v>
      </c>
      <c r="AI49" s="475">
        <f>COUNTIF(ParicipationJuillet1[[#This Row],[1]:[31]],code22)</f>
        <v>0</v>
      </c>
      <c r="AJ49" s="202">
        <f>COUNTIF(ParicipationJuillet1[[#This Row],[1]:[31]],Code2)</f>
        <v>0</v>
      </c>
      <c r="AK49" s="202">
        <f>COUNTIF(ParicipationJuillet1[[#This Row],[1]:[31]],Code3)</f>
        <v>0</v>
      </c>
      <c r="AL49" s="202">
        <f>COUNTIF(ParicipationJuillet1[[#This Row],[1]:[31]],Code4)</f>
        <v>0</v>
      </c>
      <c r="AM49" s="473">
        <f>COUNTIF(ParicipationJuillet1[[#This Row],[1]:[31]],Code5)</f>
        <v>0</v>
      </c>
      <c r="AN49" s="473">
        <f>COUNTIF(ParicipationJuillet1[[#This Row],[1]:[31]],Code23)</f>
        <v>0</v>
      </c>
      <c r="AO49" s="473">
        <f>COUNTIF(ParicipationJuillet1[[#This Row],[1]:[31]],Code6)</f>
        <v>0</v>
      </c>
      <c r="AP49" s="473">
        <f>COUNTIF(ParicipationJuillet1[[#This Row],[1]:[31]],Code7)</f>
        <v>0</v>
      </c>
      <c r="AQ49" s="473">
        <f>COUNTIF(ParicipationJuillet1[[#This Row],[1]:[31]],Code8)</f>
        <v>0</v>
      </c>
      <c r="AR49" s="473">
        <f>COUNTIF(ParicipationJuillet1[[#This Row],[1]:[31]],Code9)</f>
        <v>0</v>
      </c>
      <c r="AS49" s="473">
        <f>COUNTIF(ParicipationJuillet1[[#This Row],[1]:[31]],Code10)</f>
        <v>0</v>
      </c>
      <c r="AT49" s="473">
        <f>COUNTIF(ParicipationJuillet1[[#This Row],[1]:[31]],Code11)</f>
        <v>0</v>
      </c>
      <c r="AU49" s="473">
        <f>COUNTIF(ParicipationJuillet1[[#This Row],[1]:[31]],Code12)</f>
        <v>0</v>
      </c>
      <c r="AV49" s="473">
        <f>COUNTIF(ParicipationJuillet1[[#This Row],[1]:[31]],Code13)</f>
        <v>0</v>
      </c>
      <c r="AW49" s="473">
        <f>COUNTIF(ParicipationJuillet1[[#This Row],[1]:[31]],Code14)</f>
        <v>0</v>
      </c>
      <c r="AX49" s="473">
        <f>COUNTIF(ParicipationJuillet1[[#This Row],[1]:[31]],Code15)</f>
        <v>0</v>
      </c>
      <c r="AY49" s="473">
        <f>COUNTIF(ParicipationJuillet1[[#This Row],[1]:[31]],Code16)</f>
        <v>0</v>
      </c>
      <c r="AZ49" s="473">
        <f>COUNTIF(ParicipationJuillet1[[#This Row],[1]:[31]],Code17)</f>
        <v>0</v>
      </c>
      <c r="BA49" s="473">
        <f>COUNTIF(ParicipationJuillet1[[#This Row],[1]:[31]],Code25)</f>
        <v>0</v>
      </c>
      <c r="BB49" s="473">
        <f>COUNTIF(ParicipationJuillet1[[#This Row],[1]:[31]],Code26)</f>
        <v>0</v>
      </c>
      <c r="BC49" s="473">
        <f>COUNTIF(ParicipationJuillet1[[#This Row],[1]:[31]],Code27)</f>
        <v>0</v>
      </c>
      <c r="BD49" s="473">
        <f>COUNTIF(ParicipationJuillet1[[#This Row],[1]:[31]],Code28)</f>
        <v>0</v>
      </c>
      <c r="BE49" s="473">
        <f>COUNTIF(ParicipationJuillet1[[#This Row],[1]:[31]],code30)</f>
        <v>0</v>
      </c>
      <c r="BF49" s="473">
        <f>COUNTIF(ParicipationJuillet1[[#This Row],[1]:[31]],Code31)</f>
        <v>0</v>
      </c>
      <c r="BG49" s="473">
        <f>COUNTIF(ParicipationJuillet1[[#This Row],[1]:[31]],code21)</f>
        <v>0</v>
      </c>
      <c r="BH49" s="473">
        <f>COUNTIF(ParicipationJuillet1[[#This Row],[1]:[31]],Code24)</f>
        <v>0</v>
      </c>
      <c r="BI49" s="473">
        <f>COUNTIF(ParicipationJuillet1[[#This Row],[1]:[31]],code18)</f>
        <v>0</v>
      </c>
      <c r="BJ49" s="473">
        <f>COUNTIF(ParicipationJuillet1[[#This Row],[1]:[31]],code19)</f>
        <v>0</v>
      </c>
      <c r="BK49" s="473">
        <f>COUNTIF(ParicipationJuillet1[[#This Row],[1]:[31]],code20)</f>
        <v>0</v>
      </c>
      <c r="BL49" s="516">
        <f>COUNTIF(ParicipationJuillet1[[#This Row],[1]:[31]],code29)</f>
        <v>0</v>
      </c>
      <c r="BM49" s="473"/>
      <c r="BN49" s="473"/>
      <c r="BO49" s="473"/>
      <c r="BP49" s="473"/>
      <c r="BQ49" s="473"/>
      <c r="BR49" s="473"/>
      <c r="BS49" s="473"/>
      <c r="BT49" s="473"/>
      <c r="BU49" s="473"/>
      <c r="BV49" s="473"/>
      <c r="BW49" s="473"/>
      <c r="BX49" s="473"/>
      <c r="BY49" s="473"/>
      <c r="BZ49" s="473"/>
      <c r="CA49" s="473"/>
      <c r="CB49" s="473"/>
      <c r="CC49" s="473"/>
      <c r="CD49" s="473"/>
      <c r="CE49" s="473"/>
      <c r="CF49" s="473"/>
      <c r="CG49" s="473"/>
      <c r="CH49" s="473"/>
      <c r="CI49" s="473"/>
      <c r="CJ49" s="473"/>
      <c r="CK49" s="473"/>
      <c r="CL49" s="473"/>
      <c r="CM49" s="473"/>
      <c r="CN49" s="473"/>
      <c r="CO49" s="473"/>
      <c r="CP49" s="473"/>
      <c r="CQ49" s="473"/>
      <c r="CR49" s="473"/>
      <c r="CS49" s="473"/>
      <c r="CT49" s="473"/>
      <c r="CU49" s="516"/>
      <c r="CV49" s="501">
        <f t="shared" si="0"/>
        <v>0</v>
      </c>
      <c r="CW49" s="501">
        <f t="shared" si="1"/>
        <v>0</v>
      </c>
      <c r="CX49" s="473">
        <f t="shared" si="2"/>
        <v>0</v>
      </c>
      <c r="CY49" s="512">
        <f t="shared" si="3"/>
        <v>0</v>
      </c>
    </row>
    <row r="50" spans="1:103">
      <c r="A50" s="112" t="s">
        <v>391</v>
      </c>
      <c r="B50" s="162" t="str">
        <f>IFERROR(VLOOKUP(ParicipationJuillet1[[#This Row],[Référence]],ListeÉtudiants1[],18,FALSE),"")</f>
        <v>DAHMANI LUANA</v>
      </c>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640"/>
      <c r="AH50" s="202">
        <f>COUNTIF(ParicipationJuillet1[[#This Row],[1]:[31]],Code1)</f>
        <v>0</v>
      </c>
      <c r="AI50" s="475">
        <f>COUNTIF(ParicipationJuillet1[[#This Row],[1]:[31]],code22)</f>
        <v>0</v>
      </c>
      <c r="AJ50" s="202">
        <f>COUNTIF(ParicipationJuillet1[[#This Row],[1]:[31]],Code2)</f>
        <v>0</v>
      </c>
      <c r="AK50" s="202">
        <f>COUNTIF(ParicipationJuillet1[[#This Row],[1]:[31]],Code3)</f>
        <v>0</v>
      </c>
      <c r="AL50" s="202">
        <f>COUNTIF(ParicipationJuillet1[[#This Row],[1]:[31]],Code4)</f>
        <v>0</v>
      </c>
      <c r="AM50" s="473">
        <f>COUNTIF(ParicipationJuillet1[[#This Row],[1]:[31]],Code5)</f>
        <v>0</v>
      </c>
      <c r="AN50" s="473">
        <f>COUNTIF(ParicipationJuillet1[[#This Row],[1]:[31]],Code23)</f>
        <v>0</v>
      </c>
      <c r="AO50" s="473">
        <f>COUNTIF(ParicipationJuillet1[[#This Row],[1]:[31]],Code6)</f>
        <v>0</v>
      </c>
      <c r="AP50" s="473">
        <f>COUNTIF(ParicipationJuillet1[[#This Row],[1]:[31]],Code7)</f>
        <v>0</v>
      </c>
      <c r="AQ50" s="473">
        <f>COUNTIF(ParicipationJuillet1[[#This Row],[1]:[31]],Code8)</f>
        <v>0</v>
      </c>
      <c r="AR50" s="473">
        <f>COUNTIF(ParicipationJuillet1[[#This Row],[1]:[31]],Code9)</f>
        <v>0</v>
      </c>
      <c r="AS50" s="473">
        <f>COUNTIF(ParicipationJuillet1[[#This Row],[1]:[31]],Code10)</f>
        <v>0</v>
      </c>
      <c r="AT50" s="473">
        <f>COUNTIF(ParicipationJuillet1[[#This Row],[1]:[31]],Code11)</f>
        <v>0</v>
      </c>
      <c r="AU50" s="473">
        <f>COUNTIF(ParicipationJuillet1[[#This Row],[1]:[31]],Code12)</f>
        <v>0</v>
      </c>
      <c r="AV50" s="473">
        <f>COUNTIF(ParicipationJuillet1[[#This Row],[1]:[31]],Code13)</f>
        <v>0</v>
      </c>
      <c r="AW50" s="473">
        <f>COUNTIF(ParicipationJuillet1[[#This Row],[1]:[31]],Code14)</f>
        <v>0</v>
      </c>
      <c r="AX50" s="473">
        <f>COUNTIF(ParicipationJuillet1[[#This Row],[1]:[31]],Code15)</f>
        <v>0</v>
      </c>
      <c r="AY50" s="473">
        <f>COUNTIF(ParicipationJuillet1[[#This Row],[1]:[31]],Code16)</f>
        <v>0</v>
      </c>
      <c r="AZ50" s="473">
        <f>COUNTIF(ParicipationJuillet1[[#This Row],[1]:[31]],Code17)</f>
        <v>0</v>
      </c>
      <c r="BA50" s="473">
        <f>COUNTIF(ParicipationJuillet1[[#This Row],[1]:[31]],Code25)</f>
        <v>0</v>
      </c>
      <c r="BB50" s="473">
        <f>COUNTIF(ParicipationJuillet1[[#This Row],[1]:[31]],Code26)</f>
        <v>0</v>
      </c>
      <c r="BC50" s="473">
        <f>COUNTIF(ParicipationJuillet1[[#This Row],[1]:[31]],Code27)</f>
        <v>0</v>
      </c>
      <c r="BD50" s="473">
        <f>COUNTIF(ParicipationJuillet1[[#This Row],[1]:[31]],Code28)</f>
        <v>0</v>
      </c>
      <c r="BE50" s="473">
        <f>COUNTIF(ParicipationJuillet1[[#This Row],[1]:[31]],code30)</f>
        <v>0</v>
      </c>
      <c r="BF50" s="473">
        <f>COUNTIF(ParicipationJuillet1[[#This Row],[1]:[31]],Code31)</f>
        <v>0</v>
      </c>
      <c r="BG50" s="473">
        <f>COUNTIF(ParicipationJuillet1[[#This Row],[1]:[31]],code21)</f>
        <v>0</v>
      </c>
      <c r="BH50" s="473">
        <f>COUNTIF(ParicipationJuillet1[[#This Row],[1]:[31]],Code24)</f>
        <v>0</v>
      </c>
      <c r="BI50" s="473">
        <f>COUNTIF(ParicipationJuillet1[[#This Row],[1]:[31]],code18)</f>
        <v>0</v>
      </c>
      <c r="BJ50" s="473">
        <f>COUNTIF(ParicipationJuillet1[[#This Row],[1]:[31]],code19)</f>
        <v>0</v>
      </c>
      <c r="BK50" s="473">
        <f>COUNTIF(ParicipationJuillet1[[#This Row],[1]:[31]],code20)</f>
        <v>0</v>
      </c>
      <c r="BL50" s="516">
        <f>COUNTIF(ParicipationJuillet1[[#This Row],[1]:[31]],code29)</f>
        <v>0</v>
      </c>
      <c r="BM50" s="473"/>
      <c r="BN50" s="473"/>
      <c r="BO50" s="473"/>
      <c r="BP50" s="473"/>
      <c r="BQ50" s="473"/>
      <c r="BR50" s="473"/>
      <c r="BS50" s="473"/>
      <c r="BT50" s="473"/>
      <c r="BU50" s="473"/>
      <c r="BV50" s="473"/>
      <c r="BW50" s="473"/>
      <c r="BX50" s="473"/>
      <c r="BY50" s="473"/>
      <c r="BZ50" s="473"/>
      <c r="CA50" s="473"/>
      <c r="CB50" s="473"/>
      <c r="CC50" s="473"/>
      <c r="CD50" s="473"/>
      <c r="CE50" s="473"/>
      <c r="CF50" s="473"/>
      <c r="CG50" s="473"/>
      <c r="CH50" s="473"/>
      <c r="CI50" s="473"/>
      <c r="CJ50" s="473"/>
      <c r="CK50" s="473"/>
      <c r="CL50" s="473"/>
      <c r="CM50" s="473"/>
      <c r="CN50" s="473"/>
      <c r="CO50" s="473"/>
      <c r="CP50" s="473"/>
      <c r="CQ50" s="473"/>
      <c r="CR50" s="473"/>
      <c r="CS50" s="473"/>
      <c r="CT50" s="473"/>
      <c r="CU50" s="516"/>
      <c r="CV50" s="501">
        <f t="shared" si="0"/>
        <v>0</v>
      </c>
      <c r="CW50" s="501">
        <f t="shared" si="1"/>
        <v>0</v>
      </c>
      <c r="CX50" s="473">
        <f t="shared" si="2"/>
        <v>0</v>
      </c>
      <c r="CY50" s="512">
        <f t="shared" si="3"/>
        <v>0</v>
      </c>
    </row>
    <row r="51" spans="1:103">
      <c r="A51" s="112" t="s">
        <v>392</v>
      </c>
      <c r="B51" s="162" t="str">
        <f>IFERROR(VLOOKUP(ParicipationJuillet1[[#This Row],[Référence]],ListeÉtudiants1[],18,FALSE),"")</f>
        <v>DALI SOUAD</v>
      </c>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640"/>
      <c r="AH51" s="202">
        <f>COUNTIF(ParicipationJuillet1[[#This Row],[1]:[31]],Code1)</f>
        <v>0</v>
      </c>
      <c r="AI51" s="475">
        <f>COUNTIF(ParicipationJuillet1[[#This Row],[1]:[31]],code22)</f>
        <v>0</v>
      </c>
      <c r="AJ51" s="202">
        <f>COUNTIF(ParicipationJuillet1[[#This Row],[1]:[31]],Code2)</f>
        <v>0</v>
      </c>
      <c r="AK51" s="202">
        <f>COUNTIF(ParicipationJuillet1[[#This Row],[1]:[31]],Code3)</f>
        <v>0</v>
      </c>
      <c r="AL51" s="202">
        <f>COUNTIF(ParicipationJuillet1[[#This Row],[1]:[31]],Code4)</f>
        <v>0</v>
      </c>
      <c r="AM51" s="473">
        <f>COUNTIF(ParicipationJuillet1[[#This Row],[1]:[31]],Code5)</f>
        <v>0</v>
      </c>
      <c r="AN51" s="473">
        <f>COUNTIF(ParicipationJuillet1[[#This Row],[1]:[31]],Code23)</f>
        <v>0</v>
      </c>
      <c r="AO51" s="473">
        <f>COUNTIF(ParicipationJuillet1[[#This Row],[1]:[31]],Code6)</f>
        <v>0</v>
      </c>
      <c r="AP51" s="473">
        <f>COUNTIF(ParicipationJuillet1[[#This Row],[1]:[31]],Code7)</f>
        <v>0</v>
      </c>
      <c r="AQ51" s="473">
        <f>COUNTIF(ParicipationJuillet1[[#This Row],[1]:[31]],Code8)</f>
        <v>0</v>
      </c>
      <c r="AR51" s="473">
        <f>COUNTIF(ParicipationJuillet1[[#This Row],[1]:[31]],Code9)</f>
        <v>0</v>
      </c>
      <c r="AS51" s="473">
        <f>COUNTIF(ParicipationJuillet1[[#This Row],[1]:[31]],Code10)</f>
        <v>0</v>
      </c>
      <c r="AT51" s="473">
        <f>COUNTIF(ParicipationJuillet1[[#This Row],[1]:[31]],Code11)</f>
        <v>0</v>
      </c>
      <c r="AU51" s="473">
        <f>COUNTIF(ParicipationJuillet1[[#This Row],[1]:[31]],Code12)</f>
        <v>0</v>
      </c>
      <c r="AV51" s="473">
        <f>COUNTIF(ParicipationJuillet1[[#This Row],[1]:[31]],Code13)</f>
        <v>0</v>
      </c>
      <c r="AW51" s="473">
        <f>COUNTIF(ParicipationJuillet1[[#This Row],[1]:[31]],Code14)</f>
        <v>0</v>
      </c>
      <c r="AX51" s="473">
        <f>COUNTIF(ParicipationJuillet1[[#This Row],[1]:[31]],Code15)</f>
        <v>0</v>
      </c>
      <c r="AY51" s="473">
        <f>COUNTIF(ParicipationJuillet1[[#This Row],[1]:[31]],Code16)</f>
        <v>0</v>
      </c>
      <c r="AZ51" s="473">
        <f>COUNTIF(ParicipationJuillet1[[#This Row],[1]:[31]],Code17)</f>
        <v>0</v>
      </c>
      <c r="BA51" s="473">
        <f>COUNTIF(ParicipationJuillet1[[#This Row],[1]:[31]],Code25)</f>
        <v>0</v>
      </c>
      <c r="BB51" s="473">
        <f>COUNTIF(ParicipationJuillet1[[#This Row],[1]:[31]],Code26)</f>
        <v>0</v>
      </c>
      <c r="BC51" s="473">
        <f>COUNTIF(ParicipationJuillet1[[#This Row],[1]:[31]],Code27)</f>
        <v>0</v>
      </c>
      <c r="BD51" s="473">
        <f>COUNTIF(ParicipationJuillet1[[#This Row],[1]:[31]],Code28)</f>
        <v>0</v>
      </c>
      <c r="BE51" s="473">
        <f>COUNTIF(ParicipationJuillet1[[#This Row],[1]:[31]],code30)</f>
        <v>0</v>
      </c>
      <c r="BF51" s="473">
        <f>COUNTIF(ParicipationJuillet1[[#This Row],[1]:[31]],Code31)</f>
        <v>0</v>
      </c>
      <c r="BG51" s="473">
        <f>COUNTIF(ParicipationJuillet1[[#This Row],[1]:[31]],code21)</f>
        <v>0</v>
      </c>
      <c r="BH51" s="473">
        <f>COUNTIF(ParicipationJuillet1[[#This Row],[1]:[31]],Code24)</f>
        <v>0</v>
      </c>
      <c r="BI51" s="473">
        <f>COUNTIF(ParicipationJuillet1[[#This Row],[1]:[31]],code18)</f>
        <v>0</v>
      </c>
      <c r="BJ51" s="473">
        <f>COUNTIF(ParicipationJuillet1[[#This Row],[1]:[31]],code19)</f>
        <v>0</v>
      </c>
      <c r="BK51" s="473">
        <f>COUNTIF(ParicipationJuillet1[[#This Row],[1]:[31]],code20)</f>
        <v>0</v>
      </c>
      <c r="BL51" s="516">
        <f>COUNTIF(ParicipationJuillet1[[#This Row],[1]:[31]],code29)</f>
        <v>0</v>
      </c>
      <c r="BM51" s="473"/>
      <c r="BN51" s="473"/>
      <c r="BO51" s="473"/>
      <c r="BP51" s="473"/>
      <c r="BQ51" s="473"/>
      <c r="BR51" s="473"/>
      <c r="BS51" s="473"/>
      <c r="BT51" s="473"/>
      <c r="BU51" s="473"/>
      <c r="BV51" s="473"/>
      <c r="BW51" s="473"/>
      <c r="BX51" s="473"/>
      <c r="BY51" s="473"/>
      <c r="BZ51" s="473"/>
      <c r="CA51" s="473"/>
      <c r="CB51" s="473"/>
      <c r="CC51" s="473"/>
      <c r="CD51" s="473"/>
      <c r="CE51" s="473"/>
      <c r="CF51" s="473"/>
      <c r="CG51" s="473"/>
      <c r="CH51" s="473"/>
      <c r="CI51" s="473"/>
      <c r="CJ51" s="473"/>
      <c r="CK51" s="473"/>
      <c r="CL51" s="473"/>
      <c r="CM51" s="473"/>
      <c r="CN51" s="473"/>
      <c r="CO51" s="473"/>
      <c r="CP51" s="473"/>
      <c r="CQ51" s="473"/>
      <c r="CR51" s="473"/>
      <c r="CS51" s="473"/>
      <c r="CT51" s="473"/>
      <c r="CU51" s="516"/>
      <c r="CV51" s="501">
        <f t="shared" si="0"/>
        <v>0</v>
      </c>
      <c r="CW51" s="501">
        <f t="shared" si="1"/>
        <v>0</v>
      </c>
      <c r="CX51" s="473">
        <f t="shared" si="2"/>
        <v>0</v>
      </c>
      <c r="CY51" s="512">
        <f t="shared" si="3"/>
        <v>0</v>
      </c>
    </row>
    <row r="52" spans="1:103">
      <c r="A52" s="112" t="s">
        <v>393</v>
      </c>
      <c r="B52" s="162" t="str">
        <f>IFERROR(VLOOKUP(ParicipationJuillet1[[#This Row],[Référence]],ListeÉtudiants1[],18,FALSE),"")</f>
        <v>DANION LUCIE</v>
      </c>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640"/>
      <c r="AH52" s="202">
        <f>COUNTIF(ParicipationJuillet1[[#This Row],[1]:[31]],Code1)</f>
        <v>0</v>
      </c>
      <c r="AI52" s="475">
        <f>COUNTIF(ParicipationJuillet1[[#This Row],[1]:[31]],code22)</f>
        <v>0</v>
      </c>
      <c r="AJ52" s="202">
        <f>COUNTIF(ParicipationJuillet1[[#This Row],[1]:[31]],Code2)</f>
        <v>0</v>
      </c>
      <c r="AK52" s="202">
        <f>COUNTIF(ParicipationJuillet1[[#This Row],[1]:[31]],Code3)</f>
        <v>0</v>
      </c>
      <c r="AL52" s="202">
        <f>COUNTIF(ParicipationJuillet1[[#This Row],[1]:[31]],Code4)</f>
        <v>0</v>
      </c>
      <c r="AM52" s="473">
        <f>COUNTIF(ParicipationJuillet1[[#This Row],[1]:[31]],Code5)</f>
        <v>0</v>
      </c>
      <c r="AN52" s="473">
        <f>COUNTIF(ParicipationJuillet1[[#This Row],[1]:[31]],Code23)</f>
        <v>0</v>
      </c>
      <c r="AO52" s="473">
        <f>COUNTIF(ParicipationJuillet1[[#This Row],[1]:[31]],Code6)</f>
        <v>0</v>
      </c>
      <c r="AP52" s="473">
        <f>COUNTIF(ParicipationJuillet1[[#This Row],[1]:[31]],Code7)</f>
        <v>0</v>
      </c>
      <c r="AQ52" s="473">
        <f>COUNTIF(ParicipationJuillet1[[#This Row],[1]:[31]],Code8)</f>
        <v>0</v>
      </c>
      <c r="AR52" s="473">
        <f>COUNTIF(ParicipationJuillet1[[#This Row],[1]:[31]],Code9)</f>
        <v>0</v>
      </c>
      <c r="AS52" s="473">
        <f>COUNTIF(ParicipationJuillet1[[#This Row],[1]:[31]],Code10)</f>
        <v>0</v>
      </c>
      <c r="AT52" s="473">
        <f>COUNTIF(ParicipationJuillet1[[#This Row],[1]:[31]],Code11)</f>
        <v>0</v>
      </c>
      <c r="AU52" s="473">
        <f>COUNTIF(ParicipationJuillet1[[#This Row],[1]:[31]],Code12)</f>
        <v>0</v>
      </c>
      <c r="AV52" s="473">
        <f>COUNTIF(ParicipationJuillet1[[#This Row],[1]:[31]],Code13)</f>
        <v>0</v>
      </c>
      <c r="AW52" s="473">
        <f>COUNTIF(ParicipationJuillet1[[#This Row],[1]:[31]],Code14)</f>
        <v>0</v>
      </c>
      <c r="AX52" s="473">
        <f>COUNTIF(ParicipationJuillet1[[#This Row],[1]:[31]],Code15)</f>
        <v>0</v>
      </c>
      <c r="AY52" s="473">
        <f>COUNTIF(ParicipationJuillet1[[#This Row],[1]:[31]],Code16)</f>
        <v>0</v>
      </c>
      <c r="AZ52" s="473">
        <f>COUNTIF(ParicipationJuillet1[[#This Row],[1]:[31]],Code17)</f>
        <v>0</v>
      </c>
      <c r="BA52" s="473">
        <f>COUNTIF(ParicipationJuillet1[[#This Row],[1]:[31]],Code25)</f>
        <v>0</v>
      </c>
      <c r="BB52" s="473">
        <f>COUNTIF(ParicipationJuillet1[[#This Row],[1]:[31]],Code26)</f>
        <v>0</v>
      </c>
      <c r="BC52" s="473">
        <f>COUNTIF(ParicipationJuillet1[[#This Row],[1]:[31]],Code27)</f>
        <v>0</v>
      </c>
      <c r="BD52" s="473">
        <f>COUNTIF(ParicipationJuillet1[[#This Row],[1]:[31]],Code28)</f>
        <v>0</v>
      </c>
      <c r="BE52" s="473">
        <f>COUNTIF(ParicipationJuillet1[[#This Row],[1]:[31]],code30)</f>
        <v>0</v>
      </c>
      <c r="BF52" s="473">
        <f>COUNTIF(ParicipationJuillet1[[#This Row],[1]:[31]],Code31)</f>
        <v>0</v>
      </c>
      <c r="BG52" s="473">
        <f>COUNTIF(ParicipationJuillet1[[#This Row],[1]:[31]],code21)</f>
        <v>0</v>
      </c>
      <c r="BH52" s="473">
        <f>COUNTIF(ParicipationJuillet1[[#This Row],[1]:[31]],Code24)</f>
        <v>0</v>
      </c>
      <c r="BI52" s="473">
        <f>COUNTIF(ParicipationJuillet1[[#This Row],[1]:[31]],code18)</f>
        <v>0</v>
      </c>
      <c r="BJ52" s="473">
        <f>COUNTIF(ParicipationJuillet1[[#This Row],[1]:[31]],code19)</f>
        <v>0</v>
      </c>
      <c r="BK52" s="473">
        <f>COUNTIF(ParicipationJuillet1[[#This Row],[1]:[31]],code20)</f>
        <v>0</v>
      </c>
      <c r="BL52" s="516">
        <f>COUNTIF(ParicipationJuillet1[[#This Row],[1]:[31]],code29)</f>
        <v>0</v>
      </c>
      <c r="BM52" s="473"/>
      <c r="BN52" s="473"/>
      <c r="BO52" s="473"/>
      <c r="BP52" s="473"/>
      <c r="BQ52" s="473"/>
      <c r="BR52" s="473"/>
      <c r="BS52" s="473"/>
      <c r="BT52" s="473"/>
      <c r="BU52" s="473"/>
      <c r="BV52" s="473"/>
      <c r="BW52" s="473"/>
      <c r="BX52" s="473"/>
      <c r="BY52" s="473"/>
      <c r="BZ52" s="473"/>
      <c r="CA52" s="473"/>
      <c r="CB52" s="473"/>
      <c r="CC52" s="473"/>
      <c r="CD52" s="473"/>
      <c r="CE52" s="473"/>
      <c r="CF52" s="473"/>
      <c r="CG52" s="473"/>
      <c r="CH52" s="473"/>
      <c r="CI52" s="473"/>
      <c r="CJ52" s="473"/>
      <c r="CK52" s="473"/>
      <c r="CL52" s="473"/>
      <c r="CM52" s="473"/>
      <c r="CN52" s="473"/>
      <c r="CO52" s="473"/>
      <c r="CP52" s="473"/>
      <c r="CQ52" s="473"/>
      <c r="CR52" s="473"/>
      <c r="CS52" s="473"/>
      <c r="CT52" s="473"/>
      <c r="CU52" s="516"/>
      <c r="CV52" s="501">
        <f t="shared" si="0"/>
        <v>0</v>
      </c>
      <c r="CW52" s="501">
        <f t="shared" si="1"/>
        <v>0</v>
      </c>
      <c r="CX52" s="473">
        <f t="shared" si="2"/>
        <v>0</v>
      </c>
      <c r="CY52" s="512">
        <f t="shared" si="3"/>
        <v>0</v>
      </c>
    </row>
    <row r="53" spans="1:103">
      <c r="A53" s="112" t="s">
        <v>394</v>
      </c>
      <c r="B53" s="162" t="str">
        <f>IFERROR(VLOOKUP(ParicipationJuillet1[[#This Row],[Référence]],ListeÉtudiants1[],18,FALSE),"")</f>
        <v>DE LUISE STELLA</v>
      </c>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640"/>
      <c r="AH53" s="202">
        <f>COUNTIF(ParicipationJuillet1[[#This Row],[1]:[31]],Code1)</f>
        <v>0</v>
      </c>
      <c r="AI53" s="475">
        <f>COUNTIF(ParicipationJuillet1[[#This Row],[1]:[31]],code22)</f>
        <v>0</v>
      </c>
      <c r="AJ53" s="202">
        <f>COUNTIF(ParicipationJuillet1[[#This Row],[1]:[31]],Code2)</f>
        <v>0</v>
      </c>
      <c r="AK53" s="202">
        <f>COUNTIF(ParicipationJuillet1[[#This Row],[1]:[31]],Code3)</f>
        <v>0</v>
      </c>
      <c r="AL53" s="202">
        <f>COUNTIF(ParicipationJuillet1[[#This Row],[1]:[31]],Code4)</f>
        <v>0</v>
      </c>
      <c r="AM53" s="473">
        <f>COUNTIF(ParicipationJuillet1[[#This Row],[1]:[31]],Code5)</f>
        <v>0</v>
      </c>
      <c r="AN53" s="473">
        <f>COUNTIF(ParicipationJuillet1[[#This Row],[1]:[31]],Code23)</f>
        <v>0</v>
      </c>
      <c r="AO53" s="473">
        <f>COUNTIF(ParicipationJuillet1[[#This Row],[1]:[31]],Code6)</f>
        <v>0</v>
      </c>
      <c r="AP53" s="473">
        <f>COUNTIF(ParicipationJuillet1[[#This Row],[1]:[31]],Code7)</f>
        <v>0</v>
      </c>
      <c r="AQ53" s="473">
        <f>COUNTIF(ParicipationJuillet1[[#This Row],[1]:[31]],Code8)</f>
        <v>0</v>
      </c>
      <c r="AR53" s="473">
        <f>COUNTIF(ParicipationJuillet1[[#This Row],[1]:[31]],Code9)</f>
        <v>0</v>
      </c>
      <c r="AS53" s="473">
        <f>COUNTIF(ParicipationJuillet1[[#This Row],[1]:[31]],Code10)</f>
        <v>0</v>
      </c>
      <c r="AT53" s="473">
        <f>COUNTIF(ParicipationJuillet1[[#This Row],[1]:[31]],Code11)</f>
        <v>0</v>
      </c>
      <c r="AU53" s="473">
        <f>COUNTIF(ParicipationJuillet1[[#This Row],[1]:[31]],Code12)</f>
        <v>0</v>
      </c>
      <c r="AV53" s="473">
        <f>COUNTIF(ParicipationJuillet1[[#This Row],[1]:[31]],Code13)</f>
        <v>0</v>
      </c>
      <c r="AW53" s="473">
        <f>COUNTIF(ParicipationJuillet1[[#This Row],[1]:[31]],Code14)</f>
        <v>0</v>
      </c>
      <c r="AX53" s="473">
        <f>COUNTIF(ParicipationJuillet1[[#This Row],[1]:[31]],Code15)</f>
        <v>0</v>
      </c>
      <c r="AY53" s="473">
        <f>COUNTIF(ParicipationJuillet1[[#This Row],[1]:[31]],Code16)</f>
        <v>0</v>
      </c>
      <c r="AZ53" s="473">
        <f>COUNTIF(ParicipationJuillet1[[#This Row],[1]:[31]],Code17)</f>
        <v>0</v>
      </c>
      <c r="BA53" s="473">
        <f>COUNTIF(ParicipationJuillet1[[#This Row],[1]:[31]],Code25)</f>
        <v>0</v>
      </c>
      <c r="BB53" s="473">
        <f>COUNTIF(ParicipationJuillet1[[#This Row],[1]:[31]],Code26)</f>
        <v>0</v>
      </c>
      <c r="BC53" s="473">
        <f>COUNTIF(ParicipationJuillet1[[#This Row],[1]:[31]],Code27)</f>
        <v>0</v>
      </c>
      <c r="BD53" s="473">
        <f>COUNTIF(ParicipationJuillet1[[#This Row],[1]:[31]],Code28)</f>
        <v>0</v>
      </c>
      <c r="BE53" s="473">
        <f>COUNTIF(ParicipationJuillet1[[#This Row],[1]:[31]],code30)</f>
        <v>0</v>
      </c>
      <c r="BF53" s="473">
        <f>COUNTIF(ParicipationJuillet1[[#This Row],[1]:[31]],Code31)</f>
        <v>0</v>
      </c>
      <c r="BG53" s="473">
        <f>COUNTIF(ParicipationJuillet1[[#This Row],[1]:[31]],code21)</f>
        <v>0</v>
      </c>
      <c r="BH53" s="473">
        <f>COUNTIF(ParicipationJuillet1[[#This Row],[1]:[31]],Code24)</f>
        <v>0</v>
      </c>
      <c r="BI53" s="473">
        <f>COUNTIF(ParicipationJuillet1[[#This Row],[1]:[31]],code18)</f>
        <v>0</v>
      </c>
      <c r="BJ53" s="473">
        <f>COUNTIF(ParicipationJuillet1[[#This Row],[1]:[31]],code19)</f>
        <v>0</v>
      </c>
      <c r="BK53" s="473">
        <f>COUNTIF(ParicipationJuillet1[[#This Row],[1]:[31]],code20)</f>
        <v>0</v>
      </c>
      <c r="BL53" s="516">
        <f>COUNTIF(ParicipationJuillet1[[#This Row],[1]:[31]],code29)</f>
        <v>0</v>
      </c>
      <c r="BM53" s="473"/>
      <c r="BN53" s="473"/>
      <c r="BO53" s="473"/>
      <c r="BP53" s="473"/>
      <c r="BQ53" s="473"/>
      <c r="BR53" s="473"/>
      <c r="BS53" s="473"/>
      <c r="BT53" s="473"/>
      <c r="BU53" s="473"/>
      <c r="BV53" s="473"/>
      <c r="BW53" s="473"/>
      <c r="BX53" s="473"/>
      <c r="BY53" s="473"/>
      <c r="BZ53" s="473"/>
      <c r="CA53" s="473"/>
      <c r="CB53" s="473"/>
      <c r="CC53" s="473"/>
      <c r="CD53" s="473"/>
      <c r="CE53" s="473"/>
      <c r="CF53" s="473"/>
      <c r="CG53" s="473"/>
      <c r="CH53" s="473"/>
      <c r="CI53" s="473"/>
      <c r="CJ53" s="473"/>
      <c r="CK53" s="473"/>
      <c r="CL53" s="473"/>
      <c r="CM53" s="473"/>
      <c r="CN53" s="473"/>
      <c r="CO53" s="473"/>
      <c r="CP53" s="473"/>
      <c r="CQ53" s="473"/>
      <c r="CR53" s="473"/>
      <c r="CS53" s="473"/>
      <c r="CT53" s="473"/>
      <c r="CU53" s="516"/>
      <c r="CV53" s="501">
        <f t="shared" si="0"/>
        <v>0</v>
      </c>
      <c r="CW53" s="501">
        <f t="shared" si="1"/>
        <v>0</v>
      </c>
      <c r="CX53" s="473">
        <f t="shared" si="2"/>
        <v>0</v>
      </c>
      <c r="CY53" s="512">
        <f t="shared" si="3"/>
        <v>0</v>
      </c>
    </row>
    <row r="54" spans="1:103">
      <c r="A54" s="112" t="s">
        <v>395</v>
      </c>
      <c r="B54" s="162" t="str">
        <f>IFERROR(VLOOKUP(ParicipationJuillet1[[#This Row],[Référence]],ListeÉtudiants1[],18,FALSE),"")</f>
        <v>DIAOUNE MAJULA</v>
      </c>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640"/>
      <c r="AH54" s="202">
        <f>COUNTIF(ParicipationJuillet1[[#This Row],[1]:[31]],Code1)</f>
        <v>0</v>
      </c>
      <c r="AI54" s="475">
        <f>COUNTIF(ParicipationJuillet1[[#This Row],[1]:[31]],code22)</f>
        <v>0</v>
      </c>
      <c r="AJ54" s="202">
        <f>COUNTIF(ParicipationJuillet1[[#This Row],[1]:[31]],Code2)</f>
        <v>0</v>
      </c>
      <c r="AK54" s="202">
        <f>COUNTIF(ParicipationJuillet1[[#This Row],[1]:[31]],Code3)</f>
        <v>0</v>
      </c>
      <c r="AL54" s="202">
        <f>COUNTIF(ParicipationJuillet1[[#This Row],[1]:[31]],Code4)</f>
        <v>0</v>
      </c>
      <c r="AM54" s="473">
        <f>COUNTIF(ParicipationJuillet1[[#This Row],[1]:[31]],Code5)</f>
        <v>0</v>
      </c>
      <c r="AN54" s="473">
        <f>COUNTIF(ParicipationJuillet1[[#This Row],[1]:[31]],Code23)</f>
        <v>0</v>
      </c>
      <c r="AO54" s="473">
        <f>COUNTIF(ParicipationJuillet1[[#This Row],[1]:[31]],Code6)</f>
        <v>0</v>
      </c>
      <c r="AP54" s="473">
        <f>COUNTIF(ParicipationJuillet1[[#This Row],[1]:[31]],Code7)</f>
        <v>0</v>
      </c>
      <c r="AQ54" s="473">
        <f>COUNTIF(ParicipationJuillet1[[#This Row],[1]:[31]],Code8)</f>
        <v>0</v>
      </c>
      <c r="AR54" s="473">
        <f>COUNTIF(ParicipationJuillet1[[#This Row],[1]:[31]],Code9)</f>
        <v>0</v>
      </c>
      <c r="AS54" s="473">
        <f>COUNTIF(ParicipationJuillet1[[#This Row],[1]:[31]],Code10)</f>
        <v>0</v>
      </c>
      <c r="AT54" s="473">
        <f>COUNTIF(ParicipationJuillet1[[#This Row],[1]:[31]],Code11)</f>
        <v>0</v>
      </c>
      <c r="AU54" s="473">
        <f>COUNTIF(ParicipationJuillet1[[#This Row],[1]:[31]],Code12)</f>
        <v>0</v>
      </c>
      <c r="AV54" s="473">
        <f>COUNTIF(ParicipationJuillet1[[#This Row],[1]:[31]],Code13)</f>
        <v>0</v>
      </c>
      <c r="AW54" s="473">
        <f>COUNTIF(ParicipationJuillet1[[#This Row],[1]:[31]],Code14)</f>
        <v>0</v>
      </c>
      <c r="AX54" s="473">
        <f>COUNTIF(ParicipationJuillet1[[#This Row],[1]:[31]],Code15)</f>
        <v>0</v>
      </c>
      <c r="AY54" s="473">
        <f>COUNTIF(ParicipationJuillet1[[#This Row],[1]:[31]],Code16)</f>
        <v>0</v>
      </c>
      <c r="AZ54" s="473">
        <f>COUNTIF(ParicipationJuillet1[[#This Row],[1]:[31]],Code17)</f>
        <v>0</v>
      </c>
      <c r="BA54" s="473">
        <f>COUNTIF(ParicipationJuillet1[[#This Row],[1]:[31]],Code25)</f>
        <v>0</v>
      </c>
      <c r="BB54" s="473">
        <f>COUNTIF(ParicipationJuillet1[[#This Row],[1]:[31]],Code26)</f>
        <v>0</v>
      </c>
      <c r="BC54" s="473">
        <f>COUNTIF(ParicipationJuillet1[[#This Row],[1]:[31]],Code27)</f>
        <v>0</v>
      </c>
      <c r="BD54" s="473">
        <f>COUNTIF(ParicipationJuillet1[[#This Row],[1]:[31]],Code28)</f>
        <v>0</v>
      </c>
      <c r="BE54" s="473">
        <f>COUNTIF(ParicipationJuillet1[[#This Row],[1]:[31]],code30)</f>
        <v>0</v>
      </c>
      <c r="BF54" s="473">
        <f>COUNTIF(ParicipationJuillet1[[#This Row],[1]:[31]],Code31)</f>
        <v>0</v>
      </c>
      <c r="BG54" s="473">
        <f>COUNTIF(ParicipationJuillet1[[#This Row],[1]:[31]],code21)</f>
        <v>0</v>
      </c>
      <c r="BH54" s="473">
        <f>COUNTIF(ParicipationJuillet1[[#This Row],[1]:[31]],Code24)</f>
        <v>0</v>
      </c>
      <c r="BI54" s="473">
        <f>COUNTIF(ParicipationJuillet1[[#This Row],[1]:[31]],code18)</f>
        <v>0</v>
      </c>
      <c r="BJ54" s="473">
        <f>COUNTIF(ParicipationJuillet1[[#This Row],[1]:[31]],code19)</f>
        <v>0</v>
      </c>
      <c r="BK54" s="473">
        <f>COUNTIF(ParicipationJuillet1[[#This Row],[1]:[31]],code20)</f>
        <v>0</v>
      </c>
      <c r="BL54" s="516">
        <f>COUNTIF(ParicipationJuillet1[[#This Row],[1]:[31]],code29)</f>
        <v>0</v>
      </c>
      <c r="BM54" s="473"/>
      <c r="BN54" s="473"/>
      <c r="BO54" s="473"/>
      <c r="BP54" s="473"/>
      <c r="BQ54" s="473"/>
      <c r="BR54" s="473"/>
      <c r="BS54" s="473"/>
      <c r="BT54" s="473"/>
      <c r="BU54" s="473"/>
      <c r="BV54" s="473"/>
      <c r="BW54" s="473"/>
      <c r="BX54" s="473"/>
      <c r="BY54" s="473"/>
      <c r="BZ54" s="473"/>
      <c r="CA54" s="473"/>
      <c r="CB54" s="473"/>
      <c r="CC54" s="473"/>
      <c r="CD54" s="473"/>
      <c r="CE54" s="473"/>
      <c r="CF54" s="473"/>
      <c r="CG54" s="473"/>
      <c r="CH54" s="473"/>
      <c r="CI54" s="473"/>
      <c r="CJ54" s="473"/>
      <c r="CK54" s="473"/>
      <c r="CL54" s="473"/>
      <c r="CM54" s="473"/>
      <c r="CN54" s="473"/>
      <c r="CO54" s="473"/>
      <c r="CP54" s="473"/>
      <c r="CQ54" s="473"/>
      <c r="CR54" s="473"/>
      <c r="CS54" s="473"/>
      <c r="CT54" s="473"/>
      <c r="CU54" s="516"/>
      <c r="CV54" s="501">
        <f t="shared" si="0"/>
        <v>0</v>
      </c>
      <c r="CW54" s="501">
        <f t="shared" si="1"/>
        <v>0</v>
      </c>
      <c r="CX54" s="473">
        <f t="shared" si="2"/>
        <v>0</v>
      </c>
      <c r="CY54" s="512">
        <f t="shared" si="3"/>
        <v>0</v>
      </c>
    </row>
    <row r="55" spans="1:103">
      <c r="A55" s="112" t="s">
        <v>396</v>
      </c>
      <c r="B55" s="162" t="str">
        <f>IFERROR(VLOOKUP(ParicipationJuillet1[[#This Row],[Référence]],ListeÉtudiants1[],18,FALSE),"")</f>
        <v>DOS SANTOS SILVA CELIA</v>
      </c>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640"/>
      <c r="AH55" s="202">
        <f>COUNTIF(ParicipationJuillet1[[#This Row],[1]:[31]],Code1)</f>
        <v>0</v>
      </c>
      <c r="AI55" s="475">
        <f>COUNTIF(ParicipationJuillet1[[#This Row],[1]:[31]],code22)</f>
        <v>0</v>
      </c>
      <c r="AJ55" s="202">
        <f>COUNTIF(ParicipationJuillet1[[#This Row],[1]:[31]],Code2)</f>
        <v>0</v>
      </c>
      <c r="AK55" s="202">
        <f>COUNTIF(ParicipationJuillet1[[#This Row],[1]:[31]],Code3)</f>
        <v>0</v>
      </c>
      <c r="AL55" s="202">
        <f>COUNTIF(ParicipationJuillet1[[#This Row],[1]:[31]],Code4)</f>
        <v>0</v>
      </c>
      <c r="AM55" s="473">
        <f>COUNTIF(ParicipationJuillet1[[#This Row],[1]:[31]],Code5)</f>
        <v>0</v>
      </c>
      <c r="AN55" s="473">
        <f>COUNTIF(ParicipationJuillet1[[#This Row],[1]:[31]],Code23)</f>
        <v>0</v>
      </c>
      <c r="AO55" s="473">
        <f>COUNTIF(ParicipationJuillet1[[#This Row],[1]:[31]],Code6)</f>
        <v>0</v>
      </c>
      <c r="AP55" s="473">
        <f>COUNTIF(ParicipationJuillet1[[#This Row],[1]:[31]],Code7)</f>
        <v>0</v>
      </c>
      <c r="AQ55" s="473">
        <f>COUNTIF(ParicipationJuillet1[[#This Row],[1]:[31]],Code8)</f>
        <v>0</v>
      </c>
      <c r="AR55" s="473">
        <f>COUNTIF(ParicipationJuillet1[[#This Row],[1]:[31]],Code9)</f>
        <v>0</v>
      </c>
      <c r="AS55" s="473">
        <f>COUNTIF(ParicipationJuillet1[[#This Row],[1]:[31]],Code10)</f>
        <v>0</v>
      </c>
      <c r="AT55" s="473">
        <f>COUNTIF(ParicipationJuillet1[[#This Row],[1]:[31]],Code11)</f>
        <v>0</v>
      </c>
      <c r="AU55" s="473">
        <f>COUNTIF(ParicipationJuillet1[[#This Row],[1]:[31]],Code12)</f>
        <v>0</v>
      </c>
      <c r="AV55" s="473">
        <f>COUNTIF(ParicipationJuillet1[[#This Row],[1]:[31]],Code13)</f>
        <v>0</v>
      </c>
      <c r="AW55" s="473">
        <f>COUNTIF(ParicipationJuillet1[[#This Row],[1]:[31]],Code14)</f>
        <v>0</v>
      </c>
      <c r="AX55" s="473">
        <f>COUNTIF(ParicipationJuillet1[[#This Row],[1]:[31]],Code15)</f>
        <v>0</v>
      </c>
      <c r="AY55" s="473">
        <f>COUNTIF(ParicipationJuillet1[[#This Row],[1]:[31]],Code16)</f>
        <v>0</v>
      </c>
      <c r="AZ55" s="473">
        <f>COUNTIF(ParicipationJuillet1[[#This Row],[1]:[31]],Code17)</f>
        <v>0</v>
      </c>
      <c r="BA55" s="473">
        <f>COUNTIF(ParicipationJuillet1[[#This Row],[1]:[31]],Code25)</f>
        <v>0</v>
      </c>
      <c r="BB55" s="473">
        <f>COUNTIF(ParicipationJuillet1[[#This Row],[1]:[31]],Code26)</f>
        <v>0</v>
      </c>
      <c r="BC55" s="473">
        <f>COUNTIF(ParicipationJuillet1[[#This Row],[1]:[31]],Code27)</f>
        <v>0</v>
      </c>
      <c r="BD55" s="473">
        <f>COUNTIF(ParicipationJuillet1[[#This Row],[1]:[31]],Code28)</f>
        <v>0</v>
      </c>
      <c r="BE55" s="473">
        <f>COUNTIF(ParicipationJuillet1[[#This Row],[1]:[31]],code30)</f>
        <v>0</v>
      </c>
      <c r="BF55" s="473">
        <f>COUNTIF(ParicipationJuillet1[[#This Row],[1]:[31]],Code31)</f>
        <v>0</v>
      </c>
      <c r="BG55" s="473">
        <f>COUNTIF(ParicipationJuillet1[[#This Row],[1]:[31]],code21)</f>
        <v>0</v>
      </c>
      <c r="BH55" s="473">
        <f>COUNTIF(ParicipationJuillet1[[#This Row],[1]:[31]],Code24)</f>
        <v>0</v>
      </c>
      <c r="BI55" s="473">
        <f>COUNTIF(ParicipationJuillet1[[#This Row],[1]:[31]],code18)</f>
        <v>0</v>
      </c>
      <c r="BJ55" s="473">
        <f>COUNTIF(ParicipationJuillet1[[#This Row],[1]:[31]],code19)</f>
        <v>0</v>
      </c>
      <c r="BK55" s="473">
        <f>COUNTIF(ParicipationJuillet1[[#This Row],[1]:[31]],code20)</f>
        <v>0</v>
      </c>
      <c r="BL55" s="516">
        <f>COUNTIF(ParicipationJuillet1[[#This Row],[1]:[31]],code29)</f>
        <v>0</v>
      </c>
      <c r="BM55" s="473"/>
      <c r="BN55" s="473"/>
      <c r="BO55" s="473"/>
      <c r="BP55" s="473"/>
      <c r="BQ55" s="473"/>
      <c r="BR55" s="473"/>
      <c r="BS55" s="473"/>
      <c r="BT55" s="473"/>
      <c r="BU55" s="473"/>
      <c r="BV55" s="473"/>
      <c r="BW55" s="473"/>
      <c r="BX55" s="473"/>
      <c r="BY55" s="473"/>
      <c r="BZ55" s="473"/>
      <c r="CA55" s="473"/>
      <c r="CB55" s="473"/>
      <c r="CC55" s="473"/>
      <c r="CD55" s="473"/>
      <c r="CE55" s="473"/>
      <c r="CF55" s="473"/>
      <c r="CG55" s="473"/>
      <c r="CH55" s="473"/>
      <c r="CI55" s="473"/>
      <c r="CJ55" s="473"/>
      <c r="CK55" s="473"/>
      <c r="CL55" s="473"/>
      <c r="CM55" s="473"/>
      <c r="CN55" s="473"/>
      <c r="CO55" s="473"/>
      <c r="CP55" s="473"/>
      <c r="CQ55" s="473"/>
      <c r="CR55" s="473"/>
      <c r="CS55" s="473"/>
      <c r="CT55" s="473"/>
      <c r="CU55" s="516"/>
      <c r="CV55" s="501">
        <f t="shared" si="0"/>
        <v>0</v>
      </c>
      <c r="CW55" s="501">
        <f t="shared" si="1"/>
        <v>0</v>
      </c>
      <c r="CX55" s="473">
        <f t="shared" si="2"/>
        <v>0</v>
      </c>
      <c r="CY55" s="512">
        <f t="shared" si="3"/>
        <v>0</v>
      </c>
    </row>
    <row r="56" spans="1:103">
      <c r="A56" s="112" t="s">
        <v>397</v>
      </c>
      <c r="B56" s="162" t="str">
        <f>IFERROR(VLOOKUP(ParicipationJuillet1[[#This Row],[Référence]],ListeÉtudiants1[],18,FALSE),"")</f>
        <v>DOSSOU ESTELLE</v>
      </c>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640"/>
      <c r="AH56" s="202">
        <f>COUNTIF(ParicipationJuillet1[[#This Row],[1]:[31]],Code1)</f>
        <v>0</v>
      </c>
      <c r="AI56" s="475">
        <f>COUNTIF(ParicipationJuillet1[[#This Row],[1]:[31]],code22)</f>
        <v>0</v>
      </c>
      <c r="AJ56" s="202">
        <f>COUNTIF(ParicipationJuillet1[[#This Row],[1]:[31]],Code2)</f>
        <v>0</v>
      </c>
      <c r="AK56" s="202">
        <f>COUNTIF(ParicipationJuillet1[[#This Row],[1]:[31]],Code3)</f>
        <v>0</v>
      </c>
      <c r="AL56" s="202">
        <f>COUNTIF(ParicipationJuillet1[[#This Row],[1]:[31]],Code4)</f>
        <v>0</v>
      </c>
      <c r="AM56" s="473">
        <f>COUNTIF(ParicipationJuillet1[[#This Row],[1]:[31]],Code5)</f>
        <v>0</v>
      </c>
      <c r="AN56" s="473">
        <f>COUNTIF(ParicipationJuillet1[[#This Row],[1]:[31]],Code23)</f>
        <v>0</v>
      </c>
      <c r="AO56" s="473">
        <f>COUNTIF(ParicipationJuillet1[[#This Row],[1]:[31]],Code6)</f>
        <v>0</v>
      </c>
      <c r="AP56" s="473">
        <f>COUNTIF(ParicipationJuillet1[[#This Row],[1]:[31]],Code7)</f>
        <v>0</v>
      </c>
      <c r="AQ56" s="473">
        <f>COUNTIF(ParicipationJuillet1[[#This Row],[1]:[31]],Code8)</f>
        <v>0</v>
      </c>
      <c r="AR56" s="473">
        <f>COUNTIF(ParicipationJuillet1[[#This Row],[1]:[31]],Code9)</f>
        <v>0</v>
      </c>
      <c r="AS56" s="473">
        <f>COUNTIF(ParicipationJuillet1[[#This Row],[1]:[31]],Code10)</f>
        <v>0</v>
      </c>
      <c r="AT56" s="473">
        <f>COUNTIF(ParicipationJuillet1[[#This Row],[1]:[31]],Code11)</f>
        <v>0</v>
      </c>
      <c r="AU56" s="473">
        <f>COUNTIF(ParicipationJuillet1[[#This Row],[1]:[31]],Code12)</f>
        <v>0</v>
      </c>
      <c r="AV56" s="473">
        <f>COUNTIF(ParicipationJuillet1[[#This Row],[1]:[31]],Code13)</f>
        <v>0</v>
      </c>
      <c r="AW56" s="473">
        <f>COUNTIF(ParicipationJuillet1[[#This Row],[1]:[31]],Code14)</f>
        <v>0</v>
      </c>
      <c r="AX56" s="473">
        <f>COUNTIF(ParicipationJuillet1[[#This Row],[1]:[31]],Code15)</f>
        <v>0</v>
      </c>
      <c r="AY56" s="473">
        <f>COUNTIF(ParicipationJuillet1[[#This Row],[1]:[31]],Code16)</f>
        <v>0</v>
      </c>
      <c r="AZ56" s="473">
        <f>COUNTIF(ParicipationJuillet1[[#This Row],[1]:[31]],Code17)</f>
        <v>0</v>
      </c>
      <c r="BA56" s="473">
        <f>COUNTIF(ParicipationJuillet1[[#This Row],[1]:[31]],Code25)</f>
        <v>0</v>
      </c>
      <c r="BB56" s="473">
        <f>COUNTIF(ParicipationJuillet1[[#This Row],[1]:[31]],Code26)</f>
        <v>0</v>
      </c>
      <c r="BC56" s="473">
        <f>COUNTIF(ParicipationJuillet1[[#This Row],[1]:[31]],Code27)</f>
        <v>0</v>
      </c>
      <c r="BD56" s="473">
        <f>COUNTIF(ParicipationJuillet1[[#This Row],[1]:[31]],Code28)</f>
        <v>0</v>
      </c>
      <c r="BE56" s="473">
        <f>COUNTIF(ParicipationJuillet1[[#This Row],[1]:[31]],code30)</f>
        <v>0</v>
      </c>
      <c r="BF56" s="473">
        <f>COUNTIF(ParicipationJuillet1[[#This Row],[1]:[31]],Code31)</f>
        <v>0</v>
      </c>
      <c r="BG56" s="473">
        <f>COUNTIF(ParicipationJuillet1[[#This Row],[1]:[31]],code21)</f>
        <v>0</v>
      </c>
      <c r="BH56" s="473">
        <f>COUNTIF(ParicipationJuillet1[[#This Row],[1]:[31]],Code24)</f>
        <v>0</v>
      </c>
      <c r="BI56" s="473">
        <f>COUNTIF(ParicipationJuillet1[[#This Row],[1]:[31]],code18)</f>
        <v>0</v>
      </c>
      <c r="BJ56" s="473">
        <f>COUNTIF(ParicipationJuillet1[[#This Row],[1]:[31]],code19)</f>
        <v>0</v>
      </c>
      <c r="BK56" s="473">
        <f>COUNTIF(ParicipationJuillet1[[#This Row],[1]:[31]],code20)</f>
        <v>0</v>
      </c>
      <c r="BL56" s="516">
        <f>COUNTIF(ParicipationJuillet1[[#This Row],[1]:[31]],code29)</f>
        <v>0</v>
      </c>
      <c r="BM56" s="473"/>
      <c r="BN56" s="473"/>
      <c r="BO56" s="473"/>
      <c r="BP56" s="473"/>
      <c r="BQ56" s="473"/>
      <c r="BR56" s="473"/>
      <c r="BS56" s="473"/>
      <c r="BT56" s="473"/>
      <c r="BU56" s="473"/>
      <c r="BV56" s="473"/>
      <c r="BW56" s="473"/>
      <c r="BX56" s="473"/>
      <c r="BY56" s="473"/>
      <c r="BZ56" s="473"/>
      <c r="CA56" s="473"/>
      <c r="CB56" s="473"/>
      <c r="CC56" s="473"/>
      <c r="CD56" s="473"/>
      <c r="CE56" s="473"/>
      <c r="CF56" s="473"/>
      <c r="CG56" s="473"/>
      <c r="CH56" s="473"/>
      <c r="CI56" s="473"/>
      <c r="CJ56" s="473"/>
      <c r="CK56" s="473"/>
      <c r="CL56" s="473"/>
      <c r="CM56" s="473"/>
      <c r="CN56" s="473"/>
      <c r="CO56" s="473"/>
      <c r="CP56" s="473"/>
      <c r="CQ56" s="473"/>
      <c r="CR56" s="473"/>
      <c r="CS56" s="473"/>
      <c r="CT56" s="473"/>
      <c r="CU56" s="516"/>
      <c r="CV56" s="501">
        <f t="shared" si="0"/>
        <v>0</v>
      </c>
      <c r="CW56" s="501">
        <f t="shared" si="1"/>
        <v>0</v>
      </c>
      <c r="CX56" s="473">
        <f t="shared" si="2"/>
        <v>0</v>
      </c>
      <c r="CY56" s="512">
        <f t="shared" si="3"/>
        <v>0</v>
      </c>
    </row>
    <row r="57" spans="1:103">
      <c r="A57" s="112" t="s">
        <v>398</v>
      </c>
      <c r="B57" s="162" t="str">
        <f>IFERROR(VLOOKUP(ParicipationJuillet1[[#This Row],[Référence]],ListeÉtudiants1[],18,FALSE),"")</f>
        <v>DUFFO FELIX</v>
      </c>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640"/>
      <c r="AH57" s="202">
        <f>COUNTIF(ParicipationJuillet1[[#This Row],[1]:[31]],Code1)</f>
        <v>0</v>
      </c>
      <c r="AI57" s="475">
        <f>COUNTIF(ParicipationJuillet1[[#This Row],[1]:[31]],code22)</f>
        <v>0</v>
      </c>
      <c r="AJ57" s="202">
        <f>COUNTIF(ParicipationJuillet1[[#This Row],[1]:[31]],Code2)</f>
        <v>0</v>
      </c>
      <c r="AK57" s="202">
        <f>COUNTIF(ParicipationJuillet1[[#This Row],[1]:[31]],Code3)</f>
        <v>0</v>
      </c>
      <c r="AL57" s="202">
        <f>COUNTIF(ParicipationJuillet1[[#This Row],[1]:[31]],Code4)</f>
        <v>0</v>
      </c>
      <c r="AM57" s="473">
        <f>COUNTIF(ParicipationJuillet1[[#This Row],[1]:[31]],Code5)</f>
        <v>0</v>
      </c>
      <c r="AN57" s="473">
        <f>COUNTIF(ParicipationJuillet1[[#This Row],[1]:[31]],Code23)</f>
        <v>0</v>
      </c>
      <c r="AO57" s="473">
        <f>COUNTIF(ParicipationJuillet1[[#This Row],[1]:[31]],Code6)</f>
        <v>0</v>
      </c>
      <c r="AP57" s="473">
        <f>COUNTIF(ParicipationJuillet1[[#This Row],[1]:[31]],Code7)</f>
        <v>0</v>
      </c>
      <c r="AQ57" s="473">
        <f>COUNTIF(ParicipationJuillet1[[#This Row],[1]:[31]],Code8)</f>
        <v>0</v>
      </c>
      <c r="AR57" s="473">
        <f>COUNTIF(ParicipationJuillet1[[#This Row],[1]:[31]],Code9)</f>
        <v>0</v>
      </c>
      <c r="AS57" s="473">
        <f>COUNTIF(ParicipationJuillet1[[#This Row],[1]:[31]],Code10)</f>
        <v>0</v>
      </c>
      <c r="AT57" s="473">
        <f>COUNTIF(ParicipationJuillet1[[#This Row],[1]:[31]],Code11)</f>
        <v>0</v>
      </c>
      <c r="AU57" s="473">
        <f>COUNTIF(ParicipationJuillet1[[#This Row],[1]:[31]],Code12)</f>
        <v>0</v>
      </c>
      <c r="AV57" s="473">
        <f>COUNTIF(ParicipationJuillet1[[#This Row],[1]:[31]],Code13)</f>
        <v>0</v>
      </c>
      <c r="AW57" s="473">
        <f>COUNTIF(ParicipationJuillet1[[#This Row],[1]:[31]],Code14)</f>
        <v>0</v>
      </c>
      <c r="AX57" s="473">
        <f>COUNTIF(ParicipationJuillet1[[#This Row],[1]:[31]],Code15)</f>
        <v>0</v>
      </c>
      <c r="AY57" s="473">
        <f>COUNTIF(ParicipationJuillet1[[#This Row],[1]:[31]],Code16)</f>
        <v>0</v>
      </c>
      <c r="AZ57" s="473">
        <f>COUNTIF(ParicipationJuillet1[[#This Row],[1]:[31]],Code17)</f>
        <v>0</v>
      </c>
      <c r="BA57" s="473">
        <f>COUNTIF(ParicipationJuillet1[[#This Row],[1]:[31]],Code25)</f>
        <v>0</v>
      </c>
      <c r="BB57" s="473">
        <f>COUNTIF(ParicipationJuillet1[[#This Row],[1]:[31]],Code26)</f>
        <v>0</v>
      </c>
      <c r="BC57" s="473">
        <f>COUNTIF(ParicipationJuillet1[[#This Row],[1]:[31]],Code27)</f>
        <v>0</v>
      </c>
      <c r="BD57" s="473">
        <f>COUNTIF(ParicipationJuillet1[[#This Row],[1]:[31]],Code28)</f>
        <v>0</v>
      </c>
      <c r="BE57" s="473">
        <f>COUNTIF(ParicipationJuillet1[[#This Row],[1]:[31]],code30)</f>
        <v>0</v>
      </c>
      <c r="BF57" s="473">
        <f>COUNTIF(ParicipationJuillet1[[#This Row],[1]:[31]],Code31)</f>
        <v>0</v>
      </c>
      <c r="BG57" s="473">
        <f>COUNTIF(ParicipationJuillet1[[#This Row],[1]:[31]],code21)</f>
        <v>0</v>
      </c>
      <c r="BH57" s="473">
        <f>COUNTIF(ParicipationJuillet1[[#This Row],[1]:[31]],Code24)</f>
        <v>0</v>
      </c>
      <c r="BI57" s="473">
        <f>COUNTIF(ParicipationJuillet1[[#This Row],[1]:[31]],code18)</f>
        <v>0</v>
      </c>
      <c r="BJ57" s="473">
        <f>COUNTIF(ParicipationJuillet1[[#This Row],[1]:[31]],code19)</f>
        <v>0</v>
      </c>
      <c r="BK57" s="473">
        <f>COUNTIF(ParicipationJuillet1[[#This Row],[1]:[31]],code20)</f>
        <v>0</v>
      </c>
      <c r="BL57" s="516">
        <f>COUNTIF(ParicipationJuillet1[[#This Row],[1]:[31]],code29)</f>
        <v>0</v>
      </c>
      <c r="BM57" s="473"/>
      <c r="BN57" s="473"/>
      <c r="BO57" s="473"/>
      <c r="BP57" s="473"/>
      <c r="BQ57" s="473"/>
      <c r="BR57" s="473"/>
      <c r="BS57" s="473"/>
      <c r="BT57" s="473"/>
      <c r="BU57" s="473"/>
      <c r="BV57" s="473"/>
      <c r="BW57" s="473"/>
      <c r="BX57" s="473"/>
      <c r="BY57" s="473"/>
      <c r="BZ57" s="473"/>
      <c r="CA57" s="473"/>
      <c r="CB57" s="473"/>
      <c r="CC57" s="473"/>
      <c r="CD57" s="473"/>
      <c r="CE57" s="473"/>
      <c r="CF57" s="473"/>
      <c r="CG57" s="473"/>
      <c r="CH57" s="473"/>
      <c r="CI57" s="473"/>
      <c r="CJ57" s="473"/>
      <c r="CK57" s="473"/>
      <c r="CL57" s="473"/>
      <c r="CM57" s="473"/>
      <c r="CN57" s="473"/>
      <c r="CO57" s="473"/>
      <c r="CP57" s="473"/>
      <c r="CQ57" s="473"/>
      <c r="CR57" s="473"/>
      <c r="CS57" s="473"/>
      <c r="CT57" s="473"/>
      <c r="CU57" s="516"/>
      <c r="CV57" s="501">
        <f t="shared" si="0"/>
        <v>0</v>
      </c>
      <c r="CW57" s="501">
        <f t="shared" si="1"/>
        <v>0</v>
      </c>
      <c r="CX57" s="473">
        <f t="shared" si="2"/>
        <v>0</v>
      </c>
      <c r="CY57" s="512">
        <f t="shared" si="3"/>
        <v>0</v>
      </c>
    </row>
    <row r="58" spans="1:103">
      <c r="A58" s="112" t="s">
        <v>399</v>
      </c>
      <c r="B58" s="162" t="str">
        <f>IFERROR(VLOOKUP(ParicipationJuillet1[[#This Row],[Référence]],ListeÉtudiants1[],18,FALSE),"")</f>
        <v>DUPUY JULINE</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640"/>
      <c r="AH58" s="202">
        <f>COUNTIF(ParicipationJuillet1[[#This Row],[1]:[31]],Code1)</f>
        <v>0</v>
      </c>
      <c r="AI58" s="475">
        <f>COUNTIF(ParicipationJuillet1[[#This Row],[1]:[31]],code22)</f>
        <v>0</v>
      </c>
      <c r="AJ58" s="202">
        <f>COUNTIF(ParicipationJuillet1[[#This Row],[1]:[31]],Code2)</f>
        <v>0</v>
      </c>
      <c r="AK58" s="202">
        <f>COUNTIF(ParicipationJuillet1[[#This Row],[1]:[31]],Code3)</f>
        <v>0</v>
      </c>
      <c r="AL58" s="202">
        <f>COUNTIF(ParicipationJuillet1[[#This Row],[1]:[31]],Code4)</f>
        <v>0</v>
      </c>
      <c r="AM58" s="473">
        <f>COUNTIF(ParicipationJuillet1[[#This Row],[1]:[31]],Code5)</f>
        <v>0</v>
      </c>
      <c r="AN58" s="473">
        <f>COUNTIF(ParicipationJuillet1[[#This Row],[1]:[31]],Code23)</f>
        <v>0</v>
      </c>
      <c r="AO58" s="473">
        <f>COUNTIF(ParicipationJuillet1[[#This Row],[1]:[31]],Code6)</f>
        <v>0</v>
      </c>
      <c r="AP58" s="473">
        <f>COUNTIF(ParicipationJuillet1[[#This Row],[1]:[31]],Code7)</f>
        <v>0</v>
      </c>
      <c r="AQ58" s="473">
        <f>COUNTIF(ParicipationJuillet1[[#This Row],[1]:[31]],Code8)</f>
        <v>0</v>
      </c>
      <c r="AR58" s="473">
        <f>COUNTIF(ParicipationJuillet1[[#This Row],[1]:[31]],Code9)</f>
        <v>0</v>
      </c>
      <c r="AS58" s="473">
        <f>COUNTIF(ParicipationJuillet1[[#This Row],[1]:[31]],Code10)</f>
        <v>0</v>
      </c>
      <c r="AT58" s="473">
        <f>COUNTIF(ParicipationJuillet1[[#This Row],[1]:[31]],Code11)</f>
        <v>0</v>
      </c>
      <c r="AU58" s="473">
        <f>COUNTIF(ParicipationJuillet1[[#This Row],[1]:[31]],Code12)</f>
        <v>0</v>
      </c>
      <c r="AV58" s="473">
        <f>COUNTIF(ParicipationJuillet1[[#This Row],[1]:[31]],Code13)</f>
        <v>0</v>
      </c>
      <c r="AW58" s="473">
        <f>COUNTIF(ParicipationJuillet1[[#This Row],[1]:[31]],Code14)</f>
        <v>0</v>
      </c>
      <c r="AX58" s="473">
        <f>COUNTIF(ParicipationJuillet1[[#This Row],[1]:[31]],Code15)</f>
        <v>0</v>
      </c>
      <c r="AY58" s="473">
        <f>COUNTIF(ParicipationJuillet1[[#This Row],[1]:[31]],Code16)</f>
        <v>0</v>
      </c>
      <c r="AZ58" s="473">
        <f>COUNTIF(ParicipationJuillet1[[#This Row],[1]:[31]],Code17)</f>
        <v>0</v>
      </c>
      <c r="BA58" s="473">
        <f>COUNTIF(ParicipationJuillet1[[#This Row],[1]:[31]],Code25)</f>
        <v>0</v>
      </c>
      <c r="BB58" s="473">
        <f>COUNTIF(ParicipationJuillet1[[#This Row],[1]:[31]],Code26)</f>
        <v>0</v>
      </c>
      <c r="BC58" s="473">
        <f>COUNTIF(ParicipationJuillet1[[#This Row],[1]:[31]],Code27)</f>
        <v>0</v>
      </c>
      <c r="BD58" s="473">
        <f>COUNTIF(ParicipationJuillet1[[#This Row],[1]:[31]],Code28)</f>
        <v>0</v>
      </c>
      <c r="BE58" s="473">
        <f>COUNTIF(ParicipationJuillet1[[#This Row],[1]:[31]],code30)</f>
        <v>0</v>
      </c>
      <c r="BF58" s="473">
        <f>COUNTIF(ParicipationJuillet1[[#This Row],[1]:[31]],Code31)</f>
        <v>0</v>
      </c>
      <c r="BG58" s="473">
        <f>COUNTIF(ParicipationJuillet1[[#This Row],[1]:[31]],code21)</f>
        <v>0</v>
      </c>
      <c r="BH58" s="473">
        <f>COUNTIF(ParicipationJuillet1[[#This Row],[1]:[31]],Code24)</f>
        <v>0</v>
      </c>
      <c r="BI58" s="473">
        <f>COUNTIF(ParicipationJuillet1[[#This Row],[1]:[31]],code18)</f>
        <v>0</v>
      </c>
      <c r="BJ58" s="473">
        <f>COUNTIF(ParicipationJuillet1[[#This Row],[1]:[31]],code19)</f>
        <v>0</v>
      </c>
      <c r="BK58" s="473">
        <f>COUNTIF(ParicipationJuillet1[[#This Row],[1]:[31]],code20)</f>
        <v>0</v>
      </c>
      <c r="BL58" s="516">
        <f>COUNTIF(ParicipationJuillet1[[#This Row],[1]:[31]],code29)</f>
        <v>0</v>
      </c>
      <c r="BM58" s="473"/>
      <c r="BN58" s="473"/>
      <c r="BO58" s="473"/>
      <c r="BP58" s="473"/>
      <c r="BQ58" s="473"/>
      <c r="BR58" s="473"/>
      <c r="BS58" s="473"/>
      <c r="BT58" s="473"/>
      <c r="BU58" s="473"/>
      <c r="BV58" s="473"/>
      <c r="BW58" s="473"/>
      <c r="BX58" s="473"/>
      <c r="BY58" s="473"/>
      <c r="BZ58" s="473"/>
      <c r="CA58" s="473"/>
      <c r="CB58" s="473"/>
      <c r="CC58" s="473"/>
      <c r="CD58" s="473"/>
      <c r="CE58" s="473"/>
      <c r="CF58" s="473"/>
      <c r="CG58" s="473"/>
      <c r="CH58" s="473"/>
      <c r="CI58" s="473"/>
      <c r="CJ58" s="473"/>
      <c r="CK58" s="473"/>
      <c r="CL58" s="473"/>
      <c r="CM58" s="473"/>
      <c r="CN58" s="473"/>
      <c r="CO58" s="473"/>
      <c r="CP58" s="473"/>
      <c r="CQ58" s="473"/>
      <c r="CR58" s="473"/>
      <c r="CS58" s="473"/>
      <c r="CT58" s="473"/>
      <c r="CU58" s="516"/>
      <c r="CV58" s="501">
        <f t="shared" si="0"/>
        <v>0</v>
      </c>
      <c r="CW58" s="501">
        <f t="shared" si="1"/>
        <v>0</v>
      </c>
      <c r="CX58" s="473">
        <f t="shared" si="2"/>
        <v>0</v>
      </c>
      <c r="CY58" s="512">
        <f t="shared" si="3"/>
        <v>0</v>
      </c>
    </row>
    <row r="59" spans="1:103">
      <c r="A59" s="112" t="s">
        <v>400</v>
      </c>
      <c r="B59" s="162" t="str">
        <f>IFERROR(VLOOKUP(ParicipationJuillet1[[#This Row],[Référence]],ListeÉtudiants1[],18,FALSE),"")</f>
        <v>EDERY JEFFREY</v>
      </c>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640"/>
      <c r="AH59" s="202">
        <f>COUNTIF(ParicipationJuillet1[[#This Row],[1]:[31]],Code1)</f>
        <v>0</v>
      </c>
      <c r="AI59" s="475">
        <f>COUNTIF(ParicipationJuillet1[[#This Row],[1]:[31]],code22)</f>
        <v>0</v>
      </c>
      <c r="AJ59" s="202">
        <f>COUNTIF(ParicipationJuillet1[[#This Row],[1]:[31]],Code2)</f>
        <v>0</v>
      </c>
      <c r="AK59" s="202">
        <f>COUNTIF(ParicipationJuillet1[[#This Row],[1]:[31]],Code3)</f>
        <v>0</v>
      </c>
      <c r="AL59" s="202">
        <f>COUNTIF(ParicipationJuillet1[[#This Row],[1]:[31]],Code4)</f>
        <v>0</v>
      </c>
      <c r="AM59" s="473">
        <f>COUNTIF(ParicipationJuillet1[[#This Row],[1]:[31]],Code5)</f>
        <v>0</v>
      </c>
      <c r="AN59" s="473">
        <f>COUNTIF(ParicipationJuillet1[[#This Row],[1]:[31]],Code23)</f>
        <v>0</v>
      </c>
      <c r="AO59" s="473">
        <f>COUNTIF(ParicipationJuillet1[[#This Row],[1]:[31]],Code6)</f>
        <v>0</v>
      </c>
      <c r="AP59" s="473">
        <f>COUNTIF(ParicipationJuillet1[[#This Row],[1]:[31]],Code7)</f>
        <v>0</v>
      </c>
      <c r="AQ59" s="473">
        <f>COUNTIF(ParicipationJuillet1[[#This Row],[1]:[31]],Code8)</f>
        <v>0</v>
      </c>
      <c r="AR59" s="473">
        <f>COUNTIF(ParicipationJuillet1[[#This Row],[1]:[31]],Code9)</f>
        <v>0</v>
      </c>
      <c r="AS59" s="473">
        <f>COUNTIF(ParicipationJuillet1[[#This Row],[1]:[31]],Code10)</f>
        <v>0</v>
      </c>
      <c r="AT59" s="473">
        <f>COUNTIF(ParicipationJuillet1[[#This Row],[1]:[31]],Code11)</f>
        <v>0</v>
      </c>
      <c r="AU59" s="473">
        <f>COUNTIF(ParicipationJuillet1[[#This Row],[1]:[31]],Code12)</f>
        <v>0</v>
      </c>
      <c r="AV59" s="473">
        <f>COUNTIF(ParicipationJuillet1[[#This Row],[1]:[31]],Code13)</f>
        <v>0</v>
      </c>
      <c r="AW59" s="473">
        <f>COUNTIF(ParicipationJuillet1[[#This Row],[1]:[31]],Code14)</f>
        <v>0</v>
      </c>
      <c r="AX59" s="473">
        <f>COUNTIF(ParicipationJuillet1[[#This Row],[1]:[31]],Code15)</f>
        <v>0</v>
      </c>
      <c r="AY59" s="473">
        <f>COUNTIF(ParicipationJuillet1[[#This Row],[1]:[31]],Code16)</f>
        <v>0</v>
      </c>
      <c r="AZ59" s="473">
        <f>COUNTIF(ParicipationJuillet1[[#This Row],[1]:[31]],Code17)</f>
        <v>0</v>
      </c>
      <c r="BA59" s="473">
        <f>COUNTIF(ParicipationJuillet1[[#This Row],[1]:[31]],Code25)</f>
        <v>0</v>
      </c>
      <c r="BB59" s="473">
        <f>COUNTIF(ParicipationJuillet1[[#This Row],[1]:[31]],Code26)</f>
        <v>0</v>
      </c>
      <c r="BC59" s="473">
        <f>COUNTIF(ParicipationJuillet1[[#This Row],[1]:[31]],Code27)</f>
        <v>0</v>
      </c>
      <c r="BD59" s="473">
        <f>COUNTIF(ParicipationJuillet1[[#This Row],[1]:[31]],Code28)</f>
        <v>0</v>
      </c>
      <c r="BE59" s="473">
        <f>COUNTIF(ParicipationJuillet1[[#This Row],[1]:[31]],code30)</f>
        <v>0</v>
      </c>
      <c r="BF59" s="473">
        <f>COUNTIF(ParicipationJuillet1[[#This Row],[1]:[31]],Code31)</f>
        <v>0</v>
      </c>
      <c r="BG59" s="473">
        <f>COUNTIF(ParicipationJuillet1[[#This Row],[1]:[31]],code21)</f>
        <v>0</v>
      </c>
      <c r="BH59" s="473">
        <f>COUNTIF(ParicipationJuillet1[[#This Row],[1]:[31]],Code24)</f>
        <v>0</v>
      </c>
      <c r="BI59" s="473">
        <f>COUNTIF(ParicipationJuillet1[[#This Row],[1]:[31]],code18)</f>
        <v>0</v>
      </c>
      <c r="BJ59" s="473">
        <f>COUNTIF(ParicipationJuillet1[[#This Row],[1]:[31]],code19)</f>
        <v>0</v>
      </c>
      <c r="BK59" s="473">
        <f>COUNTIF(ParicipationJuillet1[[#This Row],[1]:[31]],code20)</f>
        <v>0</v>
      </c>
      <c r="BL59" s="516">
        <f>COUNTIF(ParicipationJuillet1[[#This Row],[1]:[31]],code29)</f>
        <v>0</v>
      </c>
      <c r="BM59" s="473"/>
      <c r="BN59" s="473"/>
      <c r="BO59" s="473"/>
      <c r="BP59" s="473"/>
      <c r="BQ59" s="473"/>
      <c r="BR59" s="473"/>
      <c r="BS59" s="473"/>
      <c r="BT59" s="473"/>
      <c r="BU59" s="473"/>
      <c r="BV59" s="473"/>
      <c r="BW59" s="473"/>
      <c r="BX59" s="473"/>
      <c r="BY59" s="473"/>
      <c r="BZ59" s="473"/>
      <c r="CA59" s="473"/>
      <c r="CB59" s="473"/>
      <c r="CC59" s="473"/>
      <c r="CD59" s="473"/>
      <c r="CE59" s="473"/>
      <c r="CF59" s="473"/>
      <c r="CG59" s="473"/>
      <c r="CH59" s="473"/>
      <c r="CI59" s="473"/>
      <c r="CJ59" s="473"/>
      <c r="CK59" s="473"/>
      <c r="CL59" s="473"/>
      <c r="CM59" s="473"/>
      <c r="CN59" s="473"/>
      <c r="CO59" s="473"/>
      <c r="CP59" s="473"/>
      <c r="CQ59" s="473"/>
      <c r="CR59" s="473"/>
      <c r="CS59" s="473"/>
      <c r="CT59" s="473"/>
      <c r="CU59" s="516"/>
      <c r="CV59" s="501">
        <f t="shared" si="0"/>
        <v>0</v>
      </c>
      <c r="CW59" s="501">
        <f t="shared" si="1"/>
        <v>0</v>
      </c>
      <c r="CX59" s="473">
        <f t="shared" si="2"/>
        <v>0</v>
      </c>
      <c r="CY59" s="512">
        <f t="shared" si="3"/>
        <v>0</v>
      </c>
    </row>
    <row r="60" spans="1:103">
      <c r="A60" s="112" t="s">
        <v>401</v>
      </c>
      <c r="B60" s="162" t="str">
        <f>IFERROR(VLOOKUP(ParicipationJuillet1[[#This Row],[Référence]],ListeÉtudiants1[],18,FALSE),"")</f>
        <v>EL MAZGHI GHITA</v>
      </c>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640"/>
      <c r="AH60" s="202">
        <f>COUNTIF(ParicipationJuillet1[[#This Row],[1]:[31]],Code1)</f>
        <v>0</v>
      </c>
      <c r="AI60" s="475">
        <f>COUNTIF(ParicipationJuillet1[[#This Row],[1]:[31]],code22)</f>
        <v>0</v>
      </c>
      <c r="AJ60" s="202">
        <f>COUNTIF(ParicipationJuillet1[[#This Row],[1]:[31]],Code2)</f>
        <v>0</v>
      </c>
      <c r="AK60" s="202">
        <f>COUNTIF(ParicipationJuillet1[[#This Row],[1]:[31]],Code3)</f>
        <v>0</v>
      </c>
      <c r="AL60" s="202">
        <f>COUNTIF(ParicipationJuillet1[[#This Row],[1]:[31]],Code4)</f>
        <v>0</v>
      </c>
      <c r="AM60" s="473">
        <f>COUNTIF(ParicipationJuillet1[[#This Row],[1]:[31]],Code5)</f>
        <v>0</v>
      </c>
      <c r="AN60" s="473">
        <f>COUNTIF(ParicipationJuillet1[[#This Row],[1]:[31]],Code23)</f>
        <v>0</v>
      </c>
      <c r="AO60" s="473">
        <f>COUNTIF(ParicipationJuillet1[[#This Row],[1]:[31]],Code6)</f>
        <v>0</v>
      </c>
      <c r="AP60" s="473">
        <f>COUNTIF(ParicipationJuillet1[[#This Row],[1]:[31]],Code7)</f>
        <v>0</v>
      </c>
      <c r="AQ60" s="473">
        <f>COUNTIF(ParicipationJuillet1[[#This Row],[1]:[31]],Code8)</f>
        <v>0</v>
      </c>
      <c r="AR60" s="473">
        <f>COUNTIF(ParicipationJuillet1[[#This Row],[1]:[31]],Code9)</f>
        <v>0</v>
      </c>
      <c r="AS60" s="473">
        <f>COUNTIF(ParicipationJuillet1[[#This Row],[1]:[31]],Code10)</f>
        <v>0</v>
      </c>
      <c r="AT60" s="473">
        <f>COUNTIF(ParicipationJuillet1[[#This Row],[1]:[31]],Code11)</f>
        <v>0</v>
      </c>
      <c r="AU60" s="473">
        <f>COUNTIF(ParicipationJuillet1[[#This Row],[1]:[31]],Code12)</f>
        <v>0</v>
      </c>
      <c r="AV60" s="473">
        <f>COUNTIF(ParicipationJuillet1[[#This Row],[1]:[31]],Code13)</f>
        <v>0</v>
      </c>
      <c r="AW60" s="473">
        <f>COUNTIF(ParicipationJuillet1[[#This Row],[1]:[31]],Code14)</f>
        <v>0</v>
      </c>
      <c r="AX60" s="473">
        <f>COUNTIF(ParicipationJuillet1[[#This Row],[1]:[31]],Code15)</f>
        <v>0</v>
      </c>
      <c r="AY60" s="473">
        <f>COUNTIF(ParicipationJuillet1[[#This Row],[1]:[31]],Code16)</f>
        <v>0</v>
      </c>
      <c r="AZ60" s="473">
        <f>COUNTIF(ParicipationJuillet1[[#This Row],[1]:[31]],Code17)</f>
        <v>0</v>
      </c>
      <c r="BA60" s="473">
        <f>COUNTIF(ParicipationJuillet1[[#This Row],[1]:[31]],Code25)</f>
        <v>0</v>
      </c>
      <c r="BB60" s="473">
        <f>COUNTIF(ParicipationJuillet1[[#This Row],[1]:[31]],Code26)</f>
        <v>0</v>
      </c>
      <c r="BC60" s="473">
        <f>COUNTIF(ParicipationJuillet1[[#This Row],[1]:[31]],Code27)</f>
        <v>0</v>
      </c>
      <c r="BD60" s="473">
        <f>COUNTIF(ParicipationJuillet1[[#This Row],[1]:[31]],Code28)</f>
        <v>0</v>
      </c>
      <c r="BE60" s="473">
        <f>COUNTIF(ParicipationJuillet1[[#This Row],[1]:[31]],code30)</f>
        <v>0</v>
      </c>
      <c r="BF60" s="473">
        <f>COUNTIF(ParicipationJuillet1[[#This Row],[1]:[31]],Code31)</f>
        <v>0</v>
      </c>
      <c r="BG60" s="473">
        <f>COUNTIF(ParicipationJuillet1[[#This Row],[1]:[31]],code21)</f>
        <v>0</v>
      </c>
      <c r="BH60" s="473">
        <f>COUNTIF(ParicipationJuillet1[[#This Row],[1]:[31]],Code24)</f>
        <v>0</v>
      </c>
      <c r="BI60" s="473">
        <f>COUNTIF(ParicipationJuillet1[[#This Row],[1]:[31]],code18)</f>
        <v>0</v>
      </c>
      <c r="BJ60" s="473">
        <f>COUNTIF(ParicipationJuillet1[[#This Row],[1]:[31]],code19)</f>
        <v>0</v>
      </c>
      <c r="BK60" s="473">
        <f>COUNTIF(ParicipationJuillet1[[#This Row],[1]:[31]],code20)</f>
        <v>0</v>
      </c>
      <c r="BL60" s="516">
        <f>COUNTIF(ParicipationJuillet1[[#This Row],[1]:[31]],code29)</f>
        <v>0</v>
      </c>
      <c r="BM60" s="473"/>
      <c r="BN60" s="473"/>
      <c r="BO60" s="473"/>
      <c r="BP60" s="473"/>
      <c r="BQ60" s="473"/>
      <c r="BR60" s="473"/>
      <c r="BS60" s="473"/>
      <c r="BT60" s="473"/>
      <c r="BU60" s="473"/>
      <c r="BV60" s="473"/>
      <c r="BW60" s="473"/>
      <c r="BX60" s="473"/>
      <c r="BY60" s="473"/>
      <c r="BZ60" s="473"/>
      <c r="CA60" s="473"/>
      <c r="CB60" s="473"/>
      <c r="CC60" s="473"/>
      <c r="CD60" s="473"/>
      <c r="CE60" s="473"/>
      <c r="CF60" s="473"/>
      <c r="CG60" s="473"/>
      <c r="CH60" s="473"/>
      <c r="CI60" s="473"/>
      <c r="CJ60" s="473"/>
      <c r="CK60" s="473"/>
      <c r="CL60" s="473"/>
      <c r="CM60" s="473"/>
      <c r="CN60" s="473"/>
      <c r="CO60" s="473"/>
      <c r="CP60" s="473"/>
      <c r="CQ60" s="473"/>
      <c r="CR60" s="473"/>
      <c r="CS60" s="473"/>
      <c r="CT60" s="473"/>
      <c r="CU60" s="516"/>
      <c r="CV60" s="501">
        <f t="shared" si="0"/>
        <v>0</v>
      </c>
      <c r="CW60" s="501">
        <f t="shared" si="1"/>
        <v>0</v>
      </c>
      <c r="CX60" s="473">
        <f t="shared" si="2"/>
        <v>0</v>
      </c>
      <c r="CY60" s="512">
        <f t="shared" si="3"/>
        <v>0</v>
      </c>
    </row>
    <row r="61" spans="1:103">
      <c r="A61" s="112" t="s">
        <v>402</v>
      </c>
      <c r="B61" s="162" t="str">
        <f>IFERROR(VLOOKUP(ParicipationJuillet1[[#This Row],[Référence]],ListeÉtudiants1[],18,FALSE),"")</f>
        <v>ELIE ODILE</v>
      </c>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640"/>
      <c r="AH61" s="202">
        <f>COUNTIF(ParicipationJuillet1[[#This Row],[1]:[31]],Code1)</f>
        <v>0</v>
      </c>
      <c r="AI61" s="475">
        <f>COUNTIF(ParicipationJuillet1[[#This Row],[1]:[31]],code22)</f>
        <v>0</v>
      </c>
      <c r="AJ61" s="202">
        <f>COUNTIF(ParicipationJuillet1[[#This Row],[1]:[31]],Code2)</f>
        <v>0</v>
      </c>
      <c r="AK61" s="202">
        <f>COUNTIF(ParicipationJuillet1[[#This Row],[1]:[31]],Code3)</f>
        <v>0</v>
      </c>
      <c r="AL61" s="202">
        <f>COUNTIF(ParicipationJuillet1[[#This Row],[1]:[31]],Code4)</f>
        <v>0</v>
      </c>
      <c r="AM61" s="473">
        <f>COUNTIF(ParicipationJuillet1[[#This Row],[1]:[31]],Code5)</f>
        <v>0</v>
      </c>
      <c r="AN61" s="473">
        <f>COUNTIF(ParicipationJuillet1[[#This Row],[1]:[31]],Code23)</f>
        <v>0</v>
      </c>
      <c r="AO61" s="473">
        <f>COUNTIF(ParicipationJuillet1[[#This Row],[1]:[31]],Code6)</f>
        <v>0</v>
      </c>
      <c r="AP61" s="473">
        <f>COUNTIF(ParicipationJuillet1[[#This Row],[1]:[31]],Code7)</f>
        <v>0</v>
      </c>
      <c r="AQ61" s="473">
        <f>COUNTIF(ParicipationJuillet1[[#This Row],[1]:[31]],Code8)</f>
        <v>0</v>
      </c>
      <c r="AR61" s="473">
        <f>COUNTIF(ParicipationJuillet1[[#This Row],[1]:[31]],Code9)</f>
        <v>0</v>
      </c>
      <c r="AS61" s="473">
        <f>COUNTIF(ParicipationJuillet1[[#This Row],[1]:[31]],Code10)</f>
        <v>0</v>
      </c>
      <c r="AT61" s="473">
        <f>COUNTIF(ParicipationJuillet1[[#This Row],[1]:[31]],Code11)</f>
        <v>0</v>
      </c>
      <c r="AU61" s="473">
        <f>COUNTIF(ParicipationJuillet1[[#This Row],[1]:[31]],Code12)</f>
        <v>0</v>
      </c>
      <c r="AV61" s="473">
        <f>COUNTIF(ParicipationJuillet1[[#This Row],[1]:[31]],Code13)</f>
        <v>0</v>
      </c>
      <c r="AW61" s="473">
        <f>COUNTIF(ParicipationJuillet1[[#This Row],[1]:[31]],Code14)</f>
        <v>0</v>
      </c>
      <c r="AX61" s="473">
        <f>COUNTIF(ParicipationJuillet1[[#This Row],[1]:[31]],Code15)</f>
        <v>0</v>
      </c>
      <c r="AY61" s="473">
        <f>COUNTIF(ParicipationJuillet1[[#This Row],[1]:[31]],Code16)</f>
        <v>0</v>
      </c>
      <c r="AZ61" s="473">
        <f>COUNTIF(ParicipationJuillet1[[#This Row],[1]:[31]],Code17)</f>
        <v>0</v>
      </c>
      <c r="BA61" s="473">
        <f>COUNTIF(ParicipationJuillet1[[#This Row],[1]:[31]],Code25)</f>
        <v>0</v>
      </c>
      <c r="BB61" s="473">
        <f>COUNTIF(ParicipationJuillet1[[#This Row],[1]:[31]],Code26)</f>
        <v>0</v>
      </c>
      <c r="BC61" s="473">
        <f>COUNTIF(ParicipationJuillet1[[#This Row],[1]:[31]],Code27)</f>
        <v>0</v>
      </c>
      <c r="BD61" s="473">
        <f>COUNTIF(ParicipationJuillet1[[#This Row],[1]:[31]],Code28)</f>
        <v>0</v>
      </c>
      <c r="BE61" s="473">
        <f>COUNTIF(ParicipationJuillet1[[#This Row],[1]:[31]],code30)</f>
        <v>0</v>
      </c>
      <c r="BF61" s="473">
        <f>COUNTIF(ParicipationJuillet1[[#This Row],[1]:[31]],Code31)</f>
        <v>0</v>
      </c>
      <c r="BG61" s="473">
        <f>COUNTIF(ParicipationJuillet1[[#This Row],[1]:[31]],code21)</f>
        <v>0</v>
      </c>
      <c r="BH61" s="473">
        <f>COUNTIF(ParicipationJuillet1[[#This Row],[1]:[31]],Code24)</f>
        <v>0</v>
      </c>
      <c r="BI61" s="473">
        <f>COUNTIF(ParicipationJuillet1[[#This Row],[1]:[31]],code18)</f>
        <v>0</v>
      </c>
      <c r="BJ61" s="473">
        <f>COUNTIF(ParicipationJuillet1[[#This Row],[1]:[31]],code19)</f>
        <v>0</v>
      </c>
      <c r="BK61" s="473">
        <f>COUNTIF(ParicipationJuillet1[[#This Row],[1]:[31]],code20)</f>
        <v>0</v>
      </c>
      <c r="BL61" s="516">
        <f>COUNTIF(ParicipationJuillet1[[#This Row],[1]:[31]],code29)</f>
        <v>0</v>
      </c>
      <c r="BM61" s="473"/>
      <c r="BN61" s="473"/>
      <c r="BO61" s="473"/>
      <c r="BP61" s="473"/>
      <c r="BQ61" s="473"/>
      <c r="BR61" s="473"/>
      <c r="BS61" s="473"/>
      <c r="BT61" s="473"/>
      <c r="BU61" s="473"/>
      <c r="BV61" s="473"/>
      <c r="BW61" s="473"/>
      <c r="BX61" s="473"/>
      <c r="BY61" s="473"/>
      <c r="BZ61" s="473"/>
      <c r="CA61" s="473"/>
      <c r="CB61" s="473"/>
      <c r="CC61" s="473"/>
      <c r="CD61" s="473"/>
      <c r="CE61" s="473"/>
      <c r="CF61" s="473"/>
      <c r="CG61" s="473"/>
      <c r="CH61" s="473"/>
      <c r="CI61" s="473"/>
      <c r="CJ61" s="473"/>
      <c r="CK61" s="473"/>
      <c r="CL61" s="473"/>
      <c r="CM61" s="473"/>
      <c r="CN61" s="473"/>
      <c r="CO61" s="473"/>
      <c r="CP61" s="473"/>
      <c r="CQ61" s="473"/>
      <c r="CR61" s="473"/>
      <c r="CS61" s="473"/>
      <c r="CT61" s="473"/>
      <c r="CU61" s="516"/>
      <c r="CV61" s="501">
        <f t="shared" si="0"/>
        <v>0</v>
      </c>
      <c r="CW61" s="501">
        <f t="shared" si="1"/>
        <v>0</v>
      </c>
      <c r="CX61" s="473">
        <f t="shared" si="2"/>
        <v>0</v>
      </c>
      <c r="CY61" s="512">
        <f t="shared" si="3"/>
        <v>0</v>
      </c>
    </row>
    <row r="62" spans="1:103">
      <c r="A62" s="112" t="s">
        <v>403</v>
      </c>
      <c r="B62" s="162" t="str">
        <f>IFERROR(VLOOKUP(ParicipationJuillet1[[#This Row],[Référence]],ListeÉtudiants1[],18,FALSE),"")</f>
        <v>ETIENNE MYLENE</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640"/>
      <c r="AH62" s="202">
        <f>COUNTIF(ParicipationJuillet1[[#This Row],[1]:[31]],Code1)</f>
        <v>0</v>
      </c>
      <c r="AI62" s="475">
        <f>COUNTIF(ParicipationJuillet1[[#This Row],[1]:[31]],code22)</f>
        <v>0</v>
      </c>
      <c r="AJ62" s="202">
        <f>COUNTIF(ParicipationJuillet1[[#This Row],[1]:[31]],Code2)</f>
        <v>0</v>
      </c>
      <c r="AK62" s="202">
        <f>COUNTIF(ParicipationJuillet1[[#This Row],[1]:[31]],Code3)</f>
        <v>0</v>
      </c>
      <c r="AL62" s="202">
        <f>COUNTIF(ParicipationJuillet1[[#This Row],[1]:[31]],Code4)</f>
        <v>0</v>
      </c>
      <c r="AM62" s="473">
        <f>COUNTIF(ParicipationJuillet1[[#This Row],[1]:[31]],Code5)</f>
        <v>0</v>
      </c>
      <c r="AN62" s="473">
        <f>COUNTIF(ParicipationJuillet1[[#This Row],[1]:[31]],Code23)</f>
        <v>0</v>
      </c>
      <c r="AO62" s="473">
        <f>COUNTIF(ParicipationJuillet1[[#This Row],[1]:[31]],Code6)</f>
        <v>0</v>
      </c>
      <c r="AP62" s="473">
        <f>COUNTIF(ParicipationJuillet1[[#This Row],[1]:[31]],Code7)</f>
        <v>0</v>
      </c>
      <c r="AQ62" s="473">
        <f>COUNTIF(ParicipationJuillet1[[#This Row],[1]:[31]],Code8)</f>
        <v>0</v>
      </c>
      <c r="AR62" s="473">
        <f>COUNTIF(ParicipationJuillet1[[#This Row],[1]:[31]],Code9)</f>
        <v>0</v>
      </c>
      <c r="AS62" s="473">
        <f>COUNTIF(ParicipationJuillet1[[#This Row],[1]:[31]],Code10)</f>
        <v>0</v>
      </c>
      <c r="AT62" s="473">
        <f>COUNTIF(ParicipationJuillet1[[#This Row],[1]:[31]],Code11)</f>
        <v>0</v>
      </c>
      <c r="AU62" s="473">
        <f>COUNTIF(ParicipationJuillet1[[#This Row],[1]:[31]],Code12)</f>
        <v>0</v>
      </c>
      <c r="AV62" s="473">
        <f>COUNTIF(ParicipationJuillet1[[#This Row],[1]:[31]],Code13)</f>
        <v>0</v>
      </c>
      <c r="AW62" s="473">
        <f>COUNTIF(ParicipationJuillet1[[#This Row],[1]:[31]],Code14)</f>
        <v>0</v>
      </c>
      <c r="AX62" s="473">
        <f>COUNTIF(ParicipationJuillet1[[#This Row],[1]:[31]],Code15)</f>
        <v>0</v>
      </c>
      <c r="AY62" s="473">
        <f>COUNTIF(ParicipationJuillet1[[#This Row],[1]:[31]],Code16)</f>
        <v>0</v>
      </c>
      <c r="AZ62" s="473">
        <f>COUNTIF(ParicipationJuillet1[[#This Row],[1]:[31]],Code17)</f>
        <v>0</v>
      </c>
      <c r="BA62" s="473">
        <f>COUNTIF(ParicipationJuillet1[[#This Row],[1]:[31]],Code25)</f>
        <v>0</v>
      </c>
      <c r="BB62" s="473">
        <f>COUNTIF(ParicipationJuillet1[[#This Row],[1]:[31]],Code26)</f>
        <v>0</v>
      </c>
      <c r="BC62" s="473">
        <f>COUNTIF(ParicipationJuillet1[[#This Row],[1]:[31]],Code27)</f>
        <v>0</v>
      </c>
      <c r="BD62" s="473">
        <f>COUNTIF(ParicipationJuillet1[[#This Row],[1]:[31]],Code28)</f>
        <v>0</v>
      </c>
      <c r="BE62" s="473">
        <f>COUNTIF(ParicipationJuillet1[[#This Row],[1]:[31]],code30)</f>
        <v>0</v>
      </c>
      <c r="BF62" s="473">
        <f>COUNTIF(ParicipationJuillet1[[#This Row],[1]:[31]],Code31)</f>
        <v>0</v>
      </c>
      <c r="BG62" s="473">
        <f>COUNTIF(ParicipationJuillet1[[#This Row],[1]:[31]],code21)</f>
        <v>0</v>
      </c>
      <c r="BH62" s="473">
        <f>COUNTIF(ParicipationJuillet1[[#This Row],[1]:[31]],Code24)</f>
        <v>0</v>
      </c>
      <c r="BI62" s="473">
        <f>COUNTIF(ParicipationJuillet1[[#This Row],[1]:[31]],code18)</f>
        <v>0</v>
      </c>
      <c r="BJ62" s="473">
        <f>COUNTIF(ParicipationJuillet1[[#This Row],[1]:[31]],code19)</f>
        <v>0</v>
      </c>
      <c r="BK62" s="473">
        <f>COUNTIF(ParicipationJuillet1[[#This Row],[1]:[31]],code20)</f>
        <v>0</v>
      </c>
      <c r="BL62" s="516">
        <f>COUNTIF(ParicipationJuillet1[[#This Row],[1]:[31]],code29)</f>
        <v>0</v>
      </c>
      <c r="BM62" s="473"/>
      <c r="BN62" s="473"/>
      <c r="BO62" s="473"/>
      <c r="BP62" s="473"/>
      <c r="BQ62" s="473"/>
      <c r="BR62" s="473"/>
      <c r="BS62" s="473"/>
      <c r="BT62" s="473"/>
      <c r="BU62" s="473"/>
      <c r="BV62" s="473"/>
      <c r="BW62" s="473"/>
      <c r="BX62" s="473"/>
      <c r="BY62" s="473"/>
      <c r="BZ62" s="473"/>
      <c r="CA62" s="473"/>
      <c r="CB62" s="473"/>
      <c r="CC62" s="473"/>
      <c r="CD62" s="473"/>
      <c r="CE62" s="473"/>
      <c r="CF62" s="473"/>
      <c r="CG62" s="473"/>
      <c r="CH62" s="473"/>
      <c r="CI62" s="473"/>
      <c r="CJ62" s="473"/>
      <c r="CK62" s="473"/>
      <c r="CL62" s="473"/>
      <c r="CM62" s="473"/>
      <c r="CN62" s="473"/>
      <c r="CO62" s="473"/>
      <c r="CP62" s="473"/>
      <c r="CQ62" s="473"/>
      <c r="CR62" s="473"/>
      <c r="CS62" s="473"/>
      <c r="CT62" s="473"/>
      <c r="CU62" s="516"/>
      <c r="CV62" s="501">
        <f t="shared" si="0"/>
        <v>0</v>
      </c>
      <c r="CW62" s="501">
        <f t="shared" si="1"/>
        <v>0</v>
      </c>
      <c r="CX62" s="473">
        <f t="shared" si="2"/>
        <v>0</v>
      </c>
      <c r="CY62" s="512">
        <f t="shared" si="3"/>
        <v>0</v>
      </c>
    </row>
    <row r="63" spans="1:103">
      <c r="A63" s="112" t="s">
        <v>404</v>
      </c>
      <c r="B63" s="162" t="str">
        <f>IFERROR(VLOOKUP(ParicipationJuillet1[[#This Row],[Référence]],ListeÉtudiants1[],18,FALSE),"")</f>
        <v>FIRPION ALLISON</v>
      </c>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640"/>
      <c r="AH63" s="202">
        <f>COUNTIF(ParicipationJuillet1[[#This Row],[1]:[31]],Code1)</f>
        <v>0</v>
      </c>
      <c r="AI63" s="475">
        <f>COUNTIF(ParicipationJuillet1[[#This Row],[1]:[31]],code22)</f>
        <v>0</v>
      </c>
      <c r="AJ63" s="202">
        <f>COUNTIF(ParicipationJuillet1[[#This Row],[1]:[31]],Code2)</f>
        <v>0</v>
      </c>
      <c r="AK63" s="202">
        <f>COUNTIF(ParicipationJuillet1[[#This Row],[1]:[31]],Code3)</f>
        <v>0</v>
      </c>
      <c r="AL63" s="202">
        <f>COUNTIF(ParicipationJuillet1[[#This Row],[1]:[31]],Code4)</f>
        <v>0</v>
      </c>
      <c r="AM63" s="473">
        <f>COUNTIF(ParicipationJuillet1[[#This Row],[1]:[31]],Code5)</f>
        <v>0</v>
      </c>
      <c r="AN63" s="473">
        <f>COUNTIF(ParicipationJuillet1[[#This Row],[1]:[31]],Code23)</f>
        <v>0</v>
      </c>
      <c r="AO63" s="473">
        <f>COUNTIF(ParicipationJuillet1[[#This Row],[1]:[31]],Code6)</f>
        <v>0</v>
      </c>
      <c r="AP63" s="473">
        <f>COUNTIF(ParicipationJuillet1[[#This Row],[1]:[31]],Code7)</f>
        <v>0</v>
      </c>
      <c r="AQ63" s="473">
        <f>COUNTIF(ParicipationJuillet1[[#This Row],[1]:[31]],Code8)</f>
        <v>0</v>
      </c>
      <c r="AR63" s="473">
        <f>COUNTIF(ParicipationJuillet1[[#This Row],[1]:[31]],Code9)</f>
        <v>0</v>
      </c>
      <c r="AS63" s="473">
        <f>COUNTIF(ParicipationJuillet1[[#This Row],[1]:[31]],Code10)</f>
        <v>0</v>
      </c>
      <c r="AT63" s="473">
        <f>COUNTIF(ParicipationJuillet1[[#This Row],[1]:[31]],Code11)</f>
        <v>0</v>
      </c>
      <c r="AU63" s="473">
        <f>COUNTIF(ParicipationJuillet1[[#This Row],[1]:[31]],Code12)</f>
        <v>0</v>
      </c>
      <c r="AV63" s="473">
        <f>COUNTIF(ParicipationJuillet1[[#This Row],[1]:[31]],Code13)</f>
        <v>0</v>
      </c>
      <c r="AW63" s="473">
        <f>COUNTIF(ParicipationJuillet1[[#This Row],[1]:[31]],Code14)</f>
        <v>0</v>
      </c>
      <c r="AX63" s="473">
        <f>COUNTIF(ParicipationJuillet1[[#This Row],[1]:[31]],Code15)</f>
        <v>0</v>
      </c>
      <c r="AY63" s="473">
        <f>COUNTIF(ParicipationJuillet1[[#This Row],[1]:[31]],Code16)</f>
        <v>0</v>
      </c>
      <c r="AZ63" s="473">
        <f>COUNTIF(ParicipationJuillet1[[#This Row],[1]:[31]],Code17)</f>
        <v>0</v>
      </c>
      <c r="BA63" s="473">
        <f>COUNTIF(ParicipationJuillet1[[#This Row],[1]:[31]],Code25)</f>
        <v>0</v>
      </c>
      <c r="BB63" s="473">
        <f>COUNTIF(ParicipationJuillet1[[#This Row],[1]:[31]],Code26)</f>
        <v>0</v>
      </c>
      <c r="BC63" s="473">
        <f>COUNTIF(ParicipationJuillet1[[#This Row],[1]:[31]],Code27)</f>
        <v>0</v>
      </c>
      <c r="BD63" s="473">
        <f>COUNTIF(ParicipationJuillet1[[#This Row],[1]:[31]],Code28)</f>
        <v>0</v>
      </c>
      <c r="BE63" s="473">
        <f>COUNTIF(ParicipationJuillet1[[#This Row],[1]:[31]],code30)</f>
        <v>0</v>
      </c>
      <c r="BF63" s="473">
        <f>COUNTIF(ParicipationJuillet1[[#This Row],[1]:[31]],Code31)</f>
        <v>0</v>
      </c>
      <c r="BG63" s="473">
        <f>COUNTIF(ParicipationJuillet1[[#This Row],[1]:[31]],code21)</f>
        <v>0</v>
      </c>
      <c r="BH63" s="473">
        <f>COUNTIF(ParicipationJuillet1[[#This Row],[1]:[31]],Code24)</f>
        <v>0</v>
      </c>
      <c r="BI63" s="473">
        <f>COUNTIF(ParicipationJuillet1[[#This Row],[1]:[31]],code18)</f>
        <v>0</v>
      </c>
      <c r="BJ63" s="473">
        <f>COUNTIF(ParicipationJuillet1[[#This Row],[1]:[31]],code19)</f>
        <v>0</v>
      </c>
      <c r="BK63" s="473">
        <f>COUNTIF(ParicipationJuillet1[[#This Row],[1]:[31]],code20)</f>
        <v>0</v>
      </c>
      <c r="BL63" s="516">
        <f>COUNTIF(ParicipationJuillet1[[#This Row],[1]:[31]],code29)</f>
        <v>0</v>
      </c>
      <c r="BM63" s="473"/>
      <c r="BN63" s="473"/>
      <c r="BO63" s="473"/>
      <c r="BP63" s="473"/>
      <c r="BQ63" s="473"/>
      <c r="BR63" s="473"/>
      <c r="BS63" s="473"/>
      <c r="BT63" s="473"/>
      <c r="BU63" s="473"/>
      <c r="BV63" s="473"/>
      <c r="BW63" s="473"/>
      <c r="BX63" s="473"/>
      <c r="BY63" s="473"/>
      <c r="BZ63" s="473"/>
      <c r="CA63" s="473"/>
      <c r="CB63" s="473"/>
      <c r="CC63" s="473"/>
      <c r="CD63" s="473"/>
      <c r="CE63" s="473"/>
      <c r="CF63" s="473"/>
      <c r="CG63" s="473"/>
      <c r="CH63" s="473"/>
      <c r="CI63" s="473"/>
      <c r="CJ63" s="473"/>
      <c r="CK63" s="473"/>
      <c r="CL63" s="473"/>
      <c r="CM63" s="473"/>
      <c r="CN63" s="473"/>
      <c r="CO63" s="473"/>
      <c r="CP63" s="473"/>
      <c r="CQ63" s="473"/>
      <c r="CR63" s="473"/>
      <c r="CS63" s="473"/>
      <c r="CT63" s="473"/>
      <c r="CU63" s="516"/>
      <c r="CV63" s="501">
        <f t="shared" si="0"/>
        <v>0</v>
      </c>
      <c r="CW63" s="501">
        <f t="shared" si="1"/>
        <v>0</v>
      </c>
      <c r="CX63" s="473">
        <f t="shared" si="2"/>
        <v>0</v>
      </c>
      <c r="CY63" s="512">
        <f t="shared" si="3"/>
        <v>0</v>
      </c>
    </row>
    <row r="64" spans="1:103">
      <c r="A64" s="112" t="s">
        <v>405</v>
      </c>
      <c r="B64" s="162" t="str">
        <f>IFERROR(VLOOKUP(ParicipationJuillet1[[#This Row],[Référence]],ListeÉtudiants1[],18,FALSE),"")</f>
        <v>GARGIULO  LUCIE</v>
      </c>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640"/>
      <c r="AH64" s="202">
        <f>COUNTIF(ParicipationJuillet1[[#This Row],[1]:[31]],Code1)</f>
        <v>0</v>
      </c>
      <c r="AI64" s="475">
        <f>COUNTIF(ParicipationJuillet1[[#This Row],[1]:[31]],code22)</f>
        <v>0</v>
      </c>
      <c r="AJ64" s="202">
        <f>COUNTIF(ParicipationJuillet1[[#This Row],[1]:[31]],Code2)</f>
        <v>0</v>
      </c>
      <c r="AK64" s="202">
        <f>COUNTIF(ParicipationJuillet1[[#This Row],[1]:[31]],Code3)</f>
        <v>0</v>
      </c>
      <c r="AL64" s="202">
        <f>COUNTIF(ParicipationJuillet1[[#This Row],[1]:[31]],Code4)</f>
        <v>0</v>
      </c>
      <c r="AM64" s="473">
        <f>COUNTIF(ParicipationJuillet1[[#This Row],[1]:[31]],Code5)</f>
        <v>0</v>
      </c>
      <c r="AN64" s="473">
        <f>COUNTIF(ParicipationJuillet1[[#This Row],[1]:[31]],Code23)</f>
        <v>0</v>
      </c>
      <c r="AO64" s="473">
        <f>COUNTIF(ParicipationJuillet1[[#This Row],[1]:[31]],Code6)</f>
        <v>0</v>
      </c>
      <c r="AP64" s="473">
        <f>COUNTIF(ParicipationJuillet1[[#This Row],[1]:[31]],Code7)</f>
        <v>0</v>
      </c>
      <c r="AQ64" s="473">
        <f>COUNTIF(ParicipationJuillet1[[#This Row],[1]:[31]],Code8)</f>
        <v>0</v>
      </c>
      <c r="AR64" s="473">
        <f>COUNTIF(ParicipationJuillet1[[#This Row],[1]:[31]],Code9)</f>
        <v>0</v>
      </c>
      <c r="AS64" s="473">
        <f>COUNTIF(ParicipationJuillet1[[#This Row],[1]:[31]],Code10)</f>
        <v>0</v>
      </c>
      <c r="AT64" s="473">
        <f>COUNTIF(ParicipationJuillet1[[#This Row],[1]:[31]],Code11)</f>
        <v>0</v>
      </c>
      <c r="AU64" s="473">
        <f>COUNTIF(ParicipationJuillet1[[#This Row],[1]:[31]],Code12)</f>
        <v>0</v>
      </c>
      <c r="AV64" s="473">
        <f>COUNTIF(ParicipationJuillet1[[#This Row],[1]:[31]],Code13)</f>
        <v>0</v>
      </c>
      <c r="AW64" s="473">
        <f>COUNTIF(ParicipationJuillet1[[#This Row],[1]:[31]],Code14)</f>
        <v>0</v>
      </c>
      <c r="AX64" s="473">
        <f>COUNTIF(ParicipationJuillet1[[#This Row],[1]:[31]],Code15)</f>
        <v>0</v>
      </c>
      <c r="AY64" s="473">
        <f>COUNTIF(ParicipationJuillet1[[#This Row],[1]:[31]],Code16)</f>
        <v>0</v>
      </c>
      <c r="AZ64" s="473">
        <f>COUNTIF(ParicipationJuillet1[[#This Row],[1]:[31]],Code17)</f>
        <v>0</v>
      </c>
      <c r="BA64" s="473">
        <f>COUNTIF(ParicipationJuillet1[[#This Row],[1]:[31]],Code25)</f>
        <v>0</v>
      </c>
      <c r="BB64" s="473">
        <f>COUNTIF(ParicipationJuillet1[[#This Row],[1]:[31]],Code26)</f>
        <v>0</v>
      </c>
      <c r="BC64" s="473">
        <f>COUNTIF(ParicipationJuillet1[[#This Row],[1]:[31]],Code27)</f>
        <v>0</v>
      </c>
      <c r="BD64" s="473">
        <f>COUNTIF(ParicipationJuillet1[[#This Row],[1]:[31]],Code28)</f>
        <v>0</v>
      </c>
      <c r="BE64" s="473">
        <f>COUNTIF(ParicipationJuillet1[[#This Row],[1]:[31]],code30)</f>
        <v>0</v>
      </c>
      <c r="BF64" s="473">
        <f>COUNTIF(ParicipationJuillet1[[#This Row],[1]:[31]],Code31)</f>
        <v>0</v>
      </c>
      <c r="BG64" s="473">
        <f>COUNTIF(ParicipationJuillet1[[#This Row],[1]:[31]],code21)</f>
        <v>0</v>
      </c>
      <c r="BH64" s="473">
        <f>COUNTIF(ParicipationJuillet1[[#This Row],[1]:[31]],Code24)</f>
        <v>0</v>
      </c>
      <c r="BI64" s="473">
        <f>COUNTIF(ParicipationJuillet1[[#This Row],[1]:[31]],code18)</f>
        <v>0</v>
      </c>
      <c r="BJ64" s="473">
        <f>COUNTIF(ParicipationJuillet1[[#This Row],[1]:[31]],code19)</f>
        <v>0</v>
      </c>
      <c r="BK64" s="473">
        <f>COUNTIF(ParicipationJuillet1[[#This Row],[1]:[31]],code20)</f>
        <v>0</v>
      </c>
      <c r="BL64" s="516">
        <f>COUNTIF(ParicipationJuillet1[[#This Row],[1]:[31]],code29)</f>
        <v>0</v>
      </c>
      <c r="BM64" s="473"/>
      <c r="BN64" s="473"/>
      <c r="BO64" s="473"/>
      <c r="BP64" s="473"/>
      <c r="BQ64" s="473"/>
      <c r="BR64" s="473"/>
      <c r="BS64" s="473"/>
      <c r="BT64" s="473"/>
      <c r="BU64" s="473"/>
      <c r="BV64" s="473"/>
      <c r="BW64" s="473"/>
      <c r="BX64" s="473"/>
      <c r="BY64" s="473"/>
      <c r="BZ64" s="473"/>
      <c r="CA64" s="473"/>
      <c r="CB64" s="473"/>
      <c r="CC64" s="473"/>
      <c r="CD64" s="473"/>
      <c r="CE64" s="473"/>
      <c r="CF64" s="473"/>
      <c r="CG64" s="473"/>
      <c r="CH64" s="473"/>
      <c r="CI64" s="473"/>
      <c r="CJ64" s="473"/>
      <c r="CK64" s="473"/>
      <c r="CL64" s="473"/>
      <c r="CM64" s="473"/>
      <c r="CN64" s="473"/>
      <c r="CO64" s="473"/>
      <c r="CP64" s="473"/>
      <c r="CQ64" s="473"/>
      <c r="CR64" s="473"/>
      <c r="CS64" s="473"/>
      <c r="CT64" s="473"/>
      <c r="CU64" s="516"/>
      <c r="CV64" s="501">
        <f t="shared" si="0"/>
        <v>0</v>
      </c>
      <c r="CW64" s="501">
        <f t="shared" si="1"/>
        <v>0</v>
      </c>
      <c r="CX64" s="473">
        <f t="shared" si="2"/>
        <v>0</v>
      </c>
      <c r="CY64" s="512">
        <f t="shared" si="3"/>
        <v>0</v>
      </c>
    </row>
    <row r="65" spans="1:103">
      <c r="A65" s="112" t="s">
        <v>406</v>
      </c>
      <c r="B65" s="162" t="str">
        <f>IFERROR(VLOOKUP(ParicipationJuillet1[[#This Row],[Référence]],ListeÉtudiants1[],18,FALSE),"")</f>
        <v>GASQUET ANTOINE</v>
      </c>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640"/>
      <c r="AH65" s="202">
        <f>COUNTIF(ParicipationJuillet1[[#This Row],[1]:[31]],Code1)</f>
        <v>0</v>
      </c>
      <c r="AI65" s="475">
        <f>COUNTIF(ParicipationJuillet1[[#This Row],[1]:[31]],code22)</f>
        <v>0</v>
      </c>
      <c r="AJ65" s="202">
        <f>COUNTIF(ParicipationJuillet1[[#This Row],[1]:[31]],Code2)</f>
        <v>0</v>
      </c>
      <c r="AK65" s="202">
        <f>COUNTIF(ParicipationJuillet1[[#This Row],[1]:[31]],Code3)</f>
        <v>0</v>
      </c>
      <c r="AL65" s="202">
        <f>COUNTIF(ParicipationJuillet1[[#This Row],[1]:[31]],Code4)</f>
        <v>0</v>
      </c>
      <c r="AM65" s="473">
        <f>COUNTIF(ParicipationJuillet1[[#This Row],[1]:[31]],Code5)</f>
        <v>0</v>
      </c>
      <c r="AN65" s="473">
        <f>COUNTIF(ParicipationJuillet1[[#This Row],[1]:[31]],Code23)</f>
        <v>0</v>
      </c>
      <c r="AO65" s="473">
        <f>COUNTIF(ParicipationJuillet1[[#This Row],[1]:[31]],Code6)</f>
        <v>0</v>
      </c>
      <c r="AP65" s="473">
        <f>COUNTIF(ParicipationJuillet1[[#This Row],[1]:[31]],Code7)</f>
        <v>0</v>
      </c>
      <c r="AQ65" s="473">
        <f>COUNTIF(ParicipationJuillet1[[#This Row],[1]:[31]],Code8)</f>
        <v>0</v>
      </c>
      <c r="AR65" s="473">
        <f>COUNTIF(ParicipationJuillet1[[#This Row],[1]:[31]],Code9)</f>
        <v>0</v>
      </c>
      <c r="AS65" s="473">
        <f>COUNTIF(ParicipationJuillet1[[#This Row],[1]:[31]],Code10)</f>
        <v>0</v>
      </c>
      <c r="AT65" s="473">
        <f>COUNTIF(ParicipationJuillet1[[#This Row],[1]:[31]],Code11)</f>
        <v>0</v>
      </c>
      <c r="AU65" s="473">
        <f>COUNTIF(ParicipationJuillet1[[#This Row],[1]:[31]],Code12)</f>
        <v>0</v>
      </c>
      <c r="AV65" s="473">
        <f>COUNTIF(ParicipationJuillet1[[#This Row],[1]:[31]],Code13)</f>
        <v>0</v>
      </c>
      <c r="AW65" s="473">
        <f>COUNTIF(ParicipationJuillet1[[#This Row],[1]:[31]],Code14)</f>
        <v>0</v>
      </c>
      <c r="AX65" s="473">
        <f>COUNTIF(ParicipationJuillet1[[#This Row],[1]:[31]],Code15)</f>
        <v>0</v>
      </c>
      <c r="AY65" s="473">
        <f>COUNTIF(ParicipationJuillet1[[#This Row],[1]:[31]],Code16)</f>
        <v>0</v>
      </c>
      <c r="AZ65" s="473">
        <f>COUNTIF(ParicipationJuillet1[[#This Row],[1]:[31]],Code17)</f>
        <v>0</v>
      </c>
      <c r="BA65" s="473">
        <f>COUNTIF(ParicipationJuillet1[[#This Row],[1]:[31]],Code25)</f>
        <v>0</v>
      </c>
      <c r="BB65" s="473">
        <f>COUNTIF(ParicipationJuillet1[[#This Row],[1]:[31]],Code26)</f>
        <v>0</v>
      </c>
      <c r="BC65" s="473">
        <f>COUNTIF(ParicipationJuillet1[[#This Row],[1]:[31]],Code27)</f>
        <v>0</v>
      </c>
      <c r="BD65" s="473">
        <f>COUNTIF(ParicipationJuillet1[[#This Row],[1]:[31]],Code28)</f>
        <v>0</v>
      </c>
      <c r="BE65" s="473">
        <f>COUNTIF(ParicipationJuillet1[[#This Row],[1]:[31]],code30)</f>
        <v>0</v>
      </c>
      <c r="BF65" s="473">
        <f>COUNTIF(ParicipationJuillet1[[#This Row],[1]:[31]],Code31)</f>
        <v>0</v>
      </c>
      <c r="BG65" s="473">
        <f>COUNTIF(ParicipationJuillet1[[#This Row],[1]:[31]],code21)</f>
        <v>0</v>
      </c>
      <c r="BH65" s="473">
        <f>COUNTIF(ParicipationJuillet1[[#This Row],[1]:[31]],Code24)</f>
        <v>0</v>
      </c>
      <c r="BI65" s="473">
        <f>COUNTIF(ParicipationJuillet1[[#This Row],[1]:[31]],code18)</f>
        <v>0</v>
      </c>
      <c r="BJ65" s="473">
        <f>COUNTIF(ParicipationJuillet1[[#This Row],[1]:[31]],code19)</f>
        <v>0</v>
      </c>
      <c r="BK65" s="473">
        <f>COUNTIF(ParicipationJuillet1[[#This Row],[1]:[31]],code20)</f>
        <v>0</v>
      </c>
      <c r="BL65" s="516">
        <f>COUNTIF(ParicipationJuillet1[[#This Row],[1]:[31]],code29)</f>
        <v>0</v>
      </c>
      <c r="BM65" s="473"/>
      <c r="BN65" s="473"/>
      <c r="BO65" s="473"/>
      <c r="BP65" s="473"/>
      <c r="BQ65" s="473"/>
      <c r="BR65" s="473"/>
      <c r="BS65" s="473"/>
      <c r="BT65" s="473"/>
      <c r="BU65" s="473"/>
      <c r="BV65" s="473"/>
      <c r="BW65" s="473"/>
      <c r="BX65" s="473"/>
      <c r="BY65" s="473"/>
      <c r="BZ65" s="473"/>
      <c r="CA65" s="473"/>
      <c r="CB65" s="473"/>
      <c r="CC65" s="473"/>
      <c r="CD65" s="473"/>
      <c r="CE65" s="473"/>
      <c r="CF65" s="473"/>
      <c r="CG65" s="473"/>
      <c r="CH65" s="473"/>
      <c r="CI65" s="473"/>
      <c r="CJ65" s="473"/>
      <c r="CK65" s="473"/>
      <c r="CL65" s="473"/>
      <c r="CM65" s="473"/>
      <c r="CN65" s="473"/>
      <c r="CO65" s="473"/>
      <c r="CP65" s="473"/>
      <c r="CQ65" s="473"/>
      <c r="CR65" s="473"/>
      <c r="CS65" s="473"/>
      <c r="CT65" s="473"/>
      <c r="CU65" s="516"/>
      <c r="CV65" s="501">
        <f t="shared" si="0"/>
        <v>0</v>
      </c>
      <c r="CW65" s="501">
        <f t="shared" si="1"/>
        <v>0</v>
      </c>
      <c r="CX65" s="473">
        <f t="shared" si="2"/>
        <v>0</v>
      </c>
      <c r="CY65" s="512">
        <f t="shared" si="3"/>
        <v>0</v>
      </c>
    </row>
    <row r="66" spans="1:103">
      <c r="A66" s="112" t="s">
        <v>407</v>
      </c>
      <c r="B66" s="162" t="str">
        <f>IFERROR(VLOOKUP(ParicipationJuillet1[[#This Row],[Référence]],ListeÉtudiants1[],18,FALSE),"")</f>
        <v>GATIBELZA LESLEY</v>
      </c>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640"/>
      <c r="AH66" s="202">
        <f>COUNTIF(ParicipationJuillet1[[#This Row],[1]:[31]],Code1)</f>
        <v>0</v>
      </c>
      <c r="AI66" s="475">
        <f>COUNTIF(ParicipationJuillet1[[#This Row],[1]:[31]],code22)</f>
        <v>0</v>
      </c>
      <c r="AJ66" s="202">
        <f>COUNTIF(ParicipationJuillet1[[#This Row],[1]:[31]],Code2)</f>
        <v>0</v>
      </c>
      <c r="AK66" s="202">
        <f>COUNTIF(ParicipationJuillet1[[#This Row],[1]:[31]],Code3)</f>
        <v>0</v>
      </c>
      <c r="AL66" s="202">
        <f>COUNTIF(ParicipationJuillet1[[#This Row],[1]:[31]],Code4)</f>
        <v>0</v>
      </c>
      <c r="AM66" s="473">
        <f>COUNTIF(ParicipationJuillet1[[#This Row],[1]:[31]],Code5)</f>
        <v>0</v>
      </c>
      <c r="AN66" s="473">
        <f>COUNTIF(ParicipationJuillet1[[#This Row],[1]:[31]],Code23)</f>
        <v>0</v>
      </c>
      <c r="AO66" s="473">
        <f>COUNTIF(ParicipationJuillet1[[#This Row],[1]:[31]],Code6)</f>
        <v>0</v>
      </c>
      <c r="AP66" s="473">
        <f>COUNTIF(ParicipationJuillet1[[#This Row],[1]:[31]],Code7)</f>
        <v>0</v>
      </c>
      <c r="AQ66" s="473">
        <f>COUNTIF(ParicipationJuillet1[[#This Row],[1]:[31]],Code8)</f>
        <v>0</v>
      </c>
      <c r="AR66" s="473">
        <f>COUNTIF(ParicipationJuillet1[[#This Row],[1]:[31]],Code9)</f>
        <v>0</v>
      </c>
      <c r="AS66" s="473">
        <f>COUNTIF(ParicipationJuillet1[[#This Row],[1]:[31]],Code10)</f>
        <v>0</v>
      </c>
      <c r="AT66" s="473">
        <f>COUNTIF(ParicipationJuillet1[[#This Row],[1]:[31]],Code11)</f>
        <v>0</v>
      </c>
      <c r="AU66" s="473">
        <f>COUNTIF(ParicipationJuillet1[[#This Row],[1]:[31]],Code12)</f>
        <v>0</v>
      </c>
      <c r="AV66" s="473">
        <f>COUNTIF(ParicipationJuillet1[[#This Row],[1]:[31]],Code13)</f>
        <v>0</v>
      </c>
      <c r="AW66" s="473">
        <f>COUNTIF(ParicipationJuillet1[[#This Row],[1]:[31]],Code14)</f>
        <v>0</v>
      </c>
      <c r="AX66" s="473">
        <f>COUNTIF(ParicipationJuillet1[[#This Row],[1]:[31]],Code15)</f>
        <v>0</v>
      </c>
      <c r="AY66" s="473">
        <f>COUNTIF(ParicipationJuillet1[[#This Row],[1]:[31]],Code16)</f>
        <v>0</v>
      </c>
      <c r="AZ66" s="473">
        <f>COUNTIF(ParicipationJuillet1[[#This Row],[1]:[31]],Code17)</f>
        <v>0</v>
      </c>
      <c r="BA66" s="473">
        <f>COUNTIF(ParicipationJuillet1[[#This Row],[1]:[31]],Code25)</f>
        <v>0</v>
      </c>
      <c r="BB66" s="473">
        <f>COUNTIF(ParicipationJuillet1[[#This Row],[1]:[31]],Code26)</f>
        <v>0</v>
      </c>
      <c r="BC66" s="473">
        <f>COUNTIF(ParicipationJuillet1[[#This Row],[1]:[31]],Code27)</f>
        <v>0</v>
      </c>
      <c r="BD66" s="473">
        <f>COUNTIF(ParicipationJuillet1[[#This Row],[1]:[31]],Code28)</f>
        <v>0</v>
      </c>
      <c r="BE66" s="473">
        <f>COUNTIF(ParicipationJuillet1[[#This Row],[1]:[31]],code30)</f>
        <v>0</v>
      </c>
      <c r="BF66" s="473">
        <f>COUNTIF(ParicipationJuillet1[[#This Row],[1]:[31]],Code31)</f>
        <v>0</v>
      </c>
      <c r="BG66" s="473">
        <f>COUNTIF(ParicipationJuillet1[[#This Row],[1]:[31]],code21)</f>
        <v>0</v>
      </c>
      <c r="BH66" s="473">
        <f>COUNTIF(ParicipationJuillet1[[#This Row],[1]:[31]],Code24)</f>
        <v>0</v>
      </c>
      <c r="BI66" s="473">
        <f>COUNTIF(ParicipationJuillet1[[#This Row],[1]:[31]],code18)</f>
        <v>0</v>
      </c>
      <c r="BJ66" s="473">
        <f>COUNTIF(ParicipationJuillet1[[#This Row],[1]:[31]],code19)</f>
        <v>0</v>
      </c>
      <c r="BK66" s="473">
        <f>COUNTIF(ParicipationJuillet1[[#This Row],[1]:[31]],code20)</f>
        <v>0</v>
      </c>
      <c r="BL66" s="516">
        <f>COUNTIF(ParicipationJuillet1[[#This Row],[1]:[31]],code29)</f>
        <v>0</v>
      </c>
      <c r="BM66" s="473"/>
      <c r="BN66" s="473"/>
      <c r="BO66" s="473"/>
      <c r="BP66" s="473"/>
      <c r="BQ66" s="473"/>
      <c r="BR66" s="473"/>
      <c r="BS66" s="473"/>
      <c r="BT66" s="473"/>
      <c r="BU66" s="473"/>
      <c r="BV66" s="473"/>
      <c r="BW66" s="473"/>
      <c r="BX66" s="473"/>
      <c r="BY66" s="473"/>
      <c r="BZ66" s="473"/>
      <c r="CA66" s="473"/>
      <c r="CB66" s="473"/>
      <c r="CC66" s="473"/>
      <c r="CD66" s="473"/>
      <c r="CE66" s="473"/>
      <c r="CF66" s="473"/>
      <c r="CG66" s="473"/>
      <c r="CH66" s="473"/>
      <c r="CI66" s="473"/>
      <c r="CJ66" s="473"/>
      <c r="CK66" s="473"/>
      <c r="CL66" s="473"/>
      <c r="CM66" s="473"/>
      <c r="CN66" s="473"/>
      <c r="CO66" s="473"/>
      <c r="CP66" s="473"/>
      <c r="CQ66" s="473"/>
      <c r="CR66" s="473"/>
      <c r="CS66" s="473"/>
      <c r="CT66" s="473"/>
      <c r="CU66" s="516"/>
      <c r="CV66" s="501">
        <f t="shared" si="0"/>
        <v>0</v>
      </c>
      <c r="CW66" s="501">
        <f t="shared" si="1"/>
        <v>0</v>
      </c>
      <c r="CX66" s="473">
        <f t="shared" si="2"/>
        <v>0</v>
      </c>
      <c r="CY66" s="512">
        <f t="shared" si="3"/>
        <v>0</v>
      </c>
    </row>
    <row r="67" spans="1:103">
      <c r="A67" s="112" t="s">
        <v>408</v>
      </c>
      <c r="B67" s="162" t="str">
        <f>IFERROR(VLOOKUP(ParicipationJuillet1[[#This Row],[Référence]],ListeÉtudiants1[],18,FALSE),"")</f>
        <v>GOMES SEMEDO LUCY</v>
      </c>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640"/>
      <c r="AH67" s="202">
        <f>COUNTIF(ParicipationJuillet1[[#This Row],[1]:[31]],Code1)</f>
        <v>0</v>
      </c>
      <c r="AI67" s="475">
        <f>COUNTIF(ParicipationJuillet1[[#This Row],[1]:[31]],code22)</f>
        <v>0</v>
      </c>
      <c r="AJ67" s="202">
        <f>COUNTIF(ParicipationJuillet1[[#This Row],[1]:[31]],Code2)</f>
        <v>0</v>
      </c>
      <c r="AK67" s="202">
        <f>COUNTIF(ParicipationJuillet1[[#This Row],[1]:[31]],Code3)</f>
        <v>0</v>
      </c>
      <c r="AL67" s="202">
        <f>COUNTIF(ParicipationJuillet1[[#This Row],[1]:[31]],Code4)</f>
        <v>0</v>
      </c>
      <c r="AM67" s="473">
        <f>COUNTIF(ParicipationJuillet1[[#This Row],[1]:[31]],Code5)</f>
        <v>0</v>
      </c>
      <c r="AN67" s="473">
        <f>COUNTIF(ParicipationJuillet1[[#This Row],[1]:[31]],Code23)</f>
        <v>0</v>
      </c>
      <c r="AO67" s="473">
        <f>COUNTIF(ParicipationJuillet1[[#This Row],[1]:[31]],Code6)</f>
        <v>0</v>
      </c>
      <c r="AP67" s="473">
        <f>COUNTIF(ParicipationJuillet1[[#This Row],[1]:[31]],Code7)</f>
        <v>0</v>
      </c>
      <c r="AQ67" s="473">
        <f>COUNTIF(ParicipationJuillet1[[#This Row],[1]:[31]],Code8)</f>
        <v>0</v>
      </c>
      <c r="AR67" s="473">
        <f>COUNTIF(ParicipationJuillet1[[#This Row],[1]:[31]],Code9)</f>
        <v>0</v>
      </c>
      <c r="AS67" s="473">
        <f>COUNTIF(ParicipationJuillet1[[#This Row],[1]:[31]],Code10)</f>
        <v>0</v>
      </c>
      <c r="AT67" s="473">
        <f>COUNTIF(ParicipationJuillet1[[#This Row],[1]:[31]],Code11)</f>
        <v>0</v>
      </c>
      <c r="AU67" s="473">
        <f>COUNTIF(ParicipationJuillet1[[#This Row],[1]:[31]],Code12)</f>
        <v>0</v>
      </c>
      <c r="AV67" s="473">
        <f>COUNTIF(ParicipationJuillet1[[#This Row],[1]:[31]],Code13)</f>
        <v>0</v>
      </c>
      <c r="AW67" s="473">
        <f>COUNTIF(ParicipationJuillet1[[#This Row],[1]:[31]],Code14)</f>
        <v>0</v>
      </c>
      <c r="AX67" s="473">
        <f>COUNTIF(ParicipationJuillet1[[#This Row],[1]:[31]],Code15)</f>
        <v>0</v>
      </c>
      <c r="AY67" s="473">
        <f>COUNTIF(ParicipationJuillet1[[#This Row],[1]:[31]],Code16)</f>
        <v>0</v>
      </c>
      <c r="AZ67" s="473">
        <f>COUNTIF(ParicipationJuillet1[[#This Row],[1]:[31]],Code17)</f>
        <v>0</v>
      </c>
      <c r="BA67" s="473">
        <f>COUNTIF(ParicipationJuillet1[[#This Row],[1]:[31]],Code25)</f>
        <v>0</v>
      </c>
      <c r="BB67" s="473">
        <f>COUNTIF(ParicipationJuillet1[[#This Row],[1]:[31]],Code26)</f>
        <v>0</v>
      </c>
      <c r="BC67" s="473">
        <f>COUNTIF(ParicipationJuillet1[[#This Row],[1]:[31]],Code27)</f>
        <v>0</v>
      </c>
      <c r="BD67" s="473">
        <f>COUNTIF(ParicipationJuillet1[[#This Row],[1]:[31]],Code28)</f>
        <v>0</v>
      </c>
      <c r="BE67" s="473">
        <f>COUNTIF(ParicipationJuillet1[[#This Row],[1]:[31]],code30)</f>
        <v>0</v>
      </c>
      <c r="BF67" s="473">
        <f>COUNTIF(ParicipationJuillet1[[#This Row],[1]:[31]],Code31)</f>
        <v>0</v>
      </c>
      <c r="BG67" s="473">
        <f>COUNTIF(ParicipationJuillet1[[#This Row],[1]:[31]],code21)</f>
        <v>0</v>
      </c>
      <c r="BH67" s="473">
        <f>COUNTIF(ParicipationJuillet1[[#This Row],[1]:[31]],Code24)</f>
        <v>0</v>
      </c>
      <c r="BI67" s="473">
        <f>COUNTIF(ParicipationJuillet1[[#This Row],[1]:[31]],code18)</f>
        <v>0</v>
      </c>
      <c r="BJ67" s="473">
        <f>COUNTIF(ParicipationJuillet1[[#This Row],[1]:[31]],code19)</f>
        <v>0</v>
      </c>
      <c r="BK67" s="473">
        <f>COUNTIF(ParicipationJuillet1[[#This Row],[1]:[31]],code20)</f>
        <v>0</v>
      </c>
      <c r="BL67" s="516">
        <f>COUNTIF(ParicipationJuillet1[[#This Row],[1]:[31]],code29)</f>
        <v>0</v>
      </c>
      <c r="BM67" s="473"/>
      <c r="BN67" s="473"/>
      <c r="BO67" s="473"/>
      <c r="BP67" s="473"/>
      <c r="BQ67" s="473"/>
      <c r="BR67" s="473"/>
      <c r="BS67" s="473"/>
      <c r="BT67" s="473"/>
      <c r="BU67" s="473"/>
      <c r="BV67" s="473"/>
      <c r="BW67" s="473"/>
      <c r="BX67" s="473"/>
      <c r="BY67" s="473"/>
      <c r="BZ67" s="473"/>
      <c r="CA67" s="473"/>
      <c r="CB67" s="473"/>
      <c r="CC67" s="473"/>
      <c r="CD67" s="473"/>
      <c r="CE67" s="473"/>
      <c r="CF67" s="473"/>
      <c r="CG67" s="473"/>
      <c r="CH67" s="473"/>
      <c r="CI67" s="473"/>
      <c r="CJ67" s="473"/>
      <c r="CK67" s="473"/>
      <c r="CL67" s="473"/>
      <c r="CM67" s="473"/>
      <c r="CN67" s="473"/>
      <c r="CO67" s="473"/>
      <c r="CP67" s="473"/>
      <c r="CQ67" s="473"/>
      <c r="CR67" s="473"/>
      <c r="CS67" s="473"/>
      <c r="CT67" s="473"/>
      <c r="CU67" s="516"/>
      <c r="CV67" s="501">
        <f t="shared" si="0"/>
        <v>0</v>
      </c>
      <c r="CW67" s="501">
        <f t="shared" si="1"/>
        <v>0</v>
      </c>
      <c r="CX67" s="473">
        <f t="shared" si="2"/>
        <v>0</v>
      </c>
      <c r="CY67" s="512">
        <f t="shared" si="3"/>
        <v>0</v>
      </c>
    </row>
    <row r="68" spans="1:103">
      <c r="A68" s="112" t="s">
        <v>409</v>
      </c>
      <c r="B68" s="162" t="str">
        <f>IFERROR(VLOOKUP(ParicipationJuillet1[[#This Row],[Référence]],ListeÉtudiants1[],18,FALSE),"")</f>
        <v>GORDON  MAIVA</v>
      </c>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640"/>
      <c r="AH68" s="202">
        <f>COUNTIF(ParicipationJuillet1[[#This Row],[1]:[31]],Code1)</f>
        <v>0</v>
      </c>
      <c r="AI68" s="475">
        <f>COUNTIF(ParicipationJuillet1[[#This Row],[1]:[31]],code22)</f>
        <v>0</v>
      </c>
      <c r="AJ68" s="202">
        <f>COUNTIF(ParicipationJuillet1[[#This Row],[1]:[31]],Code2)</f>
        <v>0</v>
      </c>
      <c r="AK68" s="202">
        <f>COUNTIF(ParicipationJuillet1[[#This Row],[1]:[31]],Code3)</f>
        <v>0</v>
      </c>
      <c r="AL68" s="202">
        <f>COUNTIF(ParicipationJuillet1[[#This Row],[1]:[31]],Code4)</f>
        <v>0</v>
      </c>
      <c r="AM68" s="473">
        <f>COUNTIF(ParicipationJuillet1[[#This Row],[1]:[31]],Code5)</f>
        <v>0</v>
      </c>
      <c r="AN68" s="473">
        <f>COUNTIF(ParicipationJuillet1[[#This Row],[1]:[31]],Code23)</f>
        <v>0</v>
      </c>
      <c r="AO68" s="473">
        <f>COUNTIF(ParicipationJuillet1[[#This Row],[1]:[31]],Code6)</f>
        <v>0</v>
      </c>
      <c r="AP68" s="473">
        <f>COUNTIF(ParicipationJuillet1[[#This Row],[1]:[31]],Code7)</f>
        <v>0</v>
      </c>
      <c r="AQ68" s="473">
        <f>COUNTIF(ParicipationJuillet1[[#This Row],[1]:[31]],Code8)</f>
        <v>0</v>
      </c>
      <c r="AR68" s="473">
        <f>COUNTIF(ParicipationJuillet1[[#This Row],[1]:[31]],Code9)</f>
        <v>0</v>
      </c>
      <c r="AS68" s="473">
        <f>COUNTIF(ParicipationJuillet1[[#This Row],[1]:[31]],Code10)</f>
        <v>0</v>
      </c>
      <c r="AT68" s="473">
        <f>COUNTIF(ParicipationJuillet1[[#This Row],[1]:[31]],Code11)</f>
        <v>0</v>
      </c>
      <c r="AU68" s="473">
        <f>COUNTIF(ParicipationJuillet1[[#This Row],[1]:[31]],Code12)</f>
        <v>0</v>
      </c>
      <c r="AV68" s="473">
        <f>COUNTIF(ParicipationJuillet1[[#This Row],[1]:[31]],Code13)</f>
        <v>0</v>
      </c>
      <c r="AW68" s="473">
        <f>COUNTIF(ParicipationJuillet1[[#This Row],[1]:[31]],Code14)</f>
        <v>0</v>
      </c>
      <c r="AX68" s="473">
        <f>COUNTIF(ParicipationJuillet1[[#This Row],[1]:[31]],Code15)</f>
        <v>0</v>
      </c>
      <c r="AY68" s="473">
        <f>COUNTIF(ParicipationJuillet1[[#This Row],[1]:[31]],Code16)</f>
        <v>0</v>
      </c>
      <c r="AZ68" s="473">
        <f>COUNTIF(ParicipationJuillet1[[#This Row],[1]:[31]],Code17)</f>
        <v>0</v>
      </c>
      <c r="BA68" s="473">
        <f>COUNTIF(ParicipationJuillet1[[#This Row],[1]:[31]],Code25)</f>
        <v>0</v>
      </c>
      <c r="BB68" s="473">
        <f>COUNTIF(ParicipationJuillet1[[#This Row],[1]:[31]],Code26)</f>
        <v>0</v>
      </c>
      <c r="BC68" s="473">
        <f>COUNTIF(ParicipationJuillet1[[#This Row],[1]:[31]],Code27)</f>
        <v>0</v>
      </c>
      <c r="BD68" s="473">
        <f>COUNTIF(ParicipationJuillet1[[#This Row],[1]:[31]],Code28)</f>
        <v>0</v>
      </c>
      <c r="BE68" s="473">
        <f>COUNTIF(ParicipationJuillet1[[#This Row],[1]:[31]],code30)</f>
        <v>0</v>
      </c>
      <c r="BF68" s="473">
        <f>COUNTIF(ParicipationJuillet1[[#This Row],[1]:[31]],Code31)</f>
        <v>0</v>
      </c>
      <c r="BG68" s="473">
        <f>COUNTIF(ParicipationJuillet1[[#This Row],[1]:[31]],code21)</f>
        <v>0</v>
      </c>
      <c r="BH68" s="473">
        <f>COUNTIF(ParicipationJuillet1[[#This Row],[1]:[31]],Code24)</f>
        <v>0</v>
      </c>
      <c r="BI68" s="473">
        <f>COUNTIF(ParicipationJuillet1[[#This Row],[1]:[31]],code18)</f>
        <v>0</v>
      </c>
      <c r="BJ68" s="473">
        <f>COUNTIF(ParicipationJuillet1[[#This Row],[1]:[31]],code19)</f>
        <v>0</v>
      </c>
      <c r="BK68" s="473">
        <f>COUNTIF(ParicipationJuillet1[[#This Row],[1]:[31]],code20)</f>
        <v>0</v>
      </c>
      <c r="BL68" s="516">
        <f>COUNTIF(ParicipationJuillet1[[#This Row],[1]:[31]],code29)</f>
        <v>0</v>
      </c>
      <c r="BM68" s="473"/>
      <c r="BN68" s="473"/>
      <c r="BO68" s="473"/>
      <c r="BP68" s="473"/>
      <c r="BQ68" s="473"/>
      <c r="BR68" s="473"/>
      <c r="BS68" s="473"/>
      <c r="BT68" s="473"/>
      <c r="BU68" s="473"/>
      <c r="BV68" s="473"/>
      <c r="BW68" s="473"/>
      <c r="BX68" s="473"/>
      <c r="BY68" s="473"/>
      <c r="BZ68" s="473"/>
      <c r="CA68" s="473"/>
      <c r="CB68" s="473"/>
      <c r="CC68" s="473"/>
      <c r="CD68" s="473"/>
      <c r="CE68" s="473"/>
      <c r="CF68" s="473"/>
      <c r="CG68" s="473"/>
      <c r="CH68" s="473"/>
      <c r="CI68" s="473"/>
      <c r="CJ68" s="473"/>
      <c r="CK68" s="473"/>
      <c r="CL68" s="473"/>
      <c r="CM68" s="473"/>
      <c r="CN68" s="473"/>
      <c r="CO68" s="473"/>
      <c r="CP68" s="473"/>
      <c r="CQ68" s="473"/>
      <c r="CR68" s="473"/>
      <c r="CS68" s="473"/>
      <c r="CT68" s="473"/>
      <c r="CU68" s="516"/>
      <c r="CV68" s="501">
        <f t="shared" si="0"/>
        <v>0</v>
      </c>
      <c r="CW68" s="501">
        <f t="shared" si="1"/>
        <v>0</v>
      </c>
      <c r="CX68" s="473">
        <f t="shared" si="2"/>
        <v>0</v>
      </c>
      <c r="CY68" s="512">
        <f t="shared" si="3"/>
        <v>0</v>
      </c>
    </row>
    <row r="69" spans="1:103">
      <c r="A69" s="112" t="s">
        <v>410</v>
      </c>
      <c r="B69" s="162" t="str">
        <f>IFERROR(VLOOKUP(ParicipationJuillet1[[#This Row],[Référence]],ListeÉtudiants1[],18,FALSE),"")</f>
        <v>GRANCHON-RIOLZIR DOROTHEE</v>
      </c>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640"/>
      <c r="AH69" s="202">
        <f>COUNTIF(ParicipationJuillet1[[#This Row],[1]:[31]],Code1)</f>
        <v>0</v>
      </c>
      <c r="AI69" s="475">
        <f>COUNTIF(ParicipationJuillet1[[#This Row],[1]:[31]],code22)</f>
        <v>0</v>
      </c>
      <c r="AJ69" s="202">
        <f>COUNTIF(ParicipationJuillet1[[#This Row],[1]:[31]],Code2)</f>
        <v>0</v>
      </c>
      <c r="AK69" s="202">
        <f>COUNTIF(ParicipationJuillet1[[#This Row],[1]:[31]],Code3)</f>
        <v>0</v>
      </c>
      <c r="AL69" s="202">
        <f>COUNTIF(ParicipationJuillet1[[#This Row],[1]:[31]],Code4)</f>
        <v>0</v>
      </c>
      <c r="AM69" s="473">
        <f>COUNTIF(ParicipationJuillet1[[#This Row],[1]:[31]],Code5)</f>
        <v>0</v>
      </c>
      <c r="AN69" s="473">
        <f>COUNTIF(ParicipationJuillet1[[#This Row],[1]:[31]],Code23)</f>
        <v>0</v>
      </c>
      <c r="AO69" s="473">
        <f>COUNTIF(ParicipationJuillet1[[#This Row],[1]:[31]],Code6)</f>
        <v>0</v>
      </c>
      <c r="AP69" s="473">
        <f>COUNTIF(ParicipationJuillet1[[#This Row],[1]:[31]],Code7)</f>
        <v>0</v>
      </c>
      <c r="AQ69" s="473">
        <f>COUNTIF(ParicipationJuillet1[[#This Row],[1]:[31]],Code8)</f>
        <v>0</v>
      </c>
      <c r="AR69" s="473">
        <f>COUNTIF(ParicipationJuillet1[[#This Row],[1]:[31]],Code9)</f>
        <v>0</v>
      </c>
      <c r="AS69" s="473">
        <f>COUNTIF(ParicipationJuillet1[[#This Row],[1]:[31]],Code10)</f>
        <v>0</v>
      </c>
      <c r="AT69" s="473">
        <f>COUNTIF(ParicipationJuillet1[[#This Row],[1]:[31]],Code11)</f>
        <v>0</v>
      </c>
      <c r="AU69" s="473">
        <f>COUNTIF(ParicipationJuillet1[[#This Row],[1]:[31]],Code12)</f>
        <v>0</v>
      </c>
      <c r="AV69" s="473">
        <f>COUNTIF(ParicipationJuillet1[[#This Row],[1]:[31]],Code13)</f>
        <v>0</v>
      </c>
      <c r="AW69" s="473">
        <f>COUNTIF(ParicipationJuillet1[[#This Row],[1]:[31]],Code14)</f>
        <v>0</v>
      </c>
      <c r="AX69" s="473">
        <f>COUNTIF(ParicipationJuillet1[[#This Row],[1]:[31]],Code15)</f>
        <v>0</v>
      </c>
      <c r="AY69" s="473">
        <f>COUNTIF(ParicipationJuillet1[[#This Row],[1]:[31]],Code16)</f>
        <v>0</v>
      </c>
      <c r="AZ69" s="473">
        <f>COUNTIF(ParicipationJuillet1[[#This Row],[1]:[31]],Code17)</f>
        <v>0</v>
      </c>
      <c r="BA69" s="473">
        <f>COUNTIF(ParicipationJuillet1[[#This Row],[1]:[31]],Code25)</f>
        <v>0</v>
      </c>
      <c r="BB69" s="473">
        <f>COUNTIF(ParicipationJuillet1[[#This Row],[1]:[31]],Code26)</f>
        <v>0</v>
      </c>
      <c r="BC69" s="473">
        <f>COUNTIF(ParicipationJuillet1[[#This Row],[1]:[31]],Code27)</f>
        <v>0</v>
      </c>
      <c r="BD69" s="473">
        <f>COUNTIF(ParicipationJuillet1[[#This Row],[1]:[31]],Code28)</f>
        <v>0</v>
      </c>
      <c r="BE69" s="473">
        <f>COUNTIF(ParicipationJuillet1[[#This Row],[1]:[31]],code30)</f>
        <v>0</v>
      </c>
      <c r="BF69" s="473">
        <f>COUNTIF(ParicipationJuillet1[[#This Row],[1]:[31]],Code31)</f>
        <v>0</v>
      </c>
      <c r="BG69" s="473">
        <f>COUNTIF(ParicipationJuillet1[[#This Row],[1]:[31]],code21)</f>
        <v>0</v>
      </c>
      <c r="BH69" s="473">
        <f>COUNTIF(ParicipationJuillet1[[#This Row],[1]:[31]],Code24)</f>
        <v>0</v>
      </c>
      <c r="BI69" s="473">
        <f>COUNTIF(ParicipationJuillet1[[#This Row],[1]:[31]],code18)</f>
        <v>0</v>
      </c>
      <c r="BJ69" s="473">
        <f>COUNTIF(ParicipationJuillet1[[#This Row],[1]:[31]],code19)</f>
        <v>0</v>
      </c>
      <c r="BK69" s="473">
        <f>COUNTIF(ParicipationJuillet1[[#This Row],[1]:[31]],code20)</f>
        <v>0</v>
      </c>
      <c r="BL69" s="516">
        <f>COUNTIF(ParicipationJuillet1[[#This Row],[1]:[31]],code29)</f>
        <v>0</v>
      </c>
      <c r="BM69" s="473"/>
      <c r="BN69" s="473"/>
      <c r="BO69" s="473"/>
      <c r="BP69" s="473"/>
      <c r="BQ69" s="473"/>
      <c r="BR69" s="473"/>
      <c r="BS69" s="473"/>
      <c r="BT69" s="473"/>
      <c r="BU69" s="473"/>
      <c r="BV69" s="473"/>
      <c r="BW69" s="473"/>
      <c r="BX69" s="473"/>
      <c r="BY69" s="473"/>
      <c r="BZ69" s="473"/>
      <c r="CA69" s="473"/>
      <c r="CB69" s="473"/>
      <c r="CC69" s="473"/>
      <c r="CD69" s="473"/>
      <c r="CE69" s="473"/>
      <c r="CF69" s="473"/>
      <c r="CG69" s="473"/>
      <c r="CH69" s="473"/>
      <c r="CI69" s="473"/>
      <c r="CJ69" s="473"/>
      <c r="CK69" s="473"/>
      <c r="CL69" s="473"/>
      <c r="CM69" s="473"/>
      <c r="CN69" s="473"/>
      <c r="CO69" s="473"/>
      <c r="CP69" s="473"/>
      <c r="CQ69" s="473"/>
      <c r="CR69" s="473"/>
      <c r="CS69" s="473"/>
      <c r="CT69" s="473"/>
      <c r="CU69" s="516"/>
      <c r="CV69" s="501">
        <f t="shared" si="0"/>
        <v>0</v>
      </c>
      <c r="CW69" s="501">
        <f t="shared" si="1"/>
        <v>0</v>
      </c>
      <c r="CX69" s="473">
        <f t="shared" si="2"/>
        <v>0</v>
      </c>
      <c r="CY69" s="512">
        <f t="shared" si="3"/>
        <v>0</v>
      </c>
    </row>
    <row r="70" spans="1:103">
      <c r="A70" s="112" t="s">
        <v>411</v>
      </c>
      <c r="B70" s="162" t="str">
        <f>IFERROR(VLOOKUP(ParicipationJuillet1[[#This Row],[Référence]],ListeÉtudiants1[],18,FALSE),"")</f>
        <v>GROEVIUS EMILIE</v>
      </c>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640"/>
      <c r="AH70" s="202">
        <f>COUNTIF(ParicipationJuillet1[[#This Row],[1]:[31]],Code1)</f>
        <v>0</v>
      </c>
      <c r="AI70" s="475">
        <f>COUNTIF(ParicipationJuillet1[[#This Row],[1]:[31]],code22)</f>
        <v>0</v>
      </c>
      <c r="AJ70" s="202">
        <f>COUNTIF(ParicipationJuillet1[[#This Row],[1]:[31]],Code2)</f>
        <v>0</v>
      </c>
      <c r="AK70" s="202">
        <f>COUNTIF(ParicipationJuillet1[[#This Row],[1]:[31]],Code3)</f>
        <v>0</v>
      </c>
      <c r="AL70" s="202">
        <f>COUNTIF(ParicipationJuillet1[[#This Row],[1]:[31]],Code4)</f>
        <v>0</v>
      </c>
      <c r="AM70" s="473">
        <f>COUNTIF(ParicipationJuillet1[[#This Row],[1]:[31]],Code5)</f>
        <v>0</v>
      </c>
      <c r="AN70" s="473">
        <f>COUNTIF(ParicipationJuillet1[[#This Row],[1]:[31]],Code23)</f>
        <v>0</v>
      </c>
      <c r="AO70" s="473">
        <f>COUNTIF(ParicipationJuillet1[[#This Row],[1]:[31]],Code6)</f>
        <v>0</v>
      </c>
      <c r="AP70" s="473">
        <f>COUNTIF(ParicipationJuillet1[[#This Row],[1]:[31]],Code7)</f>
        <v>0</v>
      </c>
      <c r="AQ70" s="473">
        <f>COUNTIF(ParicipationJuillet1[[#This Row],[1]:[31]],Code8)</f>
        <v>0</v>
      </c>
      <c r="AR70" s="473">
        <f>COUNTIF(ParicipationJuillet1[[#This Row],[1]:[31]],Code9)</f>
        <v>0</v>
      </c>
      <c r="AS70" s="473">
        <f>COUNTIF(ParicipationJuillet1[[#This Row],[1]:[31]],Code10)</f>
        <v>0</v>
      </c>
      <c r="AT70" s="473">
        <f>COUNTIF(ParicipationJuillet1[[#This Row],[1]:[31]],Code11)</f>
        <v>0</v>
      </c>
      <c r="AU70" s="473">
        <f>COUNTIF(ParicipationJuillet1[[#This Row],[1]:[31]],Code12)</f>
        <v>0</v>
      </c>
      <c r="AV70" s="473">
        <f>COUNTIF(ParicipationJuillet1[[#This Row],[1]:[31]],Code13)</f>
        <v>0</v>
      </c>
      <c r="AW70" s="473">
        <f>COUNTIF(ParicipationJuillet1[[#This Row],[1]:[31]],Code14)</f>
        <v>0</v>
      </c>
      <c r="AX70" s="473">
        <f>COUNTIF(ParicipationJuillet1[[#This Row],[1]:[31]],Code15)</f>
        <v>0</v>
      </c>
      <c r="AY70" s="473">
        <f>COUNTIF(ParicipationJuillet1[[#This Row],[1]:[31]],Code16)</f>
        <v>0</v>
      </c>
      <c r="AZ70" s="473">
        <f>COUNTIF(ParicipationJuillet1[[#This Row],[1]:[31]],Code17)</f>
        <v>0</v>
      </c>
      <c r="BA70" s="473">
        <f>COUNTIF(ParicipationJuillet1[[#This Row],[1]:[31]],Code25)</f>
        <v>0</v>
      </c>
      <c r="BB70" s="473">
        <f>COUNTIF(ParicipationJuillet1[[#This Row],[1]:[31]],Code26)</f>
        <v>0</v>
      </c>
      <c r="BC70" s="473">
        <f>COUNTIF(ParicipationJuillet1[[#This Row],[1]:[31]],Code27)</f>
        <v>0</v>
      </c>
      <c r="BD70" s="473">
        <f>COUNTIF(ParicipationJuillet1[[#This Row],[1]:[31]],Code28)</f>
        <v>0</v>
      </c>
      <c r="BE70" s="473">
        <f>COUNTIF(ParicipationJuillet1[[#This Row],[1]:[31]],code30)</f>
        <v>0</v>
      </c>
      <c r="BF70" s="473">
        <f>COUNTIF(ParicipationJuillet1[[#This Row],[1]:[31]],Code31)</f>
        <v>0</v>
      </c>
      <c r="BG70" s="473">
        <f>COUNTIF(ParicipationJuillet1[[#This Row],[1]:[31]],code21)</f>
        <v>0</v>
      </c>
      <c r="BH70" s="473">
        <f>COUNTIF(ParicipationJuillet1[[#This Row],[1]:[31]],Code24)</f>
        <v>0</v>
      </c>
      <c r="BI70" s="473">
        <f>COUNTIF(ParicipationJuillet1[[#This Row],[1]:[31]],code18)</f>
        <v>0</v>
      </c>
      <c r="BJ70" s="473">
        <f>COUNTIF(ParicipationJuillet1[[#This Row],[1]:[31]],code19)</f>
        <v>0</v>
      </c>
      <c r="BK70" s="473">
        <f>COUNTIF(ParicipationJuillet1[[#This Row],[1]:[31]],code20)</f>
        <v>0</v>
      </c>
      <c r="BL70" s="516">
        <f>COUNTIF(ParicipationJuillet1[[#This Row],[1]:[31]],code29)</f>
        <v>0</v>
      </c>
      <c r="BM70" s="473"/>
      <c r="BN70" s="473"/>
      <c r="BO70" s="473"/>
      <c r="BP70" s="473"/>
      <c r="BQ70" s="473"/>
      <c r="BR70" s="473"/>
      <c r="BS70" s="473"/>
      <c r="BT70" s="473"/>
      <c r="BU70" s="473"/>
      <c r="BV70" s="473"/>
      <c r="BW70" s="473"/>
      <c r="BX70" s="473"/>
      <c r="BY70" s="473"/>
      <c r="BZ70" s="473"/>
      <c r="CA70" s="473"/>
      <c r="CB70" s="473"/>
      <c r="CC70" s="473"/>
      <c r="CD70" s="473"/>
      <c r="CE70" s="473"/>
      <c r="CF70" s="473"/>
      <c r="CG70" s="473"/>
      <c r="CH70" s="473"/>
      <c r="CI70" s="473"/>
      <c r="CJ70" s="473"/>
      <c r="CK70" s="473"/>
      <c r="CL70" s="473"/>
      <c r="CM70" s="473"/>
      <c r="CN70" s="473"/>
      <c r="CO70" s="473"/>
      <c r="CP70" s="473"/>
      <c r="CQ70" s="473"/>
      <c r="CR70" s="473"/>
      <c r="CS70" s="473"/>
      <c r="CT70" s="473"/>
      <c r="CU70" s="516"/>
      <c r="CV70" s="501">
        <f t="shared" si="0"/>
        <v>0</v>
      </c>
      <c r="CW70" s="501">
        <f t="shared" si="1"/>
        <v>0</v>
      </c>
      <c r="CX70" s="473">
        <f t="shared" si="2"/>
        <v>0</v>
      </c>
      <c r="CY70" s="512">
        <f t="shared" si="3"/>
        <v>0</v>
      </c>
    </row>
    <row r="71" spans="1:103">
      <c r="A71" s="112" t="s">
        <v>412</v>
      </c>
      <c r="B71" s="162" t="str">
        <f>IFERROR(VLOOKUP(ParicipationJuillet1[[#This Row],[Référence]],ListeÉtudiants1[],18,FALSE),"")</f>
        <v>GUECHI DOUNIA</v>
      </c>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640"/>
      <c r="AH71" s="202">
        <f>COUNTIF(ParicipationJuillet1[[#This Row],[1]:[31]],Code1)</f>
        <v>0</v>
      </c>
      <c r="AI71" s="475">
        <f>COUNTIF(ParicipationJuillet1[[#This Row],[1]:[31]],code22)</f>
        <v>0</v>
      </c>
      <c r="AJ71" s="202">
        <f>COUNTIF(ParicipationJuillet1[[#This Row],[1]:[31]],Code2)</f>
        <v>0</v>
      </c>
      <c r="AK71" s="202">
        <f>COUNTIF(ParicipationJuillet1[[#This Row],[1]:[31]],Code3)</f>
        <v>0</v>
      </c>
      <c r="AL71" s="202">
        <f>COUNTIF(ParicipationJuillet1[[#This Row],[1]:[31]],Code4)</f>
        <v>0</v>
      </c>
      <c r="AM71" s="473">
        <f>COUNTIF(ParicipationJuillet1[[#This Row],[1]:[31]],Code5)</f>
        <v>0</v>
      </c>
      <c r="AN71" s="473">
        <f>COUNTIF(ParicipationJuillet1[[#This Row],[1]:[31]],Code23)</f>
        <v>0</v>
      </c>
      <c r="AO71" s="473">
        <f>COUNTIF(ParicipationJuillet1[[#This Row],[1]:[31]],Code6)</f>
        <v>0</v>
      </c>
      <c r="AP71" s="473">
        <f>COUNTIF(ParicipationJuillet1[[#This Row],[1]:[31]],Code7)</f>
        <v>0</v>
      </c>
      <c r="AQ71" s="473">
        <f>COUNTIF(ParicipationJuillet1[[#This Row],[1]:[31]],Code8)</f>
        <v>0</v>
      </c>
      <c r="AR71" s="473">
        <f>COUNTIF(ParicipationJuillet1[[#This Row],[1]:[31]],Code9)</f>
        <v>0</v>
      </c>
      <c r="AS71" s="473">
        <f>COUNTIF(ParicipationJuillet1[[#This Row],[1]:[31]],Code10)</f>
        <v>0</v>
      </c>
      <c r="AT71" s="473">
        <f>COUNTIF(ParicipationJuillet1[[#This Row],[1]:[31]],Code11)</f>
        <v>0</v>
      </c>
      <c r="AU71" s="473">
        <f>COUNTIF(ParicipationJuillet1[[#This Row],[1]:[31]],Code12)</f>
        <v>0</v>
      </c>
      <c r="AV71" s="473">
        <f>COUNTIF(ParicipationJuillet1[[#This Row],[1]:[31]],Code13)</f>
        <v>0</v>
      </c>
      <c r="AW71" s="473">
        <f>COUNTIF(ParicipationJuillet1[[#This Row],[1]:[31]],Code14)</f>
        <v>0</v>
      </c>
      <c r="AX71" s="473">
        <f>COUNTIF(ParicipationJuillet1[[#This Row],[1]:[31]],Code15)</f>
        <v>0</v>
      </c>
      <c r="AY71" s="473">
        <f>COUNTIF(ParicipationJuillet1[[#This Row],[1]:[31]],Code16)</f>
        <v>0</v>
      </c>
      <c r="AZ71" s="473">
        <f>COUNTIF(ParicipationJuillet1[[#This Row],[1]:[31]],Code17)</f>
        <v>0</v>
      </c>
      <c r="BA71" s="473">
        <f>COUNTIF(ParicipationJuillet1[[#This Row],[1]:[31]],Code25)</f>
        <v>0</v>
      </c>
      <c r="BB71" s="473">
        <f>COUNTIF(ParicipationJuillet1[[#This Row],[1]:[31]],Code26)</f>
        <v>0</v>
      </c>
      <c r="BC71" s="473">
        <f>COUNTIF(ParicipationJuillet1[[#This Row],[1]:[31]],Code27)</f>
        <v>0</v>
      </c>
      <c r="BD71" s="473">
        <f>COUNTIF(ParicipationJuillet1[[#This Row],[1]:[31]],Code28)</f>
        <v>0</v>
      </c>
      <c r="BE71" s="473">
        <f>COUNTIF(ParicipationJuillet1[[#This Row],[1]:[31]],code30)</f>
        <v>0</v>
      </c>
      <c r="BF71" s="473">
        <f>COUNTIF(ParicipationJuillet1[[#This Row],[1]:[31]],Code31)</f>
        <v>0</v>
      </c>
      <c r="BG71" s="473">
        <f>COUNTIF(ParicipationJuillet1[[#This Row],[1]:[31]],code21)</f>
        <v>0</v>
      </c>
      <c r="BH71" s="473">
        <f>COUNTIF(ParicipationJuillet1[[#This Row],[1]:[31]],Code24)</f>
        <v>0</v>
      </c>
      <c r="BI71" s="473">
        <f>COUNTIF(ParicipationJuillet1[[#This Row],[1]:[31]],code18)</f>
        <v>0</v>
      </c>
      <c r="BJ71" s="473">
        <f>COUNTIF(ParicipationJuillet1[[#This Row],[1]:[31]],code19)</f>
        <v>0</v>
      </c>
      <c r="BK71" s="473">
        <f>COUNTIF(ParicipationJuillet1[[#This Row],[1]:[31]],code20)</f>
        <v>0</v>
      </c>
      <c r="BL71" s="516">
        <f>COUNTIF(ParicipationJuillet1[[#This Row],[1]:[31]],code29)</f>
        <v>0</v>
      </c>
      <c r="BM71" s="473"/>
      <c r="BN71" s="473"/>
      <c r="BO71" s="473"/>
      <c r="BP71" s="473"/>
      <c r="BQ71" s="473"/>
      <c r="BR71" s="473"/>
      <c r="BS71" s="473"/>
      <c r="BT71" s="473"/>
      <c r="BU71" s="473"/>
      <c r="BV71" s="473"/>
      <c r="BW71" s="473"/>
      <c r="BX71" s="473"/>
      <c r="BY71" s="473"/>
      <c r="BZ71" s="473"/>
      <c r="CA71" s="473"/>
      <c r="CB71" s="473"/>
      <c r="CC71" s="473"/>
      <c r="CD71" s="473"/>
      <c r="CE71" s="473"/>
      <c r="CF71" s="473"/>
      <c r="CG71" s="473"/>
      <c r="CH71" s="473"/>
      <c r="CI71" s="473"/>
      <c r="CJ71" s="473"/>
      <c r="CK71" s="473"/>
      <c r="CL71" s="473"/>
      <c r="CM71" s="473"/>
      <c r="CN71" s="473"/>
      <c r="CO71" s="473"/>
      <c r="CP71" s="473"/>
      <c r="CQ71" s="473"/>
      <c r="CR71" s="473"/>
      <c r="CS71" s="473"/>
      <c r="CT71" s="473"/>
      <c r="CU71" s="516"/>
      <c r="CV71" s="501">
        <f t="shared" si="0"/>
        <v>0</v>
      </c>
      <c r="CW71" s="501">
        <f t="shared" si="1"/>
        <v>0</v>
      </c>
      <c r="CX71" s="473">
        <f t="shared" si="2"/>
        <v>0</v>
      </c>
      <c r="CY71" s="512">
        <f t="shared" si="3"/>
        <v>0</v>
      </c>
    </row>
    <row r="72" spans="1:103">
      <c r="A72" s="112" t="s">
        <v>413</v>
      </c>
      <c r="B72" s="162" t="str">
        <f>IFERROR(VLOOKUP(ParicipationJuillet1[[#This Row],[Référence]],ListeÉtudiants1[],18,FALSE),"")</f>
        <v>HASSANI CHERINE</v>
      </c>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640"/>
      <c r="AH72" s="202">
        <f>COUNTIF(ParicipationJuillet1[[#This Row],[1]:[31]],Code1)</f>
        <v>0</v>
      </c>
      <c r="AI72" s="475">
        <f>COUNTIF(ParicipationJuillet1[[#This Row],[1]:[31]],code22)</f>
        <v>0</v>
      </c>
      <c r="AJ72" s="202">
        <f>COUNTIF(ParicipationJuillet1[[#This Row],[1]:[31]],Code2)</f>
        <v>0</v>
      </c>
      <c r="AK72" s="202">
        <f>COUNTIF(ParicipationJuillet1[[#This Row],[1]:[31]],Code3)</f>
        <v>0</v>
      </c>
      <c r="AL72" s="202">
        <f>COUNTIF(ParicipationJuillet1[[#This Row],[1]:[31]],Code4)</f>
        <v>0</v>
      </c>
      <c r="AM72" s="473">
        <f>COUNTIF(ParicipationJuillet1[[#This Row],[1]:[31]],Code5)</f>
        <v>0</v>
      </c>
      <c r="AN72" s="473">
        <f>COUNTIF(ParicipationJuillet1[[#This Row],[1]:[31]],Code23)</f>
        <v>0</v>
      </c>
      <c r="AO72" s="473">
        <f>COUNTIF(ParicipationJuillet1[[#This Row],[1]:[31]],Code6)</f>
        <v>0</v>
      </c>
      <c r="AP72" s="473">
        <f>COUNTIF(ParicipationJuillet1[[#This Row],[1]:[31]],Code7)</f>
        <v>0</v>
      </c>
      <c r="AQ72" s="473">
        <f>COUNTIF(ParicipationJuillet1[[#This Row],[1]:[31]],Code8)</f>
        <v>0</v>
      </c>
      <c r="AR72" s="473">
        <f>COUNTIF(ParicipationJuillet1[[#This Row],[1]:[31]],Code9)</f>
        <v>0</v>
      </c>
      <c r="AS72" s="473">
        <f>COUNTIF(ParicipationJuillet1[[#This Row],[1]:[31]],Code10)</f>
        <v>0</v>
      </c>
      <c r="AT72" s="473">
        <f>COUNTIF(ParicipationJuillet1[[#This Row],[1]:[31]],Code11)</f>
        <v>0</v>
      </c>
      <c r="AU72" s="473">
        <f>COUNTIF(ParicipationJuillet1[[#This Row],[1]:[31]],Code12)</f>
        <v>0</v>
      </c>
      <c r="AV72" s="473">
        <f>COUNTIF(ParicipationJuillet1[[#This Row],[1]:[31]],Code13)</f>
        <v>0</v>
      </c>
      <c r="AW72" s="473">
        <f>COUNTIF(ParicipationJuillet1[[#This Row],[1]:[31]],Code14)</f>
        <v>0</v>
      </c>
      <c r="AX72" s="473">
        <f>COUNTIF(ParicipationJuillet1[[#This Row],[1]:[31]],Code15)</f>
        <v>0</v>
      </c>
      <c r="AY72" s="473">
        <f>COUNTIF(ParicipationJuillet1[[#This Row],[1]:[31]],Code16)</f>
        <v>0</v>
      </c>
      <c r="AZ72" s="473">
        <f>COUNTIF(ParicipationJuillet1[[#This Row],[1]:[31]],Code17)</f>
        <v>0</v>
      </c>
      <c r="BA72" s="473">
        <f>COUNTIF(ParicipationJuillet1[[#This Row],[1]:[31]],Code25)</f>
        <v>0</v>
      </c>
      <c r="BB72" s="473">
        <f>COUNTIF(ParicipationJuillet1[[#This Row],[1]:[31]],Code26)</f>
        <v>0</v>
      </c>
      <c r="BC72" s="473">
        <f>COUNTIF(ParicipationJuillet1[[#This Row],[1]:[31]],Code27)</f>
        <v>0</v>
      </c>
      <c r="BD72" s="473">
        <f>COUNTIF(ParicipationJuillet1[[#This Row],[1]:[31]],Code28)</f>
        <v>0</v>
      </c>
      <c r="BE72" s="473">
        <f>COUNTIF(ParicipationJuillet1[[#This Row],[1]:[31]],code30)</f>
        <v>0</v>
      </c>
      <c r="BF72" s="473">
        <f>COUNTIF(ParicipationJuillet1[[#This Row],[1]:[31]],Code31)</f>
        <v>0</v>
      </c>
      <c r="BG72" s="473">
        <f>COUNTIF(ParicipationJuillet1[[#This Row],[1]:[31]],code21)</f>
        <v>0</v>
      </c>
      <c r="BH72" s="473">
        <f>COUNTIF(ParicipationJuillet1[[#This Row],[1]:[31]],Code24)</f>
        <v>0</v>
      </c>
      <c r="BI72" s="473">
        <f>COUNTIF(ParicipationJuillet1[[#This Row],[1]:[31]],code18)</f>
        <v>0</v>
      </c>
      <c r="BJ72" s="473">
        <f>COUNTIF(ParicipationJuillet1[[#This Row],[1]:[31]],code19)</f>
        <v>0</v>
      </c>
      <c r="BK72" s="473">
        <f>COUNTIF(ParicipationJuillet1[[#This Row],[1]:[31]],code20)</f>
        <v>0</v>
      </c>
      <c r="BL72" s="516">
        <f>COUNTIF(ParicipationJuillet1[[#This Row],[1]:[31]],code29)</f>
        <v>0</v>
      </c>
      <c r="BM72" s="473"/>
      <c r="BN72" s="473"/>
      <c r="BO72" s="473"/>
      <c r="BP72" s="473"/>
      <c r="BQ72" s="473"/>
      <c r="BR72" s="473"/>
      <c r="BS72" s="473"/>
      <c r="BT72" s="473"/>
      <c r="BU72" s="473"/>
      <c r="BV72" s="473"/>
      <c r="BW72" s="473"/>
      <c r="BX72" s="473"/>
      <c r="BY72" s="473"/>
      <c r="BZ72" s="473"/>
      <c r="CA72" s="473"/>
      <c r="CB72" s="473"/>
      <c r="CC72" s="473"/>
      <c r="CD72" s="473"/>
      <c r="CE72" s="473"/>
      <c r="CF72" s="473"/>
      <c r="CG72" s="473"/>
      <c r="CH72" s="473"/>
      <c r="CI72" s="473"/>
      <c r="CJ72" s="473"/>
      <c r="CK72" s="473"/>
      <c r="CL72" s="473"/>
      <c r="CM72" s="473"/>
      <c r="CN72" s="473"/>
      <c r="CO72" s="473"/>
      <c r="CP72" s="473"/>
      <c r="CQ72" s="473"/>
      <c r="CR72" s="473"/>
      <c r="CS72" s="473"/>
      <c r="CT72" s="473"/>
      <c r="CU72" s="516"/>
      <c r="CV72" s="501">
        <f t="shared" si="0"/>
        <v>0</v>
      </c>
      <c r="CW72" s="501">
        <f t="shared" si="1"/>
        <v>0</v>
      </c>
      <c r="CX72" s="473">
        <f t="shared" si="2"/>
        <v>0</v>
      </c>
      <c r="CY72" s="512">
        <f t="shared" si="3"/>
        <v>0</v>
      </c>
    </row>
    <row r="73" spans="1:103">
      <c r="A73" s="112" t="s">
        <v>414</v>
      </c>
      <c r="B73" s="162" t="str">
        <f>IFERROR(VLOOKUP(ParicipationJuillet1[[#This Row],[Référence]],ListeÉtudiants1[],18,FALSE),"")</f>
        <v>HERMANN-MANETTE  CORALIE</v>
      </c>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640"/>
      <c r="AH73" s="202">
        <f>COUNTIF(ParicipationJuillet1[[#This Row],[1]:[31]],Code1)</f>
        <v>0</v>
      </c>
      <c r="AI73" s="475">
        <f>COUNTIF(ParicipationJuillet1[[#This Row],[1]:[31]],code22)</f>
        <v>0</v>
      </c>
      <c r="AJ73" s="202">
        <f>COUNTIF(ParicipationJuillet1[[#This Row],[1]:[31]],Code2)</f>
        <v>0</v>
      </c>
      <c r="AK73" s="202">
        <f>COUNTIF(ParicipationJuillet1[[#This Row],[1]:[31]],Code3)</f>
        <v>0</v>
      </c>
      <c r="AL73" s="202">
        <f>COUNTIF(ParicipationJuillet1[[#This Row],[1]:[31]],Code4)</f>
        <v>0</v>
      </c>
      <c r="AM73" s="473">
        <f>COUNTIF(ParicipationJuillet1[[#This Row],[1]:[31]],Code5)</f>
        <v>0</v>
      </c>
      <c r="AN73" s="473">
        <f>COUNTIF(ParicipationJuillet1[[#This Row],[1]:[31]],Code23)</f>
        <v>0</v>
      </c>
      <c r="AO73" s="473">
        <f>COUNTIF(ParicipationJuillet1[[#This Row],[1]:[31]],Code6)</f>
        <v>0</v>
      </c>
      <c r="AP73" s="473">
        <f>COUNTIF(ParicipationJuillet1[[#This Row],[1]:[31]],Code7)</f>
        <v>0</v>
      </c>
      <c r="AQ73" s="473">
        <f>COUNTIF(ParicipationJuillet1[[#This Row],[1]:[31]],Code8)</f>
        <v>0</v>
      </c>
      <c r="AR73" s="473">
        <f>COUNTIF(ParicipationJuillet1[[#This Row],[1]:[31]],Code9)</f>
        <v>0</v>
      </c>
      <c r="AS73" s="473">
        <f>COUNTIF(ParicipationJuillet1[[#This Row],[1]:[31]],Code10)</f>
        <v>0</v>
      </c>
      <c r="AT73" s="473">
        <f>COUNTIF(ParicipationJuillet1[[#This Row],[1]:[31]],Code11)</f>
        <v>0</v>
      </c>
      <c r="AU73" s="473">
        <f>COUNTIF(ParicipationJuillet1[[#This Row],[1]:[31]],Code12)</f>
        <v>0</v>
      </c>
      <c r="AV73" s="473">
        <f>COUNTIF(ParicipationJuillet1[[#This Row],[1]:[31]],Code13)</f>
        <v>0</v>
      </c>
      <c r="AW73" s="473">
        <f>COUNTIF(ParicipationJuillet1[[#This Row],[1]:[31]],Code14)</f>
        <v>0</v>
      </c>
      <c r="AX73" s="473">
        <f>COUNTIF(ParicipationJuillet1[[#This Row],[1]:[31]],Code15)</f>
        <v>0</v>
      </c>
      <c r="AY73" s="473">
        <f>COUNTIF(ParicipationJuillet1[[#This Row],[1]:[31]],Code16)</f>
        <v>0</v>
      </c>
      <c r="AZ73" s="473">
        <f>COUNTIF(ParicipationJuillet1[[#This Row],[1]:[31]],Code17)</f>
        <v>0</v>
      </c>
      <c r="BA73" s="473">
        <f>COUNTIF(ParicipationJuillet1[[#This Row],[1]:[31]],Code25)</f>
        <v>0</v>
      </c>
      <c r="BB73" s="473">
        <f>COUNTIF(ParicipationJuillet1[[#This Row],[1]:[31]],Code26)</f>
        <v>0</v>
      </c>
      <c r="BC73" s="473">
        <f>COUNTIF(ParicipationJuillet1[[#This Row],[1]:[31]],Code27)</f>
        <v>0</v>
      </c>
      <c r="BD73" s="473">
        <f>COUNTIF(ParicipationJuillet1[[#This Row],[1]:[31]],Code28)</f>
        <v>0</v>
      </c>
      <c r="BE73" s="473">
        <f>COUNTIF(ParicipationJuillet1[[#This Row],[1]:[31]],code30)</f>
        <v>0</v>
      </c>
      <c r="BF73" s="473">
        <f>COUNTIF(ParicipationJuillet1[[#This Row],[1]:[31]],Code31)</f>
        <v>0</v>
      </c>
      <c r="BG73" s="473">
        <f>COUNTIF(ParicipationJuillet1[[#This Row],[1]:[31]],code21)</f>
        <v>0</v>
      </c>
      <c r="BH73" s="473">
        <f>COUNTIF(ParicipationJuillet1[[#This Row],[1]:[31]],Code24)</f>
        <v>0</v>
      </c>
      <c r="BI73" s="473">
        <f>COUNTIF(ParicipationJuillet1[[#This Row],[1]:[31]],code18)</f>
        <v>0</v>
      </c>
      <c r="BJ73" s="473">
        <f>COUNTIF(ParicipationJuillet1[[#This Row],[1]:[31]],code19)</f>
        <v>0</v>
      </c>
      <c r="BK73" s="473">
        <f>COUNTIF(ParicipationJuillet1[[#This Row],[1]:[31]],code20)</f>
        <v>0</v>
      </c>
      <c r="BL73" s="516">
        <f>COUNTIF(ParicipationJuillet1[[#This Row],[1]:[31]],code29)</f>
        <v>0</v>
      </c>
      <c r="BM73" s="473"/>
      <c r="BN73" s="473"/>
      <c r="BO73" s="473"/>
      <c r="BP73" s="473"/>
      <c r="BQ73" s="473"/>
      <c r="BR73" s="473"/>
      <c r="BS73" s="473"/>
      <c r="BT73" s="473"/>
      <c r="BU73" s="473"/>
      <c r="BV73" s="473"/>
      <c r="BW73" s="473"/>
      <c r="BX73" s="473"/>
      <c r="BY73" s="473"/>
      <c r="BZ73" s="473"/>
      <c r="CA73" s="473"/>
      <c r="CB73" s="473"/>
      <c r="CC73" s="473"/>
      <c r="CD73" s="473"/>
      <c r="CE73" s="473"/>
      <c r="CF73" s="473"/>
      <c r="CG73" s="473"/>
      <c r="CH73" s="473"/>
      <c r="CI73" s="473"/>
      <c r="CJ73" s="473"/>
      <c r="CK73" s="473"/>
      <c r="CL73" s="473"/>
      <c r="CM73" s="473"/>
      <c r="CN73" s="473"/>
      <c r="CO73" s="473"/>
      <c r="CP73" s="473"/>
      <c r="CQ73" s="473"/>
      <c r="CR73" s="473"/>
      <c r="CS73" s="473"/>
      <c r="CT73" s="473"/>
      <c r="CU73" s="516"/>
      <c r="CV73" s="501">
        <f t="shared" si="0"/>
        <v>0</v>
      </c>
      <c r="CW73" s="501">
        <f t="shared" si="1"/>
        <v>0</v>
      </c>
      <c r="CX73" s="473">
        <f t="shared" si="2"/>
        <v>0</v>
      </c>
      <c r="CY73" s="512">
        <f t="shared" si="3"/>
        <v>0</v>
      </c>
    </row>
    <row r="74" spans="1:103">
      <c r="A74" s="112" t="s">
        <v>415</v>
      </c>
      <c r="B74" s="162" t="str">
        <f>IFERROR(VLOOKUP(ParicipationJuillet1[[#This Row],[Référence]],ListeÉtudiants1[],18,FALSE),"")</f>
        <v>HOSTI MATHIAS</v>
      </c>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640"/>
      <c r="AH74" s="202">
        <f>COUNTIF(ParicipationJuillet1[[#This Row],[1]:[31]],Code1)</f>
        <v>0</v>
      </c>
      <c r="AI74" s="475">
        <f>COUNTIF(ParicipationJuillet1[[#This Row],[1]:[31]],code22)</f>
        <v>0</v>
      </c>
      <c r="AJ74" s="202">
        <f>COUNTIF(ParicipationJuillet1[[#This Row],[1]:[31]],Code2)</f>
        <v>0</v>
      </c>
      <c r="AK74" s="202">
        <f>COUNTIF(ParicipationJuillet1[[#This Row],[1]:[31]],Code3)</f>
        <v>0</v>
      </c>
      <c r="AL74" s="202">
        <f>COUNTIF(ParicipationJuillet1[[#This Row],[1]:[31]],Code4)</f>
        <v>0</v>
      </c>
      <c r="AM74" s="473">
        <f>COUNTIF(ParicipationJuillet1[[#This Row],[1]:[31]],Code5)</f>
        <v>0</v>
      </c>
      <c r="AN74" s="473">
        <f>COUNTIF(ParicipationJuillet1[[#This Row],[1]:[31]],Code23)</f>
        <v>0</v>
      </c>
      <c r="AO74" s="473">
        <f>COUNTIF(ParicipationJuillet1[[#This Row],[1]:[31]],Code6)</f>
        <v>0</v>
      </c>
      <c r="AP74" s="473">
        <f>COUNTIF(ParicipationJuillet1[[#This Row],[1]:[31]],Code7)</f>
        <v>0</v>
      </c>
      <c r="AQ74" s="473">
        <f>COUNTIF(ParicipationJuillet1[[#This Row],[1]:[31]],Code8)</f>
        <v>0</v>
      </c>
      <c r="AR74" s="473">
        <f>COUNTIF(ParicipationJuillet1[[#This Row],[1]:[31]],Code9)</f>
        <v>0</v>
      </c>
      <c r="AS74" s="473">
        <f>COUNTIF(ParicipationJuillet1[[#This Row],[1]:[31]],Code10)</f>
        <v>0</v>
      </c>
      <c r="AT74" s="473">
        <f>COUNTIF(ParicipationJuillet1[[#This Row],[1]:[31]],Code11)</f>
        <v>0</v>
      </c>
      <c r="AU74" s="473">
        <f>COUNTIF(ParicipationJuillet1[[#This Row],[1]:[31]],Code12)</f>
        <v>0</v>
      </c>
      <c r="AV74" s="473">
        <f>COUNTIF(ParicipationJuillet1[[#This Row],[1]:[31]],Code13)</f>
        <v>0</v>
      </c>
      <c r="AW74" s="473">
        <f>COUNTIF(ParicipationJuillet1[[#This Row],[1]:[31]],Code14)</f>
        <v>0</v>
      </c>
      <c r="AX74" s="473">
        <f>COUNTIF(ParicipationJuillet1[[#This Row],[1]:[31]],Code15)</f>
        <v>0</v>
      </c>
      <c r="AY74" s="473">
        <f>COUNTIF(ParicipationJuillet1[[#This Row],[1]:[31]],Code16)</f>
        <v>0</v>
      </c>
      <c r="AZ74" s="473">
        <f>COUNTIF(ParicipationJuillet1[[#This Row],[1]:[31]],Code17)</f>
        <v>0</v>
      </c>
      <c r="BA74" s="473">
        <f>COUNTIF(ParicipationJuillet1[[#This Row],[1]:[31]],Code25)</f>
        <v>0</v>
      </c>
      <c r="BB74" s="473">
        <f>COUNTIF(ParicipationJuillet1[[#This Row],[1]:[31]],Code26)</f>
        <v>0</v>
      </c>
      <c r="BC74" s="473">
        <f>COUNTIF(ParicipationJuillet1[[#This Row],[1]:[31]],Code27)</f>
        <v>0</v>
      </c>
      <c r="BD74" s="473">
        <f>COUNTIF(ParicipationJuillet1[[#This Row],[1]:[31]],Code28)</f>
        <v>0</v>
      </c>
      <c r="BE74" s="473">
        <f>COUNTIF(ParicipationJuillet1[[#This Row],[1]:[31]],code30)</f>
        <v>0</v>
      </c>
      <c r="BF74" s="473">
        <f>COUNTIF(ParicipationJuillet1[[#This Row],[1]:[31]],Code31)</f>
        <v>0</v>
      </c>
      <c r="BG74" s="473">
        <f>COUNTIF(ParicipationJuillet1[[#This Row],[1]:[31]],code21)</f>
        <v>0</v>
      </c>
      <c r="BH74" s="473">
        <f>COUNTIF(ParicipationJuillet1[[#This Row],[1]:[31]],Code24)</f>
        <v>0</v>
      </c>
      <c r="BI74" s="473">
        <f>COUNTIF(ParicipationJuillet1[[#This Row],[1]:[31]],code18)</f>
        <v>0</v>
      </c>
      <c r="BJ74" s="473">
        <f>COUNTIF(ParicipationJuillet1[[#This Row],[1]:[31]],code19)</f>
        <v>0</v>
      </c>
      <c r="BK74" s="473">
        <f>COUNTIF(ParicipationJuillet1[[#This Row],[1]:[31]],code20)</f>
        <v>0</v>
      </c>
      <c r="BL74" s="516">
        <f>COUNTIF(ParicipationJuillet1[[#This Row],[1]:[31]],code29)</f>
        <v>0</v>
      </c>
      <c r="BM74" s="473"/>
      <c r="BN74" s="473"/>
      <c r="BO74" s="473"/>
      <c r="BP74" s="473"/>
      <c r="BQ74" s="473"/>
      <c r="BR74" s="473"/>
      <c r="BS74" s="473"/>
      <c r="BT74" s="473"/>
      <c r="BU74" s="473"/>
      <c r="BV74" s="473"/>
      <c r="BW74" s="473"/>
      <c r="BX74" s="473"/>
      <c r="BY74" s="473"/>
      <c r="BZ74" s="473"/>
      <c r="CA74" s="473"/>
      <c r="CB74" s="473"/>
      <c r="CC74" s="473"/>
      <c r="CD74" s="473"/>
      <c r="CE74" s="473"/>
      <c r="CF74" s="473"/>
      <c r="CG74" s="473"/>
      <c r="CH74" s="473"/>
      <c r="CI74" s="473"/>
      <c r="CJ74" s="473"/>
      <c r="CK74" s="473"/>
      <c r="CL74" s="473"/>
      <c r="CM74" s="473"/>
      <c r="CN74" s="473"/>
      <c r="CO74" s="473"/>
      <c r="CP74" s="473"/>
      <c r="CQ74" s="473"/>
      <c r="CR74" s="473"/>
      <c r="CS74" s="473"/>
      <c r="CT74" s="473"/>
      <c r="CU74" s="516"/>
      <c r="CV74" s="501">
        <f t="shared" si="0"/>
        <v>0</v>
      </c>
      <c r="CW74" s="501">
        <f t="shared" si="1"/>
        <v>0</v>
      </c>
      <c r="CX74" s="473">
        <f t="shared" si="2"/>
        <v>0</v>
      </c>
      <c r="CY74" s="512">
        <f t="shared" si="3"/>
        <v>0</v>
      </c>
    </row>
    <row r="75" spans="1:103">
      <c r="A75" s="112" t="s">
        <v>416</v>
      </c>
      <c r="B75" s="162" t="str">
        <f>IFERROR(VLOOKUP(ParicipationJuillet1[[#This Row],[Référence]],ListeÉtudiants1[],18,FALSE),"")</f>
        <v>ITSOTSO MEGGIE</v>
      </c>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640"/>
      <c r="AH75" s="202">
        <f>COUNTIF(ParicipationJuillet1[[#This Row],[1]:[31]],Code1)</f>
        <v>0</v>
      </c>
      <c r="AI75" s="475">
        <f>COUNTIF(ParicipationJuillet1[[#This Row],[1]:[31]],code22)</f>
        <v>0</v>
      </c>
      <c r="AJ75" s="202">
        <f>COUNTIF(ParicipationJuillet1[[#This Row],[1]:[31]],Code2)</f>
        <v>0</v>
      </c>
      <c r="AK75" s="202">
        <f>COUNTIF(ParicipationJuillet1[[#This Row],[1]:[31]],Code3)</f>
        <v>0</v>
      </c>
      <c r="AL75" s="202">
        <f>COUNTIF(ParicipationJuillet1[[#This Row],[1]:[31]],Code4)</f>
        <v>0</v>
      </c>
      <c r="AM75" s="473">
        <f>COUNTIF(ParicipationJuillet1[[#This Row],[1]:[31]],Code5)</f>
        <v>0</v>
      </c>
      <c r="AN75" s="473">
        <f>COUNTIF(ParicipationJuillet1[[#This Row],[1]:[31]],Code23)</f>
        <v>0</v>
      </c>
      <c r="AO75" s="473">
        <f>COUNTIF(ParicipationJuillet1[[#This Row],[1]:[31]],Code6)</f>
        <v>0</v>
      </c>
      <c r="AP75" s="473">
        <f>COUNTIF(ParicipationJuillet1[[#This Row],[1]:[31]],Code7)</f>
        <v>0</v>
      </c>
      <c r="AQ75" s="473">
        <f>COUNTIF(ParicipationJuillet1[[#This Row],[1]:[31]],Code8)</f>
        <v>0</v>
      </c>
      <c r="AR75" s="473">
        <f>COUNTIF(ParicipationJuillet1[[#This Row],[1]:[31]],Code9)</f>
        <v>0</v>
      </c>
      <c r="AS75" s="473">
        <f>COUNTIF(ParicipationJuillet1[[#This Row],[1]:[31]],Code10)</f>
        <v>0</v>
      </c>
      <c r="AT75" s="473">
        <f>COUNTIF(ParicipationJuillet1[[#This Row],[1]:[31]],Code11)</f>
        <v>0</v>
      </c>
      <c r="AU75" s="473">
        <f>COUNTIF(ParicipationJuillet1[[#This Row],[1]:[31]],Code12)</f>
        <v>0</v>
      </c>
      <c r="AV75" s="473">
        <f>COUNTIF(ParicipationJuillet1[[#This Row],[1]:[31]],Code13)</f>
        <v>0</v>
      </c>
      <c r="AW75" s="473">
        <f>COUNTIF(ParicipationJuillet1[[#This Row],[1]:[31]],Code14)</f>
        <v>0</v>
      </c>
      <c r="AX75" s="473">
        <f>COUNTIF(ParicipationJuillet1[[#This Row],[1]:[31]],Code15)</f>
        <v>0</v>
      </c>
      <c r="AY75" s="473">
        <f>COUNTIF(ParicipationJuillet1[[#This Row],[1]:[31]],Code16)</f>
        <v>0</v>
      </c>
      <c r="AZ75" s="473">
        <f>COUNTIF(ParicipationJuillet1[[#This Row],[1]:[31]],Code17)</f>
        <v>0</v>
      </c>
      <c r="BA75" s="473">
        <f>COUNTIF(ParicipationJuillet1[[#This Row],[1]:[31]],Code25)</f>
        <v>0</v>
      </c>
      <c r="BB75" s="473">
        <f>COUNTIF(ParicipationJuillet1[[#This Row],[1]:[31]],Code26)</f>
        <v>0</v>
      </c>
      <c r="BC75" s="473">
        <f>COUNTIF(ParicipationJuillet1[[#This Row],[1]:[31]],Code27)</f>
        <v>0</v>
      </c>
      <c r="BD75" s="473">
        <f>COUNTIF(ParicipationJuillet1[[#This Row],[1]:[31]],Code28)</f>
        <v>0</v>
      </c>
      <c r="BE75" s="473">
        <f>COUNTIF(ParicipationJuillet1[[#This Row],[1]:[31]],code30)</f>
        <v>0</v>
      </c>
      <c r="BF75" s="473">
        <f>COUNTIF(ParicipationJuillet1[[#This Row],[1]:[31]],Code31)</f>
        <v>0</v>
      </c>
      <c r="BG75" s="473">
        <f>COUNTIF(ParicipationJuillet1[[#This Row],[1]:[31]],code21)</f>
        <v>0</v>
      </c>
      <c r="BH75" s="473">
        <f>COUNTIF(ParicipationJuillet1[[#This Row],[1]:[31]],Code24)</f>
        <v>0</v>
      </c>
      <c r="BI75" s="473">
        <f>COUNTIF(ParicipationJuillet1[[#This Row],[1]:[31]],code18)</f>
        <v>0</v>
      </c>
      <c r="BJ75" s="473">
        <f>COUNTIF(ParicipationJuillet1[[#This Row],[1]:[31]],code19)</f>
        <v>0</v>
      </c>
      <c r="BK75" s="473">
        <f>COUNTIF(ParicipationJuillet1[[#This Row],[1]:[31]],code20)</f>
        <v>0</v>
      </c>
      <c r="BL75" s="516">
        <f>COUNTIF(ParicipationJuillet1[[#This Row],[1]:[31]],code29)</f>
        <v>0</v>
      </c>
      <c r="BM75" s="473"/>
      <c r="BN75" s="473"/>
      <c r="BO75" s="473"/>
      <c r="BP75" s="473"/>
      <c r="BQ75" s="473"/>
      <c r="BR75" s="473"/>
      <c r="BS75" s="473"/>
      <c r="BT75" s="473"/>
      <c r="BU75" s="473"/>
      <c r="BV75" s="473"/>
      <c r="BW75" s="473"/>
      <c r="BX75" s="473"/>
      <c r="BY75" s="473"/>
      <c r="BZ75" s="473"/>
      <c r="CA75" s="473"/>
      <c r="CB75" s="473"/>
      <c r="CC75" s="473"/>
      <c r="CD75" s="473"/>
      <c r="CE75" s="473"/>
      <c r="CF75" s="473"/>
      <c r="CG75" s="473"/>
      <c r="CH75" s="473"/>
      <c r="CI75" s="473"/>
      <c r="CJ75" s="473"/>
      <c r="CK75" s="473"/>
      <c r="CL75" s="473"/>
      <c r="CM75" s="473"/>
      <c r="CN75" s="473"/>
      <c r="CO75" s="473"/>
      <c r="CP75" s="473"/>
      <c r="CQ75" s="473"/>
      <c r="CR75" s="473"/>
      <c r="CS75" s="473"/>
      <c r="CT75" s="473"/>
      <c r="CU75" s="516"/>
      <c r="CV75" s="501">
        <f t="shared" ref="CV75:CV138" si="4">SUM((AH75*1)+(AI75*1.5)+(AJ75*2)+(AK75*3)+(AP75*5)+(AQ75*6)+(AR75*7)+(AU75*2)+(AX75*3)+(AY75*4)+(AZ75*5)+(BB75*3)+(BA75*2)+(BG75*2)+(BC75*2)+(BD75*2))</f>
        <v>0</v>
      </c>
      <c r="CW75" s="501">
        <f t="shared" ref="CW75:CW138" si="5">SUM((AO75*1)+(AN75*2)+(AP75*3)+(AQ75*4)+(AU75*5)+(AV75*7)+(AW75*7)+(AX75*7)+(AY75*4)+(BA75*3)+(AZ75*2)+(BD75*4)+(BC75*1)+(BH75*2)+(BB75*5)+(BG75*1))</f>
        <v>0</v>
      </c>
      <c r="CX75" s="473">
        <f t="shared" ref="CX75:CX138" si="6">BH75*1+BL75*3</f>
        <v>0</v>
      </c>
      <c r="CY75" s="512">
        <f t="shared" ref="CY75:CY138" si="7">SUM((BI75*7)+(BJ75*10)+(BK75*12))</f>
        <v>0</v>
      </c>
    </row>
    <row r="76" spans="1:103">
      <c r="A76" s="112" t="s">
        <v>417</v>
      </c>
      <c r="B76" s="162" t="str">
        <f>IFERROR(VLOOKUP(ParicipationJuillet1[[#This Row],[Référence]],ListeÉtudiants1[],18,FALSE),"")</f>
        <v>JACQUIN  LAURENE</v>
      </c>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640"/>
      <c r="AH76" s="202">
        <f>COUNTIF(ParicipationJuillet1[[#This Row],[1]:[31]],Code1)</f>
        <v>0</v>
      </c>
      <c r="AI76" s="475">
        <f>COUNTIF(ParicipationJuillet1[[#This Row],[1]:[31]],code22)</f>
        <v>0</v>
      </c>
      <c r="AJ76" s="202">
        <f>COUNTIF(ParicipationJuillet1[[#This Row],[1]:[31]],Code2)</f>
        <v>0</v>
      </c>
      <c r="AK76" s="202">
        <f>COUNTIF(ParicipationJuillet1[[#This Row],[1]:[31]],Code3)</f>
        <v>0</v>
      </c>
      <c r="AL76" s="202">
        <f>COUNTIF(ParicipationJuillet1[[#This Row],[1]:[31]],Code4)</f>
        <v>0</v>
      </c>
      <c r="AM76" s="473">
        <f>COUNTIF(ParicipationJuillet1[[#This Row],[1]:[31]],Code5)</f>
        <v>0</v>
      </c>
      <c r="AN76" s="473">
        <f>COUNTIF(ParicipationJuillet1[[#This Row],[1]:[31]],Code23)</f>
        <v>0</v>
      </c>
      <c r="AO76" s="473">
        <f>COUNTIF(ParicipationJuillet1[[#This Row],[1]:[31]],Code6)</f>
        <v>0</v>
      </c>
      <c r="AP76" s="473">
        <f>COUNTIF(ParicipationJuillet1[[#This Row],[1]:[31]],Code7)</f>
        <v>0</v>
      </c>
      <c r="AQ76" s="473">
        <f>COUNTIF(ParicipationJuillet1[[#This Row],[1]:[31]],Code8)</f>
        <v>0</v>
      </c>
      <c r="AR76" s="473">
        <f>COUNTIF(ParicipationJuillet1[[#This Row],[1]:[31]],Code9)</f>
        <v>0</v>
      </c>
      <c r="AS76" s="473">
        <f>COUNTIF(ParicipationJuillet1[[#This Row],[1]:[31]],Code10)</f>
        <v>0</v>
      </c>
      <c r="AT76" s="473">
        <f>COUNTIF(ParicipationJuillet1[[#This Row],[1]:[31]],Code11)</f>
        <v>0</v>
      </c>
      <c r="AU76" s="473">
        <f>COUNTIF(ParicipationJuillet1[[#This Row],[1]:[31]],Code12)</f>
        <v>0</v>
      </c>
      <c r="AV76" s="473">
        <f>COUNTIF(ParicipationJuillet1[[#This Row],[1]:[31]],Code13)</f>
        <v>0</v>
      </c>
      <c r="AW76" s="473">
        <f>COUNTIF(ParicipationJuillet1[[#This Row],[1]:[31]],Code14)</f>
        <v>0</v>
      </c>
      <c r="AX76" s="473">
        <f>COUNTIF(ParicipationJuillet1[[#This Row],[1]:[31]],Code15)</f>
        <v>0</v>
      </c>
      <c r="AY76" s="473">
        <f>COUNTIF(ParicipationJuillet1[[#This Row],[1]:[31]],Code16)</f>
        <v>0</v>
      </c>
      <c r="AZ76" s="473">
        <f>COUNTIF(ParicipationJuillet1[[#This Row],[1]:[31]],Code17)</f>
        <v>0</v>
      </c>
      <c r="BA76" s="473">
        <f>COUNTIF(ParicipationJuillet1[[#This Row],[1]:[31]],Code25)</f>
        <v>0</v>
      </c>
      <c r="BB76" s="473">
        <f>COUNTIF(ParicipationJuillet1[[#This Row],[1]:[31]],Code26)</f>
        <v>0</v>
      </c>
      <c r="BC76" s="473">
        <f>COUNTIF(ParicipationJuillet1[[#This Row],[1]:[31]],Code27)</f>
        <v>0</v>
      </c>
      <c r="BD76" s="473">
        <f>COUNTIF(ParicipationJuillet1[[#This Row],[1]:[31]],Code28)</f>
        <v>0</v>
      </c>
      <c r="BE76" s="473">
        <f>COUNTIF(ParicipationJuillet1[[#This Row],[1]:[31]],code30)</f>
        <v>0</v>
      </c>
      <c r="BF76" s="473">
        <f>COUNTIF(ParicipationJuillet1[[#This Row],[1]:[31]],Code31)</f>
        <v>0</v>
      </c>
      <c r="BG76" s="473">
        <f>COUNTIF(ParicipationJuillet1[[#This Row],[1]:[31]],code21)</f>
        <v>0</v>
      </c>
      <c r="BH76" s="473">
        <f>COUNTIF(ParicipationJuillet1[[#This Row],[1]:[31]],Code24)</f>
        <v>0</v>
      </c>
      <c r="BI76" s="473">
        <f>COUNTIF(ParicipationJuillet1[[#This Row],[1]:[31]],code18)</f>
        <v>0</v>
      </c>
      <c r="BJ76" s="473">
        <f>COUNTIF(ParicipationJuillet1[[#This Row],[1]:[31]],code19)</f>
        <v>0</v>
      </c>
      <c r="BK76" s="473">
        <f>COUNTIF(ParicipationJuillet1[[#This Row],[1]:[31]],code20)</f>
        <v>0</v>
      </c>
      <c r="BL76" s="516">
        <f>COUNTIF(ParicipationJuillet1[[#This Row],[1]:[31]],code29)</f>
        <v>0</v>
      </c>
      <c r="BM76" s="473"/>
      <c r="BN76" s="473"/>
      <c r="BO76" s="473"/>
      <c r="BP76" s="473"/>
      <c r="BQ76" s="473"/>
      <c r="BR76" s="473"/>
      <c r="BS76" s="473"/>
      <c r="BT76" s="473"/>
      <c r="BU76" s="473"/>
      <c r="BV76" s="473"/>
      <c r="BW76" s="473"/>
      <c r="BX76" s="473"/>
      <c r="BY76" s="473"/>
      <c r="BZ76" s="473"/>
      <c r="CA76" s="473"/>
      <c r="CB76" s="473"/>
      <c r="CC76" s="473"/>
      <c r="CD76" s="473"/>
      <c r="CE76" s="473"/>
      <c r="CF76" s="473"/>
      <c r="CG76" s="473"/>
      <c r="CH76" s="473"/>
      <c r="CI76" s="473"/>
      <c r="CJ76" s="473"/>
      <c r="CK76" s="473"/>
      <c r="CL76" s="473"/>
      <c r="CM76" s="473"/>
      <c r="CN76" s="473"/>
      <c r="CO76" s="473"/>
      <c r="CP76" s="473"/>
      <c r="CQ76" s="473"/>
      <c r="CR76" s="473"/>
      <c r="CS76" s="473"/>
      <c r="CT76" s="473"/>
      <c r="CU76" s="516"/>
      <c r="CV76" s="501">
        <f t="shared" si="4"/>
        <v>0</v>
      </c>
      <c r="CW76" s="501">
        <f t="shared" si="5"/>
        <v>0</v>
      </c>
      <c r="CX76" s="473">
        <f t="shared" si="6"/>
        <v>0</v>
      </c>
      <c r="CY76" s="512">
        <f t="shared" si="7"/>
        <v>0</v>
      </c>
    </row>
    <row r="77" spans="1:103">
      <c r="A77" s="112" t="s">
        <v>418</v>
      </c>
      <c r="B77" s="162" t="str">
        <f>IFERROR(VLOOKUP(ParicipationJuillet1[[#This Row],[Référence]],ListeÉtudiants1[],18,FALSE),"")</f>
        <v>JOSEPH PALOUNA</v>
      </c>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640"/>
      <c r="AH77" s="202">
        <f>COUNTIF(ParicipationJuillet1[[#This Row],[1]:[31]],Code1)</f>
        <v>0</v>
      </c>
      <c r="AI77" s="475">
        <f>COUNTIF(ParicipationJuillet1[[#This Row],[1]:[31]],code22)</f>
        <v>0</v>
      </c>
      <c r="AJ77" s="202">
        <f>COUNTIF(ParicipationJuillet1[[#This Row],[1]:[31]],Code2)</f>
        <v>0</v>
      </c>
      <c r="AK77" s="202">
        <f>COUNTIF(ParicipationJuillet1[[#This Row],[1]:[31]],Code3)</f>
        <v>0</v>
      </c>
      <c r="AL77" s="202">
        <f>COUNTIF(ParicipationJuillet1[[#This Row],[1]:[31]],Code4)</f>
        <v>0</v>
      </c>
      <c r="AM77" s="473">
        <f>COUNTIF(ParicipationJuillet1[[#This Row],[1]:[31]],Code5)</f>
        <v>0</v>
      </c>
      <c r="AN77" s="473">
        <f>COUNTIF(ParicipationJuillet1[[#This Row],[1]:[31]],Code23)</f>
        <v>0</v>
      </c>
      <c r="AO77" s="473">
        <f>COUNTIF(ParicipationJuillet1[[#This Row],[1]:[31]],Code6)</f>
        <v>0</v>
      </c>
      <c r="AP77" s="473">
        <f>COUNTIF(ParicipationJuillet1[[#This Row],[1]:[31]],Code7)</f>
        <v>0</v>
      </c>
      <c r="AQ77" s="473">
        <f>COUNTIF(ParicipationJuillet1[[#This Row],[1]:[31]],Code8)</f>
        <v>0</v>
      </c>
      <c r="AR77" s="473">
        <f>COUNTIF(ParicipationJuillet1[[#This Row],[1]:[31]],Code9)</f>
        <v>0</v>
      </c>
      <c r="AS77" s="473">
        <f>COUNTIF(ParicipationJuillet1[[#This Row],[1]:[31]],Code10)</f>
        <v>0</v>
      </c>
      <c r="AT77" s="473">
        <f>COUNTIF(ParicipationJuillet1[[#This Row],[1]:[31]],Code11)</f>
        <v>0</v>
      </c>
      <c r="AU77" s="473">
        <f>COUNTIF(ParicipationJuillet1[[#This Row],[1]:[31]],Code12)</f>
        <v>0</v>
      </c>
      <c r="AV77" s="473">
        <f>COUNTIF(ParicipationJuillet1[[#This Row],[1]:[31]],Code13)</f>
        <v>0</v>
      </c>
      <c r="AW77" s="473">
        <f>COUNTIF(ParicipationJuillet1[[#This Row],[1]:[31]],Code14)</f>
        <v>0</v>
      </c>
      <c r="AX77" s="473">
        <f>COUNTIF(ParicipationJuillet1[[#This Row],[1]:[31]],Code15)</f>
        <v>0</v>
      </c>
      <c r="AY77" s="473">
        <f>COUNTIF(ParicipationJuillet1[[#This Row],[1]:[31]],Code16)</f>
        <v>0</v>
      </c>
      <c r="AZ77" s="473">
        <f>COUNTIF(ParicipationJuillet1[[#This Row],[1]:[31]],Code17)</f>
        <v>0</v>
      </c>
      <c r="BA77" s="473">
        <f>COUNTIF(ParicipationJuillet1[[#This Row],[1]:[31]],Code25)</f>
        <v>0</v>
      </c>
      <c r="BB77" s="473">
        <f>COUNTIF(ParicipationJuillet1[[#This Row],[1]:[31]],Code26)</f>
        <v>0</v>
      </c>
      <c r="BC77" s="473">
        <f>COUNTIF(ParicipationJuillet1[[#This Row],[1]:[31]],Code27)</f>
        <v>0</v>
      </c>
      <c r="BD77" s="473">
        <f>COUNTIF(ParicipationJuillet1[[#This Row],[1]:[31]],Code28)</f>
        <v>0</v>
      </c>
      <c r="BE77" s="473">
        <f>COUNTIF(ParicipationJuillet1[[#This Row],[1]:[31]],code30)</f>
        <v>0</v>
      </c>
      <c r="BF77" s="473">
        <f>COUNTIF(ParicipationJuillet1[[#This Row],[1]:[31]],Code31)</f>
        <v>0</v>
      </c>
      <c r="BG77" s="473">
        <f>COUNTIF(ParicipationJuillet1[[#This Row],[1]:[31]],code21)</f>
        <v>0</v>
      </c>
      <c r="BH77" s="473">
        <f>COUNTIF(ParicipationJuillet1[[#This Row],[1]:[31]],Code24)</f>
        <v>0</v>
      </c>
      <c r="BI77" s="473">
        <f>COUNTIF(ParicipationJuillet1[[#This Row],[1]:[31]],code18)</f>
        <v>0</v>
      </c>
      <c r="BJ77" s="473">
        <f>COUNTIF(ParicipationJuillet1[[#This Row],[1]:[31]],code19)</f>
        <v>0</v>
      </c>
      <c r="BK77" s="473">
        <f>COUNTIF(ParicipationJuillet1[[#This Row],[1]:[31]],code20)</f>
        <v>0</v>
      </c>
      <c r="BL77" s="516">
        <f>COUNTIF(ParicipationJuillet1[[#This Row],[1]:[31]],code29)</f>
        <v>0</v>
      </c>
      <c r="BM77" s="473"/>
      <c r="BN77" s="473"/>
      <c r="BO77" s="473"/>
      <c r="BP77" s="473"/>
      <c r="BQ77" s="473"/>
      <c r="BR77" s="473"/>
      <c r="BS77" s="473"/>
      <c r="BT77" s="473"/>
      <c r="BU77" s="473"/>
      <c r="BV77" s="473"/>
      <c r="BW77" s="473"/>
      <c r="BX77" s="473"/>
      <c r="BY77" s="473"/>
      <c r="BZ77" s="473"/>
      <c r="CA77" s="473"/>
      <c r="CB77" s="473"/>
      <c r="CC77" s="473"/>
      <c r="CD77" s="473"/>
      <c r="CE77" s="473"/>
      <c r="CF77" s="473"/>
      <c r="CG77" s="473"/>
      <c r="CH77" s="473"/>
      <c r="CI77" s="473"/>
      <c r="CJ77" s="473"/>
      <c r="CK77" s="473"/>
      <c r="CL77" s="473"/>
      <c r="CM77" s="473"/>
      <c r="CN77" s="473"/>
      <c r="CO77" s="473"/>
      <c r="CP77" s="473"/>
      <c r="CQ77" s="473"/>
      <c r="CR77" s="473"/>
      <c r="CS77" s="473"/>
      <c r="CT77" s="473"/>
      <c r="CU77" s="516"/>
      <c r="CV77" s="501">
        <f t="shared" si="4"/>
        <v>0</v>
      </c>
      <c r="CW77" s="501">
        <f t="shared" si="5"/>
        <v>0</v>
      </c>
      <c r="CX77" s="473">
        <f t="shared" si="6"/>
        <v>0</v>
      </c>
      <c r="CY77" s="512">
        <f t="shared" si="7"/>
        <v>0</v>
      </c>
    </row>
    <row r="78" spans="1:103">
      <c r="A78" s="112" t="s">
        <v>419</v>
      </c>
      <c r="B78" s="162" t="str">
        <f>IFERROR(VLOOKUP(ParicipationJuillet1[[#This Row],[Référence]],ListeÉtudiants1[],18,FALSE),"")</f>
        <v>JUAN DORINE</v>
      </c>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640"/>
      <c r="AH78" s="202">
        <f>COUNTIF(ParicipationJuillet1[[#This Row],[1]:[31]],Code1)</f>
        <v>0</v>
      </c>
      <c r="AI78" s="475">
        <f>COUNTIF(ParicipationJuillet1[[#This Row],[1]:[31]],code22)</f>
        <v>0</v>
      </c>
      <c r="AJ78" s="202">
        <f>COUNTIF(ParicipationJuillet1[[#This Row],[1]:[31]],Code2)</f>
        <v>0</v>
      </c>
      <c r="AK78" s="202">
        <f>COUNTIF(ParicipationJuillet1[[#This Row],[1]:[31]],Code3)</f>
        <v>0</v>
      </c>
      <c r="AL78" s="202">
        <f>COUNTIF(ParicipationJuillet1[[#This Row],[1]:[31]],Code4)</f>
        <v>0</v>
      </c>
      <c r="AM78" s="473">
        <f>COUNTIF(ParicipationJuillet1[[#This Row],[1]:[31]],Code5)</f>
        <v>0</v>
      </c>
      <c r="AN78" s="473">
        <f>COUNTIF(ParicipationJuillet1[[#This Row],[1]:[31]],Code23)</f>
        <v>0</v>
      </c>
      <c r="AO78" s="473">
        <f>COUNTIF(ParicipationJuillet1[[#This Row],[1]:[31]],Code6)</f>
        <v>0</v>
      </c>
      <c r="AP78" s="473">
        <f>COUNTIF(ParicipationJuillet1[[#This Row],[1]:[31]],Code7)</f>
        <v>0</v>
      </c>
      <c r="AQ78" s="473">
        <f>COUNTIF(ParicipationJuillet1[[#This Row],[1]:[31]],Code8)</f>
        <v>0</v>
      </c>
      <c r="AR78" s="473">
        <f>COUNTIF(ParicipationJuillet1[[#This Row],[1]:[31]],Code9)</f>
        <v>0</v>
      </c>
      <c r="AS78" s="473">
        <f>COUNTIF(ParicipationJuillet1[[#This Row],[1]:[31]],Code10)</f>
        <v>0</v>
      </c>
      <c r="AT78" s="473">
        <f>COUNTIF(ParicipationJuillet1[[#This Row],[1]:[31]],Code11)</f>
        <v>0</v>
      </c>
      <c r="AU78" s="473">
        <f>COUNTIF(ParicipationJuillet1[[#This Row],[1]:[31]],Code12)</f>
        <v>0</v>
      </c>
      <c r="AV78" s="473">
        <f>COUNTIF(ParicipationJuillet1[[#This Row],[1]:[31]],Code13)</f>
        <v>0</v>
      </c>
      <c r="AW78" s="473">
        <f>COUNTIF(ParicipationJuillet1[[#This Row],[1]:[31]],Code14)</f>
        <v>0</v>
      </c>
      <c r="AX78" s="473">
        <f>COUNTIF(ParicipationJuillet1[[#This Row],[1]:[31]],Code15)</f>
        <v>0</v>
      </c>
      <c r="AY78" s="473">
        <f>COUNTIF(ParicipationJuillet1[[#This Row],[1]:[31]],Code16)</f>
        <v>0</v>
      </c>
      <c r="AZ78" s="473">
        <f>COUNTIF(ParicipationJuillet1[[#This Row],[1]:[31]],Code17)</f>
        <v>0</v>
      </c>
      <c r="BA78" s="473">
        <f>COUNTIF(ParicipationJuillet1[[#This Row],[1]:[31]],Code25)</f>
        <v>0</v>
      </c>
      <c r="BB78" s="473">
        <f>COUNTIF(ParicipationJuillet1[[#This Row],[1]:[31]],Code26)</f>
        <v>0</v>
      </c>
      <c r="BC78" s="473">
        <f>COUNTIF(ParicipationJuillet1[[#This Row],[1]:[31]],Code27)</f>
        <v>0</v>
      </c>
      <c r="BD78" s="473">
        <f>COUNTIF(ParicipationJuillet1[[#This Row],[1]:[31]],Code28)</f>
        <v>0</v>
      </c>
      <c r="BE78" s="473">
        <f>COUNTIF(ParicipationJuillet1[[#This Row],[1]:[31]],code30)</f>
        <v>0</v>
      </c>
      <c r="BF78" s="473">
        <f>COUNTIF(ParicipationJuillet1[[#This Row],[1]:[31]],Code31)</f>
        <v>0</v>
      </c>
      <c r="BG78" s="473">
        <f>COUNTIF(ParicipationJuillet1[[#This Row],[1]:[31]],code21)</f>
        <v>0</v>
      </c>
      <c r="BH78" s="473">
        <f>COUNTIF(ParicipationJuillet1[[#This Row],[1]:[31]],Code24)</f>
        <v>0</v>
      </c>
      <c r="BI78" s="473">
        <f>COUNTIF(ParicipationJuillet1[[#This Row],[1]:[31]],code18)</f>
        <v>0</v>
      </c>
      <c r="BJ78" s="473">
        <f>COUNTIF(ParicipationJuillet1[[#This Row],[1]:[31]],code19)</f>
        <v>0</v>
      </c>
      <c r="BK78" s="473">
        <f>COUNTIF(ParicipationJuillet1[[#This Row],[1]:[31]],code20)</f>
        <v>0</v>
      </c>
      <c r="BL78" s="516">
        <f>COUNTIF(ParicipationJuillet1[[#This Row],[1]:[31]],code29)</f>
        <v>0</v>
      </c>
      <c r="BM78" s="473"/>
      <c r="BN78" s="473"/>
      <c r="BO78" s="473"/>
      <c r="BP78" s="473"/>
      <c r="BQ78" s="473"/>
      <c r="BR78" s="473"/>
      <c r="BS78" s="473"/>
      <c r="BT78" s="473"/>
      <c r="BU78" s="473"/>
      <c r="BV78" s="473"/>
      <c r="BW78" s="473"/>
      <c r="BX78" s="473"/>
      <c r="BY78" s="473"/>
      <c r="BZ78" s="473"/>
      <c r="CA78" s="473"/>
      <c r="CB78" s="473"/>
      <c r="CC78" s="473"/>
      <c r="CD78" s="473"/>
      <c r="CE78" s="473"/>
      <c r="CF78" s="473"/>
      <c r="CG78" s="473"/>
      <c r="CH78" s="473"/>
      <c r="CI78" s="473"/>
      <c r="CJ78" s="473"/>
      <c r="CK78" s="473"/>
      <c r="CL78" s="473"/>
      <c r="CM78" s="473"/>
      <c r="CN78" s="473"/>
      <c r="CO78" s="473"/>
      <c r="CP78" s="473"/>
      <c r="CQ78" s="473"/>
      <c r="CR78" s="473"/>
      <c r="CS78" s="473"/>
      <c r="CT78" s="473"/>
      <c r="CU78" s="516"/>
      <c r="CV78" s="501">
        <f t="shared" si="4"/>
        <v>0</v>
      </c>
      <c r="CW78" s="501">
        <f t="shared" si="5"/>
        <v>0</v>
      </c>
      <c r="CX78" s="473">
        <f t="shared" si="6"/>
        <v>0</v>
      </c>
      <c r="CY78" s="512">
        <f t="shared" si="7"/>
        <v>0</v>
      </c>
    </row>
    <row r="79" spans="1:103">
      <c r="A79" s="112" t="s">
        <v>420</v>
      </c>
      <c r="B79" s="162" t="str">
        <f>IFERROR(VLOOKUP(ParicipationJuillet1[[#This Row],[Référence]],ListeÉtudiants1[],18,FALSE),"")</f>
        <v>KABOL HELENA</v>
      </c>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640"/>
      <c r="AH79" s="202">
        <f>COUNTIF(ParicipationJuillet1[[#This Row],[1]:[31]],Code1)</f>
        <v>0</v>
      </c>
      <c r="AI79" s="475">
        <f>COUNTIF(ParicipationJuillet1[[#This Row],[1]:[31]],code22)</f>
        <v>0</v>
      </c>
      <c r="AJ79" s="202">
        <f>COUNTIF(ParicipationJuillet1[[#This Row],[1]:[31]],Code2)</f>
        <v>0</v>
      </c>
      <c r="AK79" s="202">
        <f>COUNTIF(ParicipationJuillet1[[#This Row],[1]:[31]],Code3)</f>
        <v>0</v>
      </c>
      <c r="AL79" s="202">
        <f>COUNTIF(ParicipationJuillet1[[#This Row],[1]:[31]],Code4)</f>
        <v>0</v>
      </c>
      <c r="AM79" s="473">
        <f>COUNTIF(ParicipationJuillet1[[#This Row],[1]:[31]],Code5)</f>
        <v>0</v>
      </c>
      <c r="AN79" s="473">
        <f>COUNTIF(ParicipationJuillet1[[#This Row],[1]:[31]],Code23)</f>
        <v>0</v>
      </c>
      <c r="AO79" s="473">
        <f>COUNTIF(ParicipationJuillet1[[#This Row],[1]:[31]],Code6)</f>
        <v>0</v>
      </c>
      <c r="AP79" s="473">
        <f>COUNTIF(ParicipationJuillet1[[#This Row],[1]:[31]],Code7)</f>
        <v>0</v>
      </c>
      <c r="AQ79" s="473">
        <f>COUNTIF(ParicipationJuillet1[[#This Row],[1]:[31]],Code8)</f>
        <v>0</v>
      </c>
      <c r="AR79" s="473">
        <f>COUNTIF(ParicipationJuillet1[[#This Row],[1]:[31]],Code9)</f>
        <v>0</v>
      </c>
      <c r="AS79" s="473">
        <f>COUNTIF(ParicipationJuillet1[[#This Row],[1]:[31]],Code10)</f>
        <v>0</v>
      </c>
      <c r="AT79" s="473">
        <f>COUNTIF(ParicipationJuillet1[[#This Row],[1]:[31]],Code11)</f>
        <v>0</v>
      </c>
      <c r="AU79" s="473">
        <f>COUNTIF(ParicipationJuillet1[[#This Row],[1]:[31]],Code12)</f>
        <v>0</v>
      </c>
      <c r="AV79" s="473">
        <f>COUNTIF(ParicipationJuillet1[[#This Row],[1]:[31]],Code13)</f>
        <v>0</v>
      </c>
      <c r="AW79" s="473">
        <f>COUNTIF(ParicipationJuillet1[[#This Row],[1]:[31]],Code14)</f>
        <v>0</v>
      </c>
      <c r="AX79" s="473">
        <f>COUNTIF(ParicipationJuillet1[[#This Row],[1]:[31]],Code15)</f>
        <v>0</v>
      </c>
      <c r="AY79" s="473">
        <f>COUNTIF(ParicipationJuillet1[[#This Row],[1]:[31]],Code16)</f>
        <v>0</v>
      </c>
      <c r="AZ79" s="473">
        <f>COUNTIF(ParicipationJuillet1[[#This Row],[1]:[31]],Code17)</f>
        <v>0</v>
      </c>
      <c r="BA79" s="473">
        <f>COUNTIF(ParicipationJuillet1[[#This Row],[1]:[31]],Code25)</f>
        <v>0</v>
      </c>
      <c r="BB79" s="473">
        <f>COUNTIF(ParicipationJuillet1[[#This Row],[1]:[31]],Code26)</f>
        <v>0</v>
      </c>
      <c r="BC79" s="473">
        <f>COUNTIF(ParicipationJuillet1[[#This Row],[1]:[31]],Code27)</f>
        <v>0</v>
      </c>
      <c r="BD79" s="473">
        <f>COUNTIF(ParicipationJuillet1[[#This Row],[1]:[31]],Code28)</f>
        <v>0</v>
      </c>
      <c r="BE79" s="473">
        <f>COUNTIF(ParicipationJuillet1[[#This Row],[1]:[31]],code30)</f>
        <v>0</v>
      </c>
      <c r="BF79" s="473">
        <f>COUNTIF(ParicipationJuillet1[[#This Row],[1]:[31]],Code31)</f>
        <v>0</v>
      </c>
      <c r="BG79" s="473">
        <f>COUNTIF(ParicipationJuillet1[[#This Row],[1]:[31]],code21)</f>
        <v>0</v>
      </c>
      <c r="BH79" s="473">
        <f>COUNTIF(ParicipationJuillet1[[#This Row],[1]:[31]],Code24)</f>
        <v>0</v>
      </c>
      <c r="BI79" s="473">
        <f>COUNTIF(ParicipationJuillet1[[#This Row],[1]:[31]],code18)</f>
        <v>0</v>
      </c>
      <c r="BJ79" s="473">
        <f>COUNTIF(ParicipationJuillet1[[#This Row],[1]:[31]],code19)</f>
        <v>0</v>
      </c>
      <c r="BK79" s="473">
        <f>COUNTIF(ParicipationJuillet1[[#This Row],[1]:[31]],code20)</f>
        <v>0</v>
      </c>
      <c r="BL79" s="516">
        <f>COUNTIF(ParicipationJuillet1[[#This Row],[1]:[31]],code29)</f>
        <v>0</v>
      </c>
      <c r="BM79" s="473"/>
      <c r="BN79" s="473"/>
      <c r="BO79" s="473"/>
      <c r="BP79" s="473"/>
      <c r="BQ79" s="473"/>
      <c r="BR79" s="473"/>
      <c r="BS79" s="473"/>
      <c r="BT79" s="473"/>
      <c r="BU79" s="473"/>
      <c r="BV79" s="473"/>
      <c r="BW79" s="473"/>
      <c r="BX79" s="473"/>
      <c r="BY79" s="473"/>
      <c r="BZ79" s="473"/>
      <c r="CA79" s="473"/>
      <c r="CB79" s="473"/>
      <c r="CC79" s="473"/>
      <c r="CD79" s="473"/>
      <c r="CE79" s="473"/>
      <c r="CF79" s="473"/>
      <c r="CG79" s="473"/>
      <c r="CH79" s="473"/>
      <c r="CI79" s="473"/>
      <c r="CJ79" s="473"/>
      <c r="CK79" s="473"/>
      <c r="CL79" s="473"/>
      <c r="CM79" s="473"/>
      <c r="CN79" s="473"/>
      <c r="CO79" s="473"/>
      <c r="CP79" s="473"/>
      <c r="CQ79" s="473"/>
      <c r="CR79" s="473"/>
      <c r="CS79" s="473"/>
      <c r="CT79" s="473"/>
      <c r="CU79" s="516"/>
      <c r="CV79" s="501">
        <f t="shared" si="4"/>
        <v>0</v>
      </c>
      <c r="CW79" s="501">
        <f t="shared" si="5"/>
        <v>0</v>
      </c>
      <c r="CX79" s="473">
        <f t="shared" si="6"/>
        <v>0</v>
      </c>
      <c r="CY79" s="512">
        <f t="shared" si="7"/>
        <v>0</v>
      </c>
    </row>
    <row r="80" spans="1:103">
      <c r="A80" s="112" t="s">
        <v>421</v>
      </c>
      <c r="B80" s="162" t="str">
        <f>IFERROR(VLOOKUP(ParicipationJuillet1[[#This Row],[Référence]],ListeÉtudiants1[],18,FALSE),"")</f>
        <v>KANTE TIGUIDA</v>
      </c>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640"/>
      <c r="AH80" s="202">
        <f>COUNTIF(ParicipationJuillet1[[#This Row],[1]:[31]],Code1)</f>
        <v>0</v>
      </c>
      <c r="AI80" s="475">
        <f>COUNTIF(ParicipationJuillet1[[#This Row],[1]:[31]],code22)</f>
        <v>0</v>
      </c>
      <c r="AJ80" s="202">
        <f>COUNTIF(ParicipationJuillet1[[#This Row],[1]:[31]],Code2)</f>
        <v>0</v>
      </c>
      <c r="AK80" s="202">
        <f>COUNTIF(ParicipationJuillet1[[#This Row],[1]:[31]],Code3)</f>
        <v>0</v>
      </c>
      <c r="AL80" s="202">
        <f>COUNTIF(ParicipationJuillet1[[#This Row],[1]:[31]],Code4)</f>
        <v>0</v>
      </c>
      <c r="AM80" s="473">
        <f>COUNTIF(ParicipationJuillet1[[#This Row],[1]:[31]],Code5)</f>
        <v>0</v>
      </c>
      <c r="AN80" s="473">
        <f>COUNTIF(ParicipationJuillet1[[#This Row],[1]:[31]],Code23)</f>
        <v>0</v>
      </c>
      <c r="AO80" s="473">
        <f>COUNTIF(ParicipationJuillet1[[#This Row],[1]:[31]],Code6)</f>
        <v>0</v>
      </c>
      <c r="AP80" s="473">
        <f>COUNTIF(ParicipationJuillet1[[#This Row],[1]:[31]],Code7)</f>
        <v>0</v>
      </c>
      <c r="AQ80" s="473">
        <f>COUNTIF(ParicipationJuillet1[[#This Row],[1]:[31]],Code8)</f>
        <v>0</v>
      </c>
      <c r="AR80" s="473">
        <f>COUNTIF(ParicipationJuillet1[[#This Row],[1]:[31]],Code9)</f>
        <v>0</v>
      </c>
      <c r="AS80" s="473">
        <f>COUNTIF(ParicipationJuillet1[[#This Row],[1]:[31]],Code10)</f>
        <v>0</v>
      </c>
      <c r="AT80" s="473">
        <f>COUNTIF(ParicipationJuillet1[[#This Row],[1]:[31]],Code11)</f>
        <v>0</v>
      </c>
      <c r="AU80" s="473">
        <f>COUNTIF(ParicipationJuillet1[[#This Row],[1]:[31]],Code12)</f>
        <v>0</v>
      </c>
      <c r="AV80" s="473">
        <f>COUNTIF(ParicipationJuillet1[[#This Row],[1]:[31]],Code13)</f>
        <v>0</v>
      </c>
      <c r="AW80" s="473">
        <f>COUNTIF(ParicipationJuillet1[[#This Row],[1]:[31]],Code14)</f>
        <v>0</v>
      </c>
      <c r="AX80" s="473">
        <f>COUNTIF(ParicipationJuillet1[[#This Row],[1]:[31]],Code15)</f>
        <v>0</v>
      </c>
      <c r="AY80" s="473">
        <f>COUNTIF(ParicipationJuillet1[[#This Row],[1]:[31]],Code16)</f>
        <v>0</v>
      </c>
      <c r="AZ80" s="473">
        <f>COUNTIF(ParicipationJuillet1[[#This Row],[1]:[31]],Code17)</f>
        <v>0</v>
      </c>
      <c r="BA80" s="473">
        <f>COUNTIF(ParicipationJuillet1[[#This Row],[1]:[31]],Code25)</f>
        <v>0</v>
      </c>
      <c r="BB80" s="473">
        <f>COUNTIF(ParicipationJuillet1[[#This Row],[1]:[31]],Code26)</f>
        <v>0</v>
      </c>
      <c r="BC80" s="473">
        <f>COUNTIF(ParicipationJuillet1[[#This Row],[1]:[31]],Code27)</f>
        <v>0</v>
      </c>
      <c r="BD80" s="473">
        <f>COUNTIF(ParicipationJuillet1[[#This Row],[1]:[31]],Code28)</f>
        <v>0</v>
      </c>
      <c r="BE80" s="473">
        <f>COUNTIF(ParicipationJuillet1[[#This Row],[1]:[31]],code30)</f>
        <v>0</v>
      </c>
      <c r="BF80" s="473">
        <f>COUNTIF(ParicipationJuillet1[[#This Row],[1]:[31]],Code31)</f>
        <v>0</v>
      </c>
      <c r="BG80" s="473">
        <f>COUNTIF(ParicipationJuillet1[[#This Row],[1]:[31]],code21)</f>
        <v>0</v>
      </c>
      <c r="BH80" s="473">
        <f>COUNTIF(ParicipationJuillet1[[#This Row],[1]:[31]],Code24)</f>
        <v>0</v>
      </c>
      <c r="BI80" s="473">
        <f>COUNTIF(ParicipationJuillet1[[#This Row],[1]:[31]],code18)</f>
        <v>0</v>
      </c>
      <c r="BJ80" s="473">
        <f>COUNTIF(ParicipationJuillet1[[#This Row],[1]:[31]],code19)</f>
        <v>0</v>
      </c>
      <c r="BK80" s="473">
        <f>COUNTIF(ParicipationJuillet1[[#This Row],[1]:[31]],code20)</f>
        <v>0</v>
      </c>
      <c r="BL80" s="516">
        <f>COUNTIF(ParicipationJuillet1[[#This Row],[1]:[31]],code29)</f>
        <v>0</v>
      </c>
      <c r="BM80" s="473"/>
      <c r="BN80" s="473"/>
      <c r="BO80" s="473"/>
      <c r="BP80" s="473"/>
      <c r="BQ80" s="473"/>
      <c r="BR80" s="473"/>
      <c r="BS80" s="473"/>
      <c r="BT80" s="473"/>
      <c r="BU80" s="473"/>
      <c r="BV80" s="473"/>
      <c r="BW80" s="473"/>
      <c r="BX80" s="473"/>
      <c r="BY80" s="473"/>
      <c r="BZ80" s="473"/>
      <c r="CA80" s="473"/>
      <c r="CB80" s="473"/>
      <c r="CC80" s="473"/>
      <c r="CD80" s="473"/>
      <c r="CE80" s="473"/>
      <c r="CF80" s="473"/>
      <c r="CG80" s="473"/>
      <c r="CH80" s="473"/>
      <c r="CI80" s="473"/>
      <c r="CJ80" s="473"/>
      <c r="CK80" s="473"/>
      <c r="CL80" s="473"/>
      <c r="CM80" s="473"/>
      <c r="CN80" s="473"/>
      <c r="CO80" s="473"/>
      <c r="CP80" s="473"/>
      <c r="CQ80" s="473"/>
      <c r="CR80" s="473"/>
      <c r="CS80" s="473"/>
      <c r="CT80" s="473"/>
      <c r="CU80" s="516"/>
      <c r="CV80" s="501">
        <f t="shared" si="4"/>
        <v>0</v>
      </c>
      <c r="CW80" s="501">
        <f t="shared" si="5"/>
        <v>0</v>
      </c>
      <c r="CX80" s="473">
        <f t="shared" si="6"/>
        <v>0</v>
      </c>
      <c r="CY80" s="512">
        <f t="shared" si="7"/>
        <v>0</v>
      </c>
    </row>
    <row r="81" spans="1:103">
      <c r="A81" s="112" t="s">
        <v>422</v>
      </c>
      <c r="B81" s="162" t="str">
        <f>IFERROR(VLOOKUP(ParicipationJuillet1[[#This Row],[Référence]],ListeÉtudiants1[],18,FALSE),"")</f>
        <v>KERMESH NELLY</v>
      </c>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640"/>
      <c r="AH81" s="202">
        <f>COUNTIF(ParicipationJuillet1[[#This Row],[1]:[31]],Code1)</f>
        <v>0</v>
      </c>
      <c r="AI81" s="475">
        <f>COUNTIF(ParicipationJuillet1[[#This Row],[1]:[31]],code22)</f>
        <v>0</v>
      </c>
      <c r="AJ81" s="202">
        <f>COUNTIF(ParicipationJuillet1[[#This Row],[1]:[31]],Code2)</f>
        <v>0</v>
      </c>
      <c r="AK81" s="202">
        <f>COUNTIF(ParicipationJuillet1[[#This Row],[1]:[31]],Code3)</f>
        <v>0</v>
      </c>
      <c r="AL81" s="202">
        <f>COUNTIF(ParicipationJuillet1[[#This Row],[1]:[31]],Code4)</f>
        <v>0</v>
      </c>
      <c r="AM81" s="473">
        <f>COUNTIF(ParicipationJuillet1[[#This Row],[1]:[31]],Code5)</f>
        <v>0</v>
      </c>
      <c r="AN81" s="473">
        <f>COUNTIF(ParicipationJuillet1[[#This Row],[1]:[31]],Code23)</f>
        <v>0</v>
      </c>
      <c r="AO81" s="473">
        <f>COUNTIF(ParicipationJuillet1[[#This Row],[1]:[31]],Code6)</f>
        <v>0</v>
      </c>
      <c r="AP81" s="473">
        <f>COUNTIF(ParicipationJuillet1[[#This Row],[1]:[31]],Code7)</f>
        <v>0</v>
      </c>
      <c r="AQ81" s="473">
        <f>COUNTIF(ParicipationJuillet1[[#This Row],[1]:[31]],Code8)</f>
        <v>0</v>
      </c>
      <c r="AR81" s="473">
        <f>COUNTIF(ParicipationJuillet1[[#This Row],[1]:[31]],Code9)</f>
        <v>0</v>
      </c>
      <c r="AS81" s="473">
        <f>COUNTIF(ParicipationJuillet1[[#This Row],[1]:[31]],Code10)</f>
        <v>0</v>
      </c>
      <c r="AT81" s="473">
        <f>COUNTIF(ParicipationJuillet1[[#This Row],[1]:[31]],Code11)</f>
        <v>0</v>
      </c>
      <c r="AU81" s="473">
        <f>COUNTIF(ParicipationJuillet1[[#This Row],[1]:[31]],Code12)</f>
        <v>0</v>
      </c>
      <c r="AV81" s="473">
        <f>COUNTIF(ParicipationJuillet1[[#This Row],[1]:[31]],Code13)</f>
        <v>0</v>
      </c>
      <c r="AW81" s="473">
        <f>COUNTIF(ParicipationJuillet1[[#This Row],[1]:[31]],Code14)</f>
        <v>0</v>
      </c>
      <c r="AX81" s="473">
        <f>COUNTIF(ParicipationJuillet1[[#This Row],[1]:[31]],Code15)</f>
        <v>0</v>
      </c>
      <c r="AY81" s="473">
        <f>COUNTIF(ParicipationJuillet1[[#This Row],[1]:[31]],Code16)</f>
        <v>0</v>
      </c>
      <c r="AZ81" s="473">
        <f>COUNTIF(ParicipationJuillet1[[#This Row],[1]:[31]],Code17)</f>
        <v>0</v>
      </c>
      <c r="BA81" s="473">
        <f>COUNTIF(ParicipationJuillet1[[#This Row],[1]:[31]],Code25)</f>
        <v>0</v>
      </c>
      <c r="BB81" s="473">
        <f>COUNTIF(ParicipationJuillet1[[#This Row],[1]:[31]],Code26)</f>
        <v>0</v>
      </c>
      <c r="BC81" s="473">
        <f>COUNTIF(ParicipationJuillet1[[#This Row],[1]:[31]],Code27)</f>
        <v>0</v>
      </c>
      <c r="BD81" s="473">
        <f>COUNTIF(ParicipationJuillet1[[#This Row],[1]:[31]],Code28)</f>
        <v>0</v>
      </c>
      <c r="BE81" s="473">
        <f>COUNTIF(ParicipationJuillet1[[#This Row],[1]:[31]],code30)</f>
        <v>0</v>
      </c>
      <c r="BF81" s="473">
        <f>COUNTIF(ParicipationJuillet1[[#This Row],[1]:[31]],Code31)</f>
        <v>0</v>
      </c>
      <c r="BG81" s="473">
        <f>COUNTIF(ParicipationJuillet1[[#This Row],[1]:[31]],code21)</f>
        <v>0</v>
      </c>
      <c r="BH81" s="473">
        <f>COUNTIF(ParicipationJuillet1[[#This Row],[1]:[31]],Code24)</f>
        <v>0</v>
      </c>
      <c r="BI81" s="473">
        <f>COUNTIF(ParicipationJuillet1[[#This Row],[1]:[31]],code18)</f>
        <v>0</v>
      </c>
      <c r="BJ81" s="473">
        <f>COUNTIF(ParicipationJuillet1[[#This Row],[1]:[31]],code19)</f>
        <v>0</v>
      </c>
      <c r="BK81" s="473">
        <f>COUNTIF(ParicipationJuillet1[[#This Row],[1]:[31]],code20)</f>
        <v>0</v>
      </c>
      <c r="BL81" s="516">
        <f>COUNTIF(ParicipationJuillet1[[#This Row],[1]:[31]],code29)</f>
        <v>0</v>
      </c>
      <c r="BM81" s="473"/>
      <c r="BN81" s="473"/>
      <c r="BO81" s="473"/>
      <c r="BP81" s="473"/>
      <c r="BQ81" s="473"/>
      <c r="BR81" s="473"/>
      <c r="BS81" s="473"/>
      <c r="BT81" s="473"/>
      <c r="BU81" s="473"/>
      <c r="BV81" s="473"/>
      <c r="BW81" s="473"/>
      <c r="BX81" s="473"/>
      <c r="BY81" s="473"/>
      <c r="BZ81" s="473"/>
      <c r="CA81" s="473"/>
      <c r="CB81" s="473"/>
      <c r="CC81" s="473"/>
      <c r="CD81" s="473"/>
      <c r="CE81" s="473"/>
      <c r="CF81" s="473"/>
      <c r="CG81" s="473"/>
      <c r="CH81" s="473"/>
      <c r="CI81" s="473"/>
      <c r="CJ81" s="473"/>
      <c r="CK81" s="473"/>
      <c r="CL81" s="473"/>
      <c r="CM81" s="473"/>
      <c r="CN81" s="473"/>
      <c r="CO81" s="473"/>
      <c r="CP81" s="473"/>
      <c r="CQ81" s="473"/>
      <c r="CR81" s="473"/>
      <c r="CS81" s="473"/>
      <c r="CT81" s="473"/>
      <c r="CU81" s="516"/>
      <c r="CV81" s="501">
        <f t="shared" si="4"/>
        <v>0</v>
      </c>
      <c r="CW81" s="501">
        <f t="shared" si="5"/>
        <v>0</v>
      </c>
      <c r="CX81" s="473">
        <f t="shared" si="6"/>
        <v>0</v>
      </c>
      <c r="CY81" s="512">
        <f t="shared" si="7"/>
        <v>0</v>
      </c>
    </row>
    <row r="82" spans="1:103">
      <c r="A82" s="112" t="s">
        <v>423</v>
      </c>
      <c r="B82" s="162" t="str">
        <f>IFERROR(VLOOKUP(ParicipationJuillet1[[#This Row],[Référence]],ListeÉtudiants1[],18,FALSE),"")</f>
        <v>KESSIE INES</v>
      </c>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640"/>
      <c r="AH82" s="202">
        <f>COUNTIF(ParicipationJuillet1[[#This Row],[1]:[31]],Code1)</f>
        <v>0</v>
      </c>
      <c r="AI82" s="475">
        <f>COUNTIF(ParicipationJuillet1[[#This Row],[1]:[31]],code22)</f>
        <v>0</v>
      </c>
      <c r="AJ82" s="202">
        <f>COUNTIF(ParicipationJuillet1[[#This Row],[1]:[31]],Code2)</f>
        <v>0</v>
      </c>
      <c r="AK82" s="202">
        <f>COUNTIF(ParicipationJuillet1[[#This Row],[1]:[31]],Code3)</f>
        <v>0</v>
      </c>
      <c r="AL82" s="202">
        <f>COUNTIF(ParicipationJuillet1[[#This Row],[1]:[31]],Code4)</f>
        <v>0</v>
      </c>
      <c r="AM82" s="473">
        <f>COUNTIF(ParicipationJuillet1[[#This Row],[1]:[31]],Code5)</f>
        <v>0</v>
      </c>
      <c r="AN82" s="473">
        <f>COUNTIF(ParicipationJuillet1[[#This Row],[1]:[31]],Code23)</f>
        <v>0</v>
      </c>
      <c r="AO82" s="473">
        <f>COUNTIF(ParicipationJuillet1[[#This Row],[1]:[31]],Code6)</f>
        <v>0</v>
      </c>
      <c r="AP82" s="473">
        <f>COUNTIF(ParicipationJuillet1[[#This Row],[1]:[31]],Code7)</f>
        <v>0</v>
      </c>
      <c r="AQ82" s="473">
        <f>COUNTIF(ParicipationJuillet1[[#This Row],[1]:[31]],Code8)</f>
        <v>0</v>
      </c>
      <c r="AR82" s="473">
        <f>COUNTIF(ParicipationJuillet1[[#This Row],[1]:[31]],Code9)</f>
        <v>0</v>
      </c>
      <c r="AS82" s="473">
        <f>COUNTIF(ParicipationJuillet1[[#This Row],[1]:[31]],Code10)</f>
        <v>0</v>
      </c>
      <c r="AT82" s="473">
        <f>COUNTIF(ParicipationJuillet1[[#This Row],[1]:[31]],Code11)</f>
        <v>0</v>
      </c>
      <c r="AU82" s="473">
        <f>COUNTIF(ParicipationJuillet1[[#This Row],[1]:[31]],Code12)</f>
        <v>0</v>
      </c>
      <c r="AV82" s="473">
        <f>COUNTIF(ParicipationJuillet1[[#This Row],[1]:[31]],Code13)</f>
        <v>0</v>
      </c>
      <c r="AW82" s="473">
        <f>COUNTIF(ParicipationJuillet1[[#This Row],[1]:[31]],Code14)</f>
        <v>0</v>
      </c>
      <c r="AX82" s="473">
        <f>COUNTIF(ParicipationJuillet1[[#This Row],[1]:[31]],Code15)</f>
        <v>0</v>
      </c>
      <c r="AY82" s="473">
        <f>COUNTIF(ParicipationJuillet1[[#This Row],[1]:[31]],Code16)</f>
        <v>0</v>
      </c>
      <c r="AZ82" s="473">
        <f>COUNTIF(ParicipationJuillet1[[#This Row],[1]:[31]],Code17)</f>
        <v>0</v>
      </c>
      <c r="BA82" s="473">
        <f>COUNTIF(ParicipationJuillet1[[#This Row],[1]:[31]],Code25)</f>
        <v>0</v>
      </c>
      <c r="BB82" s="473">
        <f>COUNTIF(ParicipationJuillet1[[#This Row],[1]:[31]],Code26)</f>
        <v>0</v>
      </c>
      <c r="BC82" s="473">
        <f>COUNTIF(ParicipationJuillet1[[#This Row],[1]:[31]],Code27)</f>
        <v>0</v>
      </c>
      <c r="BD82" s="473">
        <f>COUNTIF(ParicipationJuillet1[[#This Row],[1]:[31]],Code28)</f>
        <v>0</v>
      </c>
      <c r="BE82" s="473">
        <f>COUNTIF(ParicipationJuillet1[[#This Row],[1]:[31]],code30)</f>
        <v>0</v>
      </c>
      <c r="BF82" s="473">
        <f>COUNTIF(ParicipationJuillet1[[#This Row],[1]:[31]],Code31)</f>
        <v>0</v>
      </c>
      <c r="BG82" s="473">
        <f>COUNTIF(ParicipationJuillet1[[#This Row],[1]:[31]],code21)</f>
        <v>0</v>
      </c>
      <c r="BH82" s="473">
        <f>COUNTIF(ParicipationJuillet1[[#This Row],[1]:[31]],Code24)</f>
        <v>0</v>
      </c>
      <c r="BI82" s="473">
        <f>COUNTIF(ParicipationJuillet1[[#This Row],[1]:[31]],code18)</f>
        <v>0</v>
      </c>
      <c r="BJ82" s="473">
        <f>COUNTIF(ParicipationJuillet1[[#This Row],[1]:[31]],code19)</f>
        <v>0</v>
      </c>
      <c r="BK82" s="473">
        <f>COUNTIF(ParicipationJuillet1[[#This Row],[1]:[31]],code20)</f>
        <v>0</v>
      </c>
      <c r="BL82" s="516">
        <f>COUNTIF(ParicipationJuillet1[[#This Row],[1]:[31]],code29)</f>
        <v>0</v>
      </c>
      <c r="BM82" s="473"/>
      <c r="BN82" s="473"/>
      <c r="BO82" s="473"/>
      <c r="BP82" s="473"/>
      <c r="BQ82" s="473"/>
      <c r="BR82" s="473"/>
      <c r="BS82" s="473"/>
      <c r="BT82" s="473"/>
      <c r="BU82" s="473"/>
      <c r="BV82" s="473"/>
      <c r="BW82" s="473"/>
      <c r="BX82" s="473"/>
      <c r="BY82" s="473"/>
      <c r="BZ82" s="473"/>
      <c r="CA82" s="473"/>
      <c r="CB82" s="473"/>
      <c r="CC82" s="473"/>
      <c r="CD82" s="473"/>
      <c r="CE82" s="473"/>
      <c r="CF82" s="473"/>
      <c r="CG82" s="473"/>
      <c r="CH82" s="473"/>
      <c r="CI82" s="473"/>
      <c r="CJ82" s="473"/>
      <c r="CK82" s="473"/>
      <c r="CL82" s="473"/>
      <c r="CM82" s="473"/>
      <c r="CN82" s="473"/>
      <c r="CO82" s="473"/>
      <c r="CP82" s="473"/>
      <c r="CQ82" s="473"/>
      <c r="CR82" s="473"/>
      <c r="CS82" s="473"/>
      <c r="CT82" s="473"/>
      <c r="CU82" s="516"/>
      <c r="CV82" s="501">
        <f t="shared" si="4"/>
        <v>0</v>
      </c>
      <c r="CW82" s="501">
        <f t="shared" si="5"/>
        <v>0</v>
      </c>
      <c r="CX82" s="473">
        <f t="shared" si="6"/>
        <v>0</v>
      </c>
      <c r="CY82" s="512">
        <f t="shared" si="7"/>
        <v>0</v>
      </c>
    </row>
    <row r="83" spans="1:103">
      <c r="A83" s="112" t="s">
        <v>424</v>
      </c>
      <c r="B83" s="162" t="str">
        <f>IFERROR(VLOOKUP(ParicipationJuillet1[[#This Row],[Référence]],ListeÉtudiants1[],18,FALSE),"")</f>
        <v>KIFIA ALI HILDA</v>
      </c>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640"/>
      <c r="AH83" s="202">
        <f>COUNTIF(ParicipationJuillet1[[#This Row],[1]:[31]],Code1)</f>
        <v>0</v>
      </c>
      <c r="AI83" s="475">
        <f>COUNTIF(ParicipationJuillet1[[#This Row],[1]:[31]],code22)</f>
        <v>0</v>
      </c>
      <c r="AJ83" s="202">
        <f>COUNTIF(ParicipationJuillet1[[#This Row],[1]:[31]],Code2)</f>
        <v>0</v>
      </c>
      <c r="AK83" s="202">
        <f>COUNTIF(ParicipationJuillet1[[#This Row],[1]:[31]],Code3)</f>
        <v>0</v>
      </c>
      <c r="AL83" s="202">
        <f>COUNTIF(ParicipationJuillet1[[#This Row],[1]:[31]],Code4)</f>
        <v>0</v>
      </c>
      <c r="AM83" s="473">
        <f>COUNTIF(ParicipationJuillet1[[#This Row],[1]:[31]],Code5)</f>
        <v>0</v>
      </c>
      <c r="AN83" s="473">
        <f>COUNTIF(ParicipationJuillet1[[#This Row],[1]:[31]],Code23)</f>
        <v>0</v>
      </c>
      <c r="AO83" s="473">
        <f>COUNTIF(ParicipationJuillet1[[#This Row],[1]:[31]],Code6)</f>
        <v>0</v>
      </c>
      <c r="AP83" s="473">
        <f>COUNTIF(ParicipationJuillet1[[#This Row],[1]:[31]],Code7)</f>
        <v>0</v>
      </c>
      <c r="AQ83" s="473">
        <f>COUNTIF(ParicipationJuillet1[[#This Row],[1]:[31]],Code8)</f>
        <v>0</v>
      </c>
      <c r="AR83" s="473">
        <f>COUNTIF(ParicipationJuillet1[[#This Row],[1]:[31]],Code9)</f>
        <v>0</v>
      </c>
      <c r="AS83" s="473">
        <f>COUNTIF(ParicipationJuillet1[[#This Row],[1]:[31]],Code10)</f>
        <v>0</v>
      </c>
      <c r="AT83" s="473">
        <f>COUNTIF(ParicipationJuillet1[[#This Row],[1]:[31]],Code11)</f>
        <v>0</v>
      </c>
      <c r="AU83" s="473">
        <f>COUNTIF(ParicipationJuillet1[[#This Row],[1]:[31]],Code12)</f>
        <v>0</v>
      </c>
      <c r="AV83" s="473">
        <f>COUNTIF(ParicipationJuillet1[[#This Row],[1]:[31]],Code13)</f>
        <v>0</v>
      </c>
      <c r="AW83" s="473">
        <f>COUNTIF(ParicipationJuillet1[[#This Row],[1]:[31]],Code14)</f>
        <v>0</v>
      </c>
      <c r="AX83" s="473">
        <f>COUNTIF(ParicipationJuillet1[[#This Row],[1]:[31]],Code15)</f>
        <v>0</v>
      </c>
      <c r="AY83" s="473">
        <f>COUNTIF(ParicipationJuillet1[[#This Row],[1]:[31]],Code16)</f>
        <v>0</v>
      </c>
      <c r="AZ83" s="473">
        <f>COUNTIF(ParicipationJuillet1[[#This Row],[1]:[31]],Code17)</f>
        <v>0</v>
      </c>
      <c r="BA83" s="473">
        <f>COUNTIF(ParicipationJuillet1[[#This Row],[1]:[31]],Code25)</f>
        <v>0</v>
      </c>
      <c r="BB83" s="473">
        <f>COUNTIF(ParicipationJuillet1[[#This Row],[1]:[31]],Code26)</f>
        <v>0</v>
      </c>
      <c r="BC83" s="473">
        <f>COUNTIF(ParicipationJuillet1[[#This Row],[1]:[31]],Code27)</f>
        <v>0</v>
      </c>
      <c r="BD83" s="473">
        <f>COUNTIF(ParicipationJuillet1[[#This Row],[1]:[31]],Code28)</f>
        <v>0</v>
      </c>
      <c r="BE83" s="473">
        <f>COUNTIF(ParicipationJuillet1[[#This Row],[1]:[31]],code30)</f>
        <v>0</v>
      </c>
      <c r="BF83" s="473">
        <f>COUNTIF(ParicipationJuillet1[[#This Row],[1]:[31]],Code31)</f>
        <v>0</v>
      </c>
      <c r="BG83" s="473">
        <f>COUNTIF(ParicipationJuillet1[[#This Row],[1]:[31]],code21)</f>
        <v>0</v>
      </c>
      <c r="BH83" s="473">
        <f>COUNTIF(ParicipationJuillet1[[#This Row],[1]:[31]],Code24)</f>
        <v>0</v>
      </c>
      <c r="BI83" s="473">
        <f>COUNTIF(ParicipationJuillet1[[#This Row],[1]:[31]],code18)</f>
        <v>0</v>
      </c>
      <c r="BJ83" s="473">
        <f>COUNTIF(ParicipationJuillet1[[#This Row],[1]:[31]],code19)</f>
        <v>0</v>
      </c>
      <c r="BK83" s="473">
        <f>COUNTIF(ParicipationJuillet1[[#This Row],[1]:[31]],code20)</f>
        <v>0</v>
      </c>
      <c r="BL83" s="516">
        <f>COUNTIF(ParicipationJuillet1[[#This Row],[1]:[31]],code29)</f>
        <v>0</v>
      </c>
      <c r="BM83" s="473"/>
      <c r="BN83" s="473"/>
      <c r="BO83" s="473"/>
      <c r="BP83" s="473"/>
      <c r="BQ83" s="473"/>
      <c r="BR83" s="473"/>
      <c r="BS83" s="473"/>
      <c r="BT83" s="473"/>
      <c r="BU83" s="473"/>
      <c r="BV83" s="473"/>
      <c r="BW83" s="473"/>
      <c r="BX83" s="473"/>
      <c r="BY83" s="473"/>
      <c r="BZ83" s="473"/>
      <c r="CA83" s="473"/>
      <c r="CB83" s="473"/>
      <c r="CC83" s="473"/>
      <c r="CD83" s="473"/>
      <c r="CE83" s="473"/>
      <c r="CF83" s="473"/>
      <c r="CG83" s="473"/>
      <c r="CH83" s="473"/>
      <c r="CI83" s="473"/>
      <c r="CJ83" s="473"/>
      <c r="CK83" s="473"/>
      <c r="CL83" s="473"/>
      <c r="CM83" s="473"/>
      <c r="CN83" s="473"/>
      <c r="CO83" s="473"/>
      <c r="CP83" s="473"/>
      <c r="CQ83" s="473"/>
      <c r="CR83" s="473"/>
      <c r="CS83" s="473"/>
      <c r="CT83" s="473"/>
      <c r="CU83" s="516"/>
      <c r="CV83" s="501">
        <f t="shared" si="4"/>
        <v>0</v>
      </c>
      <c r="CW83" s="501">
        <f t="shared" si="5"/>
        <v>0</v>
      </c>
      <c r="CX83" s="473">
        <f t="shared" si="6"/>
        <v>0</v>
      </c>
      <c r="CY83" s="512">
        <f t="shared" si="7"/>
        <v>0</v>
      </c>
    </row>
    <row r="84" spans="1:103">
      <c r="A84" s="112" t="s">
        <v>425</v>
      </c>
      <c r="B84" s="162" t="str">
        <f>IFERROR(VLOOKUP(ParicipationJuillet1[[#This Row],[Référence]],ListeÉtudiants1[],18,FALSE),"")</f>
        <v>KONATE FATOUMATA</v>
      </c>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640"/>
      <c r="AH84" s="202">
        <f>COUNTIF(ParicipationJuillet1[[#This Row],[1]:[31]],Code1)</f>
        <v>0</v>
      </c>
      <c r="AI84" s="475">
        <f>COUNTIF(ParicipationJuillet1[[#This Row],[1]:[31]],code22)</f>
        <v>0</v>
      </c>
      <c r="AJ84" s="202">
        <f>COUNTIF(ParicipationJuillet1[[#This Row],[1]:[31]],Code2)</f>
        <v>0</v>
      </c>
      <c r="AK84" s="202">
        <f>COUNTIF(ParicipationJuillet1[[#This Row],[1]:[31]],Code3)</f>
        <v>0</v>
      </c>
      <c r="AL84" s="202">
        <f>COUNTIF(ParicipationJuillet1[[#This Row],[1]:[31]],Code4)</f>
        <v>0</v>
      </c>
      <c r="AM84" s="473">
        <f>COUNTIF(ParicipationJuillet1[[#This Row],[1]:[31]],Code5)</f>
        <v>0</v>
      </c>
      <c r="AN84" s="473">
        <f>COUNTIF(ParicipationJuillet1[[#This Row],[1]:[31]],Code23)</f>
        <v>0</v>
      </c>
      <c r="AO84" s="473">
        <f>COUNTIF(ParicipationJuillet1[[#This Row],[1]:[31]],Code6)</f>
        <v>0</v>
      </c>
      <c r="AP84" s="473">
        <f>COUNTIF(ParicipationJuillet1[[#This Row],[1]:[31]],Code7)</f>
        <v>0</v>
      </c>
      <c r="AQ84" s="473">
        <f>COUNTIF(ParicipationJuillet1[[#This Row],[1]:[31]],Code8)</f>
        <v>0</v>
      </c>
      <c r="AR84" s="473">
        <f>COUNTIF(ParicipationJuillet1[[#This Row],[1]:[31]],Code9)</f>
        <v>0</v>
      </c>
      <c r="AS84" s="473">
        <f>COUNTIF(ParicipationJuillet1[[#This Row],[1]:[31]],Code10)</f>
        <v>0</v>
      </c>
      <c r="AT84" s="473">
        <f>COUNTIF(ParicipationJuillet1[[#This Row],[1]:[31]],Code11)</f>
        <v>0</v>
      </c>
      <c r="AU84" s="473">
        <f>COUNTIF(ParicipationJuillet1[[#This Row],[1]:[31]],Code12)</f>
        <v>0</v>
      </c>
      <c r="AV84" s="473">
        <f>COUNTIF(ParicipationJuillet1[[#This Row],[1]:[31]],Code13)</f>
        <v>0</v>
      </c>
      <c r="AW84" s="473">
        <f>COUNTIF(ParicipationJuillet1[[#This Row],[1]:[31]],Code14)</f>
        <v>0</v>
      </c>
      <c r="AX84" s="473">
        <f>COUNTIF(ParicipationJuillet1[[#This Row],[1]:[31]],Code15)</f>
        <v>0</v>
      </c>
      <c r="AY84" s="473">
        <f>COUNTIF(ParicipationJuillet1[[#This Row],[1]:[31]],Code16)</f>
        <v>0</v>
      </c>
      <c r="AZ84" s="473">
        <f>COUNTIF(ParicipationJuillet1[[#This Row],[1]:[31]],Code17)</f>
        <v>0</v>
      </c>
      <c r="BA84" s="473">
        <f>COUNTIF(ParicipationJuillet1[[#This Row],[1]:[31]],Code25)</f>
        <v>0</v>
      </c>
      <c r="BB84" s="473">
        <f>COUNTIF(ParicipationJuillet1[[#This Row],[1]:[31]],Code26)</f>
        <v>0</v>
      </c>
      <c r="BC84" s="473">
        <f>COUNTIF(ParicipationJuillet1[[#This Row],[1]:[31]],Code27)</f>
        <v>0</v>
      </c>
      <c r="BD84" s="473">
        <f>COUNTIF(ParicipationJuillet1[[#This Row],[1]:[31]],Code28)</f>
        <v>0</v>
      </c>
      <c r="BE84" s="473">
        <f>COUNTIF(ParicipationJuillet1[[#This Row],[1]:[31]],code30)</f>
        <v>0</v>
      </c>
      <c r="BF84" s="473">
        <f>COUNTIF(ParicipationJuillet1[[#This Row],[1]:[31]],Code31)</f>
        <v>0</v>
      </c>
      <c r="BG84" s="473">
        <f>COUNTIF(ParicipationJuillet1[[#This Row],[1]:[31]],code21)</f>
        <v>0</v>
      </c>
      <c r="BH84" s="473">
        <f>COUNTIF(ParicipationJuillet1[[#This Row],[1]:[31]],Code24)</f>
        <v>0</v>
      </c>
      <c r="BI84" s="473">
        <f>COUNTIF(ParicipationJuillet1[[#This Row],[1]:[31]],code18)</f>
        <v>0</v>
      </c>
      <c r="BJ84" s="473">
        <f>COUNTIF(ParicipationJuillet1[[#This Row],[1]:[31]],code19)</f>
        <v>0</v>
      </c>
      <c r="BK84" s="473">
        <f>COUNTIF(ParicipationJuillet1[[#This Row],[1]:[31]],code20)</f>
        <v>0</v>
      </c>
      <c r="BL84" s="516">
        <f>COUNTIF(ParicipationJuillet1[[#This Row],[1]:[31]],code29)</f>
        <v>0</v>
      </c>
      <c r="BM84" s="473"/>
      <c r="BN84" s="473"/>
      <c r="BO84" s="473"/>
      <c r="BP84" s="473"/>
      <c r="BQ84" s="473"/>
      <c r="BR84" s="473"/>
      <c r="BS84" s="473"/>
      <c r="BT84" s="473"/>
      <c r="BU84" s="473"/>
      <c r="BV84" s="473"/>
      <c r="BW84" s="473"/>
      <c r="BX84" s="473"/>
      <c r="BY84" s="473"/>
      <c r="BZ84" s="473"/>
      <c r="CA84" s="473"/>
      <c r="CB84" s="473"/>
      <c r="CC84" s="473"/>
      <c r="CD84" s="473"/>
      <c r="CE84" s="473"/>
      <c r="CF84" s="473"/>
      <c r="CG84" s="473"/>
      <c r="CH84" s="473"/>
      <c r="CI84" s="473"/>
      <c r="CJ84" s="473"/>
      <c r="CK84" s="473"/>
      <c r="CL84" s="473"/>
      <c r="CM84" s="473"/>
      <c r="CN84" s="473"/>
      <c r="CO84" s="473"/>
      <c r="CP84" s="473"/>
      <c r="CQ84" s="473"/>
      <c r="CR84" s="473"/>
      <c r="CS84" s="473"/>
      <c r="CT84" s="473"/>
      <c r="CU84" s="516"/>
      <c r="CV84" s="501">
        <f t="shared" si="4"/>
        <v>0</v>
      </c>
      <c r="CW84" s="501">
        <f t="shared" si="5"/>
        <v>0</v>
      </c>
      <c r="CX84" s="473">
        <f t="shared" si="6"/>
        <v>0</v>
      </c>
      <c r="CY84" s="512">
        <f t="shared" si="7"/>
        <v>0</v>
      </c>
    </row>
    <row r="85" spans="1:103">
      <c r="A85" s="112" t="s">
        <v>426</v>
      </c>
      <c r="B85" s="162" t="str">
        <f>IFERROR(VLOOKUP(ParicipationJuillet1[[#This Row],[Référence]],ListeÉtudiants1[],18,FALSE),"")</f>
        <v>KRIR DINA</v>
      </c>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640"/>
      <c r="AH85" s="202">
        <f>COUNTIF(ParicipationJuillet1[[#This Row],[1]:[31]],Code1)</f>
        <v>0</v>
      </c>
      <c r="AI85" s="475">
        <f>COUNTIF(ParicipationJuillet1[[#This Row],[1]:[31]],code22)</f>
        <v>0</v>
      </c>
      <c r="AJ85" s="202">
        <f>COUNTIF(ParicipationJuillet1[[#This Row],[1]:[31]],Code2)</f>
        <v>0</v>
      </c>
      <c r="AK85" s="202">
        <f>COUNTIF(ParicipationJuillet1[[#This Row],[1]:[31]],Code3)</f>
        <v>0</v>
      </c>
      <c r="AL85" s="202">
        <f>COUNTIF(ParicipationJuillet1[[#This Row],[1]:[31]],Code4)</f>
        <v>0</v>
      </c>
      <c r="AM85" s="473">
        <f>COUNTIF(ParicipationJuillet1[[#This Row],[1]:[31]],Code5)</f>
        <v>0</v>
      </c>
      <c r="AN85" s="473">
        <f>COUNTIF(ParicipationJuillet1[[#This Row],[1]:[31]],Code23)</f>
        <v>0</v>
      </c>
      <c r="AO85" s="473">
        <f>COUNTIF(ParicipationJuillet1[[#This Row],[1]:[31]],Code6)</f>
        <v>0</v>
      </c>
      <c r="AP85" s="473">
        <f>COUNTIF(ParicipationJuillet1[[#This Row],[1]:[31]],Code7)</f>
        <v>0</v>
      </c>
      <c r="AQ85" s="473">
        <f>COUNTIF(ParicipationJuillet1[[#This Row],[1]:[31]],Code8)</f>
        <v>0</v>
      </c>
      <c r="AR85" s="473">
        <f>COUNTIF(ParicipationJuillet1[[#This Row],[1]:[31]],Code9)</f>
        <v>0</v>
      </c>
      <c r="AS85" s="473">
        <f>COUNTIF(ParicipationJuillet1[[#This Row],[1]:[31]],Code10)</f>
        <v>0</v>
      </c>
      <c r="AT85" s="473">
        <f>COUNTIF(ParicipationJuillet1[[#This Row],[1]:[31]],Code11)</f>
        <v>0</v>
      </c>
      <c r="AU85" s="473">
        <f>COUNTIF(ParicipationJuillet1[[#This Row],[1]:[31]],Code12)</f>
        <v>0</v>
      </c>
      <c r="AV85" s="473">
        <f>COUNTIF(ParicipationJuillet1[[#This Row],[1]:[31]],Code13)</f>
        <v>0</v>
      </c>
      <c r="AW85" s="473">
        <f>COUNTIF(ParicipationJuillet1[[#This Row],[1]:[31]],Code14)</f>
        <v>0</v>
      </c>
      <c r="AX85" s="473">
        <f>COUNTIF(ParicipationJuillet1[[#This Row],[1]:[31]],Code15)</f>
        <v>0</v>
      </c>
      <c r="AY85" s="473">
        <f>COUNTIF(ParicipationJuillet1[[#This Row],[1]:[31]],Code16)</f>
        <v>0</v>
      </c>
      <c r="AZ85" s="473">
        <f>COUNTIF(ParicipationJuillet1[[#This Row],[1]:[31]],Code17)</f>
        <v>0</v>
      </c>
      <c r="BA85" s="473">
        <f>COUNTIF(ParicipationJuillet1[[#This Row],[1]:[31]],Code25)</f>
        <v>0</v>
      </c>
      <c r="BB85" s="473">
        <f>COUNTIF(ParicipationJuillet1[[#This Row],[1]:[31]],Code26)</f>
        <v>0</v>
      </c>
      <c r="BC85" s="473">
        <f>COUNTIF(ParicipationJuillet1[[#This Row],[1]:[31]],Code27)</f>
        <v>0</v>
      </c>
      <c r="BD85" s="473">
        <f>COUNTIF(ParicipationJuillet1[[#This Row],[1]:[31]],Code28)</f>
        <v>0</v>
      </c>
      <c r="BE85" s="473">
        <f>COUNTIF(ParicipationJuillet1[[#This Row],[1]:[31]],code30)</f>
        <v>0</v>
      </c>
      <c r="BF85" s="473">
        <f>COUNTIF(ParicipationJuillet1[[#This Row],[1]:[31]],Code31)</f>
        <v>0</v>
      </c>
      <c r="BG85" s="473">
        <f>COUNTIF(ParicipationJuillet1[[#This Row],[1]:[31]],code21)</f>
        <v>0</v>
      </c>
      <c r="BH85" s="473">
        <f>COUNTIF(ParicipationJuillet1[[#This Row],[1]:[31]],Code24)</f>
        <v>0</v>
      </c>
      <c r="BI85" s="473">
        <f>COUNTIF(ParicipationJuillet1[[#This Row],[1]:[31]],code18)</f>
        <v>0</v>
      </c>
      <c r="BJ85" s="473">
        <f>COUNTIF(ParicipationJuillet1[[#This Row],[1]:[31]],code19)</f>
        <v>0</v>
      </c>
      <c r="BK85" s="473">
        <f>COUNTIF(ParicipationJuillet1[[#This Row],[1]:[31]],code20)</f>
        <v>0</v>
      </c>
      <c r="BL85" s="516">
        <f>COUNTIF(ParicipationJuillet1[[#This Row],[1]:[31]],code29)</f>
        <v>0</v>
      </c>
      <c r="BM85" s="473"/>
      <c r="BN85" s="473"/>
      <c r="BO85" s="473"/>
      <c r="BP85" s="473"/>
      <c r="BQ85" s="473"/>
      <c r="BR85" s="473"/>
      <c r="BS85" s="473"/>
      <c r="BT85" s="473"/>
      <c r="BU85" s="473"/>
      <c r="BV85" s="473"/>
      <c r="BW85" s="473"/>
      <c r="BX85" s="473"/>
      <c r="BY85" s="473"/>
      <c r="BZ85" s="473"/>
      <c r="CA85" s="473"/>
      <c r="CB85" s="473"/>
      <c r="CC85" s="473"/>
      <c r="CD85" s="473"/>
      <c r="CE85" s="473"/>
      <c r="CF85" s="473"/>
      <c r="CG85" s="473"/>
      <c r="CH85" s="473"/>
      <c r="CI85" s="473"/>
      <c r="CJ85" s="473"/>
      <c r="CK85" s="473"/>
      <c r="CL85" s="473"/>
      <c r="CM85" s="473"/>
      <c r="CN85" s="473"/>
      <c r="CO85" s="473"/>
      <c r="CP85" s="473"/>
      <c r="CQ85" s="473"/>
      <c r="CR85" s="473"/>
      <c r="CS85" s="473"/>
      <c r="CT85" s="473"/>
      <c r="CU85" s="516"/>
      <c r="CV85" s="501">
        <f t="shared" si="4"/>
        <v>0</v>
      </c>
      <c r="CW85" s="501">
        <f t="shared" si="5"/>
        <v>0</v>
      </c>
      <c r="CX85" s="473">
        <f t="shared" si="6"/>
        <v>0</v>
      </c>
      <c r="CY85" s="512">
        <f t="shared" si="7"/>
        <v>0</v>
      </c>
    </row>
    <row r="86" spans="1:103">
      <c r="A86" s="112" t="s">
        <v>427</v>
      </c>
      <c r="B86" s="162" t="str">
        <f>IFERROR(VLOOKUP(ParicipationJuillet1[[#This Row],[Référence]],ListeÉtudiants1[],18,FALSE),"")</f>
        <v>LACROIX LORRY</v>
      </c>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640"/>
      <c r="AH86" s="202">
        <f>COUNTIF(ParicipationJuillet1[[#This Row],[1]:[31]],Code1)</f>
        <v>0</v>
      </c>
      <c r="AI86" s="475">
        <f>COUNTIF(ParicipationJuillet1[[#This Row],[1]:[31]],code22)</f>
        <v>0</v>
      </c>
      <c r="AJ86" s="202">
        <f>COUNTIF(ParicipationJuillet1[[#This Row],[1]:[31]],Code2)</f>
        <v>0</v>
      </c>
      <c r="AK86" s="202">
        <f>COUNTIF(ParicipationJuillet1[[#This Row],[1]:[31]],Code3)</f>
        <v>0</v>
      </c>
      <c r="AL86" s="202">
        <f>COUNTIF(ParicipationJuillet1[[#This Row],[1]:[31]],Code4)</f>
        <v>0</v>
      </c>
      <c r="AM86" s="473">
        <f>COUNTIF(ParicipationJuillet1[[#This Row],[1]:[31]],Code5)</f>
        <v>0</v>
      </c>
      <c r="AN86" s="473">
        <f>COUNTIF(ParicipationJuillet1[[#This Row],[1]:[31]],Code23)</f>
        <v>0</v>
      </c>
      <c r="AO86" s="473">
        <f>COUNTIF(ParicipationJuillet1[[#This Row],[1]:[31]],Code6)</f>
        <v>0</v>
      </c>
      <c r="AP86" s="473">
        <f>COUNTIF(ParicipationJuillet1[[#This Row],[1]:[31]],Code7)</f>
        <v>0</v>
      </c>
      <c r="AQ86" s="473">
        <f>COUNTIF(ParicipationJuillet1[[#This Row],[1]:[31]],Code8)</f>
        <v>0</v>
      </c>
      <c r="AR86" s="473">
        <f>COUNTIF(ParicipationJuillet1[[#This Row],[1]:[31]],Code9)</f>
        <v>0</v>
      </c>
      <c r="AS86" s="473">
        <f>COUNTIF(ParicipationJuillet1[[#This Row],[1]:[31]],Code10)</f>
        <v>0</v>
      </c>
      <c r="AT86" s="473">
        <f>COUNTIF(ParicipationJuillet1[[#This Row],[1]:[31]],Code11)</f>
        <v>0</v>
      </c>
      <c r="AU86" s="473">
        <f>COUNTIF(ParicipationJuillet1[[#This Row],[1]:[31]],Code12)</f>
        <v>0</v>
      </c>
      <c r="AV86" s="473">
        <f>COUNTIF(ParicipationJuillet1[[#This Row],[1]:[31]],Code13)</f>
        <v>0</v>
      </c>
      <c r="AW86" s="473">
        <f>COUNTIF(ParicipationJuillet1[[#This Row],[1]:[31]],Code14)</f>
        <v>0</v>
      </c>
      <c r="AX86" s="473">
        <f>COUNTIF(ParicipationJuillet1[[#This Row],[1]:[31]],Code15)</f>
        <v>0</v>
      </c>
      <c r="AY86" s="473">
        <f>COUNTIF(ParicipationJuillet1[[#This Row],[1]:[31]],Code16)</f>
        <v>0</v>
      </c>
      <c r="AZ86" s="473">
        <f>COUNTIF(ParicipationJuillet1[[#This Row],[1]:[31]],Code17)</f>
        <v>0</v>
      </c>
      <c r="BA86" s="473">
        <f>COUNTIF(ParicipationJuillet1[[#This Row],[1]:[31]],Code25)</f>
        <v>0</v>
      </c>
      <c r="BB86" s="473">
        <f>COUNTIF(ParicipationJuillet1[[#This Row],[1]:[31]],Code26)</f>
        <v>0</v>
      </c>
      <c r="BC86" s="473">
        <f>COUNTIF(ParicipationJuillet1[[#This Row],[1]:[31]],Code27)</f>
        <v>0</v>
      </c>
      <c r="BD86" s="473">
        <f>COUNTIF(ParicipationJuillet1[[#This Row],[1]:[31]],Code28)</f>
        <v>0</v>
      </c>
      <c r="BE86" s="473">
        <f>COUNTIF(ParicipationJuillet1[[#This Row],[1]:[31]],code30)</f>
        <v>0</v>
      </c>
      <c r="BF86" s="473">
        <f>COUNTIF(ParicipationJuillet1[[#This Row],[1]:[31]],Code31)</f>
        <v>0</v>
      </c>
      <c r="BG86" s="473">
        <f>COUNTIF(ParicipationJuillet1[[#This Row],[1]:[31]],code21)</f>
        <v>0</v>
      </c>
      <c r="BH86" s="473">
        <f>COUNTIF(ParicipationJuillet1[[#This Row],[1]:[31]],Code24)</f>
        <v>0</v>
      </c>
      <c r="BI86" s="473">
        <f>COUNTIF(ParicipationJuillet1[[#This Row],[1]:[31]],code18)</f>
        <v>0</v>
      </c>
      <c r="BJ86" s="473">
        <f>COUNTIF(ParicipationJuillet1[[#This Row],[1]:[31]],code19)</f>
        <v>0</v>
      </c>
      <c r="BK86" s="473">
        <f>COUNTIF(ParicipationJuillet1[[#This Row],[1]:[31]],code20)</f>
        <v>0</v>
      </c>
      <c r="BL86" s="516">
        <f>COUNTIF(ParicipationJuillet1[[#This Row],[1]:[31]],code29)</f>
        <v>0</v>
      </c>
      <c r="BM86" s="473"/>
      <c r="BN86" s="473"/>
      <c r="BO86" s="473"/>
      <c r="BP86" s="473"/>
      <c r="BQ86" s="473"/>
      <c r="BR86" s="473"/>
      <c r="BS86" s="473"/>
      <c r="BT86" s="473"/>
      <c r="BU86" s="473"/>
      <c r="BV86" s="473"/>
      <c r="BW86" s="473"/>
      <c r="BX86" s="473"/>
      <c r="BY86" s="473"/>
      <c r="BZ86" s="473"/>
      <c r="CA86" s="473"/>
      <c r="CB86" s="473"/>
      <c r="CC86" s="473"/>
      <c r="CD86" s="473"/>
      <c r="CE86" s="473"/>
      <c r="CF86" s="473"/>
      <c r="CG86" s="473"/>
      <c r="CH86" s="473"/>
      <c r="CI86" s="473"/>
      <c r="CJ86" s="473"/>
      <c r="CK86" s="473"/>
      <c r="CL86" s="473"/>
      <c r="CM86" s="473"/>
      <c r="CN86" s="473"/>
      <c r="CO86" s="473"/>
      <c r="CP86" s="473"/>
      <c r="CQ86" s="473"/>
      <c r="CR86" s="473"/>
      <c r="CS86" s="473"/>
      <c r="CT86" s="473"/>
      <c r="CU86" s="516"/>
      <c r="CV86" s="501">
        <f t="shared" si="4"/>
        <v>0</v>
      </c>
      <c r="CW86" s="501">
        <f t="shared" si="5"/>
        <v>0</v>
      </c>
      <c r="CX86" s="473">
        <f t="shared" si="6"/>
        <v>0</v>
      </c>
      <c r="CY86" s="512">
        <f t="shared" si="7"/>
        <v>0</v>
      </c>
    </row>
    <row r="87" spans="1:103">
      <c r="A87" s="112" t="s">
        <v>428</v>
      </c>
      <c r="B87" s="162" t="str">
        <f>IFERROR(VLOOKUP(ParicipationJuillet1[[#This Row],[Référence]],ListeÉtudiants1[],18,FALSE),"")</f>
        <v>LADERVAL TATIANA</v>
      </c>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640"/>
      <c r="AH87" s="202">
        <f>COUNTIF(ParicipationJuillet1[[#This Row],[1]:[31]],Code1)</f>
        <v>0</v>
      </c>
      <c r="AI87" s="475">
        <f>COUNTIF(ParicipationJuillet1[[#This Row],[1]:[31]],code22)</f>
        <v>0</v>
      </c>
      <c r="AJ87" s="202">
        <f>COUNTIF(ParicipationJuillet1[[#This Row],[1]:[31]],Code2)</f>
        <v>0</v>
      </c>
      <c r="AK87" s="202">
        <f>COUNTIF(ParicipationJuillet1[[#This Row],[1]:[31]],Code3)</f>
        <v>0</v>
      </c>
      <c r="AL87" s="202">
        <f>COUNTIF(ParicipationJuillet1[[#This Row],[1]:[31]],Code4)</f>
        <v>0</v>
      </c>
      <c r="AM87" s="473">
        <f>COUNTIF(ParicipationJuillet1[[#This Row],[1]:[31]],Code5)</f>
        <v>0</v>
      </c>
      <c r="AN87" s="473">
        <f>COUNTIF(ParicipationJuillet1[[#This Row],[1]:[31]],Code23)</f>
        <v>0</v>
      </c>
      <c r="AO87" s="473">
        <f>COUNTIF(ParicipationJuillet1[[#This Row],[1]:[31]],Code6)</f>
        <v>0</v>
      </c>
      <c r="AP87" s="473">
        <f>COUNTIF(ParicipationJuillet1[[#This Row],[1]:[31]],Code7)</f>
        <v>0</v>
      </c>
      <c r="AQ87" s="473">
        <f>COUNTIF(ParicipationJuillet1[[#This Row],[1]:[31]],Code8)</f>
        <v>0</v>
      </c>
      <c r="AR87" s="473">
        <f>COUNTIF(ParicipationJuillet1[[#This Row],[1]:[31]],Code9)</f>
        <v>0</v>
      </c>
      <c r="AS87" s="473">
        <f>COUNTIF(ParicipationJuillet1[[#This Row],[1]:[31]],Code10)</f>
        <v>0</v>
      </c>
      <c r="AT87" s="473">
        <f>COUNTIF(ParicipationJuillet1[[#This Row],[1]:[31]],Code11)</f>
        <v>0</v>
      </c>
      <c r="AU87" s="473">
        <f>COUNTIF(ParicipationJuillet1[[#This Row],[1]:[31]],Code12)</f>
        <v>0</v>
      </c>
      <c r="AV87" s="473">
        <f>COUNTIF(ParicipationJuillet1[[#This Row],[1]:[31]],Code13)</f>
        <v>0</v>
      </c>
      <c r="AW87" s="473">
        <f>COUNTIF(ParicipationJuillet1[[#This Row],[1]:[31]],Code14)</f>
        <v>0</v>
      </c>
      <c r="AX87" s="473">
        <f>COUNTIF(ParicipationJuillet1[[#This Row],[1]:[31]],Code15)</f>
        <v>0</v>
      </c>
      <c r="AY87" s="473">
        <f>COUNTIF(ParicipationJuillet1[[#This Row],[1]:[31]],Code16)</f>
        <v>0</v>
      </c>
      <c r="AZ87" s="473">
        <f>COUNTIF(ParicipationJuillet1[[#This Row],[1]:[31]],Code17)</f>
        <v>0</v>
      </c>
      <c r="BA87" s="473">
        <f>COUNTIF(ParicipationJuillet1[[#This Row],[1]:[31]],Code25)</f>
        <v>0</v>
      </c>
      <c r="BB87" s="473">
        <f>COUNTIF(ParicipationJuillet1[[#This Row],[1]:[31]],Code26)</f>
        <v>0</v>
      </c>
      <c r="BC87" s="473">
        <f>COUNTIF(ParicipationJuillet1[[#This Row],[1]:[31]],Code27)</f>
        <v>0</v>
      </c>
      <c r="BD87" s="473">
        <f>COUNTIF(ParicipationJuillet1[[#This Row],[1]:[31]],Code28)</f>
        <v>0</v>
      </c>
      <c r="BE87" s="473">
        <f>COUNTIF(ParicipationJuillet1[[#This Row],[1]:[31]],code30)</f>
        <v>0</v>
      </c>
      <c r="BF87" s="473">
        <f>COUNTIF(ParicipationJuillet1[[#This Row],[1]:[31]],Code31)</f>
        <v>0</v>
      </c>
      <c r="BG87" s="473">
        <f>COUNTIF(ParicipationJuillet1[[#This Row],[1]:[31]],code21)</f>
        <v>0</v>
      </c>
      <c r="BH87" s="473">
        <f>COUNTIF(ParicipationJuillet1[[#This Row],[1]:[31]],Code24)</f>
        <v>0</v>
      </c>
      <c r="BI87" s="473">
        <f>COUNTIF(ParicipationJuillet1[[#This Row],[1]:[31]],code18)</f>
        <v>0</v>
      </c>
      <c r="BJ87" s="473">
        <f>COUNTIF(ParicipationJuillet1[[#This Row],[1]:[31]],code19)</f>
        <v>0</v>
      </c>
      <c r="BK87" s="473">
        <f>COUNTIF(ParicipationJuillet1[[#This Row],[1]:[31]],code20)</f>
        <v>0</v>
      </c>
      <c r="BL87" s="516">
        <f>COUNTIF(ParicipationJuillet1[[#This Row],[1]:[31]],code29)</f>
        <v>0</v>
      </c>
      <c r="BM87" s="473"/>
      <c r="BN87" s="473"/>
      <c r="BO87" s="473"/>
      <c r="BP87" s="473"/>
      <c r="BQ87" s="473"/>
      <c r="BR87" s="473"/>
      <c r="BS87" s="473"/>
      <c r="BT87" s="473"/>
      <c r="BU87" s="473"/>
      <c r="BV87" s="473"/>
      <c r="BW87" s="473"/>
      <c r="BX87" s="473"/>
      <c r="BY87" s="473"/>
      <c r="BZ87" s="473"/>
      <c r="CA87" s="473"/>
      <c r="CB87" s="473"/>
      <c r="CC87" s="473"/>
      <c r="CD87" s="473"/>
      <c r="CE87" s="473"/>
      <c r="CF87" s="473"/>
      <c r="CG87" s="473"/>
      <c r="CH87" s="473"/>
      <c r="CI87" s="473"/>
      <c r="CJ87" s="473"/>
      <c r="CK87" s="473"/>
      <c r="CL87" s="473"/>
      <c r="CM87" s="473"/>
      <c r="CN87" s="473"/>
      <c r="CO87" s="473"/>
      <c r="CP87" s="473"/>
      <c r="CQ87" s="473"/>
      <c r="CR87" s="473"/>
      <c r="CS87" s="473"/>
      <c r="CT87" s="473"/>
      <c r="CU87" s="516"/>
      <c r="CV87" s="501">
        <f t="shared" si="4"/>
        <v>0</v>
      </c>
      <c r="CW87" s="501">
        <f t="shared" si="5"/>
        <v>0</v>
      </c>
      <c r="CX87" s="473">
        <f t="shared" si="6"/>
        <v>0</v>
      </c>
      <c r="CY87" s="512">
        <f t="shared" si="7"/>
        <v>0</v>
      </c>
    </row>
    <row r="88" spans="1:103">
      <c r="A88" s="112" t="s">
        <v>429</v>
      </c>
      <c r="B88" s="162" t="str">
        <f>IFERROR(VLOOKUP(ParicipationJuillet1[[#This Row],[Référence]],ListeÉtudiants1[],18,FALSE),"")</f>
        <v>LALARDIE EMMANUELLE</v>
      </c>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640"/>
      <c r="AH88" s="202">
        <f>COUNTIF(ParicipationJuillet1[[#This Row],[1]:[31]],Code1)</f>
        <v>0</v>
      </c>
      <c r="AI88" s="475">
        <f>COUNTIF(ParicipationJuillet1[[#This Row],[1]:[31]],code22)</f>
        <v>0</v>
      </c>
      <c r="AJ88" s="202">
        <f>COUNTIF(ParicipationJuillet1[[#This Row],[1]:[31]],Code2)</f>
        <v>0</v>
      </c>
      <c r="AK88" s="202">
        <f>COUNTIF(ParicipationJuillet1[[#This Row],[1]:[31]],Code3)</f>
        <v>0</v>
      </c>
      <c r="AL88" s="202">
        <f>COUNTIF(ParicipationJuillet1[[#This Row],[1]:[31]],Code4)</f>
        <v>0</v>
      </c>
      <c r="AM88" s="473">
        <f>COUNTIF(ParicipationJuillet1[[#This Row],[1]:[31]],Code5)</f>
        <v>0</v>
      </c>
      <c r="AN88" s="473">
        <f>COUNTIF(ParicipationJuillet1[[#This Row],[1]:[31]],Code23)</f>
        <v>0</v>
      </c>
      <c r="AO88" s="473">
        <f>COUNTIF(ParicipationJuillet1[[#This Row],[1]:[31]],Code6)</f>
        <v>0</v>
      </c>
      <c r="AP88" s="473">
        <f>COUNTIF(ParicipationJuillet1[[#This Row],[1]:[31]],Code7)</f>
        <v>0</v>
      </c>
      <c r="AQ88" s="473">
        <f>COUNTIF(ParicipationJuillet1[[#This Row],[1]:[31]],Code8)</f>
        <v>0</v>
      </c>
      <c r="AR88" s="473">
        <f>COUNTIF(ParicipationJuillet1[[#This Row],[1]:[31]],Code9)</f>
        <v>0</v>
      </c>
      <c r="AS88" s="473">
        <f>COUNTIF(ParicipationJuillet1[[#This Row],[1]:[31]],Code10)</f>
        <v>0</v>
      </c>
      <c r="AT88" s="473">
        <f>COUNTIF(ParicipationJuillet1[[#This Row],[1]:[31]],Code11)</f>
        <v>0</v>
      </c>
      <c r="AU88" s="473">
        <f>COUNTIF(ParicipationJuillet1[[#This Row],[1]:[31]],Code12)</f>
        <v>0</v>
      </c>
      <c r="AV88" s="473">
        <f>COUNTIF(ParicipationJuillet1[[#This Row],[1]:[31]],Code13)</f>
        <v>0</v>
      </c>
      <c r="AW88" s="473">
        <f>COUNTIF(ParicipationJuillet1[[#This Row],[1]:[31]],Code14)</f>
        <v>0</v>
      </c>
      <c r="AX88" s="473">
        <f>COUNTIF(ParicipationJuillet1[[#This Row],[1]:[31]],Code15)</f>
        <v>0</v>
      </c>
      <c r="AY88" s="473">
        <f>COUNTIF(ParicipationJuillet1[[#This Row],[1]:[31]],Code16)</f>
        <v>0</v>
      </c>
      <c r="AZ88" s="473">
        <f>COUNTIF(ParicipationJuillet1[[#This Row],[1]:[31]],Code17)</f>
        <v>0</v>
      </c>
      <c r="BA88" s="473">
        <f>COUNTIF(ParicipationJuillet1[[#This Row],[1]:[31]],Code25)</f>
        <v>0</v>
      </c>
      <c r="BB88" s="473">
        <f>COUNTIF(ParicipationJuillet1[[#This Row],[1]:[31]],Code26)</f>
        <v>0</v>
      </c>
      <c r="BC88" s="473">
        <f>COUNTIF(ParicipationJuillet1[[#This Row],[1]:[31]],Code27)</f>
        <v>0</v>
      </c>
      <c r="BD88" s="473">
        <f>COUNTIF(ParicipationJuillet1[[#This Row],[1]:[31]],Code28)</f>
        <v>0</v>
      </c>
      <c r="BE88" s="473">
        <f>COUNTIF(ParicipationJuillet1[[#This Row],[1]:[31]],code30)</f>
        <v>0</v>
      </c>
      <c r="BF88" s="473">
        <f>COUNTIF(ParicipationJuillet1[[#This Row],[1]:[31]],Code31)</f>
        <v>0</v>
      </c>
      <c r="BG88" s="473">
        <f>COUNTIF(ParicipationJuillet1[[#This Row],[1]:[31]],code21)</f>
        <v>0</v>
      </c>
      <c r="BH88" s="473">
        <f>COUNTIF(ParicipationJuillet1[[#This Row],[1]:[31]],Code24)</f>
        <v>0</v>
      </c>
      <c r="BI88" s="473">
        <f>COUNTIF(ParicipationJuillet1[[#This Row],[1]:[31]],code18)</f>
        <v>0</v>
      </c>
      <c r="BJ88" s="473">
        <f>COUNTIF(ParicipationJuillet1[[#This Row],[1]:[31]],code19)</f>
        <v>0</v>
      </c>
      <c r="BK88" s="473">
        <f>COUNTIF(ParicipationJuillet1[[#This Row],[1]:[31]],code20)</f>
        <v>0</v>
      </c>
      <c r="BL88" s="516">
        <f>COUNTIF(ParicipationJuillet1[[#This Row],[1]:[31]],code29)</f>
        <v>0</v>
      </c>
      <c r="BM88" s="473"/>
      <c r="BN88" s="473"/>
      <c r="BO88" s="473"/>
      <c r="BP88" s="473"/>
      <c r="BQ88" s="473"/>
      <c r="BR88" s="473"/>
      <c r="BS88" s="473"/>
      <c r="BT88" s="473"/>
      <c r="BU88" s="473"/>
      <c r="BV88" s="473"/>
      <c r="BW88" s="473"/>
      <c r="BX88" s="473"/>
      <c r="BY88" s="473"/>
      <c r="BZ88" s="473"/>
      <c r="CA88" s="473"/>
      <c r="CB88" s="473"/>
      <c r="CC88" s="473"/>
      <c r="CD88" s="473"/>
      <c r="CE88" s="473"/>
      <c r="CF88" s="473"/>
      <c r="CG88" s="473"/>
      <c r="CH88" s="473"/>
      <c r="CI88" s="473"/>
      <c r="CJ88" s="473"/>
      <c r="CK88" s="473"/>
      <c r="CL88" s="473"/>
      <c r="CM88" s="473"/>
      <c r="CN88" s="473"/>
      <c r="CO88" s="473"/>
      <c r="CP88" s="473"/>
      <c r="CQ88" s="473"/>
      <c r="CR88" s="473"/>
      <c r="CS88" s="473"/>
      <c r="CT88" s="473"/>
      <c r="CU88" s="516"/>
      <c r="CV88" s="501">
        <f t="shared" si="4"/>
        <v>0</v>
      </c>
      <c r="CW88" s="501">
        <f t="shared" si="5"/>
        <v>0</v>
      </c>
      <c r="CX88" s="473">
        <f t="shared" si="6"/>
        <v>0</v>
      </c>
      <c r="CY88" s="512">
        <f t="shared" si="7"/>
        <v>0</v>
      </c>
    </row>
    <row r="89" spans="1:103">
      <c r="A89" s="112" t="s">
        <v>430</v>
      </c>
      <c r="B89" s="162" t="str">
        <f>IFERROR(VLOOKUP(ParicipationJuillet1[[#This Row],[Référence]],ListeÉtudiants1[],18,FALSE),"")</f>
        <v/>
      </c>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640"/>
      <c r="AH89" s="202">
        <f>COUNTIF(ParicipationJuillet1[[#This Row],[1]:[31]],Code1)</f>
        <v>0</v>
      </c>
      <c r="AI89" s="475">
        <f>COUNTIF(ParicipationJuillet1[[#This Row],[1]:[31]],code22)</f>
        <v>0</v>
      </c>
      <c r="AJ89" s="202">
        <f>COUNTIF(ParicipationJuillet1[[#This Row],[1]:[31]],Code2)</f>
        <v>0</v>
      </c>
      <c r="AK89" s="202">
        <f>COUNTIF(ParicipationJuillet1[[#This Row],[1]:[31]],Code3)</f>
        <v>0</v>
      </c>
      <c r="AL89" s="202">
        <f>COUNTIF(ParicipationJuillet1[[#This Row],[1]:[31]],Code4)</f>
        <v>0</v>
      </c>
      <c r="AM89" s="473">
        <f>COUNTIF(ParicipationJuillet1[[#This Row],[1]:[31]],Code5)</f>
        <v>0</v>
      </c>
      <c r="AN89" s="473">
        <f>COUNTIF(ParicipationJuillet1[[#This Row],[1]:[31]],Code23)</f>
        <v>0</v>
      </c>
      <c r="AO89" s="473">
        <f>COUNTIF(ParicipationJuillet1[[#This Row],[1]:[31]],Code6)</f>
        <v>0</v>
      </c>
      <c r="AP89" s="473">
        <f>COUNTIF(ParicipationJuillet1[[#This Row],[1]:[31]],Code7)</f>
        <v>0</v>
      </c>
      <c r="AQ89" s="473">
        <f>COUNTIF(ParicipationJuillet1[[#This Row],[1]:[31]],Code8)</f>
        <v>0</v>
      </c>
      <c r="AR89" s="473">
        <f>COUNTIF(ParicipationJuillet1[[#This Row],[1]:[31]],Code9)</f>
        <v>0</v>
      </c>
      <c r="AS89" s="473">
        <f>COUNTIF(ParicipationJuillet1[[#This Row],[1]:[31]],Code10)</f>
        <v>0</v>
      </c>
      <c r="AT89" s="473">
        <f>COUNTIF(ParicipationJuillet1[[#This Row],[1]:[31]],Code11)</f>
        <v>0</v>
      </c>
      <c r="AU89" s="473">
        <f>COUNTIF(ParicipationJuillet1[[#This Row],[1]:[31]],Code12)</f>
        <v>0</v>
      </c>
      <c r="AV89" s="473">
        <f>COUNTIF(ParicipationJuillet1[[#This Row],[1]:[31]],Code13)</f>
        <v>0</v>
      </c>
      <c r="AW89" s="473">
        <f>COUNTIF(ParicipationJuillet1[[#This Row],[1]:[31]],Code14)</f>
        <v>0</v>
      </c>
      <c r="AX89" s="473">
        <f>COUNTIF(ParicipationJuillet1[[#This Row],[1]:[31]],Code15)</f>
        <v>0</v>
      </c>
      <c r="AY89" s="473">
        <f>COUNTIF(ParicipationJuillet1[[#This Row],[1]:[31]],Code16)</f>
        <v>0</v>
      </c>
      <c r="AZ89" s="473">
        <f>COUNTIF(ParicipationJuillet1[[#This Row],[1]:[31]],Code17)</f>
        <v>0</v>
      </c>
      <c r="BA89" s="473">
        <f>COUNTIF(ParicipationJuillet1[[#This Row],[1]:[31]],Code25)</f>
        <v>0</v>
      </c>
      <c r="BB89" s="473">
        <f>COUNTIF(ParicipationJuillet1[[#This Row],[1]:[31]],Code26)</f>
        <v>0</v>
      </c>
      <c r="BC89" s="473">
        <f>COUNTIF(ParicipationJuillet1[[#This Row],[1]:[31]],Code27)</f>
        <v>0</v>
      </c>
      <c r="BD89" s="473">
        <f>COUNTIF(ParicipationJuillet1[[#This Row],[1]:[31]],Code28)</f>
        <v>0</v>
      </c>
      <c r="BE89" s="473">
        <f>COUNTIF(ParicipationJuillet1[[#This Row],[1]:[31]],code30)</f>
        <v>0</v>
      </c>
      <c r="BF89" s="473">
        <f>COUNTIF(ParicipationJuillet1[[#This Row],[1]:[31]],Code31)</f>
        <v>0</v>
      </c>
      <c r="BG89" s="473">
        <f>COUNTIF(ParicipationJuillet1[[#This Row],[1]:[31]],code21)</f>
        <v>0</v>
      </c>
      <c r="BH89" s="473">
        <f>COUNTIF(ParicipationJuillet1[[#This Row],[1]:[31]],Code24)</f>
        <v>0</v>
      </c>
      <c r="BI89" s="473">
        <f>COUNTIF(ParicipationJuillet1[[#This Row],[1]:[31]],code18)</f>
        <v>0</v>
      </c>
      <c r="BJ89" s="473">
        <f>COUNTIF(ParicipationJuillet1[[#This Row],[1]:[31]],code19)</f>
        <v>0</v>
      </c>
      <c r="BK89" s="473">
        <f>COUNTIF(ParicipationJuillet1[[#This Row],[1]:[31]],code20)</f>
        <v>0</v>
      </c>
      <c r="BL89" s="516">
        <f>COUNTIF(ParicipationJuillet1[[#This Row],[1]:[31]],code29)</f>
        <v>0</v>
      </c>
      <c r="BM89" s="473"/>
      <c r="BN89" s="473"/>
      <c r="BO89" s="473"/>
      <c r="BP89" s="473"/>
      <c r="BQ89" s="473"/>
      <c r="BR89" s="473"/>
      <c r="BS89" s="473"/>
      <c r="BT89" s="473"/>
      <c r="BU89" s="473"/>
      <c r="BV89" s="473"/>
      <c r="BW89" s="473"/>
      <c r="BX89" s="473"/>
      <c r="BY89" s="473"/>
      <c r="BZ89" s="473"/>
      <c r="CA89" s="473"/>
      <c r="CB89" s="473"/>
      <c r="CC89" s="473"/>
      <c r="CD89" s="473"/>
      <c r="CE89" s="473"/>
      <c r="CF89" s="473"/>
      <c r="CG89" s="473"/>
      <c r="CH89" s="473"/>
      <c r="CI89" s="473"/>
      <c r="CJ89" s="473"/>
      <c r="CK89" s="473"/>
      <c r="CL89" s="473"/>
      <c r="CM89" s="473"/>
      <c r="CN89" s="473"/>
      <c r="CO89" s="473"/>
      <c r="CP89" s="473"/>
      <c r="CQ89" s="473"/>
      <c r="CR89" s="473"/>
      <c r="CS89" s="473"/>
      <c r="CT89" s="473"/>
      <c r="CU89" s="516"/>
      <c r="CV89" s="501">
        <f t="shared" si="4"/>
        <v>0</v>
      </c>
      <c r="CW89" s="501">
        <f t="shared" si="5"/>
        <v>0</v>
      </c>
      <c r="CX89" s="473">
        <f t="shared" si="6"/>
        <v>0</v>
      </c>
      <c r="CY89" s="512">
        <f t="shared" si="7"/>
        <v>0</v>
      </c>
    </row>
    <row r="90" spans="1:103">
      <c r="A90" s="112" t="s">
        <v>431</v>
      </c>
      <c r="B90" s="162" t="str">
        <f>IFERROR(VLOOKUP(ParicipationJuillet1[[#This Row],[Référence]],ListeÉtudiants1[],18,FALSE),"")</f>
        <v>LAMETTE JENNYFER</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640"/>
      <c r="AH90" s="202">
        <f>COUNTIF(ParicipationJuillet1[[#This Row],[1]:[31]],Code1)</f>
        <v>0</v>
      </c>
      <c r="AI90" s="475">
        <f>COUNTIF(ParicipationJuillet1[[#This Row],[1]:[31]],code22)</f>
        <v>0</v>
      </c>
      <c r="AJ90" s="202">
        <f>COUNTIF(ParicipationJuillet1[[#This Row],[1]:[31]],Code2)</f>
        <v>0</v>
      </c>
      <c r="AK90" s="202">
        <f>COUNTIF(ParicipationJuillet1[[#This Row],[1]:[31]],Code3)</f>
        <v>0</v>
      </c>
      <c r="AL90" s="202">
        <f>COUNTIF(ParicipationJuillet1[[#This Row],[1]:[31]],Code4)</f>
        <v>0</v>
      </c>
      <c r="AM90" s="473">
        <f>COUNTIF(ParicipationJuillet1[[#This Row],[1]:[31]],Code5)</f>
        <v>0</v>
      </c>
      <c r="AN90" s="473">
        <f>COUNTIF(ParicipationJuillet1[[#This Row],[1]:[31]],Code23)</f>
        <v>0</v>
      </c>
      <c r="AO90" s="473">
        <f>COUNTIF(ParicipationJuillet1[[#This Row],[1]:[31]],Code6)</f>
        <v>0</v>
      </c>
      <c r="AP90" s="473">
        <f>COUNTIF(ParicipationJuillet1[[#This Row],[1]:[31]],Code7)</f>
        <v>0</v>
      </c>
      <c r="AQ90" s="473">
        <f>COUNTIF(ParicipationJuillet1[[#This Row],[1]:[31]],Code8)</f>
        <v>0</v>
      </c>
      <c r="AR90" s="473">
        <f>COUNTIF(ParicipationJuillet1[[#This Row],[1]:[31]],Code9)</f>
        <v>0</v>
      </c>
      <c r="AS90" s="473">
        <f>COUNTIF(ParicipationJuillet1[[#This Row],[1]:[31]],Code10)</f>
        <v>0</v>
      </c>
      <c r="AT90" s="473">
        <f>COUNTIF(ParicipationJuillet1[[#This Row],[1]:[31]],Code11)</f>
        <v>0</v>
      </c>
      <c r="AU90" s="473">
        <f>COUNTIF(ParicipationJuillet1[[#This Row],[1]:[31]],Code12)</f>
        <v>0</v>
      </c>
      <c r="AV90" s="473">
        <f>COUNTIF(ParicipationJuillet1[[#This Row],[1]:[31]],Code13)</f>
        <v>0</v>
      </c>
      <c r="AW90" s="473">
        <f>COUNTIF(ParicipationJuillet1[[#This Row],[1]:[31]],Code14)</f>
        <v>0</v>
      </c>
      <c r="AX90" s="473">
        <f>COUNTIF(ParicipationJuillet1[[#This Row],[1]:[31]],Code15)</f>
        <v>0</v>
      </c>
      <c r="AY90" s="473">
        <f>COUNTIF(ParicipationJuillet1[[#This Row],[1]:[31]],Code16)</f>
        <v>0</v>
      </c>
      <c r="AZ90" s="473">
        <f>COUNTIF(ParicipationJuillet1[[#This Row],[1]:[31]],Code17)</f>
        <v>0</v>
      </c>
      <c r="BA90" s="473">
        <f>COUNTIF(ParicipationJuillet1[[#This Row],[1]:[31]],Code25)</f>
        <v>0</v>
      </c>
      <c r="BB90" s="473">
        <f>COUNTIF(ParicipationJuillet1[[#This Row],[1]:[31]],Code26)</f>
        <v>0</v>
      </c>
      <c r="BC90" s="473">
        <f>COUNTIF(ParicipationJuillet1[[#This Row],[1]:[31]],Code27)</f>
        <v>0</v>
      </c>
      <c r="BD90" s="473">
        <f>COUNTIF(ParicipationJuillet1[[#This Row],[1]:[31]],Code28)</f>
        <v>0</v>
      </c>
      <c r="BE90" s="473">
        <f>COUNTIF(ParicipationJuillet1[[#This Row],[1]:[31]],code30)</f>
        <v>0</v>
      </c>
      <c r="BF90" s="473">
        <f>COUNTIF(ParicipationJuillet1[[#This Row],[1]:[31]],Code31)</f>
        <v>0</v>
      </c>
      <c r="BG90" s="473">
        <f>COUNTIF(ParicipationJuillet1[[#This Row],[1]:[31]],code21)</f>
        <v>0</v>
      </c>
      <c r="BH90" s="473">
        <f>COUNTIF(ParicipationJuillet1[[#This Row],[1]:[31]],Code24)</f>
        <v>0</v>
      </c>
      <c r="BI90" s="473">
        <f>COUNTIF(ParicipationJuillet1[[#This Row],[1]:[31]],code18)</f>
        <v>0</v>
      </c>
      <c r="BJ90" s="473">
        <f>COUNTIF(ParicipationJuillet1[[#This Row],[1]:[31]],code19)</f>
        <v>0</v>
      </c>
      <c r="BK90" s="473">
        <f>COUNTIF(ParicipationJuillet1[[#This Row],[1]:[31]],code20)</f>
        <v>0</v>
      </c>
      <c r="BL90" s="516">
        <f>COUNTIF(ParicipationJuillet1[[#This Row],[1]:[31]],code29)</f>
        <v>0</v>
      </c>
      <c r="BM90" s="473"/>
      <c r="BN90" s="473"/>
      <c r="BO90" s="473"/>
      <c r="BP90" s="473"/>
      <c r="BQ90" s="473"/>
      <c r="BR90" s="473"/>
      <c r="BS90" s="473"/>
      <c r="BT90" s="473"/>
      <c r="BU90" s="473"/>
      <c r="BV90" s="473"/>
      <c r="BW90" s="473"/>
      <c r="BX90" s="473"/>
      <c r="BY90" s="473"/>
      <c r="BZ90" s="473"/>
      <c r="CA90" s="473"/>
      <c r="CB90" s="473"/>
      <c r="CC90" s="473"/>
      <c r="CD90" s="473"/>
      <c r="CE90" s="473"/>
      <c r="CF90" s="473"/>
      <c r="CG90" s="473"/>
      <c r="CH90" s="473"/>
      <c r="CI90" s="473"/>
      <c r="CJ90" s="473"/>
      <c r="CK90" s="473"/>
      <c r="CL90" s="473"/>
      <c r="CM90" s="473"/>
      <c r="CN90" s="473"/>
      <c r="CO90" s="473"/>
      <c r="CP90" s="473"/>
      <c r="CQ90" s="473"/>
      <c r="CR90" s="473"/>
      <c r="CS90" s="473"/>
      <c r="CT90" s="473"/>
      <c r="CU90" s="516"/>
      <c r="CV90" s="501">
        <f t="shared" si="4"/>
        <v>0</v>
      </c>
      <c r="CW90" s="501">
        <f t="shared" si="5"/>
        <v>0</v>
      </c>
      <c r="CX90" s="473">
        <f t="shared" si="6"/>
        <v>0</v>
      </c>
      <c r="CY90" s="512">
        <f t="shared" si="7"/>
        <v>0</v>
      </c>
    </row>
    <row r="91" spans="1:103">
      <c r="A91" s="112" t="s">
        <v>432</v>
      </c>
      <c r="B91" s="162" t="str">
        <f>IFERROR(VLOOKUP(ParicipationJuillet1[[#This Row],[Référence]],ListeÉtudiants1[],18,FALSE),"")</f>
        <v>LAMGHARI / DAHAN BOUCHRA</v>
      </c>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640"/>
      <c r="AH91" s="202">
        <f>COUNTIF(ParicipationJuillet1[[#This Row],[1]:[31]],Code1)</f>
        <v>0</v>
      </c>
      <c r="AI91" s="475">
        <f>COUNTIF(ParicipationJuillet1[[#This Row],[1]:[31]],code22)</f>
        <v>0</v>
      </c>
      <c r="AJ91" s="202">
        <f>COUNTIF(ParicipationJuillet1[[#This Row],[1]:[31]],Code2)</f>
        <v>0</v>
      </c>
      <c r="AK91" s="202">
        <f>COUNTIF(ParicipationJuillet1[[#This Row],[1]:[31]],Code3)</f>
        <v>0</v>
      </c>
      <c r="AL91" s="202">
        <f>COUNTIF(ParicipationJuillet1[[#This Row],[1]:[31]],Code4)</f>
        <v>0</v>
      </c>
      <c r="AM91" s="473">
        <f>COUNTIF(ParicipationJuillet1[[#This Row],[1]:[31]],Code5)</f>
        <v>0</v>
      </c>
      <c r="AN91" s="473">
        <f>COUNTIF(ParicipationJuillet1[[#This Row],[1]:[31]],Code23)</f>
        <v>0</v>
      </c>
      <c r="AO91" s="473">
        <f>COUNTIF(ParicipationJuillet1[[#This Row],[1]:[31]],Code6)</f>
        <v>0</v>
      </c>
      <c r="AP91" s="473">
        <f>COUNTIF(ParicipationJuillet1[[#This Row],[1]:[31]],Code7)</f>
        <v>0</v>
      </c>
      <c r="AQ91" s="473">
        <f>COUNTIF(ParicipationJuillet1[[#This Row],[1]:[31]],Code8)</f>
        <v>0</v>
      </c>
      <c r="AR91" s="473">
        <f>COUNTIF(ParicipationJuillet1[[#This Row],[1]:[31]],Code9)</f>
        <v>0</v>
      </c>
      <c r="AS91" s="473">
        <f>COUNTIF(ParicipationJuillet1[[#This Row],[1]:[31]],Code10)</f>
        <v>0</v>
      </c>
      <c r="AT91" s="473">
        <f>COUNTIF(ParicipationJuillet1[[#This Row],[1]:[31]],Code11)</f>
        <v>0</v>
      </c>
      <c r="AU91" s="473">
        <f>COUNTIF(ParicipationJuillet1[[#This Row],[1]:[31]],Code12)</f>
        <v>0</v>
      </c>
      <c r="AV91" s="473">
        <f>COUNTIF(ParicipationJuillet1[[#This Row],[1]:[31]],Code13)</f>
        <v>0</v>
      </c>
      <c r="AW91" s="473">
        <f>COUNTIF(ParicipationJuillet1[[#This Row],[1]:[31]],Code14)</f>
        <v>0</v>
      </c>
      <c r="AX91" s="473">
        <f>COUNTIF(ParicipationJuillet1[[#This Row],[1]:[31]],Code15)</f>
        <v>0</v>
      </c>
      <c r="AY91" s="473">
        <f>COUNTIF(ParicipationJuillet1[[#This Row],[1]:[31]],Code16)</f>
        <v>0</v>
      </c>
      <c r="AZ91" s="473">
        <f>COUNTIF(ParicipationJuillet1[[#This Row],[1]:[31]],Code17)</f>
        <v>0</v>
      </c>
      <c r="BA91" s="473">
        <f>COUNTIF(ParicipationJuillet1[[#This Row],[1]:[31]],Code25)</f>
        <v>0</v>
      </c>
      <c r="BB91" s="473">
        <f>COUNTIF(ParicipationJuillet1[[#This Row],[1]:[31]],Code26)</f>
        <v>0</v>
      </c>
      <c r="BC91" s="473">
        <f>COUNTIF(ParicipationJuillet1[[#This Row],[1]:[31]],Code27)</f>
        <v>0</v>
      </c>
      <c r="BD91" s="473">
        <f>COUNTIF(ParicipationJuillet1[[#This Row],[1]:[31]],Code28)</f>
        <v>0</v>
      </c>
      <c r="BE91" s="473">
        <f>COUNTIF(ParicipationJuillet1[[#This Row],[1]:[31]],code30)</f>
        <v>0</v>
      </c>
      <c r="BF91" s="473">
        <f>COUNTIF(ParicipationJuillet1[[#This Row],[1]:[31]],Code31)</f>
        <v>0</v>
      </c>
      <c r="BG91" s="473">
        <f>COUNTIF(ParicipationJuillet1[[#This Row],[1]:[31]],code21)</f>
        <v>0</v>
      </c>
      <c r="BH91" s="473">
        <f>COUNTIF(ParicipationJuillet1[[#This Row],[1]:[31]],Code24)</f>
        <v>0</v>
      </c>
      <c r="BI91" s="473">
        <f>COUNTIF(ParicipationJuillet1[[#This Row],[1]:[31]],code18)</f>
        <v>0</v>
      </c>
      <c r="BJ91" s="473">
        <f>COUNTIF(ParicipationJuillet1[[#This Row],[1]:[31]],code19)</f>
        <v>0</v>
      </c>
      <c r="BK91" s="473">
        <f>COUNTIF(ParicipationJuillet1[[#This Row],[1]:[31]],code20)</f>
        <v>0</v>
      </c>
      <c r="BL91" s="516">
        <f>COUNTIF(ParicipationJuillet1[[#This Row],[1]:[31]],code29)</f>
        <v>0</v>
      </c>
      <c r="BM91" s="473"/>
      <c r="BN91" s="473"/>
      <c r="BO91" s="473"/>
      <c r="BP91" s="473"/>
      <c r="BQ91" s="473"/>
      <c r="BR91" s="473"/>
      <c r="BS91" s="473"/>
      <c r="BT91" s="473"/>
      <c r="BU91" s="473"/>
      <c r="BV91" s="473"/>
      <c r="BW91" s="473"/>
      <c r="BX91" s="473"/>
      <c r="BY91" s="473"/>
      <c r="BZ91" s="473"/>
      <c r="CA91" s="473"/>
      <c r="CB91" s="473"/>
      <c r="CC91" s="473"/>
      <c r="CD91" s="473"/>
      <c r="CE91" s="473"/>
      <c r="CF91" s="473"/>
      <c r="CG91" s="473"/>
      <c r="CH91" s="473"/>
      <c r="CI91" s="473"/>
      <c r="CJ91" s="473"/>
      <c r="CK91" s="473"/>
      <c r="CL91" s="473"/>
      <c r="CM91" s="473"/>
      <c r="CN91" s="473"/>
      <c r="CO91" s="473"/>
      <c r="CP91" s="473"/>
      <c r="CQ91" s="473"/>
      <c r="CR91" s="473"/>
      <c r="CS91" s="473"/>
      <c r="CT91" s="473"/>
      <c r="CU91" s="516"/>
      <c r="CV91" s="501">
        <f t="shared" si="4"/>
        <v>0</v>
      </c>
      <c r="CW91" s="501">
        <f t="shared" si="5"/>
        <v>0</v>
      </c>
      <c r="CX91" s="473">
        <f t="shared" si="6"/>
        <v>0</v>
      </c>
      <c r="CY91" s="512">
        <f t="shared" si="7"/>
        <v>0</v>
      </c>
    </row>
    <row r="92" spans="1:103">
      <c r="A92" s="112" t="s">
        <v>433</v>
      </c>
      <c r="B92" s="162" t="str">
        <f>IFERROR(VLOOKUP(ParicipationJuillet1[[#This Row],[Référence]],ListeÉtudiants1[],18,FALSE),"")</f>
        <v>LAURENT GUILLAUME</v>
      </c>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640"/>
      <c r="AH92" s="202">
        <f>COUNTIF(ParicipationJuillet1[[#This Row],[1]:[31]],Code1)</f>
        <v>0</v>
      </c>
      <c r="AI92" s="475">
        <f>COUNTIF(ParicipationJuillet1[[#This Row],[1]:[31]],code22)</f>
        <v>0</v>
      </c>
      <c r="AJ92" s="202">
        <f>COUNTIF(ParicipationJuillet1[[#This Row],[1]:[31]],Code2)</f>
        <v>0</v>
      </c>
      <c r="AK92" s="202">
        <f>COUNTIF(ParicipationJuillet1[[#This Row],[1]:[31]],Code3)</f>
        <v>0</v>
      </c>
      <c r="AL92" s="202">
        <f>COUNTIF(ParicipationJuillet1[[#This Row],[1]:[31]],Code4)</f>
        <v>0</v>
      </c>
      <c r="AM92" s="473">
        <f>COUNTIF(ParicipationJuillet1[[#This Row],[1]:[31]],Code5)</f>
        <v>0</v>
      </c>
      <c r="AN92" s="473">
        <f>COUNTIF(ParicipationJuillet1[[#This Row],[1]:[31]],Code23)</f>
        <v>0</v>
      </c>
      <c r="AO92" s="473">
        <f>COUNTIF(ParicipationJuillet1[[#This Row],[1]:[31]],Code6)</f>
        <v>0</v>
      </c>
      <c r="AP92" s="473">
        <f>COUNTIF(ParicipationJuillet1[[#This Row],[1]:[31]],Code7)</f>
        <v>0</v>
      </c>
      <c r="AQ92" s="473">
        <f>COUNTIF(ParicipationJuillet1[[#This Row],[1]:[31]],Code8)</f>
        <v>0</v>
      </c>
      <c r="AR92" s="473">
        <f>COUNTIF(ParicipationJuillet1[[#This Row],[1]:[31]],Code9)</f>
        <v>0</v>
      </c>
      <c r="AS92" s="473">
        <f>COUNTIF(ParicipationJuillet1[[#This Row],[1]:[31]],Code10)</f>
        <v>0</v>
      </c>
      <c r="AT92" s="473">
        <f>COUNTIF(ParicipationJuillet1[[#This Row],[1]:[31]],Code11)</f>
        <v>0</v>
      </c>
      <c r="AU92" s="473">
        <f>COUNTIF(ParicipationJuillet1[[#This Row],[1]:[31]],Code12)</f>
        <v>0</v>
      </c>
      <c r="AV92" s="473">
        <f>COUNTIF(ParicipationJuillet1[[#This Row],[1]:[31]],Code13)</f>
        <v>0</v>
      </c>
      <c r="AW92" s="473">
        <f>COUNTIF(ParicipationJuillet1[[#This Row],[1]:[31]],Code14)</f>
        <v>0</v>
      </c>
      <c r="AX92" s="473">
        <f>COUNTIF(ParicipationJuillet1[[#This Row],[1]:[31]],Code15)</f>
        <v>0</v>
      </c>
      <c r="AY92" s="473">
        <f>COUNTIF(ParicipationJuillet1[[#This Row],[1]:[31]],Code16)</f>
        <v>0</v>
      </c>
      <c r="AZ92" s="473">
        <f>COUNTIF(ParicipationJuillet1[[#This Row],[1]:[31]],Code17)</f>
        <v>0</v>
      </c>
      <c r="BA92" s="473">
        <f>COUNTIF(ParicipationJuillet1[[#This Row],[1]:[31]],Code25)</f>
        <v>0</v>
      </c>
      <c r="BB92" s="473">
        <f>COUNTIF(ParicipationJuillet1[[#This Row],[1]:[31]],Code26)</f>
        <v>0</v>
      </c>
      <c r="BC92" s="473">
        <f>COUNTIF(ParicipationJuillet1[[#This Row],[1]:[31]],Code27)</f>
        <v>0</v>
      </c>
      <c r="BD92" s="473">
        <f>COUNTIF(ParicipationJuillet1[[#This Row],[1]:[31]],Code28)</f>
        <v>0</v>
      </c>
      <c r="BE92" s="473">
        <f>COUNTIF(ParicipationJuillet1[[#This Row],[1]:[31]],code30)</f>
        <v>0</v>
      </c>
      <c r="BF92" s="473">
        <f>COUNTIF(ParicipationJuillet1[[#This Row],[1]:[31]],Code31)</f>
        <v>0</v>
      </c>
      <c r="BG92" s="473">
        <f>COUNTIF(ParicipationJuillet1[[#This Row],[1]:[31]],code21)</f>
        <v>0</v>
      </c>
      <c r="BH92" s="473">
        <f>COUNTIF(ParicipationJuillet1[[#This Row],[1]:[31]],Code24)</f>
        <v>0</v>
      </c>
      <c r="BI92" s="473">
        <f>COUNTIF(ParicipationJuillet1[[#This Row],[1]:[31]],code18)</f>
        <v>0</v>
      </c>
      <c r="BJ92" s="473">
        <f>COUNTIF(ParicipationJuillet1[[#This Row],[1]:[31]],code19)</f>
        <v>0</v>
      </c>
      <c r="BK92" s="473">
        <f>COUNTIF(ParicipationJuillet1[[#This Row],[1]:[31]],code20)</f>
        <v>0</v>
      </c>
      <c r="BL92" s="516">
        <f>COUNTIF(ParicipationJuillet1[[#This Row],[1]:[31]],code29)</f>
        <v>0</v>
      </c>
      <c r="BM92" s="473"/>
      <c r="BN92" s="473"/>
      <c r="BO92" s="473"/>
      <c r="BP92" s="473"/>
      <c r="BQ92" s="473"/>
      <c r="BR92" s="473"/>
      <c r="BS92" s="473"/>
      <c r="BT92" s="473"/>
      <c r="BU92" s="473"/>
      <c r="BV92" s="473"/>
      <c r="BW92" s="473"/>
      <c r="BX92" s="473"/>
      <c r="BY92" s="473"/>
      <c r="BZ92" s="473"/>
      <c r="CA92" s="473"/>
      <c r="CB92" s="473"/>
      <c r="CC92" s="473"/>
      <c r="CD92" s="473"/>
      <c r="CE92" s="473"/>
      <c r="CF92" s="473"/>
      <c r="CG92" s="473"/>
      <c r="CH92" s="473"/>
      <c r="CI92" s="473"/>
      <c r="CJ92" s="473"/>
      <c r="CK92" s="473"/>
      <c r="CL92" s="473"/>
      <c r="CM92" s="473"/>
      <c r="CN92" s="473"/>
      <c r="CO92" s="473"/>
      <c r="CP92" s="473"/>
      <c r="CQ92" s="473"/>
      <c r="CR92" s="473"/>
      <c r="CS92" s="473"/>
      <c r="CT92" s="473"/>
      <c r="CU92" s="516"/>
      <c r="CV92" s="501">
        <f t="shared" si="4"/>
        <v>0</v>
      </c>
      <c r="CW92" s="501">
        <f t="shared" si="5"/>
        <v>0</v>
      </c>
      <c r="CX92" s="473">
        <f t="shared" si="6"/>
        <v>0</v>
      </c>
      <c r="CY92" s="512">
        <f t="shared" si="7"/>
        <v>0</v>
      </c>
    </row>
    <row r="93" spans="1:103">
      <c r="A93" s="112" t="s">
        <v>434</v>
      </c>
      <c r="B93" s="162" t="str">
        <f>IFERROR(VLOOKUP(ParicipationJuillet1[[#This Row],[Référence]],ListeÉtudiants1[],18,FALSE),"")</f>
        <v>LEMAIRE SHANONE</v>
      </c>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640"/>
      <c r="AH93" s="202">
        <f>COUNTIF(ParicipationJuillet1[[#This Row],[1]:[31]],Code1)</f>
        <v>0</v>
      </c>
      <c r="AI93" s="475">
        <f>COUNTIF(ParicipationJuillet1[[#This Row],[1]:[31]],code22)</f>
        <v>0</v>
      </c>
      <c r="AJ93" s="202">
        <f>COUNTIF(ParicipationJuillet1[[#This Row],[1]:[31]],Code2)</f>
        <v>0</v>
      </c>
      <c r="AK93" s="202">
        <f>COUNTIF(ParicipationJuillet1[[#This Row],[1]:[31]],Code3)</f>
        <v>0</v>
      </c>
      <c r="AL93" s="202">
        <f>COUNTIF(ParicipationJuillet1[[#This Row],[1]:[31]],Code4)</f>
        <v>0</v>
      </c>
      <c r="AM93" s="473">
        <f>COUNTIF(ParicipationJuillet1[[#This Row],[1]:[31]],Code5)</f>
        <v>0</v>
      </c>
      <c r="AN93" s="473">
        <f>COUNTIF(ParicipationJuillet1[[#This Row],[1]:[31]],Code23)</f>
        <v>0</v>
      </c>
      <c r="AO93" s="473">
        <f>COUNTIF(ParicipationJuillet1[[#This Row],[1]:[31]],Code6)</f>
        <v>0</v>
      </c>
      <c r="AP93" s="473">
        <f>COUNTIF(ParicipationJuillet1[[#This Row],[1]:[31]],Code7)</f>
        <v>0</v>
      </c>
      <c r="AQ93" s="473">
        <f>COUNTIF(ParicipationJuillet1[[#This Row],[1]:[31]],Code8)</f>
        <v>0</v>
      </c>
      <c r="AR93" s="473">
        <f>COUNTIF(ParicipationJuillet1[[#This Row],[1]:[31]],Code9)</f>
        <v>0</v>
      </c>
      <c r="AS93" s="473">
        <f>COUNTIF(ParicipationJuillet1[[#This Row],[1]:[31]],Code10)</f>
        <v>0</v>
      </c>
      <c r="AT93" s="473">
        <f>COUNTIF(ParicipationJuillet1[[#This Row],[1]:[31]],Code11)</f>
        <v>0</v>
      </c>
      <c r="AU93" s="473">
        <f>COUNTIF(ParicipationJuillet1[[#This Row],[1]:[31]],Code12)</f>
        <v>0</v>
      </c>
      <c r="AV93" s="473">
        <f>COUNTIF(ParicipationJuillet1[[#This Row],[1]:[31]],Code13)</f>
        <v>0</v>
      </c>
      <c r="AW93" s="473">
        <f>COUNTIF(ParicipationJuillet1[[#This Row],[1]:[31]],Code14)</f>
        <v>0</v>
      </c>
      <c r="AX93" s="473">
        <f>COUNTIF(ParicipationJuillet1[[#This Row],[1]:[31]],Code15)</f>
        <v>0</v>
      </c>
      <c r="AY93" s="473">
        <f>COUNTIF(ParicipationJuillet1[[#This Row],[1]:[31]],Code16)</f>
        <v>0</v>
      </c>
      <c r="AZ93" s="473">
        <f>COUNTIF(ParicipationJuillet1[[#This Row],[1]:[31]],Code17)</f>
        <v>0</v>
      </c>
      <c r="BA93" s="473">
        <f>COUNTIF(ParicipationJuillet1[[#This Row],[1]:[31]],Code25)</f>
        <v>0</v>
      </c>
      <c r="BB93" s="473">
        <f>COUNTIF(ParicipationJuillet1[[#This Row],[1]:[31]],Code26)</f>
        <v>0</v>
      </c>
      <c r="BC93" s="473">
        <f>COUNTIF(ParicipationJuillet1[[#This Row],[1]:[31]],Code27)</f>
        <v>0</v>
      </c>
      <c r="BD93" s="473">
        <f>COUNTIF(ParicipationJuillet1[[#This Row],[1]:[31]],Code28)</f>
        <v>0</v>
      </c>
      <c r="BE93" s="473">
        <f>COUNTIF(ParicipationJuillet1[[#This Row],[1]:[31]],code30)</f>
        <v>0</v>
      </c>
      <c r="BF93" s="473">
        <f>COUNTIF(ParicipationJuillet1[[#This Row],[1]:[31]],Code31)</f>
        <v>0</v>
      </c>
      <c r="BG93" s="473">
        <f>COUNTIF(ParicipationJuillet1[[#This Row],[1]:[31]],code21)</f>
        <v>0</v>
      </c>
      <c r="BH93" s="473">
        <f>COUNTIF(ParicipationJuillet1[[#This Row],[1]:[31]],Code24)</f>
        <v>0</v>
      </c>
      <c r="BI93" s="473">
        <f>COUNTIF(ParicipationJuillet1[[#This Row],[1]:[31]],code18)</f>
        <v>0</v>
      </c>
      <c r="BJ93" s="473">
        <f>COUNTIF(ParicipationJuillet1[[#This Row],[1]:[31]],code19)</f>
        <v>0</v>
      </c>
      <c r="BK93" s="473">
        <f>COUNTIF(ParicipationJuillet1[[#This Row],[1]:[31]],code20)</f>
        <v>0</v>
      </c>
      <c r="BL93" s="516">
        <f>COUNTIF(ParicipationJuillet1[[#This Row],[1]:[31]],code29)</f>
        <v>0</v>
      </c>
      <c r="BM93" s="473"/>
      <c r="BN93" s="473"/>
      <c r="BO93" s="473"/>
      <c r="BP93" s="473"/>
      <c r="BQ93" s="473"/>
      <c r="BR93" s="473"/>
      <c r="BS93" s="473"/>
      <c r="BT93" s="473"/>
      <c r="BU93" s="473"/>
      <c r="BV93" s="473"/>
      <c r="BW93" s="473"/>
      <c r="BX93" s="473"/>
      <c r="BY93" s="473"/>
      <c r="BZ93" s="473"/>
      <c r="CA93" s="473"/>
      <c r="CB93" s="473"/>
      <c r="CC93" s="473"/>
      <c r="CD93" s="473"/>
      <c r="CE93" s="473"/>
      <c r="CF93" s="473"/>
      <c r="CG93" s="473"/>
      <c r="CH93" s="473"/>
      <c r="CI93" s="473"/>
      <c r="CJ93" s="473"/>
      <c r="CK93" s="473"/>
      <c r="CL93" s="473"/>
      <c r="CM93" s="473"/>
      <c r="CN93" s="473"/>
      <c r="CO93" s="473"/>
      <c r="CP93" s="473"/>
      <c r="CQ93" s="473"/>
      <c r="CR93" s="473"/>
      <c r="CS93" s="473"/>
      <c r="CT93" s="473"/>
      <c r="CU93" s="516"/>
      <c r="CV93" s="501">
        <f t="shared" si="4"/>
        <v>0</v>
      </c>
      <c r="CW93" s="501">
        <f t="shared" si="5"/>
        <v>0</v>
      </c>
      <c r="CX93" s="473">
        <f t="shared" si="6"/>
        <v>0</v>
      </c>
      <c r="CY93" s="512">
        <f t="shared" si="7"/>
        <v>0</v>
      </c>
    </row>
    <row r="94" spans="1:103">
      <c r="A94" s="112" t="s">
        <v>435</v>
      </c>
      <c r="B94" s="162" t="str">
        <f>IFERROR(VLOOKUP(ParicipationJuillet1[[#This Row],[Référence]],ListeÉtudiants1[],18,FALSE),"")</f>
        <v>L'HERMITTE ROMAIN</v>
      </c>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640"/>
      <c r="AH94" s="202">
        <f>COUNTIF(ParicipationJuillet1[[#This Row],[1]:[31]],Code1)</f>
        <v>0</v>
      </c>
      <c r="AI94" s="475">
        <f>COUNTIF(ParicipationJuillet1[[#This Row],[1]:[31]],code22)</f>
        <v>0</v>
      </c>
      <c r="AJ94" s="202">
        <f>COUNTIF(ParicipationJuillet1[[#This Row],[1]:[31]],Code2)</f>
        <v>0</v>
      </c>
      <c r="AK94" s="202">
        <f>COUNTIF(ParicipationJuillet1[[#This Row],[1]:[31]],Code3)</f>
        <v>0</v>
      </c>
      <c r="AL94" s="202">
        <f>COUNTIF(ParicipationJuillet1[[#This Row],[1]:[31]],Code4)</f>
        <v>0</v>
      </c>
      <c r="AM94" s="473">
        <f>COUNTIF(ParicipationJuillet1[[#This Row],[1]:[31]],Code5)</f>
        <v>0</v>
      </c>
      <c r="AN94" s="473">
        <f>COUNTIF(ParicipationJuillet1[[#This Row],[1]:[31]],Code23)</f>
        <v>0</v>
      </c>
      <c r="AO94" s="473">
        <f>COUNTIF(ParicipationJuillet1[[#This Row],[1]:[31]],Code6)</f>
        <v>0</v>
      </c>
      <c r="AP94" s="473">
        <f>COUNTIF(ParicipationJuillet1[[#This Row],[1]:[31]],Code7)</f>
        <v>0</v>
      </c>
      <c r="AQ94" s="473">
        <f>COUNTIF(ParicipationJuillet1[[#This Row],[1]:[31]],Code8)</f>
        <v>0</v>
      </c>
      <c r="AR94" s="473">
        <f>COUNTIF(ParicipationJuillet1[[#This Row],[1]:[31]],Code9)</f>
        <v>0</v>
      </c>
      <c r="AS94" s="473">
        <f>COUNTIF(ParicipationJuillet1[[#This Row],[1]:[31]],Code10)</f>
        <v>0</v>
      </c>
      <c r="AT94" s="473">
        <f>COUNTIF(ParicipationJuillet1[[#This Row],[1]:[31]],Code11)</f>
        <v>0</v>
      </c>
      <c r="AU94" s="473">
        <f>COUNTIF(ParicipationJuillet1[[#This Row],[1]:[31]],Code12)</f>
        <v>0</v>
      </c>
      <c r="AV94" s="473">
        <f>COUNTIF(ParicipationJuillet1[[#This Row],[1]:[31]],Code13)</f>
        <v>0</v>
      </c>
      <c r="AW94" s="473">
        <f>COUNTIF(ParicipationJuillet1[[#This Row],[1]:[31]],Code14)</f>
        <v>0</v>
      </c>
      <c r="AX94" s="473">
        <f>COUNTIF(ParicipationJuillet1[[#This Row],[1]:[31]],Code15)</f>
        <v>0</v>
      </c>
      <c r="AY94" s="473">
        <f>COUNTIF(ParicipationJuillet1[[#This Row],[1]:[31]],Code16)</f>
        <v>0</v>
      </c>
      <c r="AZ94" s="473">
        <f>COUNTIF(ParicipationJuillet1[[#This Row],[1]:[31]],Code17)</f>
        <v>0</v>
      </c>
      <c r="BA94" s="473">
        <f>COUNTIF(ParicipationJuillet1[[#This Row],[1]:[31]],Code25)</f>
        <v>0</v>
      </c>
      <c r="BB94" s="473">
        <f>COUNTIF(ParicipationJuillet1[[#This Row],[1]:[31]],Code26)</f>
        <v>0</v>
      </c>
      <c r="BC94" s="473">
        <f>COUNTIF(ParicipationJuillet1[[#This Row],[1]:[31]],Code27)</f>
        <v>0</v>
      </c>
      <c r="BD94" s="473">
        <f>COUNTIF(ParicipationJuillet1[[#This Row],[1]:[31]],Code28)</f>
        <v>0</v>
      </c>
      <c r="BE94" s="473">
        <f>COUNTIF(ParicipationJuillet1[[#This Row],[1]:[31]],code30)</f>
        <v>0</v>
      </c>
      <c r="BF94" s="473">
        <f>COUNTIF(ParicipationJuillet1[[#This Row],[1]:[31]],Code31)</f>
        <v>0</v>
      </c>
      <c r="BG94" s="473">
        <f>COUNTIF(ParicipationJuillet1[[#This Row],[1]:[31]],code21)</f>
        <v>0</v>
      </c>
      <c r="BH94" s="473">
        <f>COUNTIF(ParicipationJuillet1[[#This Row],[1]:[31]],Code24)</f>
        <v>0</v>
      </c>
      <c r="BI94" s="473">
        <f>COUNTIF(ParicipationJuillet1[[#This Row],[1]:[31]],code18)</f>
        <v>0</v>
      </c>
      <c r="BJ94" s="473">
        <f>COUNTIF(ParicipationJuillet1[[#This Row],[1]:[31]],code19)</f>
        <v>0</v>
      </c>
      <c r="BK94" s="473">
        <f>COUNTIF(ParicipationJuillet1[[#This Row],[1]:[31]],code20)</f>
        <v>0</v>
      </c>
      <c r="BL94" s="516">
        <f>COUNTIF(ParicipationJuillet1[[#This Row],[1]:[31]],code29)</f>
        <v>0</v>
      </c>
      <c r="BM94" s="473"/>
      <c r="BN94" s="473"/>
      <c r="BO94" s="473"/>
      <c r="BP94" s="473"/>
      <c r="BQ94" s="473"/>
      <c r="BR94" s="473"/>
      <c r="BS94" s="473"/>
      <c r="BT94" s="473"/>
      <c r="BU94" s="473"/>
      <c r="BV94" s="473"/>
      <c r="BW94" s="473"/>
      <c r="BX94" s="473"/>
      <c r="BY94" s="473"/>
      <c r="BZ94" s="473"/>
      <c r="CA94" s="473"/>
      <c r="CB94" s="473"/>
      <c r="CC94" s="473"/>
      <c r="CD94" s="473"/>
      <c r="CE94" s="473"/>
      <c r="CF94" s="473"/>
      <c r="CG94" s="473"/>
      <c r="CH94" s="473"/>
      <c r="CI94" s="473"/>
      <c r="CJ94" s="473"/>
      <c r="CK94" s="473"/>
      <c r="CL94" s="473"/>
      <c r="CM94" s="473"/>
      <c r="CN94" s="473"/>
      <c r="CO94" s="473"/>
      <c r="CP94" s="473"/>
      <c r="CQ94" s="473"/>
      <c r="CR94" s="473"/>
      <c r="CS94" s="473"/>
      <c r="CT94" s="473"/>
      <c r="CU94" s="516"/>
      <c r="CV94" s="501">
        <f t="shared" si="4"/>
        <v>0</v>
      </c>
      <c r="CW94" s="501">
        <f t="shared" si="5"/>
        <v>0</v>
      </c>
      <c r="CX94" s="473">
        <f t="shared" si="6"/>
        <v>0</v>
      </c>
      <c r="CY94" s="512">
        <f t="shared" si="7"/>
        <v>0</v>
      </c>
    </row>
    <row r="95" spans="1:103">
      <c r="A95" s="112" t="s">
        <v>436</v>
      </c>
      <c r="B95" s="162" t="str">
        <f>IFERROR(VLOOKUP(ParicipationJuillet1[[#This Row],[Référence]],ListeÉtudiants1[],18,FALSE),"")</f>
        <v>LIBON ADRIANA</v>
      </c>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640"/>
      <c r="AH95" s="202">
        <f>COUNTIF(ParicipationJuillet1[[#This Row],[1]:[31]],Code1)</f>
        <v>0</v>
      </c>
      <c r="AI95" s="475">
        <f>COUNTIF(ParicipationJuillet1[[#This Row],[1]:[31]],code22)</f>
        <v>0</v>
      </c>
      <c r="AJ95" s="202">
        <f>COUNTIF(ParicipationJuillet1[[#This Row],[1]:[31]],Code2)</f>
        <v>0</v>
      </c>
      <c r="AK95" s="202">
        <f>COUNTIF(ParicipationJuillet1[[#This Row],[1]:[31]],Code3)</f>
        <v>0</v>
      </c>
      <c r="AL95" s="202">
        <f>COUNTIF(ParicipationJuillet1[[#This Row],[1]:[31]],Code4)</f>
        <v>0</v>
      </c>
      <c r="AM95" s="473">
        <f>COUNTIF(ParicipationJuillet1[[#This Row],[1]:[31]],Code5)</f>
        <v>0</v>
      </c>
      <c r="AN95" s="473">
        <f>COUNTIF(ParicipationJuillet1[[#This Row],[1]:[31]],Code23)</f>
        <v>0</v>
      </c>
      <c r="AO95" s="473">
        <f>COUNTIF(ParicipationJuillet1[[#This Row],[1]:[31]],Code6)</f>
        <v>0</v>
      </c>
      <c r="AP95" s="473">
        <f>COUNTIF(ParicipationJuillet1[[#This Row],[1]:[31]],Code7)</f>
        <v>0</v>
      </c>
      <c r="AQ95" s="473">
        <f>COUNTIF(ParicipationJuillet1[[#This Row],[1]:[31]],Code8)</f>
        <v>0</v>
      </c>
      <c r="AR95" s="473">
        <f>COUNTIF(ParicipationJuillet1[[#This Row],[1]:[31]],Code9)</f>
        <v>0</v>
      </c>
      <c r="AS95" s="473">
        <f>COUNTIF(ParicipationJuillet1[[#This Row],[1]:[31]],Code10)</f>
        <v>0</v>
      </c>
      <c r="AT95" s="473">
        <f>COUNTIF(ParicipationJuillet1[[#This Row],[1]:[31]],Code11)</f>
        <v>0</v>
      </c>
      <c r="AU95" s="473">
        <f>COUNTIF(ParicipationJuillet1[[#This Row],[1]:[31]],Code12)</f>
        <v>0</v>
      </c>
      <c r="AV95" s="473">
        <f>COUNTIF(ParicipationJuillet1[[#This Row],[1]:[31]],Code13)</f>
        <v>0</v>
      </c>
      <c r="AW95" s="473">
        <f>COUNTIF(ParicipationJuillet1[[#This Row],[1]:[31]],Code14)</f>
        <v>0</v>
      </c>
      <c r="AX95" s="473">
        <f>COUNTIF(ParicipationJuillet1[[#This Row],[1]:[31]],Code15)</f>
        <v>0</v>
      </c>
      <c r="AY95" s="473">
        <f>COUNTIF(ParicipationJuillet1[[#This Row],[1]:[31]],Code16)</f>
        <v>0</v>
      </c>
      <c r="AZ95" s="473">
        <f>COUNTIF(ParicipationJuillet1[[#This Row],[1]:[31]],Code17)</f>
        <v>0</v>
      </c>
      <c r="BA95" s="473">
        <f>COUNTIF(ParicipationJuillet1[[#This Row],[1]:[31]],Code25)</f>
        <v>0</v>
      </c>
      <c r="BB95" s="473">
        <f>COUNTIF(ParicipationJuillet1[[#This Row],[1]:[31]],Code26)</f>
        <v>0</v>
      </c>
      <c r="BC95" s="473">
        <f>COUNTIF(ParicipationJuillet1[[#This Row],[1]:[31]],Code27)</f>
        <v>0</v>
      </c>
      <c r="BD95" s="473">
        <f>COUNTIF(ParicipationJuillet1[[#This Row],[1]:[31]],Code28)</f>
        <v>0</v>
      </c>
      <c r="BE95" s="473">
        <f>COUNTIF(ParicipationJuillet1[[#This Row],[1]:[31]],code30)</f>
        <v>0</v>
      </c>
      <c r="BF95" s="473">
        <f>COUNTIF(ParicipationJuillet1[[#This Row],[1]:[31]],Code31)</f>
        <v>0</v>
      </c>
      <c r="BG95" s="473">
        <f>COUNTIF(ParicipationJuillet1[[#This Row],[1]:[31]],code21)</f>
        <v>0</v>
      </c>
      <c r="BH95" s="473">
        <f>COUNTIF(ParicipationJuillet1[[#This Row],[1]:[31]],Code24)</f>
        <v>0</v>
      </c>
      <c r="BI95" s="473">
        <f>COUNTIF(ParicipationJuillet1[[#This Row],[1]:[31]],code18)</f>
        <v>0</v>
      </c>
      <c r="BJ95" s="473">
        <f>COUNTIF(ParicipationJuillet1[[#This Row],[1]:[31]],code19)</f>
        <v>0</v>
      </c>
      <c r="BK95" s="473">
        <f>COUNTIF(ParicipationJuillet1[[#This Row],[1]:[31]],code20)</f>
        <v>0</v>
      </c>
      <c r="BL95" s="516">
        <f>COUNTIF(ParicipationJuillet1[[#This Row],[1]:[31]],code29)</f>
        <v>0</v>
      </c>
      <c r="BM95" s="473"/>
      <c r="BN95" s="473"/>
      <c r="BO95" s="473"/>
      <c r="BP95" s="473"/>
      <c r="BQ95" s="473"/>
      <c r="BR95" s="473"/>
      <c r="BS95" s="473"/>
      <c r="BT95" s="473"/>
      <c r="BU95" s="473"/>
      <c r="BV95" s="473"/>
      <c r="BW95" s="473"/>
      <c r="BX95" s="473"/>
      <c r="BY95" s="473"/>
      <c r="BZ95" s="473"/>
      <c r="CA95" s="473"/>
      <c r="CB95" s="473"/>
      <c r="CC95" s="473"/>
      <c r="CD95" s="473"/>
      <c r="CE95" s="473"/>
      <c r="CF95" s="473"/>
      <c r="CG95" s="473"/>
      <c r="CH95" s="473"/>
      <c r="CI95" s="473"/>
      <c r="CJ95" s="473"/>
      <c r="CK95" s="473"/>
      <c r="CL95" s="473"/>
      <c r="CM95" s="473"/>
      <c r="CN95" s="473"/>
      <c r="CO95" s="473"/>
      <c r="CP95" s="473"/>
      <c r="CQ95" s="473"/>
      <c r="CR95" s="473"/>
      <c r="CS95" s="473"/>
      <c r="CT95" s="473"/>
      <c r="CU95" s="516"/>
      <c r="CV95" s="501">
        <f t="shared" si="4"/>
        <v>0</v>
      </c>
      <c r="CW95" s="501">
        <f t="shared" si="5"/>
        <v>0</v>
      </c>
      <c r="CX95" s="473">
        <f t="shared" si="6"/>
        <v>0</v>
      </c>
      <c r="CY95" s="512">
        <f t="shared" si="7"/>
        <v>0</v>
      </c>
    </row>
    <row r="96" spans="1:103">
      <c r="A96" s="112" t="s">
        <v>437</v>
      </c>
      <c r="B96" s="162" t="str">
        <f>IFERROR(VLOOKUP(ParicipationJuillet1[[#This Row],[Référence]],ListeÉtudiants1[],18,FALSE),"")</f>
        <v>LIGER MARION</v>
      </c>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640"/>
      <c r="AH96" s="202">
        <f>COUNTIF(ParicipationJuillet1[[#This Row],[1]:[31]],Code1)</f>
        <v>0</v>
      </c>
      <c r="AI96" s="475">
        <f>COUNTIF(ParicipationJuillet1[[#This Row],[1]:[31]],code22)</f>
        <v>0</v>
      </c>
      <c r="AJ96" s="202">
        <f>COUNTIF(ParicipationJuillet1[[#This Row],[1]:[31]],Code2)</f>
        <v>0</v>
      </c>
      <c r="AK96" s="202">
        <f>COUNTIF(ParicipationJuillet1[[#This Row],[1]:[31]],Code3)</f>
        <v>0</v>
      </c>
      <c r="AL96" s="202">
        <f>COUNTIF(ParicipationJuillet1[[#This Row],[1]:[31]],Code4)</f>
        <v>0</v>
      </c>
      <c r="AM96" s="473">
        <f>COUNTIF(ParicipationJuillet1[[#This Row],[1]:[31]],Code5)</f>
        <v>0</v>
      </c>
      <c r="AN96" s="473">
        <f>COUNTIF(ParicipationJuillet1[[#This Row],[1]:[31]],Code23)</f>
        <v>0</v>
      </c>
      <c r="AO96" s="473">
        <f>COUNTIF(ParicipationJuillet1[[#This Row],[1]:[31]],Code6)</f>
        <v>0</v>
      </c>
      <c r="AP96" s="473">
        <f>COUNTIF(ParicipationJuillet1[[#This Row],[1]:[31]],Code7)</f>
        <v>0</v>
      </c>
      <c r="AQ96" s="473">
        <f>COUNTIF(ParicipationJuillet1[[#This Row],[1]:[31]],Code8)</f>
        <v>0</v>
      </c>
      <c r="AR96" s="473">
        <f>COUNTIF(ParicipationJuillet1[[#This Row],[1]:[31]],Code9)</f>
        <v>0</v>
      </c>
      <c r="AS96" s="473">
        <f>COUNTIF(ParicipationJuillet1[[#This Row],[1]:[31]],Code10)</f>
        <v>0</v>
      </c>
      <c r="AT96" s="473">
        <f>COUNTIF(ParicipationJuillet1[[#This Row],[1]:[31]],Code11)</f>
        <v>0</v>
      </c>
      <c r="AU96" s="473">
        <f>COUNTIF(ParicipationJuillet1[[#This Row],[1]:[31]],Code12)</f>
        <v>0</v>
      </c>
      <c r="AV96" s="473">
        <f>COUNTIF(ParicipationJuillet1[[#This Row],[1]:[31]],Code13)</f>
        <v>0</v>
      </c>
      <c r="AW96" s="473">
        <f>COUNTIF(ParicipationJuillet1[[#This Row],[1]:[31]],Code14)</f>
        <v>0</v>
      </c>
      <c r="AX96" s="473">
        <f>COUNTIF(ParicipationJuillet1[[#This Row],[1]:[31]],Code15)</f>
        <v>0</v>
      </c>
      <c r="AY96" s="473">
        <f>COUNTIF(ParicipationJuillet1[[#This Row],[1]:[31]],Code16)</f>
        <v>0</v>
      </c>
      <c r="AZ96" s="473">
        <f>COUNTIF(ParicipationJuillet1[[#This Row],[1]:[31]],Code17)</f>
        <v>0</v>
      </c>
      <c r="BA96" s="473">
        <f>COUNTIF(ParicipationJuillet1[[#This Row],[1]:[31]],Code25)</f>
        <v>0</v>
      </c>
      <c r="BB96" s="473">
        <f>COUNTIF(ParicipationJuillet1[[#This Row],[1]:[31]],Code26)</f>
        <v>0</v>
      </c>
      <c r="BC96" s="473">
        <f>COUNTIF(ParicipationJuillet1[[#This Row],[1]:[31]],Code27)</f>
        <v>0</v>
      </c>
      <c r="BD96" s="473">
        <f>COUNTIF(ParicipationJuillet1[[#This Row],[1]:[31]],Code28)</f>
        <v>0</v>
      </c>
      <c r="BE96" s="473">
        <f>COUNTIF(ParicipationJuillet1[[#This Row],[1]:[31]],code30)</f>
        <v>0</v>
      </c>
      <c r="BF96" s="473">
        <f>COUNTIF(ParicipationJuillet1[[#This Row],[1]:[31]],Code31)</f>
        <v>0</v>
      </c>
      <c r="BG96" s="473">
        <f>COUNTIF(ParicipationJuillet1[[#This Row],[1]:[31]],code21)</f>
        <v>0</v>
      </c>
      <c r="BH96" s="473">
        <f>COUNTIF(ParicipationJuillet1[[#This Row],[1]:[31]],Code24)</f>
        <v>0</v>
      </c>
      <c r="BI96" s="473">
        <f>COUNTIF(ParicipationJuillet1[[#This Row],[1]:[31]],code18)</f>
        <v>0</v>
      </c>
      <c r="BJ96" s="473">
        <f>COUNTIF(ParicipationJuillet1[[#This Row],[1]:[31]],code19)</f>
        <v>0</v>
      </c>
      <c r="BK96" s="473">
        <f>COUNTIF(ParicipationJuillet1[[#This Row],[1]:[31]],code20)</f>
        <v>0</v>
      </c>
      <c r="BL96" s="516">
        <f>COUNTIF(ParicipationJuillet1[[#This Row],[1]:[31]],code29)</f>
        <v>0</v>
      </c>
      <c r="BM96" s="473"/>
      <c r="BN96" s="473"/>
      <c r="BO96" s="473"/>
      <c r="BP96" s="473"/>
      <c r="BQ96" s="473"/>
      <c r="BR96" s="473"/>
      <c r="BS96" s="473"/>
      <c r="BT96" s="473"/>
      <c r="BU96" s="473"/>
      <c r="BV96" s="473"/>
      <c r="BW96" s="473"/>
      <c r="BX96" s="473"/>
      <c r="BY96" s="473"/>
      <c r="BZ96" s="473"/>
      <c r="CA96" s="473"/>
      <c r="CB96" s="473"/>
      <c r="CC96" s="473"/>
      <c r="CD96" s="473"/>
      <c r="CE96" s="473"/>
      <c r="CF96" s="473"/>
      <c r="CG96" s="473"/>
      <c r="CH96" s="473"/>
      <c r="CI96" s="473"/>
      <c r="CJ96" s="473"/>
      <c r="CK96" s="473"/>
      <c r="CL96" s="473"/>
      <c r="CM96" s="473"/>
      <c r="CN96" s="473"/>
      <c r="CO96" s="473"/>
      <c r="CP96" s="473"/>
      <c r="CQ96" s="473"/>
      <c r="CR96" s="473"/>
      <c r="CS96" s="473"/>
      <c r="CT96" s="473"/>
      <c r="CU96" s="516"/>
      <c r="CV96" s="501">
        <f t="shared" si="4"/>
        <v>0</v>
      </c>
      <c r="CW96" s="501">
        <f t="shared" si="5"/>
        <v>0</v>
      </c>
      <c r="CX96" s="473">
        <f t="shared" si="6"/>
        <v>0</v>
      </c>
      <c r="CY96" s="512">
        <f t="shared" si="7"/>
        <v>0</v>
      </c>
    </row>
    <row r="97" spans="1:103">
      <c r="A97" s="112" t="s">
        <v>438</v>
      </c>
      <c r="B97" s="162" t="str">
        <f>IFERROR(VLOOKUP(ParicipationJuillet1[[#This Row],[Référence]],ListeÉtudiants1[],18,FALSE),"")</f>
        <v>MARCHAL RAPHAEL</v>
      </c>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640"/>
      <c r="AH97" s="202">
        <f>COUNTIF(ParicipationJuillet1[[#This Row],[1]:[31]],Code1)</f>
        <v>0</v>
      </c>
      <c r="AI97" s="475">
        <f>COUNTIF(ParicipationJuillet1[[#This Row],[1]:[31]],code22)</f>
        <v>0</v>
      </c>
      <c r="AJ97" s="202">
        <f>COUNTIF(ParicipationJuillet1[[#This Row],[1]:[31]],Code2)</f>
        <v>0</v>
      </c>
      <c r="AK97" s="202">
        <f>COUNTIF(ParicipationJuillet1[[#This Row],[1]:[31]],Code3)</f>
        <v>0</v>
      </c>
      <c r="AL97" s="202">
        <f>COUNTIF(ParicipationJuillet1[[#This Row],[1]:[31]],Code4)</f>
        <v>0</v>
      </c>
      <c r="AM97" s="473">
        <f>COUNTIF(ParicipationJuillet1[[#This Row],[1]:[31]],Code5)</f>
        <v>0</v>
      </c>
      <c r="AN97" s="473">
        <f>COUNTIF(ParicipationJuillet1[[#This Row],[1]:[31]],Code23)</f>
        <v>0</v>
      </c>
      <c r="AO97" s="473">
        <f>COUNTIF(ParicipationJuillet1[[#This Row],[1]:[31]],Code6)</f>
        <v>0</v>
      </c>
      <c r="AP97" s="473">
        <f>COUNTIF(ParicipationJuillet1[[#This Row],[1]:[31]],Code7)</f>
        <v>0</v>
      </c>
      <c r="AQ97" s="473">
        <f>COUNTIF(ParicipationJuillet1[[#This Row],[1]:[31]],Code8)</f>
        <v>0</v>
      </c>
      <c r="AR97" s="473">
        <f>COUNTIF(ParicipationJuillet1[[#This Row],[1]:[31]],Code9)</f>
        <v>0</v>
      </c>
      <c r="AS97" s="473">
        <f>COUNTIF(ParicipationJuillet1[[#This Row],[1]:[31]],Code10)</f>
        <v>0</v>
      </c>
      <c r="AT97" s="473">
        <f>COUNTIF(ParicipationJuillet1[[#This Row],[1]:[31]],Code11)</f>
        <v>0</v>
      </c>
      <c r="AU97" s="473">
        <f>COUNTIF(ParicipationJuillet1[[#This Row],[1]:[31]],Code12)</f>
        <v>0</v>
      </c>
      <c r="AV97" s="473">
        <f>COUNTIF(ParicipationJuillet1[[#This Row],[1]:[31]],Code13)</f>
        <v>0</v>
      </c>
      <c r="AW97" s="473">
        <f>COUNTIF(ParicipationJuillet1[[#This Row],[1]:[31]],Code14)</f>
        <v>0</v>
      </c>
      <c r="AX97" s="473">
        <f>COUNTIF(ParicipationJuillet1[[#This Row],[1]:[31]],Code15)</f>
        <v>0</v>
      </c>
      <c r="AY97" s="473">
        <f>COUNTIF(ParicipationJuillet1[[#This Row],[1]:[31]],Code16)</f>
        <v>0</v>
      </c>
      <c r="AZ97" s="473">
        <f>COUNTIF(ParicipationJuillet1[[#This Row],[1]:[31]],Code17)</f>
        <v>0</v>
      </c>
      <c r="BA97" s="473">
        <f>COUNTIF(ParicipationJuillet1[[#This Row],[1]:[31]],Code25)</f>
        <v>0</v>
      </c>
      <c r="BB97" s="473">
        <f>COUNTIF(ParicipationJuillet1[[#This Row],[1]:[31]],Code26)</f>
        <v>0</v>
      </c>
      <c r="BC97" s="473">
        <f>COUNTIF(ParicipationJuillet1[[#This Row],[1]:[31]],Code27)</f>
        <v>0</v>
      </c>
      <c r="BD97" s="473">
        <f>COUNTIF(ParicipationJuillet1[[#This Row],[1]:[31]],Code28)</f>
        <v>0</v>
      </c>
      <c r="BE97" s="473">
        <f>COUNTIF(ParicipationJuillet1[[#This Row],[1]:[31]],code30)</f>
        <v>0</v>
      </c>
      <c r="BF97" s="473">
        <f>COUNTIF(ParicipationJuillet1[[#This Row],[1]:[31]],Code31)</f>
        <v>0</v>
      </c>
      <c r="BG97" s="473">
        <f>COUNTIF(ParicipationJuillet1[[#This Row],[1]:[31]],code21)</f>
        <v>0</v>
      </c>
      <c r="BH97" s="473">
        <f>COUNTIF(ParicipationJuillet1[[#This Row],[1]:[31]],Code24)</f>
        <v>0</v>
      </c>
      <c r="BI97" s="473">
        <f>COUNTIF(ParicipationJuillet1[[#This Row],[1]:[31]],code18)</f>
        <v>0</v>
      </c>
      <c r="BJ97" s="473">
        <f>COUNTIF(ParicipationJuillet1[[#This Row],[1]:[31]],code19)</f>
        <v>0</v>
      </c>
      <c r="BK97" s="473">
        <f>COUNTIF(ParicipationJuillet1[[#This Row],[1]:[31]],code20)</f>
        <v>0</v>
      </c>
      <c r="BL97" s="516">
        <f>COUNTIF(ParicipationJuillet1[[#This Row],[1]:[31]],code29)</f>
        <v>0</v>
      </c>
      <c r="BM97" s="473"/>
      <c r="BN97" s="473"/>
      <c r="BO97" s="473"/>
      <c r="BP97" s="473"/>
      <c r="BQ97" s="473"/>
      <c r="BR97" s="473"/>
      <c r="BS97" s="473"/>
      <c r="BT97" s="473"/>
      <c r="BU97" s="473"/>
      <c r="BV97" s="473"/>
      <c r="BW97" s="473"/>
      <c r="BX97" s="473"/>
      <c r="BY97" s="473"/>
      <c r="BZ97" s="473"/>
      <c r="CA97" s="473"/>
      <c r="CB97" s="473"/>
      <c r="CC97" s="473"/>
      <c r="CD97" s="473"/>
      <c r="CE97" s="473"/>
      <c r="CF97" s="473"/>
      <c r="CG97" s="473"/>
      <c r="CH97" s="473"/>
      <c r="CI97" s="473"/>
      <c r="CJ97" s="473"/>
      <c r="CK97" s="473"/>
      <c r="CL97" s="473"/>
      <c r="CM97" s="473"/>
      <c r="CN97" s="473"/>
      <c r="CO97" s="473"/>
      <c r="CP97" s="473"/>
      <c r="CQ97" s="473"/>
      <c r="CR97" s="473"/>
      <c r="CS97" s="473"/>
      <c r="CT97" s="473"/>
      <c r="CU97" s="516"/>
      <c r="CV97" s="501">
        <f t="shared" si="4"/>
        <v>0</v>
      </c>
      <c r="CW97" s="501">
        <f t="shared" si="5"/>
        <v>0</v>
      </c>
      <c r="CX97" s="473">
        <f t="shared" si="6"/>
        <v>0</v>
      </c>
      <c r="CY97" s="512">
        <f t="shared" si="7"/>
        <v>0</v>
      </c>
    </row>
    <row r="98" spans="1:103">
      <c r="A98" s="112" t="s">
        <v>439</v>
      </c>
      <c r="B98" s="162" t="str">
        <f>IFERROR(VLOOKUP(ParicipationJuillet1[[#This Row],[Référence]],ListeÉtudiants1[],18,FALSE),"")</f>
        <v>MARIE-ANAIS OLIVIER</v>
      </c>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640"/>
      <c r="AH98" s="202">
        <f>COUNTIF(ParicipationJuillet1[[#This Row],[1]:[31]],Code1)</f>
        <v>0</v>
      </c>
      <c r="AI98" s="475">
        <f>COUNTIF(ParicipationJuillet1[[#This Row],[1]:[31]],code22)</f>
        <v>0</v>
      </c>
      <c r="AJ98" s="202">
        <f>COUNTIF(ParicipationJuillet1[[#This Row],[1]:[31]],Code2)</f>
        <v>0</v>
      </c>
      <c r="AK98" s="202">
        <f>COUNTIF(ParicipationJuillet1[[#This Row],[1]:[31]],Code3)</f>
        <v>0</v>
      </c>
      <c r="AL98" s="202">
        <f>COUNTIF(ParicipationJuillet1[[#This Row],[1]:[31]],Code4)</f>
        <v>0</v>
      </c>
      <c r="AM98" s="473">
        <f>COUNTIF(ParicipationJuillet1[[#This Row],[1]:[31]],Code5)</f>
        <v>0</v>
      </c>
      <c r="AN98" s="473">
        <f>COUNTIF(ParicipationJuillet1[[#This Row],[1]:[31]],Code23)</f>
        <v>0</v>
      </c>
      <c r="AO98" s="473">
        <f>COUNTIF(ParicipationJuillet1[[#This Row],[1]:[31]],Code6)</f>
        <v>0</v>
      </c>
      <c r="AP98" s="473">
        <f>COUNTIF(ParicipationJuillet1[[#This Row],[1]:[31]],Code7)</f>
        <v>0</v>
      </c>
      <c r="AQ98" s="473">
        <f>COUNTIF(ParicipationJuillet1[[#This Row],[1]:[31]],Code8)</f>
        <v>0</v>
      </c>
      <c r="AR98" s="473">
        <f>COUNTIF(ParicipationJuillet1[[#This Row],[1]:[31]],Code9)</f>
        <v>0</v>
      </c>
      <c r="AS98" s="473">
        <f>COUNTIF(ParicipationJuillet1[[#This Row],[1]:[31]],Code10)</f>
        <v>0</v>
      </c>
      <c r="AT98" s="473">
        <f>COUNTIF(ParicipationJuillet1[[#This Row],[1]:[31]],Code11)</f>
        <v>0</v>
      </c>
      <c r="AU98" s="473">
        <f>COUNTIF(ParicipationJuillet1[[#This Row],[1]:[31]],Code12)</f>
        <v>0</v>
      </c>
      <c r="AV98" s="473">
        <f>COUNTIF(ParicipationJuillet1[[#This Row],[1]:[31]],Code13)</f>
        <v>0</v>
      </c>
      <c r="AW98" s="473">
        <f>COUNTIF(ParicipationJuillet1[[#This Row],[1]:[31]],Code14)</f>
        <v>0</v>
      </c>
      <c r="AX98" s="473">
        <f>COUNTIF(ParicipationJuillet1[[#This Row],[1]:[31]],Code15)</f>
        <v>0</v>
      </c>
      <c r="AY98" s="473">
        <f>COUNTIF(ParicipationJuillet1[[#This Row],[1]:[31]],Code16)</f>
        <v>0</v>
      </c>
      <c r="AZ98" s="473">
        <f>COUNTIF(ParicipationJuillet1[[#This Row],[1]:[31]],Code17)</f>
        <v>0</v>
      </c>
      <c r="BA98" s="473">
        <f>COUNTIF(ParicipationJuillet1[[#This Row],[1]:[31]],Code25)</f>
        <v>0</v>
      </c>
      <c r="BB98" s="473">
        <f>COUNTIF(ParicipationJuillet1[[#This Row],[1]:[31]],Code26)</f>
        <v>0</v>
      </c>
      <c r="BC98" s="473">
        <f>COUNTIF(ParicipationJuillet1[[#This Row],[1]:[31]],Code27)</f>
        <v>0</v>
      </c>
      <c r="BD98" s="473">
        <f>COUNTIF(ParicipationJuillet1[[#This Row],[1]:[31]],Code28)</f>
        <v>0</v>
      </c>
      <c r="BE98" s="473">
        <f>COUNTIF(ParicipationJuillet1[[#This Row],[1]:[31]],code30)</f>
        <v>0</v>
      </c>
      <c r="BF98" s="473">
        <f>COUNTIF(ParicipationJuillet1[[#This Row],[1]:[31]],Code31)</f>
        <v>0</v>
      </c>
      <c r="BG98" s="473">
        <f>COUNTIF(ParicipationJuillet1[[#This Row],[1]:[31]],code21)</f>
        <v>0</v>
      </c>
      <c r="BH98" s="473">
        <f>COUNTIF(ParicipationJuillet1[[#This Row],[1]:[31]],Code24)</f>
        <v>0</v>
      </c>
      <c r="BI98" s="473">
        <f>COUNTIF(ParicipationJuillet1[[#This Row],[1]:[31]],code18)</f>
        <v>0</v>
      </c>
      <c r="BJ98" s="473">
        <f>COUNTIF(ParicipationJuillet1[[#This Row],[1]:[31]],code19)</f>
        <v>0</v>
      </c>
      <c r="BK98" s="473">
        <f>COUNTIF(ParicipationJuillet1[[#This Row],[1]:[31]],code20)</f>
        <v>0</v>
      </c>
      <c r="BL98" s="516">
        <f>COUNTIF(ParicipationJuillet1[[#This Row],[1]:[31]],code29)</f>
        <v>0</v>
      </c>
      <c r="BM98" s="473"/>
      <c r="BN98" s="473"/>
      <c r="BO98" s="473"/>
      <c r="BP98" s="473"/>
      <c r="BQ98" s="473"/>
      <c r="BR98" s="473"/>
      <c r="BS98" s="473"/>
      <c r="BT98" s="473"/>
      <c r="BU98" s="473"/>
      <c r="BV98" s="473"/>
      <c r="BW98" s="473"/>
      <c r="BX98" s="473"/>
      <c r="BY98" s="473"/>
      <c r="BZ98" s="473"/>
      <c r="CA98" s="473"/>
      <c r="CB98" s="473"/>
      <c r="CC98" s="473"/>
      <c r="CD98" s="473"/>
      <c r="CE98" s="473"/>
      <c r="CF98" s="473"/>
      <c r="CG98" s="473"/>
      <c r="CH98" s="473"/>
      <c r="CI98" s="473"/>
      <c r="CJ98" s="473"/>
      <c r="CK98" s="473"/>
      <c r="CL98" s="473"/>
      <c r="CM98" s="473"/>
      <c r="CN98" s="473"/>
      <c r="CO98" s="473"/>
      <c r="CP98" s="473"/>
      <c r="CQ98" s="473"/>
      <c r="CR98" s="473"/>
      <c r="CS98" s="473"/>
      <c r="CT98" s="473"/>
      <c r="CU98" s="516"/>
      <c r="CV98" s="501">
        <f t="shared" si="4"/>
        <v>0</v>
      </c>
      <c r="CW98" s="501">
        <f t="shared" si="5"/>
        <v>0</v>
      </c>
      <c r="CX98" s="473">
        <f t="shared" si="6"/>
        <v>0</v>
      </c>
      <c r="CY98" s="512">
        <f t="shared" si="7"/>
        <v>0</v>
      </c>
    </row>
    <row r="99" spans="1:103">
      <c r="A99" s="112" t="s">
        <v>440</v>
      </c>
      <c r="B99" s="162" t="str">
        <f>IFERROR(VLOOKUP(ParicipationJuillet1[[#This Row],[Référence]],ListeÉtudiants1[],18,FALSE),"")</f>
        <v>MATEUS ANDREA</v>
      </c>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640"/>
      <c r="AH99" s="202">
        <f>COUNTIF(ParicipationJuillet1[[#This Row],[1]:[31]],Code1)</f>
        <v>0</v>
      </c>
      <c r="AI99" s="475">
        <f>COUNTIF(ParicipationJuillet1[[#This Row],[1]:[31]],code22)</f>
        <v>0</v>
      </c>
      <c r="AJ99" s="202">
        <f>COUNTIF(ParicipationJuillet1[[#This Row],[1]:[31]],Code2)</f>
        <v>0</v>
      </c>
      <c r="AK99" s="202">
        <f>COUNTIF(ParicipationJuillet1[[#This Row],[1]:[31]],Code3)</f>
        <v>0</v>
      </c>
      <c r="AL99" s="202">
        <f>COUNTIF(ParicipationJuillet1[[#This Row],[1]:[31]],Code4)</f>
        <v>0</v>
      </c>
      <c r="AM99" s="473">
        <f>COUNTIF(ParicipationJuillet1[[#This Row],[1]:[31]],Code5)</f>
        <v>0</v>
      </c>
      <c r="AN99" s="473">
        <f>COUNTIF(ParicipationJuillet1[[#This Row],[1]:[31]],Code23)</f>
        <v>0</v>
      </c>
      <c r="AO99" s="473">
        <f>COUNTIF(ParicipationJuillet1[[#This Row],[1]:[31]],Code6)</f>
        <v>0</v>
      </c>
      <c r="AP99" s="473">
        <f>COUNTIF(ParicipationJuillet1[[#This Row],[1]:[31]],Code7)</f>
        <v>0</v>
      </c>
      <c r="AQ99" s="473">
        <f>COUNTIF(ParicipationJuillet1[[#This Row],[1]:[31]],Code8)</f>
        <v>0</v>
      </c>
      <c r="AR99" s="473">
        <f>COUNTIF(ParicipationJuillet1[[#This Row],[1]:[31]],Code9)</f>
        <v>0</v>
      </c>
      <c r="AS99" s="473">
        <f>COUNTIF(ParicipationJuillet1[[#This Row],[1]:[31]],Code10)</f>
        <v>0</v>
      </c>
      <c r="AT99" s="473">
        <f>COUNTIF(ParicipationJuillet1[[#This Row],[1]:[31]],Code11)</f>
        <v>0</v>
      </c>
      <c r="AU99" s="473">
        <f>COUNTIF(ParicipationJuillet1[[#This Row],[1]:[31]],Code12)</f>
        <v>0</v>
      </c>
      <c r="AV99" s="473">
        <f>COUNTIF(ParicipationJuillet1[[#This Row],[1]:[31]],Code13)</f>
        <v>0</v>
      </c>
      <c r="AW99" s="473">
        <f>COUNTIF(ParicipationJuillet1[[#This Row],[1]:[31]],Code14)</f>
        <v>0</v>
      </c>
      <c r="AX99" s="473">
        <f>COUNTIF(ParicipationJuillet1[[#This Row],[1]:[31]],Code15)</f>
        <v>0</v>
      </c>
      <c r="AY99" s="473">
        <f>COUNTIF(ParicipationJuillet1[[#This Row],[1]:[31]],Code16)</f>
        <v>0</v>
      </c>
      <c r="AZ99" s="473">
        <f>COUNTIF(ParicipationJuillet1[[#This Row],[1]:[31]],Code17)</f>
        <v>0</v>
      </c>
      <c r="BA99" s="473">
        <f>COUNTIF(ParicipationJuillet1[[#This Row],[1]:[31]],Code25)</f>
        <v>0</v>
      </c>
      <c r="BB99" s="473">
        <f>COUNTIF(ParicipationJuillet1[[#This Row],[1]:[31]],Code26)</f>
        <v>0</v>
      </c>
      <c r="BC99" s="473">
        <f>COUNTIF(ParicipationJuillet1[[#This Row],[1]:[31]],Code27)</f>
        <v>0</v>
      </c>
      <c r="BD99" s="473">
        <f>COUNTIF(ParicipationJuillet1[[#This Row],[1]:[31]],Code28)</f>
        <v>0</v>
      </c>
      <c r="BE99" s="473">
        <f>COUNTIF(ParicipationJuillet1[[#This Row],[1]:[31]],code30)</f>
        <v>0</v>
      </c>
      <c r="BF99" s="473">
        <f>COUNTIF(ParicipationJuillet1[[#This Row],[1]:[31]],Code31)</f>
        <v>0</v>
      </c>
      <c r="BG99" s="473">
        <f>COUNTIF(ParicipationJuillet1[[#This Row],[1]:[31]],code21)</f>
        <v>0</v>
      </c>
      <c r="BH99" s="473">
        <f>COUNTIF(ParicipationJuillet1[[#This Row],[1]:[31]],Code24)</f>
        <v>0</v>
      </c>
      <c r="BI99" s="473">
        <f>COUNTIF(ParicipationJuillet1[[#This Row],[1]:[31]],code18)</f>
        <v>0</v>
      </c>
      <c r="BJ99" s="473">
        <f>COUNTIF(ParicipationJuillet1[[#This Row],[1]:[31]],code19)</f>
        <v>0</v>
      </c>
      <c r="BK99" s="473">
        <f>COUNTIF(ParicipationJuillet1[[#This Row],[1]:[31]],code20)</f>
        <v>0</v>
      </c>
      <c r="BL99" s="516">
        <f>COUNTIF(ParicipationJuillet1[[#This Row],[1]:[31]],code29)</f>
        <v>0</v>
      </c>
      <c r="BM99" s="473"/>
      <c r="BN99" s="473"/>
      <c r="BO99" s="473"/>
      <c r="BP99" s="473"/>
      <c r="BQ99" s="473"/>
      <c r="BR99" s="473"/>
      <c r="BS99" s="473"/>
      <c r="BT99" s="473"/>
      <c r="BU99" s="473"/>
      <c r="BV99" s="473"/>
      <c r="BW99" s="473"/>
      <c r="BX99" s="473"/>
      <c r="BY99" s="473"/>
      <c r="BZ99" s="473"/>
      <c r="CA99" s="473"/>
      <c r="CB99" s="473"/>
      <c r="CC99" s="473"/>
      <c r="CD99" s="473"/>
      <c r="CE99" s="473"/>
      <c r="CF99" s="473"/>
      <c r="CG99" s="473"/>
      <c r="CH99" s="473"/>
      <c r="CI99" s="473"/>
      <c r="CJ99" s="473"/>
      <c r="CK99" s="473"/>
      <c r="CL99" s="473"/>
      <c r="CM99" s="473"/>
      <c r="CN99" s="473"/>
      <c r="CO99" s="473"/>
      <c r="CP99" s="473"/>
      <c r="CQ99" s="473"/>
      <c r="CR99" s="473"/>
      <c r="CS99" s="473"/>
      <c r="CT99" s="473"/>
      <c r="CU99" s="516"/>
      <c r="CV99" s="501">
        <f t="shared" si="4"/>
        <v>0</v>
      </c>
      <c r="CW99" s="501">
        <f t="shared" si="5"/>
        <v>0</v>
      </c>
      <c r="CX99" s="473">
        <f t="shared" si="6"/>
        <v>0</v>
      </c>
      <c r="CY99" s="512">
        <f t="shared" si="7"/>
        <v>0</v>
      </c>
    </row>
    <row r="100" spans="1:103">
      <c r="A100" s="112" t="s">
        <v>441</v>
      </c>
      <c r="B100" s="162" t="str">
        <f>IFERROR(VLOOKUP(ParicipationJuillet1[[#This Row],[Référence]],ListeÉtudiants1[],18,FALSE),"")</f>
        <v>MAWETE  JESSICA</v>
      </c>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640"/>
      <c r="AH100" s="202">
        <f>COUNTIF(ParicipationJuillet1[[#This Row],[1]:[31]],Code1)</f>
        <v>0</v>
      </c>
      <c r="AI100" s="475">
        <f>COUNTIF(ParicipationJuillet1[[#This Row],[1]:[31]],code22)</f>
        <v>0</v>
      </c>
      <c r="AJ100" s="202">
        <f>COUNTIF(ParicipationJuillet1[[#This Row],[1]:[31]],Code2)</f>
        <v>0</v>
      </c>
      <c r="AK100" s="202">
        <f>COUNTIF(ParicipationJuillet1[[#This Row],[1]:[31]],Code3)</f>
        <v>0</v>
      </c>
      <c r="AL100" s="202">
        <f>COUNTIF(ParicipationJuillet1[[#This Row],[1]:[31]],Code4)</f>
        <v>0</v>
      </c>
      <c r="AM100" s="473">
        <f>COUNTIF(ParicipationJuillet1[[#This Row],[1]:[31]],Code5)</f>
        <v>0</v>
      </c>
      <c r="AN100" s="473">
        <f>COUNTIF(ParicipationJuillet1[[#This Row],[1]:[31]],Code23)</f>
        <v>0</v>
      </c>
      <c r="AO100" s="473">
        <f>COUNTIF(ParicipationJuillet1[[#This Row],[1]:[31]],Code6)</f>
        <v>0</v>
      </c>
      <c r="AP100" s="473">
        <f>COUNTIF(ParicipationJuillet1[[#This Row],[1]:[31]],Code7)</f>
        <v>0</v>
      </c>
      <c r="AQ100" s="473">
        <f>COUNTIF(ParicipationJuillet1[[#This Row],[1]:[31]],Code8)</f>
        <v>0</v>
      </c>
      <c r="AR100" s="473">
        <f>COUNTIF(ParicipationJuillet1[[#This Row],[1]:[31]],Code9)</f>
        <v>0</v>
      </c>
      <c r="AS100" s="473">
        <f>COUNTIF(ParicipationJuillet1[[#This Row],[1]:[31]],Code10)</f>
        <v>0</v>
      </c>
      <c r="AT100" s="473">
        <f>COUNTIF(ParicipationJuillet1[[#This Row],[1]:[31]],Code11)</f>
        <v>0</v>
      </c>
      <c r="AU100" s="473">
        <f>COUNTIF(ParicipationJuillet1[[#This Row],[1]:[31]],Code12)</f>
        <v>0</v>
      </c>
      <c r="AV100" s="473">
        <f>COUNTIF(ParicipationJuillet1[[#This Row],[1]:[31]],Code13)</f>
        <v>0</v>
      </c>
      <c r="AW100" s="473">
        <f>COUNTIF(ParicipationJuillet1[[#This Row],[1]:[31]],Code14)</f>
        <v>0</v>
      </c>
      <c r="AX100" s="473">
        <f>COUNTIF(ParicipationJuillet1[[#This Row],[1]:[31]],Code15)</f>
        <v>0</v>
      </c>
      <c r="AY100" s="473">
        <f>COUNTIF(ParicipationJuillet1[[#This Row],[1]:[31]],Code16)</f>
        <v>0</v>
      </c>
      <c r="AZ100" s="473">
        <f>COUNTIF(ParicipationJuillet1[[#This Row],[1]:[31]],Code17)</f>
        <v>0</v>
      </c>
      <c r="BA100" s="473">
        <f>COUNTIF(ParicipationJuillet1[[#This Row],[1]:[31]],Code25)</f>
        <v>0</v>
      </c>
      <c r="BB100" s="473">
        <f>COUNTIF(ParicipationJuillet1[[#This Row],[1]:[31]],Code26)</f>
        <v>0</v>
      </c>
      <c r="BC100" s="473">
        <f>COUNTIF(ParicipationJuillet1[[#This Row],[1]:[31]],Code27)</f>
        <v>0</v>
      </c>
      <c r="BD100" s="473">
        <f>COUNTIF(ParicipationJuillet1[[#This Row],[1]:[31]],Code28)</f>
        <v>0</v>
      </c>
      <c r="BE100" s="473">
        <f>COUNTIF(ParicipationJuillet1[[#This Row],[1]:[31]],code30)</f>
        <v>0</v>
      </c>
      <c r="BF100" s="473">
        <f>COUNTIF(ParicipationJuillet1[[#This Row],[1]:[31]],Code31)</f>
        <v>0</v>
      </c>
      <c r="BG100" s="473">
        <f>COUNTIF(ParicipationJuillet1[[#This Row],[1]:[31]],code21)</f>
        <v>0</v>
      </c>
      <c r="BH100" s="473">
        <f>COUNTIF(ParicipationJuillet1[[#This Row],[1]:[31]],Code24)</f>
        <v>0</v>
      </c>
      <c r="BI100" s="473">
        <f>COUNTIF(ParicipationJuillet1[[#This Row],[1]:[31]],code18)</f>
        <v>0</v>
      </c>
      <c r="BJ100" s="473">
        <f>COUNTIF(ParicipationJuillet1[[#This Row],[1]:[31]],code19)</f>
        <v>0</v>
      </c>
      <c r="BK100" s="473">
        <f>COUNTIF(ParicipationJuillet1[[#This Row],[1]:[31]],code20)</f>
        <v>0</v>
      </c>
      <c r="BL100" s="516">
        <f>COUNTIF(ParicipationJuillet1[[#This Row],[1]:[31]],code29)</f>
        <v>0</v>
      </c>
      <c r="BM100" s="473"/>
      <c r="BN100" s="473"/>
      <c r="BO100" s="473"/>
      <c r="BP100" s="473"/>
      <c r="BQ100" s="473"/>
      <c r="BR100" s="473"/>
      <c r="BS100" s="473"/>
      <c r="BT100" s="473"/>
      <c r="BU100" s="473"/>
      <c r="BV100" s="473"/>
      <c r="BW100" s="473"/>
      <c r="BX100" s="473"/>
      <c r="BY100" s="473"/>
      <c r="BZ100" s="473"/>
      <c r="CA100" s="473"/>
      <c r="CB100" s="473"/>
      <c r="CC100" s="473"/>
      <c r="CD100" s="473"/>
      <c r="CE100" s="473"/>
      <c r="CF100" s="473"/>
      <c r="CG100" s="473"/>
      <c r="CH100" s="473"/>
      <c r="CI100" s="473"/>
      <c r="CJ100" s="473"/>
      <c r="CK100" s="473"/>
      <c r="CL100" s="473"/>
      <c r="CM100" s="473"/>
      <c r="CN100" s="473"/>
      <c r="CO100" s="473"/>
      <c r="CP100" s="473"/>
      <c r="CQ100" s="473"/>
      <c r="CR100" s="473"/>
      <c r="CS100" s="473"/>
      <c r="CT100" s="473"/>
      <c r="CU100" s="516"/>
      <c r="CV100" s="501">
        <f t="shared" si="4"/>
        <v>0</v>
      </c>
      <c r="CW100" s="501">
        <f t="shared" si="5"/>
        <v>0</v>
      </c>
      <c r="CX100" s="473">
        <f t="shared" si="6"/>
        <v>0</v>
      </c>
      <c r="CY100" s="512">
        <f t="shared" si="7"/>
        <v>0</v>
      </c>
    </row>
    <row r="101" spans="1:103">
      <c r="A101" s="112" t="s">
        <v>442</v>
      </c>
      <c r="B101" s="162" t="str">
        <f>IFERROR(VLOOKUP(ParicipationJuillet1[[#This Row],[Référence]],ListeÉtudiants1[],18,FALSE),"")</f>
        <v>MAZIERS LAURENCE</v>
      </c>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640"/>
      <c r="AH101" s="202">
        <f>COUNTIF(ParicipationJuillet1[[#This Row],[1]:[31]],Code1)</f>
        <v>0</v>
      </c>
      <c r="AI101" s="475">
        <f>COUNTIF(ParicipationJuillet1[[#This Row],[1]:[31]],code22)</f>
        <v>0</v>
      </c>
      <c r="AJ101" s="202">
        <f>COUNTIF(ParicipationJuillet1[[#This Row],[1]:[31]],Code2)</f>
        <v>0</v>
      </c>
      <c r="AK101" s="202">
        <f>COUNTIF(ParicipationJuillet1[[#This Row],[1]:[31]],Code3)</f>
        <v>0</v>
      </c>
      <c r="AL101" s="202">
        <f>COUNTIF(ParicipationJuillet1[[#This Row],[1]:[31]],Code4)</f>
        <v>0</v>
      </c>
      <c r="AM101" s="473">
        <f>COUNTIF(ParicipationJuillet1[[#This Row],[1]:[31]],Code5)</f>
        <v>0</v>
      </c>
      <c r="AN101" s="473">
        <f>COUNTIF(ParicipationJuillet1[[#This Row],[1]:[31]],Code23)</f>
        <v>0</v>
      </c>
      <c r="AO101" s="473">
        <f>COUNTIF(ParicipationJuillet1[[#This Row],[1]:[31]],Code6)</f>
        <v>0</v>
      </c>
      <c r="AP101" s="473">
        <f>COUNTIF(ParicipationJuillet1[[#This Row],[1]:[31]],Code7)</f>
        <v>0</v>
      </c>
      <c r="AQ101" s="473">
        <f>COUNTIF(ParicipationJuillet1[[#This Row],[1]:[31]],Code8)</f>
        <v>0</v>
      </c>
      <c r="AR101" s="473">
        <f>COUNTIF(ParicipationJuillet1[[#This Row],[1]:[31]],Code9)</f>
        <v>0</v>
      </c>
      <c r="AS101" s="473">
        <f>COUNTIF(ParicipationJuillet1[[#This Row],[1]:[31]],Code10)</f>
        <v>0</v>
      </c>
      <c r="AT101" s="473">
        <f>COUNTIF(ParicipationJuillet1[[#This Row],[1]:[31]],Code11)</f>
        <v>0</v>
      </c>
      <c r="AU101" s="473">
        <f>COUNTIF(ParicipationJuillet1[[#This Row],[1]:[31]],Code12)</f>
        <v>0</v>
      </c>
      <c r="AV101" s="473">
        <f>COUNTIF(ParicipationJuillet1[[#This Row],[1]:[31]],Code13)</f>
        <v>0</v>
      </c>
      <c r="AW101" s="473">
        <f>COUNTIF(ParicipationJuillet1[[#This Row],[1]:[31]],Code14)</f>
        <v>0</v>
      </c>
      <c r="AX101" s="473">
        <f>COUNTIF(ParicipationJuillet1[[#This Row],[1]:[31]],Code15)</f>
        <v>0</v>
      </c>
      <c r="AY101" s="473">
        <f>COUNTIF(ParicipationJuillet1[[#This Row],[1]:[31]],Code16)</f>
        <v>0</v>
      </c>
      <c r="AZ101" s="473">
        <f>COUNTIF(ParicipationJuillet1[[#This Row],[1]:[31]],Code17)</f>
        <v>0</v>
      </c>
      <c r="BA101" s="473">
        <f>COUNTIF(ParicipationJuillet1[[#This Row],[1]:[31]],Code25)</f>
        <v>0</v>
      </c>
      <c r="BB101" s="473">
        <f>COUNTIF(ParicipationJuillet1[[#This Row],[1]:[31]],Code26)</f>
        <v>0</v>
      </c>
      <c r="BC101" s="473">
        <f>COUNTIF(ParicipationJuillet1[[#This Row],[1]:[31]],Code27)</f>
        <v>0</v>
      </c>
      <c r="BD101" s="473">
        <f>COUNTIF(ParicipationJuillet1[[#This Row],[1]:[31]],Code28)</f>
        <v>0</v>
      </c>
      <c r="BE101" s="473">
        <f>COUNTIF(ParicipationJuillet1[[#This Row],[1]:[31]],code30)</f>
        <v>0</v>
      </c>
      <c r="BF101" s="473">
        <f>COUNTIF(ParicipationJuillet1[[#This Row],[1]:[31]],Code31)</f>
        <v>0</v>
      </c>
      <c r="BG101" s="473">
        <f>COUNTIF(ParicipationJuillet1[[#This Row],[1]:[31]],code21)</f>
        <v>0</v>
      </c>
      <c r="BH101" s="473">
        <f>COUNTIF(ParicipationJuillet1[[#This Row],[1]:[31]],Code24)</f>
        <v>0</v>
      </c>
      <c r="BI101" s="473">
        <f>COUNTIF(ParicipationJuillet1[[#This Row],[1]:[31]],code18)</f>
        <v>0</v>
      </c>
      <c r="BJ101" s="473">
        <f>COUNTIF(ParicipationJuillet1[[#This Row],[1]:[31]],code19)</f>
        <v>0</v>
      </c>
      <c r="BK101" s="473">
        <f>COUNTIF(ParicipationJuillet1[[#This Row],[1]:[31]],code20)</f>
        <v>0</v>
      </c>
      <c r="BL101" s="516">
        <f>COUNTIF(ParicipationJuillet1[[#This Row],[1]:[31]],code29)</f>
        <v>0</v>
      </c>
      <c r="BM101" s="473"/>
      <c r="BN101" s="473"/>
      <c r="BO101" s="473"/>
      <c r="BP101" s="473"/>
      <c r="BQ101" s="473"/>
      <c r="BR101" s="473"/>
      <c r="BS101" s="473"/>
      <c r="BT101" s="473"/>
      <c r="BU101" s="473"/>
      <c r="BV101" s="473"/>
      <c r="BW101" s="473"/>
      <c r="BX101" s="473"/>
      <c r="BY101" s="473"/>
      <c r="BZ101" s="473"/>
      <c r="CA101" s="473"/>
      <c r="CB101" s="473"/>
      <c r="CC101" s="473"/>
      <c r="CD101" s="473"/>
      <c r="CE101" s="473"/>
      <c r="CF101" s="473"/>
      <c r="CG101" s="473"/>
      <c r="CH101" s="473"/>
      <c r="CI101" s="473"/>
      <c r="CJ101" s="473"/>
      <c r="CK101" s="473"/>
      <c r="CL101" s="473"/>
      <c r="CM101" s="473"/>
      <c r="CN101" s="473"/>
      <c r="CO101" s="473"/>
      <c r="CP101" s="473"/>
      <c r="CQ101" s="473"/>
      <c r="CR101" s="473"/>
      <c r="CS101" s="473"/>
      <c r="CT101" s="473"/>
      <c r="CU101" s="516"/>
      <c r="CV101" s="501">
        <f t="shared" si="4"/>
        <v>0</v>
      </c>
      <c r="CW101" s="501">
        <f t="shared" si="5"/>
        <v>0</v>
      </c>
      <c r="CX101" s="473">
        <f t="shared" si="6"/>
        <v>0</v>
      </c>
      <c r="CY101" s="512">
        <f t="shared" si="7"/>
        <v>0</v>
      </c>
    </row>
    <row r="102" spans="1:103">
      <c r="A102" s="112" t="s">
        <v>443</v>
      </c>
      <c r="B102" s="162" t="str">
        <f>IFERROR(VLOOKUP(ParicipationJuillet1[[#This Row],[Référence]],ListeÉtudiants1[],18,FALSE),"")</f>
        <v>MENDES CORREIA GLADYS</v>
      </c>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640"/>
      <c r="AH102" s="202">
        <f>COUNTIF(ParicipationJuillet1[[#This Row],[1]:[31]],Code1)</f>
        <v>0</v>
      </c>
      <c r="AI102" s="475">
        <f>COUNTIF(ParicipationJuillet1[[#This Row],[1]:[31]],code22)</f>
        <v>0</v>
      </c>
      <c r="AJ102" s="202">
        <f>COUNTIF(ParicipationJuillet1[[#This Row],[1]:[31]],Code2)</f>
        <v>0</v>
      </c>
      <c r="AK102" s="202">
        <f>COUNTIF(ParicipationJuillet1[[#This Row],[1]:[31]],Code3)</f>
        <v>0</v>
      </c>
      <c r="AL102" s="202">
        <f>COUNTIF(ParicipationJuillet1[[#This Row],[1]:[31]],Code4)</f>
        <v>0</v>
      </c>
      <c r="AM102" s="473">
        <f>COUNTIF(ParicipationJuillet1[[#This Row],[1]:[31]],Code5)</f>
        <v>0</v>
      </c>
      <c r="AN102" s="473">
        <f>COUNTIF(ParicipationJuillet1[[#This Row],[1]:[31]],Code23)</f>
        <v>0</v>
      </c>
      <c r="AO102" s="473">
        <f>COUNTIF(ParicipationJuillet1[[#This Row],[1]:[31]],Code6)</f>
        <v>0</v>
      </c>
      <c r="AP102" s="473">
        <f>COUNTIF(ParicipationJuillet1[[#This Row],[1]:[31]],Code7)</f>
        <v>0</v>
      </c>
      <c r="AQ102" s="473">
        <f>COUNTIF(ParicipationJuillet1[[#This Row],[1]:[31]],Code8)</f>
        <v>0</v>
      </c>
      <c r="AR102" s="473">
        <f>COUNTIF(ParicipationJuillet1[[#This Row],[1]:[31]],Code9)</f>
        <v>0</v>
      </c>
      <c r="AS102" s="473">
        <f>COUNTIF(ParicipationJuillet1[[#This Row],[1]:[31]],Code10)</f>
        <v>0</v>
      </c>
      <c r="AT102" s="473">
        <f>COUNTIF(ParicipationJuillet1[[#This Row],[1]:[31]],Code11)</f>
        <v>0</v>
      </c>
      <c r="AU102" s="473">
        <f>COUNTIF(ParicipationJuillet1[[#This Row],[1]:[31]],Code12)</f>
        <v>0</v>
      </c>
      <c r="AV102" s="473">
        <f>COUNTIF(ParicipationJuillet1[[#This Row],[1]:[31]],Code13)</f>
        <v>0</v>
      </c>
      <c r="AW102" s="473">
        <f>COUNTIF(ParicipationJuillet1[[#This Row],[1]:[31]],Code14)</f>
        <v>0</v>
      </c>
      <c r="AX102" s="473">
        <f>COUNTIF(ParicipationJuillet1[[#This Row],[1]:[31]],Code15)</f>
        <v>0</v>
      </c>
      <c r="AY102" s="473">
        <f>COUNTIF(ParicipationJuillet1[[#This Row],[1]:[31]],Code16)</f>
        <v>0</v>
      </c>
      <c r="AZ102" s="473">
        <f>COUNTIF(ParicipationJuillet1[[#This Row],[1]:[31]],Code17)</f>
        <v>0</v>
      </c>
      <c r="BA102" s="473">
        <f>COUNTIF(ParicipationJuillet1[[#This Row],[1]:[31]],Code25)</f>
        <v>0</v>
      </c>
      <c r="BB102" s="473">
        <f>COUNTIF(ParicipationJuillet1[[#This Row],[1]:[31]],Code26)</f>
        <v>0</v>
      </c>
      <c r="BC102" s="473">
        <f>COUNTIF(ParicipationJuillet1[[#This Row],[1]:[31]],Code27)</f>
        <v>0</v>
      </c>
      <c r="BD102" s="473">
        <f>COUNTIF(ParicipationJuillet1[[#This Row],[1]:[31]],Code28)</f>
        <v>0</v>
      </c>
      <c r="BE102" s="473">
        <f>COUNTIF(ParicipationJuillet1[[#This Row],[1]:[31]],code30)</f>
        <v>0</v>
      </c>
      <c r="BF102" s="473">
        <f>COUNTIF(ParicipationJuillet1[[#This Row],[1]:[31]],Code31)</f>
        <v>0</v>
      </c>
      <c r="BG102" s="473">
        <f>COUNTIF(ParicipationJuillet1[[#This Row],[1]:[31]],code21)</f>
        <v>0</v>
      </c>
      <c r="BH102" s="473">
        <f>COUNTIF(ParicipationJuillet1[[#This Row],[1]:[31]],Code24)</f>
        <v>0</v>
      </c>
      <c r="BI102" s="473">
        <f>COUNTIF(ParicipationJuillet1[[#This Row],[1]:[31]],code18)</f>
        <v>0</v>
      </c>
      <c r="BJ102" s="473">
        <f>COUNTIF(ParicipationJuillet1[[#This Row],[1]:[31]],code19)</f>
        <v>0</v>
      </c>
      <c r="BK102" s="473">
        <f>COUNTIF(ParicipationJuillet1[[#This Row],[1]:[31]],code20)</f>
        <v>0</v>
      </c>
      <c r="BL102" s="516">
        <f>COUNTIF(ParicipationJuillet1[[#This Row],[1]:[31]],code29)</f>
        <v>0</v>
      </c>
      <c r="BM102" s="473"/>
      <c r="BN102" s="473"/>
      <c r="BO102" s="473"/>
      <c r="BP102" s="473"/>
      <c r="BQ102" s="473"/>
      <c r="BR102" s="473"/>
      <c r="BS102" s="473"/>
      <c r="BT102" s="473"/>
      <c r="BU102" s="473"/>
      <c r="BV102" s="473"/>
      <c r="BW102" s="473"/>
      <c r="BX102" s="473"/>
      <c r="BY102" s="473"/>
      <c r="BZ102" s="473"/>
      <c r="CA102" s="473"/>
      <c r="CB102" s="473"/>
      <c r="CC102" s="473"/>
      <c r="CD102" s="473"/>
      <c r="CE102" s="473"/>
      <c r="CF102" s="473"/>
      <c r="CG102" s="473"/>
      <c r="CH102" s="473"/>
      <c r="CI102" s="473"/>
      <c r="CJ102" s="473"/>
      <c r="CK102" s="473"/>
      <c r="CL102" s="473"/>
      <c r="CM102" s="473"/>
      <c r="CN102" s="473"/>
      <c r="CO102" s="473"/>
      <c r="CP102" s="473"/>
      <c r="CQ102" s="473"/>
      <c r="CR102" s="473"/>
      <c r="CS102" s="473"/>
      <c r="CT102" s="473"/>
      <c r="CU102" s="516"/>
      <c r="CV102" s="501">
        <f t="shared" si="4"/>
        <v>0</v>
      </c>
      <c r="CW102" s="501">
        <f t="shared" si="5"/>
        <v>0</v>
      </c>
      <c r="CX102" s="473">
        <f t="shared" si="6"/>
        <v>0</v>
      </c>
      <c r="CY102" s="512">
        <f t="shared" si="7"/>
        <v>0</v>
      </c>
    </row>
    <row r="103" spans="1:103">
      <c r="A103" s="112" t="s">
        <v>444</v>
      </c>
      <c r="B103" s="162" t="str">
        <f>IFERROR(VLOOKUP(ParicipationJuillet1[[#This Row],[Référence]],ListeÉtudiants1[],18,FALSE),"")</f>
        <v>MITRAN IONELA</v>
      </c>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640"/>
      <c r="AH103" s="202">
        <f>COUNTIF(ParicipationJuillet1[[#This Row],[1]:[31]],Code1)</f>
        <v>0</v>
      </c>
      <c r="AI103" s="475">
        <f>COUNTIF(ParicipationJuillet1[[#This Row],[1]:[31]],code22)</f>
        <v>0</v>
      </c>
      <c r="AJ103" s="202">
        <f>COUNTIF(ParicipationJuillet1[[#This Row],[1]:[31]],Code2)</f>
        <v>0</v>
      </c>
      <c r="AK103" s="202">
        <f>COUNTIF(ParicipationJuillet1[[#This Row],[1]:[31]],Code3)</f>
        <v>0</v>
      </c>
      <c r="AL103" s="202">
        <f>COUNTIF(ParicipationJuillet1[[#This Row],[1]:[31]],Code4)</f>
        <v>0</v>
      </c>
      <c r="AM103" s="473">
        <f>COUNTIF(ParicipationJuillet1[[#This Row],[1]:[31]],Code5)</f>
        <v>0</v>
      </c>
      <c r="AN103" s="473">
        <f>COUNTIF(ParicipationJuillet1[[#This Row],[1]:[31]],Code23)</f>
        <v>0</v>
      </c>
      <c r="AO103" s="473">
        <f>COUNTIF(ParicipationJuillet1[[#This Row],[1]:[31]],Code6)</f>
        <v>0</v>
      </c>
      <c r="AP103" s="473">
        <f>COUNTIF(ParicipationJuillet1[[#This Row],[1]:[31]],Code7)</f>
        <v>0</v>
      </c>
      <c r="AQ103" s="473">
        <f>COUNTIF(ParicipationJuillet1[[#This Row],[1]:[31]],Code8)</f>
        <v>0</v>
      </c>
      <c r="AR103" s="473">
        <f>COUNTIF(ParicipationJuillet1[[#This Row],[1]:[31]],Code9)</f>
        <v>0</v>
      </c>
      <c r="AS103" s="473">
        <f>COUNTIF(ParicipationJuillet1[[#This Row],[1]:[31]],Code10)</f>
        <v>0</v>
      </c>
      <c r="AT103" s="473">
        <f>COUNTIF(ParicipationJuillet1[[#This Row],[1]:[31]],Code11)</f>
        <v>0</v>
      </c>
      <c r="AU103" s="473">
        <f>COUNTIF(ParicipationJuillet1[[#This Row],[1]:[31]],Code12)</f>
        <v>0</v>
      </c>
      <c r="AV103" s="473">
        <f>COUNTIF(ParicipationJuillet1[[#This Row],[1]:[31]],Code13)</f>
        <v>0</v>
      </c>
      <c r="AW103" s="473">
        <f>COUNTIF(ParicipationJuillet1[[#This Row],[1]:[31]],Code14)</f>
        <v>0</v>
      </c>
      <c r="AX103" s="473">
        <f>COUNTIF(ParicipationJuillet1[[#This Row],[1]:[31]],Code15)</f>
        <v>0</v>
      </c>
      <c r="AY103" s="473">
        <f>COUNTIF(ParicipationJuillet1[[#This Row],[1]:[31]],Code16)</f>
        <v>0</v>
      </c>
      <c r="AZ103" s="473">
        <f>COUNTIF(ParicipationJuillet1[[#This Row],[1]:[31]],Code17)</f>
        <v>0</v>
      </c>
      <c r="BA103" s="473">
        <f>COUNTIF(ParicipationJuillet1[[#This Row],[1]:[31]],Code25)</f>
        <v>0</v>
      </c>
      <c r="BB103" s="473">
        <f>COUNTIF(ParicipationJuillet1[[#This Row],[1]:[31]],Code26)</f>
        <v>0</v>
      </c>
      <c r="BC103" s="473">
        <f>COUNTIF(ParicipationJuillet1[[#This Row],[1]:[31]],Code27)</f>
        <v>0</v>
      </c>
      <c r="BD103" s="473">
        <f>COUNTIF(ParicipationJuillet1[[#This Row],[1]:[31]],Code28)</f>
        <v>0</v>
      </c>
      <c r="BE103" s="473">
        <f>COUNTIF(ParicipationJuillet1[[#This Row],[1]:[31]],code30)</f>
        <v>0</v>
      </c>
      <c r="BF103" s="473">
        <f>COUNTIF(ParicipationJuillet1[[#This Row],[1]:[31]],Code31)</f>
        <v>0</v>
      </c>
      <c r="BG103" s="473">
        <f>COUNTIF(ParicipationJuillet1[[#This Row],[1]:[31]],code21)</f>
        <v>0</v>
      </c>
      <c r="BH103" s="473">
        <f>COUNTIF(ParicipationJuillet1[[#This Row],[1]:[31]],Code24)</f>
        <v>0</v>
      </c>
      <c r="BI103" s="473">
        <f>COUNTIF(ParicipationJuillet1[[#This Row],[1]:[31]],code18)</f>
        <v>0</v>
      </c>
      <c r="BJ103" s="473">
        <f>COUNTIF(ParicipationJuillet1[[#This Row],[1]:[31]],code19)</f>
        <v>0</v>
      </c>
      <c r="BK103" s="473">
        <f>COUNTIF(ParicipationJuillet1[[#This Row],[1]:[31]],code20)</f>
        <v>0</v>
      </c>
      <c r="BL103" s="516">
        <f>COUNTIF(ParicipationJuillet1[[#This Row],[1]:[31]],code29)</f>
        <v>0</v>
      </c>
      <c r="BM103" s="473"/>
      <c r="BN103" s="473"/>
      <c r="BO103" s="473"/>
      <c r="BP103" s="473"/>
      <c r="BQ103" s="473"/>
      <c r="BR103" s="473"/>
      <c r="BS103" s="473"/>
      <c r="BT103" s="473"/>
      <c r="BU103" s="473"/>
      <c r="BV103" s="473"/>
      <c r="BW103" s="473"/>
      <c r="BX103" s="473"/>
      <c r="BY103" s="473"/>
      <c r="BZ103" s="473"/>
      <c r="CA103" s="473"/>
      <c r="CB103" s="473"/>
      <c r="CC103" s="473"/>
      <c r="CD103" s="473"/>
      <c r="CE103" s="473"/>
      <c r="CF103" s="473"/>
      <c r="CG103" s="473"/>
      <c r="CH103" s="473"/>
      <c r="CI103" s="473"/>
      <c r="CJ103" s="473"/>
      <c r="CK103" s="473"/>
      <c r="CL103" s="473"/>
      <c r="CM103" s="473"/>
      <c r="CN103" s="473"/>
      <c r="CO103" s="473"/>
      <c r="CP103" s="473"/>
      <c r="CQ103" s="473"/>
      <c r="CR103" s="473"/>
      <c r="CS103" s="473"/>
      <c r="CT103" s="473"/>
      <c r="CU103" s="516"/>
      <c r="CV103" s="501">
        <f t="shared" si="4"/>
        <v>0</v>
      </c>
      <c r="CW103" s="501">
        <f t="shared" si="5"/>
        <v>0</v>
      </c>
      <c r="CX103" s="473">
        <f t="shared" si="6"/>
        <v>0</v>
      </c>
      <c r="CY103" s="512">
        <f t="shared" si="7"/>
        <v>0</v>
      </c>
    </row>
    <row r="104" spans="1:103">
      <c r="A104" s="112" t="s">
        <v>445</v>
      </c>
      <c r="B104" s="162" t="str">
        <f>IFERROR(VLOOKUP(ParicipationJuillet1[[#This Row],[Référence]],ListeÉtudiants1[],18,FALSE),"")</f>
        <v>MOREAU NOEMIE</v>
      </c>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640"/>
      <c r="AH104" s="202">
        <f>COUNTIF(ParicipationJuillet1[[#This Row],[1]:[31]],Code1)</f>
        <v>0</v>
      </c>
      <c r="AI104" s="475">
        <f>COUNTIF(ParicipationJuillet1[[#This Row],[1]:[31]],code22)</f>
        <v>0</v>
      </c>
      <c r="AJ104" s="202">
        <f>COUNTIF(ParicipationJuillet1[[#This Row],[1]:[31]],Code2)</f>
        <v>0</v>
      </c>
      <c r="AK104" s="202">
        <f>COUNTIF(ParicipationJuillet1[[#This Row],[1]:[31]],Code3)</f>
        <v>0</v>
      </c>
      <c r="AL104" s="202">
        <f>COUNTIF(ParicipationJuillet1[[#This Row],[1]:[31]],Code4)</f>
        <v>0</v>
      </c>
      <c r="AM104" s="473">
        <f>COUNTIF(ParicipationJuillet1[[#This Row],[1]:[31]],Code5)</f>
        <v>0</v>
      </c>
      <c r="AN104" s="473">
        <f>COUNTIF(ParicipationJuillet1[[#This Row],[1]:[31]],Code23)</f>
        <v>0</v>
      </c>
      <c r="AO104" s="473">
        <f>COUNTIF(ParicipationJuillet1[[#This Row],[1]:[31]],Code6)</f>
        <v>0</v>
      </c>
      <c r="AP104" s="473">
        <f>COUNTIF(ParicipationJuillet1[[#This Row],[1]:[31]],Code7)</f>
        <v>0</v>
      </c>
      <c r="AQ104" s="473">
        <f>COUNTIF(ParicipationJuillet1[[#This Row],[1]:[31]],Code8)</f>
        <v>0</v>
      </c>
      <c r="AR104" s="473">
        <f>COUNTIF(ParicipationJuillet1[[#This Row],[1]:[31]],Code9)</f>
        <v>0</v>
      </c>
      <c r="AS104" s="473">
        <f>COUNTIF(ParicipationJuillet1[[#This Row],[1]:[31]],Code10)</f>
        <v>0</v>
      </c>
      <c r="AT104" s="473">
        <f>COUNTIF(ParicipationJuillet1[[#This Row],[1]:[31]],Code11)</f>
        <v>0</v>
      </c>
      <c r="AU104" s="473">
        <f>COUNTIF(ParicipationJuillet1[[#This Row],[1]:[31]],Code12)</f>
        <v>0</v>
      </c>
      <c r="AV104" s="473">
        <f>COUNTIF(ParicipationJuillet1[[#This Row],[1]:[31]],Code13)</f>
        <v>0</v>
      </c>
      <c r="AW104" s="473">
        <f>COUNTIF(ParicipationJuillet1[[#This Row],[1]:[31]],Code14)</f>
        <v>0</v>
      </c>
      <c r="AX104" s="473">
        <f>COUNTIF(ParicipationJuillet1[[#This Row],[1]:[31]],Code15)</f>
        <v>0</v>
      </c>
      <c r="AY104" s="473">
        <f>COUNTIF(ParicipationJuillet1[[#This Row],[1]:[31]],Code16)</f>
        <v>0</v>
      </c>
      <c r="AZ104" s="473">
        <f>COUNTIF(ParicipationJuillet1[[#This Row],[1]:[31]],Code17)</f>
        <v>0</v>
      </c>
      <c r="BA104" s="473">
        <f>COUNTIF(ParicipationJuillet1[[#This Row],[1]:[31]],Code25)</f>
        <v>0</v>
      </c>
      <c r="BB104" s="473">
        <f>COUNTIF(ParicipationJuillet1[[#This Row],[1]:[31]],Code26)</f>
        <v>0</v>
      </c>
      <c r="BC104" s="473">
        <f>COUNTIF(ParicipationJuillet1[[#This Row],[1]:[31]],Code27)</f>
        <v>0</v>
      </c>
      <c r="BD104" s="473">
        <f>COUNTIF(ParicipationJuillet1[[#This Row],[1]:[31]],Code28)</f>
        <v>0</v>
      </c>
      <c r="BE104" s="473">
        <f>COUNTIF(ParicipationJuillet1[[#This Row],[1]:[31]],code30)</f>
        <v>0</v>
      </c>
      <c r="BF104" s="473">
        <f>COUNTIF(ParicipationJuillet1[[#This Row],[1]:[31]],Code31)</f>
        <v>0</v>
      </c>
      <c r="BG104" s="473">
        <f>COUNTIF(ParicipationJuillet1[[#This Row],[1]:[31]],code21)</f>
        <v>0</v>
      </c>
      <c r="BH104" s="473">
        <f>COUNTIF(ParicipationJuillet1[[#This Row],[1]:[31]],Code24)</f>
        <v>0</v>
      </c>
      <c r="BI104" s="473">
        <f>COUNTIF(ParicipationJuillet1[[#This Row],[1]:[31]],code18)</f>
        <v>0</v>
      </c>
      <c r="BJ104" s="473">
        <f>COUNTIF(ParicipationJuillet1[[#This Row],[1]:[31]],code19)</f>
        <v>0</v>
      </c>
      <c r="BK104" s="473">
        <f>COUNTIF(ParicipationJuillet1[[#This Row],[1]:[31]],code20)</f>
        <v>0</v>
      </c>
      <c r="BL104" s="516">
        <f>COUNTIF(ParicipationJuillet1[[#This Row],[1]:[31]],code29)</f>
        <v>0</v>
      </c>
      <c r="BM104" s="473"/>
      <c r="BN104" s="473"/>
      <c r="BO104" s="473"/>
      <c r="BP104" s="473"/>
      <c r="BQ104" s="473"/>
      <c r="BR104" s="473"/>
      <c r="BS104" s="473"/>
      <c r="BT104" s="473"/>
      <c r="BU104" s="473"/>
      <c r="BV104" s="473"/>
      <c r="BW104" s="473"/>
      <c r="BX104" s="473"/>
      <c r="BY104" s="473"/>
      <c r="BZ104" s="473"/>
      <c r="CA104" s="473"/>
      <c r="CB104" s="473"/>
      <c r="CC104" s="473"/>
      <c r="CD104" s="473"/>
      <c r="CE104" s="473"/>
      <c r="CF104" s="473"/>
      <c r="CG104" s="473"/>
      <c r="CH104" s="473"/>
      <c r="CI104" s="473"/>
      <c r="CJ104" s="473"/>
      <c r="CK104" s="473"/>
      <c r="CL104" s="473"/>
      <c r="CM104" s="473"/>
      <c r="CN104" s="473"/>
      <c r="CO104" s="473"/>
      <c r="CP104" s="473"/>
      <c r="CQ104" s="473"/>
      <c r="CR104" s="473"/>
      <c r="CS104" s="473"/>
      <c r="CT104" s="473"/>
      <c r="CU104" s="516"/>
      <c r="CV104" s="501">
        <f t="shared" si="4"/>
        <v>0</v>
      </c>
      <c r="CW104" s="501">
        <f t="shared" si="5"/>
        <v>0</v>
      </c>
      <c r="CX104" s="473">
        <f t="shared" si="6"/>
        <v>0</v>
      </c>
      <c r="CY104" s="512">
        <f t="shared" si="7"/>
        <v>0</v>
      </c>
    </row>
    <row r="105" spans="1:103">
      <c r="A105" s="112" t="s">
        <v>446</v>
      </c>
      <c r="B105" s="162" t="str">
        <f>IFERROR(VLOOKUP(ParicipationJuillet1[[#This Row],[Référence]],ListeÉtudiants1[],18,FALSE),"")</f>
        <v>MOUNIER JEANNE</v>
      </c>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640"/>
      <c r="AH105" s="202">
        <f>COUNTIF(ParicipationJuillet1[[#This Row],[1]:[31]],Code1)</f>
        <v>0</v>
      </c>
      <c r="AI105" s="475">
        <f>COUNTIF(ParicipationJuillet1[[#This Row],[1]:[31]],code22)</f>
        <v>0</v>
      </c>
      <c r="AJ105" s="202">
        <f>COUNTIF(ParicipationJuillet1[[#This Row],[1]:[31]],Code2)</f>
        <v>0</v>
      </c>
      <c r="AK105" s="202">
        <f>COUNTIF(ParicipationJuillet1[[#This Row],[1]:[31]],Code3)</f>
        <v>0</v>
      </c>
      <c r="AL105" s="202">
        <f>COUNTIF(ParicipationJuillet1[[#This Row],[1]:[31]],Code4)</f>
        <v>0</v>
      </c>
      <c r="AM105" s="473">
        <f>COUNTIF(ParicipationJuillet1[[#This Row],[1]:[31]],Code5)</f>
        <v>0</v>
      </c>
      <c r="AN105" s="473">
        <f>COUNTIF(ParicipationJuillet1[[#This Row],[1]:[31]],Code23)</f>
        <v>0</v>
      </c>
      <c r="AO105" s="473">
        <f>COUNTIF(ParicipationJuillet1[[#This Row],[1]:[31]],Code6)</f>
        <v>0</v>
      </c>
      <c r="AP105" s="473">
        <f>COUNTIF(ParicipationJuillet1[[#This Row],[1]:[31]],Code7)</f>
        <v>0</v>
      </c>
      <c r="AQ105" s="473">
        <f>COUNTIF(ParicipationJuillet1[[#This Row],[1]:[31]],Code8)</f>
        <v>0</v>
      </c>
      <c r="AR105" s="473">
        <f>COUNTIF(ParicipationJuillet1[[#This Row],[1]:[31]],Code9)</f>
        <v>0</v>
      </c>
      <c r="AS105" s="473">
        <f>COUNTIF(ParicipationJuillet1[[#This Row],[1]:[31]],Code10)</f>
        <v>0</v>
      </c>
      <c r="AT105" s="473">
        <f>COUNTIF(ParicipationJuillet1[[#This Row],[1]:[31]],Code11)</f>
        <v>0</v>
      </c>
      <c r="AU105" s="473">
        <f>COUNTIF(ParicipationJuillet1[[#This Row],[1]:[31]],Code12)</f>
        <v>0</v>
      </c>
      <c r="AV105" s="473">
        <f>COUNTIF(ParicipationJuillet1[[#This Row],[1]:[31]],Code13)</f>
        <v>0</v>
      </c>
      <c r="AW105" s="473">
        <f>COUNTIF(ParicipationJuillet1[[#This Row],[1]:[31]],Code14)</f>
        <v>0</v>
      </c>
      <c r="AX105" s="473">
        <f>COUNTIF(ParicipationJuillet1[[#This Row],[1]:[31]],Code15)</f>
        <v>0</v>
      </c>
      <c r="AY105" s="473">
        <f>COUNTIF(ParicipationJuillet1[[#This Row],[1]:[31]],Code16)</f>
        <v>0</v>
      </c>
      <c r="AZ105" s="473">
        <f>COUNTIF(ParicipationJuillet1[[#This Row],[1]:[31]],Code17)</f>
        <v>0</v>
      </c>
      <c r="BA105" s="473">
        <f>COUNTIF(ParicipationJuillet1[[#This Row],[1]:[31]],Code25)</f>
        <v>0</v>
      </c>
      <c r="BB105" s="473">
        <f>COUNTIF(ParicipationJuillet1[[#This Row],[1]:[31]],Code26)</f>
        <v>0</v>
      </c>
      <c r="BC105" s="473">
        <f>COUNTIF(ParicipationJuillet1[[#This Row],[1]:[31]],Code27)</f>
        <v>0</v>
      </c>
      <c r="BD105" s="473">
        <f>COUNTIF(ParicipationJuillet1[[#This Row],[1]:[31]],Code28)</f>
        <v>0</v>
      </c>
      <c r="BE105" s="473">
        <f>COUNTIF(ParicipationJuillet1[[#This Row],[1]:[31]],code30)</f>
        <v>0</v>
      </c>
      <c r="BF105" s="473">
        <f>COUNTIF(ParicipationJuillet1[[#This Row],[1]:[31]],Code31)</f>
        <v>0</v>
      </c>
      <c r="BG105" s="473">
        <f>COUNTIF(ParicipationJuillet1[[#This Row],[1]:[31]],code21)</f>
        <v>0</v>
      </c>
      <c r="BH105" s="473">
        <f>COUNTIF(ParicipationJuillet1[[#This Row],[1]:[31]],Code24)</f>
        <v>0</v>
      </c>
      <c r="BI105" s="473">
        <f>COUNTIF(ParicipationJuillet1[[#This Row],[1]:[31]],code18)</f>
        <v>0</v>
      </c>
      <c r="BJ105" s="473">
        <f>COUNTIF(ParicipationJuillet1[[#This Row],[1]:[31]],code19)</f>
        <v>0</v>
      </c>
      <c r="BK105" s="473">
        <f>COUNTIF(ParicipationJuillet1[[#This Row],[1]:[31]],code20)</f>
        <v>0</v>
      </c>
      <c r="BL105" s="516">
        <f>COUNTIF(ParicipationJuillet1[[#This Row],[1]:[31]],code29)</f>
        <v>0</v>
      </c>
      <c r="BM105" s="473"/>
      <c r="BN105" s="473"/>
      <c r="BO105" s="473"/>
      <c r="BP105" s="473"/>
      <c r="BQ105" s="473"/>
      <c r="BR105" s="473"/>
      <c r="BS105" s="473"/>
      <c r="BT105" s="473"/>
      <c r="BU105" s="473"/>
      <c r="BV105" s="473"/>
      <c r="BW105" s="473"/>
      <c r="BX105" s="473"/>
      <c r="BY105" s="473"/>
      <c r="BZ105" s="473"/>
      <c r="CA105" s="473"/>
      <c r="CB105" s="473"/>
      <c r="CC105" s="473"/>
      <c r="CD105" s="473"/>
      <c r="CE105" s="473"/>
      <c r="CF105" s="473"/>
      <c r="CG105" s="473"/>
      <c r="CH105" s="473"/>
      <c r="CI105" s="473"/>
      <c r="CJ105" s="473"/>
      <c r="CK105" s="473"/>
      <c r="CL105" s="473"/>
      <c r="CM105" s="473"/>
      <c r="CN105" s="473"/>
      <c r="CO105" s="473"/>
      <c r="CP105" s="473"/>
      <c r="CQ105" s="473"/>
      <c r="CR105" s="473"/>
      <c r="CS105" s="473"/>
      <c r="CT105" s="473"/>
      <c r="CU105" s="516"/>
      <c r="CV105" s="501">
        <f t="shared" si="4"/>
        <v>0</v>
      </c>
      <c r="CW105" s="501">
        <f t="shared" si="5"/>
        <v>0</v>
      </c>
      <c r="CX105" s="473">
        <f t="shared" si="6"/>
        <v>0</v>
      </c>
      <c r="CY105" s="512">
        <f t="shared" si="7"/>
        <v>0</v>
      </c>
    </row>
    <row r="106" spans="1:103">
      <c r="A106" s="112" t="s">
        <v>447</v>
      </c>
      <c r="B106" s="162" t="str">
        <f>IFERROR(VLOOKUP(ParicipationJuillet1[[#This Row],[Référence]],ListeÉtudiants1[],18,FALSE),"")</f>
        <v>NGAMFULANGOMA ALEXANDRINE</v>
      </c>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640"/>
      <c r="AH106" s="202">
        <f>COUNTIF(ParicipationJuillet1[[#This Row],[1]:[31]],Code1)</f>
        <v>0</v>
      </c>
      <c r="AI106" s="475">
        <f>COUNTIF(ParicipationJuillet1[[#This Row],[1]:[31]],code22)</f>
        <v>0</v>
      </c>
      <c r="AJ106" s="202">
        <f>COUNTIF(ParicipationJuillet1[[#This Row],[1]:[31]],Code2)</f>
        <v>0</v>
      </c>
      <c r="AK106" s="202">
        <f>COUNTIF(ParicipationJuillet1[[#This Row],[1]:[31]],Code3)</f>
        <v>0</v>
      </c>
      <c r="AL106" s="202">
        <f>COUNTIF(ParicipationJuillet1[[#This Row],[1]:[31]],Code4)</f>
        <v>0</v>
      </c>
      <c r="AM106" s="473">
        <f>COUNTIF(ParicipationJuillet1[[#This Row],[1]:[31]],Code5)</f>
        <v>0</v>
      </c>
      <c r="AN106" s="473">
        <f>COUNTIF(ParicipationJuillet1[[#This Row],[1]:[31]],Code23)</f>
        <v>0</v>
      </c>
      <c r="AO106" s="473">
        <f>COUNTIF(ParicipationJuillet1[[#This Row],[1]:[31]],Code6)</f>
        <v>0</v>
      </c>
      <c r="AP106" s="473">
        <f>COUNTIF(ParicipationJuillet1[[#This Row],[1]:[31]],Code7)</f>
        <v>0</v>
      </c>
      <c r="AQ106" s="473">
        <f>COUNTIF(ParicipationJuillet1[[#This Row],[1]:[31]],Code8)</f>
        <v>0</v>
      </c>
      <c r="AR106" s="473">
        <f>COUNTIF(ParicipationJuillet1[[#This Row],[1]:[31]],Code9)</f>
        <v>0</v>
      </c>
      <c r="AS106" s="473">
        <f>COUNTIF(ParicipationJuillet1[[#This Row],[1]:[31]],Code10)</f>
        <v>0</v>
      </c>
      <c r="AT106" s="473">
        <f>COUNTIF(ParicipationJuillet1[[#This Row],[1]:[31]],Code11)</f>
        <v>0</v>
      </c>
      <c r="AU106" s="473">
        <f>COUNTIF(ParicipationJuillet1[[#This Row],[1]:[31]],Code12)</f>
        <v>0</v>
      </c>
      <c r="AV106" s="473">
        <f>COUNTIF(ParicipationJuillet1[[#This Row],[1]:[31]],Code13)</f>
        <v>0</v>
      </c>
      <c r="AW106" s="473">
        <f>COUNTIF(ParicipationJuillet1[[#This Row],[1]:[31]],Code14)</f>
        <v>0</v>
      </c>
      <c r="AX106" s="473">
        <f>COUNTIF(ParicipationJuillet1[[#This Row],[1]:[31]],Code15)</f>
        <v>0</v>
      </c>
      <c r="AY106" s="473">
        <f>COUNTIF(ParicipationJuillet1[[#This Row],[1]:[31]],Code16)</f>
        <v>0</v>
      </c>
      <c r="AZ106" s="473">
        <f>COUNTIF(ParicipationJuillet1[[#This Row],[1]:[31]],Code17)</f>
        <v>0</v>
      </c>
      <c r="BA106" s="473">
        <f>COUNTIF(ParicipationJuillet1[[#This Row],[1]:[31]],Code25)</f>
        <v>0</v>
      </c>
      <c r="BB106" s="473">
        <f>COUNTIF(ParicipationJuillet1[[#This Row],[1]:[31]],Code26)</f>
        <v>0</v>
      </c>
      <c r="BC106" s="473">
        <f>COUNTIF(ParicipationJuillet1[[#This Row],[1]:[31]],Code27)</f>
        <v>0</v>
      </c>
      <c r="BD106" s="473">
        <f>COUNTIF(ParicipationJuillet1[[#This Row],[1]:[31]],Code28)</f>
        <v>0</v>
      </c>
      <c r="BE106" s="473">
        <f>COUNTIF(ParicipationJuillet1[[#This Row],[1]:[31]],code30)</f>
        <v>0</v>
      </c>
      <c r="BF106" s="473">
        <f>COUNTIF(ParicipationJuillet1[[#This Row],[1]:[31]],Code31)</f>
        <v>0</v>
      </c>
      <c r="BG106" s="473">
        <f>COUNTIF(ParicipationJuillet1[[#This Row],[1]:[31]],code21)</f>
        <v>0</v>
      </c>
      <c r="BH106" s="473">
        <f>COUNTIF(ParicipationJuillet1[[#This Row],[1]:[31]],Code24)</f>
        <v>0</v>
      </c>
      <c r="BI106" s="473">
        <f>COUNTIF(ParicipationJuillet1[[#This Row],[1]:[31]],code18)</f>
        <v>0</v>
      </c>
      <c r="BJ106" s="473">
        <f>COUNTIF(ParicipationJuillet1[[#This Row],[1]:[31]],code19)</f>
        <v>0</v>
      </c>
      <c r="BK106" s="473">
        <f>COUNTIF(ParicipationJuillet1[[#This Row],[1]:[31]],code20)</f>
        <v>0</v>
      </c>
      <c r="BL106" s="516">
        <f>COUNTIF(ParicipationJuillet1[[#This Row],[1]:[31]],code29)</f>
        <v>0</v>
      </c>
      <c r="BM106" s="473"/>
      <c r="BN106" s="473"/>
      <c r="BO106" s="473"/>
      <c r="BP106" s="473"/>
      <c r="BQ106" s="473"/>
      <c r="BR106" s="473"/>
      <c r="BS106" s="473"/>
      <c r="BT106" s="473"/>
      <c r="BU106" s="473"/>
      <c r="BV106" s="473"/>
      <c r="BW106" s="473"/>
      <c r="BX106" s="473"/>
      <c r="BY106" s="473"/>
      <c r="BZ106" s="473"/>
      <c r="CA106" s="473"/>
      <c r="CB106" s="473"/>
      <c r="CC106" s="473"/>
      <c r="CD106" s="473"/>
      <c r="CE106" s="473"/>
      <c r="CF106" s="473"/>
      <c r="CG106" s="473"/>
      <c r="CH106" s="473"/>
      <c r="CI106" s="473"/>
      <c r="CJ106" s="473"/>
      <c r="CK106" s="473"/>
      <c r="CL106" s="473"/>
      <c r="CM106" s="473"/>
      <c r="CN106" s="473"/>
      <c r="CO106" s="473"/>
      <c r="CP106" s="473"/>
      <c r="CQ106" s="473"/>
      <c r="CR106" s="473"/>
      <c r="CS106" s="473"/>
      <c r="CT106" s="473"/>
      <c r="CU106" s="516"/>
      <c r="CV106" s="501">
        <f t="shared" si="4"/>
        <v>0</v>
      </c>
      <c r="CW106" s="501">
        <f t="shared" si="5"/>
        <v>0</v>
      </c>
      <c r="CX106" s="473">
        <f t="shared" si="6"/>
        <v>0</v>
      </c>
      <c r="CY106" s="512">
        <f t="shared" si="7"/>
        <v>0</v>
      </c>
    </row>
    <row r="107" spans="1:103">
      <c r="A107" s="112" t="s">
        <v>448</v>
      </c>
      <c r="B107" s="162" t="str">
        <f>IFERROR(VLOOKUP(ParicipationJuillet1[[#This Row],[Référence]],ListeÉtudiants1[],18,FALSE),"")</f>
        <v>NGO BONJE ERNESTINE</v>
      </c>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640"/>
      <c r="AH107" s="202">
        <f>COUNTIF(ParicipationJuillet1[[#This Row],[1]:[31]],Code1)</f>
        <v>0</v>
      </c>
      <c r="AI107" s="475">
        <f>COUNTIF(ParicipationJuillet1[[#This Row],[1]:[31]],code22)</f>
        <v>0</v>
      </c>
      <c r="AJ107" s="202">
        <f>COUNTIF(ParicipationJuillet1[[#This Row],[1]:[31]],Code2)</f>
        <v>0</v>
      </c>
      <c r="AK107" s="202">
        <f>COUNTIF(ParicipationJuillet1[[#This Row],[1]:[31]],Code3)</f>
        <v>0</v>
      </c>
      <c r="AL107" s="202">
        <f>COUNTIF(ParicipationJuillet1[[#This Row],[1]:[31]],Code4)</f>
        <v>0</v>
      </c>
      <c r="AM107" s="473">
        <f>COUNTIF(ParicipationJuillet1[[#This Row],[1]:[31]],Code5)</f>
        <v>0</v>
      </c>
      <c r="AN107" s="473">
        <f>COUNTIF(ParicipationJuillet1[[#This Row],[1]:[31]],Code23)</f>
        <v>0</v>
      </c>
      <c r="AO107" s="473">
        <f>COUNTIF(ParicipationJuillet1[[#This Row],[1]:[31]],Code6)</f>
        <v>0</v>
      </c>
      <c r="AP107" s="473">
        <f>COUNTIF(ParicipationJuillet1[[#This Row],[1]:[31]],Code7)</f>
        <v>0</v>
      </c>
      <c r="AQ107" s="473">
        <f>COUNTIF(ParicipationJuillet1[[#This Row],[1]:[31]],Code8)</f>
        <v>0</v>
      </c>
      <c r="AR107" s="473">
        <f>COUNTIF(ParicipationJuillet1[[#This Row],[1]:[31]],Code9)</f>
        <v>0</v>
      </c>
      <c r="AS107" s="473">
        <f>COUNTIF(ParicipationJuillet1[[#This Row],[1]:[31]],Code10)</f>
        <v>0</v>
      </c>
      <c r="AT107" s="473">
        <f>COUNTIF(ParicipationJuillet1[[#This Row],[1]:[31]],Code11)</f>
        <v>0</v>
      </c>
      <c r="AU107" s="473">
        <f>COUNTIF(ParicipationJuillet1[[#This Row],[1]:[31]],Code12)</f>
        <v>0</v>
      </c>
      <c r="AV107" s="473">
        <f>COUNTIF(ParicipationJuillet1[[#This Row],[1]:[31]],Code13)</f>
        <v>0</v>
      </c>
      <c r="AW107" s="473">
        <f>COUNTIF(ParicipationJuillet1[[#This Row],[1]:[31]],Code14)</f>
        <v>0</v>
      </c>
      <c r="AX107" s="473">
        <f>COUNTIF(ParicipationJuillet1[[#This Row],[1]:[31]],Code15)</f>
        <v>0</v>
      </c>
      <c r="AY107" s="473">
        <f>COUNTIF(ParicipationJuillet1[[#This Row],[1]:[31]],Code16)</f>
        <v>0</v>
      </c>
      <c r="AZ107" s="473">
        <f>COUNTIF(ParicipationJuillet1[[#This Row],[1]:[31]],Code17)</f>
        <v>0</v>
      </c>
      <c r="BA107" s="473">
        <f>COUNTIF(ParicipationJuillet1[[#This Row],[1]:[31]],Code25)</f>
        <v>0</v>
      </c>
      <c r="BB107" s="473">
        <f>COUNTIF(ParicipationJuillet1[[#This Row],[1]:[31]],Code26)</f>
        <v>0</v>
      </c>
      <c r="BC107" s="473">
        <f>COUNTIF(ParicipationJuillet1[[#This Row],[1]:[31]],Code27)</f>
        <v>0</v>
      </c>
      <c r="BD107" s="473">
        <f>COUNTIF(ParicipationJuillet1[[#This Row],[1]:[31]],Code28)</f>
        <v>0</v>
      </c>
      <c r="BE107" s="473">
        <f>COUNTIF(ParicipationJuillet1[[#This Row],[1]:[31]],code30)</f>
        <v>0</v>
      </c>
      <c r="BF107" s="473">
        <f>COUNTIF(ParicipationJuillet1[[#This Row],[1]:[31]],Code31)</f>
        <v>0</v>
      </c>
      <c r="BG107" s="473">
        <f>COUNTIF(ParicipationJuillet1[[#This Row],[1]:[31]],code21)</f>
        <v>0</v>
      </c>
      <c r="BH107" s="473">
        <f>COUNTIF(ParicipationJuillet1[[#This Row],[1]:[31]],Code24)</f>
        <v>0</v>
      </c>
      <c r="BI107" s="473">
        <f>COUNTIF(ParicipationJuillet1[[#This Row],[1]:[31]],code18)</f>
        <v>0</v>
      </c>
      <c r="BJ107" s="473">
        <f>COUNTIF(ParicipationJuillet1[[#This Row],[1]:[31]],code19)</f>
        <v>0</v>
      </c>
      <c r="BK107" s="473">
        <f>COUNTIF(ParicipationJuillet1[[#This Row],[1]:[31]],code20)</f>
        <v>0</v>
      </c>
      <c r="BL107" s="516">
        <f>COUNTIF(ParicipationJuillet1[[#This Row],[1]:[31]],code29)</f>
        <v>0</v>
      </c>
      <c r="BM107" s="473"/>
      <c r="BN107" s="473"/>
      <c r="BO107" s="473"/>
      <c r="BP107" s="473"/>
      <c r="BQ107" s="473"/>
      <c r="BR107" s="473"/>
      <c r="BS107" s="473"/>
      <c r="BT107" s="473"/>
      <c r="BU107" s="473"/>
      <c r="BV107" s="473"/>
      <c r="BW107" s="473"/>
      <c r="BX107" s="473"/>
      <c r="BY107" s="473"/>
      <c r="BZ107" s="473"/>
      <c r="CA107" s="473"/>
      <c r="CB107" s="473"/>
      <c r="CC107" s="473"/>
      <c r="CD107" s="473"/>
      <c r="CE107" s="473"/>
      <c r="CF107" s="473"/>
      <c r="CG107" s="473"/>
      <c r="CH107" s="473"/>
      <c r="CI107" s="473"/>
      <c r="CJ107" s="473"/>
      <c r="CK107" s="473"/>
      <c r="CL107" s="473"/>
      <c r="CM107" s="473"/>
      <c r="CN107" s="473"/>
      <c r="CO107" s="473"/>
      <c r="CP107" s="473"/>
      <c r="CQ107" s="473"/>
      <c r="CR107" s="473"/>
      <c r="CS107" s="473"/>
      <c r="CT107" s="473"/>
      <c r="CU107" s="516"/>
      <c r="CV107" s="501">
        <f t="shared" si="4"/>
        <v>0</v>
      </c>
      <c r="CW107" s="501">
        <f t="shared" si="5"/>
        <v>0</v>
      </c>
      <c r="CX107" s="473">
        <f t="shared" si="6"/>
        <v>0</v>
      </c>
      <c r="CY107" s="512">
        <f t="shared" si="7"/>
        <v>0</v>
      </c>
    </row>
    <row r="108" spans="1:103">
      <c r="A108" s="112" t="s">
        <v>449</v>
      </c>
      <c r="B108" s="162" t="str">
        <f>IFERROR(VLOOKUP(ParicipationJuillet1[[#This Row],[Référence]],ListeÉtudiants1[],18,FALSE),"")</f>
        <v>NIRDE NICOLAS</v>
      </c>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640"/>
      <c r="AH108" s="202">
        <f>COUNTIF(ParicipationJuillet1[[#This Row],[1]:[31]],Code1)</f>
        <v>0</v>
      </c>
      <c r="AI108" s="475">
        <f>COUNTIF(ParicipationJuillet1[[#This Row],[1]:[31]],code22)</f>
        <v>0</v>
      </c>
      <c r="AJ108" s="202">
        <f>COUNTIF(ParicipationJuillet1[[#This Row],[1]:[31]],Code2)</f>
        <v>0</v>
      </c>
      <c r="AK108" s="202">
        <f>COUNTIF(ParicipationJuillet1[[#This Row],[1]:[31]],Code3)</f>
        <v>0</v>
      </c>
      <c r="AL108" s="202">
        <f>COUNTIF(ParicipationJuillet1[[#This Row],[1]:[31]],Code4)</f>
        <v>0</v>
      </c>
      <c r="AM108" s="473">
        <f>COUNTIF(ParicipationJuillet1[[#This Row],[1]:[31]],Code5)</f>
        <v>0</v>
      </c>
      <c r="AN108" s="473">
        <f>COUNTIF(ParicipationJuillet1[[#This Row],[1]:[31]],Code23)</f>
        <v>0</v>
      </c>
      <c r="AO108" s="473">
        <f>COUNTIF(ParicipationJuillet1[[#This Row],[1]:[31]],Code6)</f>
        <v>0</v>
      </c>
      <c r="AP108" s="473">
        <f>COUNTIF(ParicipationJuillet1[[#This Row],[1]:[31]],Code7)</f>
        <v>0</v>
      </c>
      <c r="AQ108" s="473">
        <f>COUNTIF(ParicipationJuillet1[[#This Row],[1]:[31]],Code8)</f>
        <v>0</v>
      </c>
      <c r="AR108" s="473">
        <f>COUNTIF(ParicipationJuillet1[[#This Row],[1]:[31]],Code9)</f>
        <v>0</v>
      </c>
      <c r="AS108" s="473">
        <f>COUNTIF(ParicipationJuillet1[[#This Row],[1]:[31]],Code10)</f>
        <v>0</v>
      </c>
      <c r="AT108" s="473">
        <f>COUNTIF(ParicipationJuillet1[[#This Row],[1]:[31]],Code11)</f>
        <v>0</v>
      </c>
      <c r="AU108" s="473">
        <f>COUNTIF(ParicipationJuillet1[[#This Row],[1]:[31]],Code12)</f>
        <v>0</v>
      </c>
      <c r="AV108" s="473">
        <f>COUNTIF(ParicipationJuillet1[[#This Row],[1]:[31]],Code13)</f>
        <v>0</v>
      </c>
      <c r="AW108" s="473">
        <f>COUNTIF(ParicipationJuillet1[[#This Row],[1]:[31]],Code14)</f>
        <v>0</v>
      </c>
      <c r="AX108" s="473">
        <f>COUNTIF(ParicipationJuillet1[[#This Row],[1]:[31]],Code15)</f>
        <v>0</v>
      </c>
      <c r="AY108" s="473">
        <f>COUNTIF(ParicipationJuillet1[[#This Row],[1]:[31]],Code16)</f>
        <v>0</v>
      </c>
      <c r="AZ108" s="473">
        <f>COUNTIF(ParicipationJuillet1[[#This Row],[1]:[31]],Code17)</f>
        <v>0</v>
      </c>
      <c r="BA108" s="473">
        <f>COUNTIF(ParicipationJuillet1[[#This Row],[1]:[31]],Code25)</f>
        <v>0</v>
      </c>
      <c r="BB108" s="473">
        <f>COUNTIF(ParicipationJuillet1[[#This Row],[1]:[31]],Code26)</f>
        <v>0</v>
      </c>
      <c r="BC108" s="473">
        <f>COUNTIF(ParicipationJuillet1[[#This Row],[1]:[31]],Code27)</f>
        <v>0</v>
      </c>
      <c r="BD108" s="473">
        <f>COUNTIF(ParicipationJuillet1[[#This Row],[1]:[31]],Code28)</f>
        <v>0</v>
      </c>
      <c r="BE108" s="473">
        <f>COUNTIF(ParicipationJuillet1[[#This Row],[1]:[31]],code30)</f>
        <v>0</v>
      </c>
      <c r="BF108" s="473">
        <f>COUNTIF(ParicipationJuillet1[[#This Row],[1]:[31]],Code31)</f>
        <v>0</v>
      </c>
      <c r="BG108" s="473">
        <f>COUNTIF(ParicipationJuillet1[[#This Row],[1]:[31]],code21)</f>
        <v>0</v>
      </c>
      <c r="BH108" s="473">
        <f>COUNTIF(ParicipationJuillet1[[#This Row],[1]:[31]],Code24)</f>
        <v>0</v>
      </c>
      <c r="BI108" s="473">
        <f>COUNTIF(ParicipationJuillet1[[#This Row],[1]:[31]],code18)</f>
        <v>0</v>
      </c>
      <c r="BJ108" s="473">
        <f>COUNTIF(ParicipationJuillet1[[#This Row],[1]:[31]],code19)</f>
        <v>0</v>
      </c>
      <c r="BK108" s="473">
        <f>COUNTIF(ParicipationJuillet1[[#This Row],[1]:[31]],code20)</f>
        <v>0</v>
      </c>
      <c r="BL108" s="516">
        <f>COUNTIF(ParicipationJuillet1[[#This Row],[1]:[31]],code29)</f>
        <v>0</v>
      </c>
      <c r="BM108" s="473"/>
      <c r="BN108" s="473"/>
      <c r="BO108" s="473"/>
      <c r="BP108" s="473"/>
      <c r="BQ108" s="473"/>
      <c r="BR108" s="473"/>
      <c r="BS108" s="473"/>
      <c r="BT108" s="473"/>
      <c r="BU108" s="473"/>
      <c r="BV108" s="473"/>
      <c r="BW108" s="473"/>
      <c r="BX108" s="473"/>
      <c r="BY108" s="473"/>
      <c r="BZ108" s="473"/>
      <c r="CA108" s="473"/>
      <c r="CB108" s="473"/>
      <c r="CC108" s="473"/>
      <c r="CD108" s="473"/>
      <c r="CE108" s="473"/>
      <c r="CF108" s="473"/>
      <c r="CG108" s="473"/>
      <c r="CH108" s="473"/>
      <c r="CI108" s="473"/>
      <c r="CJ108" s="473"/>
      <c r="CK108" s="473"/>
      <c r="CL108" s="473"/>
      <c r="CM108" s="473"/>
      <c r="CN108" s="473"/>
      <c r="CO108" s="473"/>
      <c r="CP108" s="473"/>
      <c r="CQ108" s="473"/>
      <c r="CR108" s="473"/>
      <c r="CS108" s="473"/>
      <c r="CT108" s="473"/>
      <c r="CU108" s="516"/>
      <c r="CV108" s="501">
        <f t="shared" si="4"/>
        <v>0</v>
      </c>
      <c r="CW108" s="501">
        <f t="shared" si="5"/>
        <v>0</v>
      </c>
      <c r="CX108" s="473">
        <f t="shared" si="6"/>
        <v>0</v>
      </c>
      <c r="CY108" s="512">
        <f t="shared" si="7"/>
        <v>0</v>
      </c>
    </row>
    <row r="109" spans="1:103">
      <c r="A109" s="112" t="s">
        <v>450</v>
      </c>
      <c r="B109" s="162" t="str">
        <f>IFERROR(VLOOKUP(ParicipationJuillet1[[#This Row],[Référence]],ListeÉtudiants1[],18,FALSE),"")</f>
        <v>NOBIAL FABIENNE</v>
      </c>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640"/>
      <c r="AH109" s="202">
        <f>COUNTIF(ParicipationJuillet1[[#This Row],[1]:[31]],Code1)</f>
        <v>0</v>
      </c>
      <c r="AI109" s="475">
        <f>COUNTIF(ParicipationJuillet1[[#This Row],[1]:[31]],code22)</f>
        <v>0</v>
      </c>
      <c r="AJ109" s="202">
        <f>COUNTIF(ParicipationJuillet1[[#This Row],[1]:[31]],Code2)</f>
        <v>0</v>
      </c>
      <c r="AK109" s="202">
        <f>COUNTIF(ParicipationJuillet1[[#This Row],[1]:[31]],Code3)</f>
        <v>0</v>
      </c>
      <c r="AL109" s="202">
        <f>COUNTIF(ParicipationJuillet1[[#This Row],[1]:[31]],Code4)</f>
        <v>0</v>
      </c>
      <c r="AM109" s="473">
        <f>COUNTIF(ParicipationJuillet1[[#This Row],[1]:[31]],Code5)</f>
        <v>0</v>
      </c>
      <c r="AN109" s="473">
        <f>COUNTIF(ParicipationJuillet1[[#This Row],[1]:[31]],Code23)</f>
        <v>0</v>
      </c>
      <c r="AO109" s="473">
        <f>COUNTIF(ParicipationJuillet1[[#This Row],[1]:[31]],Code6)</f>
        <v>0</v>
      </c>
      <c r="AP109" s="473">
        <f>COUNTIF(ParicipationJuillet1[[#This Row],[1]:[31]],Code7)</f>
        <v>0</v>
      </c>
      <c r="AQ109" s="473">
        <f>COUNTIF(ParicipationJuillet1[[#This Row],[1]:[31]],Code8)</f>
        <v>0</v>
      </c>
      <c r="AR109" s="473">
        <f>COUNTIF(ParicipationJuillet1[[#This Row],[1]:[31]],Code9)</f>
        <v>0</v>
      </c>
      <c r="AS109" s="473">
        <f>COUNTIF(ParicipationJuillet1[[#This Row],[1]:[31]],Code10)</f>
        <v>0</v>
      </c>
      <c r="AT109" s="473">
        <f>COUNTIF(ParicipationJuillet1[[#This Row],[1]:[31]],Code11)</f>
        <v>0</v>
      </c>
      <c r="AU109" s="473">
        <f>COUNTIF(ParicipationJuillet1[[#This Row],[1]:[31]],Code12)</f>
        <v>0</v>
      </c>
      <c r="AV109" s="473">
        <f>COUNTIF(ParicipationJuillet1[[#This Row],[1]:[31]],Code13)</f>
        <v>0</v>
      </c>
      <c r="AW109" s="473">
        <f>COUNTIF(ParicipationJuillet1[[#This Row],[1]:[31]],Code14)</f>
        <v>0</v>
      </c>
      <c r="AX109" s="473">
        <f>COUNTIF(ParicipationJuillet1[[#This Row],[1]:[31]],Code15)</f>
        <v>0</v>
      </c>
      <c r="AY109" s="473">
        <f>COUNTIF(ParicipationJuillet1[[#This Row],[1]:[31]],Code16)</f>
        <v>0</v>
      </c>
      <c r="AZ109" s="473">
        <f>COUNTIF(ParicipationJuillet1[[#This Row],[1]:[31]],Code17)</f>
        <v>0</v>
      </c>
      <c r="BA109" s="473">
        <f>COUNTIF(ParicipationJuillet1[[#This Row],[1]:[31]],Code25)</f>
        <v>0</v>
      </c>
      <c r="BB109" s="473">
        <f>COUNTIF(ParicipationJuillet1[[#This Row],[1]:[31]],Code26)</f>
        <v>0</v>
      </c>
      <c r="BC109" s="473">
        <f>COUNTIF(ParicipationJuillet1[[#This Row],[1]:[31]],Code27)</f>
        <v>0</v>
      </c>
      <c r="BD109" s="473">
        <f>COUNTIF(ParicipationJuillet1[[#This Row],[1]:[31]],Code28)</f>
        <v>0</v>
      </c>
      <c r="BE109" s="473">
        <f>COUNTIF(ParicipationJuillet1[[#This Row],[1]:[31]],code30)</f>
        <v>0</v>
      </c>
      <c r="BF109" s="473">
        <f>COUNTIF(ParicipationJuillet1[[#This Row],[1]:[31]],Code31)</f>
        <v>0</v>
      </c>
      <c r="BG109" s="473">
        <f>COUNTIF(ParicipationJuillet1[[#This Row],[1]:[31]],code21)</f>
        <v>0</v>
      </c>
      <c r="BH109" s="473">
        <f>COUNTIF(ParicipationJuillet1[[#This Row],[1]:[31]],Code24)</f>
        <v>0</v>
      </c>
      <c r="BI109" s="473">
        <f>COUNTIF(ParicipationJuillet1[[#This Row],[1]:[31]],code18)</f>
        <v>0</v>
      </c>
      <c r="BJ109" s="473">
        <f>COUNTIF(ParicipationJuillet1[[#This Row],[1]:[31]],code19)</f>
        <v>0</v>
      </c>
      <c r="BK109" s="473">
        <f>COUNTIF(ParicipationJuillet1[[#This Row],[1]:[31]],code20)</f>
        <v>0</v>
      </c>
      <c r="BL109" s="516">
        <f>COUNTIF(ParicipationJuillet1[[#This Row],[1]:[31]],code29)</f>
        <v>0</v>
      </c>
      <c r="BM109" s="473"/>
      <c r="BN109" s="473"/>
      <c r="BO109" s="473"/>
      <c r="BP109" s="473"/>
      <c r="BQ109" s="473"/>
      <c r="BR109" s="473"/>
      <c r="BS109" s="473"/>
      <c r="BT109" s="473"/>
      <c r="BU109" s="473"/>
      <c r="BV109" s="473"/>
      <c r="BW109" s="473"/>
      <c r="BX109" s="473"/>
      <c r="BY109" s="473"/>
      <c r="BZ109" s="473"/>
      <c r="CA109" s="473"/>
      <c r="CB109" s="473"/>
      <c r="CC109" s="473"/>
      <c r="CD109" s="473"/>
      <c r="CE109" s="473"/>
      <c r="CF109" s="473"/>
      <c r="CG109" s="473"/>
      <c r="CH109" s="473"/>
      <c r="CI109" s="473"/>
      <c r="CJ109" s="473"/>
      <c r="CK109" s="473"/>
      <c r="CL109" s="473"/>
      <c r="CM109" s="473"/>
      <c r="CN109" s="473"/>
      <c r="CO109" s="473"/>
      <c r="CP109" s="473"/>
      <c r="CQ109" s="473"/>
      <c r="CR109" s="473"/>
      <c r="CS109" s="473"/>
      <c r="CT109" s="473"/>
      <c r="CU109" s="516"/>
      <c r="CV109" s="501">
        <f t="shared" si="4"/>
        <v>0</v>
      </c>
      <c r="CW109" s="501">
        <f t="shared" si="5"/>
        <v>0</v>
      </c>
      <c r="CX109" s="473">
        <f t="shared" si="6"/>
        <v>0</v>
      </c>
      <c r="CY109" s="512">
        <f t="shared" si="7"/>
        <v>0</v>
      </c>
    </row>
    <row r="110" spans="1:103">
      <c r="A110" s="112" t="s">
        <v>451</v>
      </c>
      <c r="B110" s="162" t="str">
        <f>IFERROR(VLOOKUP(ParicipationJuillet1[[#This Row],[Référence]],ListeÉtudiants1[],18,FALSE),"")</f>
        <v>OUSSENI-COMBO ROMINAH</v>
      </c>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640"/>
      <c r="AH110" s="202">
        <f>COUNTIF(ParicipationJuillet1[[#This Row],[1]:[31]],Code1)</f>
        <v>0</v>
      </c>
      <c r="AI110" s="475">
        <f>COUNTIF(ParicipationJuillet1[[#This Row],[1]:[31]],code22)</f>
        <v>0</v>
      </c>
      <c r="AJ110" s="202">
        <f>COUNTIF(ParicipationJuillet1[[#This Row],[1]:[31]],Code2)</f>
        <v>0</v>
      </c>
      <c r="AK110" s="202">
        <f>COUNTIF(ParicipationJuillet1[[#This Row],[1]:[31]],Code3)</f>
        <v>0</v>
      </c>
      <c r="AL110" s="202">
        <f>COUNTIF(ParicipationJuillet1[[#This Row],[1]:[31]],Code4)</f>
        <v>0</v>
      </c>
      <c r="AM110" s="473">
        <f>COUNTIF(ParicipationJuillet1[[#This Row],[1]:[31]],Code5)</f>
        <v>0</v>
      </c>
      <c r="AN110" s="473">
        <f>COUNTIF(ParicipationJuillet1[[#This Row],[1]:[31]],Code23)</f>
        <v>0</v>
      </c>
      <c r="AO110" s="473">
        <f>COUNTIF(ParicipationJuillet1[[#This Row],[1]:[31]],Code6)</f>
        <v>0</v>
      </c>
      <c r="AP110" s="473">
        <f>COUNTIF(ParicipationJuillet1[[#This Row],[1]:[31]],Code7)</f>
        <v>0</v>
      </c>
      <c r="AQ110" s="473">
        <f>COUNTIF(ParicipationJuillet1[[#This Row],[1]:[31]],Code8)</f>
        <v>0</v>
      </c>
      <c r="AR110" s="473">
        <f>COUNTIF(ParicipationJuillet1[[#This Row],[1]:[31]],Code9)</f>
        <v>0</v>
      </c>
      <c r="AS110" s="473">
        <f>COUNTIF(ParicipationJuillet1[[#This Row],[1]:[31]],Code10)</f>
        <v>0</v>
      </c>
      <c r="AT110" s="473">
        <f>COUNTIF(ParicipationJuillet1[[#This Row],[1]:[31]],Code11)</f>
        <v>0</v>
      </c>
      <c r="AU110" s="473">
        <f>COUNTIF(ParicipationJuillet1[[#This Row],[1]:[31]],Code12)</f>
        <v>0</v>
      </c>
      <c r="AV110" s="473">
        <f>COUNTIF(ParicipationJuillet1[[#This Row],[1]:[31]],Code13)</f>
        <v>0</v>
      </c>
      <c r="AW110" s="473">
        <f>COUNTIF(ParicipationJuillet1[[#This Row],[1]:[31]],Code14)</f>
        <v>0</v>
      </c>
      <c r="AX110" s="473">
        <f>COUNTIF(ParicipationJuillet1[[#This Row],[1]:[31]],Code15)</f>
        <v>0</v>
      </c>
      <c r="AY110" s="473">
        <f>COUNTIF(ParicipationJuillet1[[#This Row],[1]:[31]],Code16)</f>
        <v>0</v>
      </c>
      <c r="AZ110" s="473">
        <f>COUNTIF(ParicipationJuillet1[[#This Row],[1]:[31]],Code17)</f>
        <v>0</v>
      </c>
      <c r="BA110" s="473">
        <f>COUNTIF(ParicipationJuillet1[[#This Row],[1]:[31]],Code25)</f>
        <v>0</v>
      </c>
      <c r="BB110" s="473">
        <f>COUNTIF(ParicipationJuillet1[[#This Row],[1]:[31]],Code26)</f>
        <v>0</v>
      </c>
      <c r="BC110" s="473">
        <f>COUNTIF(ParicipationJuillet1[[#This Row],[1]:[31]],Code27)</f>
        <v>0</v>
      </c>
      <c r="BD110" s="473">
        <f>COUNTIF(ParicipationJuillet1[[#This Row],[1]:[31]],Code28)</f>
        <v>0</v>
      </c>
      <c r="BE110" s="473">
        <f>COUNTIF(ParicipationJuillet1[[#This Row],[1]:[31]],code30)</f>
        <v>0</v>
      </c>
      <c r="BF110" s="473">
        <f>COUNTIF(ParicipationJuillet1[[#This Row],[1]:[31]],Code31)</f>
        <v>0</v>
      </c>
      <c r="BG110" s="473">
        <f>COUNTIF(ParicipationJuillet1[[#This Row],[1]:[31]],code21)</f>
        <v>0</v>
      </c>
      <c r="BH110" s="473">
        <f>COUNTIF(ParicipationJuillet1[[#This Row],[1]:[31]],Code24)</f>
        <v>0</v>
      </c>
      <c r="BI110" s="473">
        <f>COUNTIF(ParicipationJuillet1[[#This Row],[1]:[31]],code18)</f>
        <v>0</v>
      </c>
      <c r="BJ110" s="473">
        <f>COUNTIF(ParicipationJuillet1[[#This Row],[1]:[31]],code19)</f>
        <v>0</v>
      </c>
      <c r="BK110" s="473">
        <f>COUNTIF(ParicipationJuillet1[[#This Row],[1]:[31]],code20)</f>
        <v>0</v>
      </c>
      <c r="BL110" s="516">
        <f>COUNTIF(ParicipationJuillet1[[#This Row],[1]:[31]],code29)</f>
        <v>0</v>
      </c>
      <c r="BM110" s="473"/>
      <c r="BN110" s="473"/>
      <c r="BO110" s="473"/>
      <c r="BP110" s="473"/>
      <c r="BQ110" s="473"/>
      <c r="BR110" s="473"/>
      <c r="BS110" s="473"/>
      <c r="BT110" s="473"/>
      <c r="BU110" s="473"/>
      <c r="BV110" s="473"/>
      <c r="BW110" s="473"/>
      <c r="BX110" s="473"/>
      <c r="BY110" s="473"/>
      <c r="BZ110" s="473"/>
      <c r="CA110" s="473"/>
      <c r="CB110" s="473"/>
      <c r="CC110" s="473"/>
      <c r="CD110" s="473"/>
      <c r="CE110" s="473"/>
      <c r="CF110" s="473"/>
      <c r="CG110" s="473"/>
      <c r="CH110" s="473"/>
      <c r="CI110" s="473"/>
      <c r="CJ110" s="473"/>
      <c r="CK110" s="473"/>
      <c r="CL110" s="473"/>
      <c r="CM110" s="473"/>
      <c r="CN110" s="473"/>
      <c r="CO110" s="473"/>
      <c r="CP110" s="473"/>
      <c r="CQ110" s="473"/>
      <c r="CR110" s="473"/>
      <c r="CS110" s="473"/>
      <c r="CT110" s="473"/>
      <c r="CU110" s="516"/>
      <c r="CV110" s="501">
        <f t="shared" si="4"/>
        <v>0</v>
      </c>
      <c r="CW110" s="501">
        <f t="shared" si="5"/>
        <v>0</v>
      </c>
      <c r="CX110" s="473">
        <f t="shared" si="6"/>
        <v>0</v>
      </c>
      <c r="CY110" s="512">
        <f t="shared" si="7"/>
        <v>0</v>
      </c>
    </row>
    <row r="111" spans="1:103">
      <c r="A111" s="112" t="s">
        <v>452</v>
      </c>
      <c r="B111" s="162" t="str">
        <f>IFERROR(VLOOKUP(ParicipationJuillet1[[#This Row],[Référence]],ListeÉtudiants1[],18,FALSE),"")</f>
        <v>PAPAIL SIMON</v>
      </c>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640"/>
      <c r="AH111" s="202">
        <f>COUNTIF(ParicipationJuillet1[[#This Row],[1]:[31]],Code1)</f>
        <v>0</v>
      </c>
      <c r="AI111" s="475">
        <f>COUNTIF(ParicipationJuillet1[[#This Row],[1]:[31]],code22)</f>
        <v>0</v>
      </c>
      <c r="AJ111" s="202">
        <f>COUNTIF(ParicipationJuillet1[[#This Row],[1]:[31]],Code2)</f>
        <v>0</v>
      </c>
      <c r="AK111" s="202">
        <f>COUNTIF(ParicipationJuillet1[[#This Row],[1]:[31]],Code3)</f>
        <v>0</v>
      </c>
      <c r="AL111" s="202">
        <f>COUNTIF(ParicipationJuillet1[[#This Row],[1]:[31]],Code4)</f>
        <v>0</v>
      </c>
      <c r="AM111" s="473">
        <f>COUNTIF(ParicipationJuillet1[[#This Row],[1]:[31]],Code5)</f>
        <v>0</v>
      </c>
      <c r="AN111" s="473">
        <f>COUNTIF(ParicipationJuillet1[[#This Row],[1]:[31]],Code23)</f>
        <v>0</v>
      </c>
      <c r="AO111" s="473">
        <f>COUNTIF(ParicipationJuillet1[[#This Row],[1]:[31]],Code6)</f>
        <v>0</v>
      </c>
      <c r="AP111" s="473">
        <f>COUNTIF(ParicipationJuillet1[[#This Row],[1]:[31]],Code7)</f>
        <v>0</v>
      </c>
      <c r="AQ111" s="473">
        <f>COUNTIF(ParicipationJuillet1[[#This Row],[1]:[31]],Code8)</f>
        <v>0</v>
      </c>
      <c r="AR111" s="473">
        <f>COUNTIF(ParicipationJuillet1[[#This Row],[1]:[31]],Code9)</f>
        <v>0</v>
      </c>
      <c r="AS111" s="473">
        <f>COUNTIF(ParicipationJuillet1[[#This Row],[1]:[31]],Code10)</f>
        <v>0</v>
      </c>
      <c r="AT111" s="473">
        <f>COUNTIF(ParicipationJuillet1[[#This Row],[1]:[31]],Code11)</f>
        <v>0</v>
      </c>
      <c r="AU111" s="473">
        <f>COUNTIF(ParicipationJuillet1[[#This Row],[1]:[31]],Code12)</f>
        <v>0</v>
      </c>
      <c r="AV111" s="473">
        <f>COUNTIF(ParicipationJuillet1[[#This Row],[1]:[31]],Code13)</f>
        <v>0</v>
      </c>
      <c r="AW111" s="473">
        <f>COUNTIF(ParicipationJuillet1[[#This Row],[1]:[31]],Code14)</f>
        <v>0</v>
      </c>
      <c r="AX111" s="473">
        <f>COUNTIF(ParicipationJuillet1[[#This Row],[1]:[31]],Code15)</f>
        <v>0</v>
      </c>
      <c r="AY111" s="473">
        <f>COUNTIF(ParicipationJuillet1[[#This Row],[1]:[31]],Code16)</f>
        <v>0</v>
      </c>
      <c r="AZ111" s="473">
        <f>COUNTIF(ParicipationJuillet1[[#This Row],[1]:[31]],Code17)</f>
        <v>0</v>
      </c>
      <c r="BA111" s="473">
        <f>COUNTIF(ParicipationJuillet1[[#This Row],[1]:[31]],Code25)</f>
        <v>0</v>
      </c>
      <c r="BB111" s="473">
        <f>COUNTIF(ParicipationJuillet1[[#This Row],[1]:[31]],Code26)</f>
        <v>0</v>
      </c>
      <c r="BC111" s="473">
        <f>COUNTIF(ParicipationJuillet1[[#This Row],[1]:[31]],Code27)</f>
        <v>0</v>
      </c>
      <c r="BD111" s="473">
        <f>COUNTIF(ParicipationJuillet1[[#This Row],[1]:[31]],Code28)</f>
        <v>0</v>
      </c>
      <c r="BE111" s="473">
        <f>COUNTIF(ParicipationJuillet1[[#This Row],[1]:[31]],code30)</f>
        <v>0</v>
      </c>
      <c r="BF111" s="473">
        <f>COUNTIF(ParicipationJuillet1[[#This Row],[1]:[31]],Code31)</f>
        <v>0</v>
      </c>
      <c r="BG111" s="473">
        <f>COUNTIF(ParicipationJuillet1[[#This Row],[1]:[31]],code21)</f>
        <v>0</v>
      </c>
      <c r="BH111" s="473">
        <f>COUNTIF(ParicipationJuillet1[[#This Row],[1]:[31]],Code24)</f>
        <v>0</v>
      </c>
      <c r="BI111" s="473">
        <f>COUNTIF(ParicipationJuillet1[[#This Row],[1]:[31]],code18)</f>
        <v>0</v>
      </c>
      <c r="BJ111" s="473">
        <f>COUNTIF(ParicipationJuillet1[[#This Row],[1]:[31]],code19)</f>
        <v>0</v>
      </c>
      <c r="BK111" s="473">
        <f>COUNTIF(ParicipationJuillet1[[#This Row],[1]:[31]],code20)</f>
        <v>0</v>
      </c>
      <c r="BL111" s="516">
        <f>COUNTIF(ParicipationJuillet1[[#This Row],[1]:[31]],code29)</f>
        <v>0</v>
      </c>
      <c r="BM111" s="473"/>
      <c r="BN111" s="473"/>
      <c r="BO111" s="473"/>
      <c r="BP111" s="473"/>
      <c r="BQ111" s="473"/>
      <c r="BR111" s="473"/>
      <c r="BS111" s="473"/>
      <c r="BT111" s="473"/>
      <c r="BU111" s="473"/>
      <c r="BV111" s="473"/>
      <c r="BW111" s="473"/>
      <c r="BX111" s="473"/>
      <c r="BY111" s="473"/>
      <c r="BZ111" s="473"/>
      <c r="CA111" s="473"/>
      <c r="CB111" s="473"/>
      <c r="CC111" s="473"/>
      <c r="CD111" s="473"/>
      <c r="CE111" s="473"/>
      <c r="CF111" s="473"/>
      <c r="CG111" s="473"/>
      <c r="CH111" s="473"/>
      <c r="CI111" s="473"/>
      <c r="CJ111" s="473"/>
      <c r="CK111" s="473"/>
      <c r="CL111" s="473"/>
      <c r="CM111" s="473"/>
      <c r="CN111" s="473"/>
      <c r="CO111" s="473"/>
      <c r="CP111" s="473"/>
      <c r="CQ111" s="473"/>
      <c r="CR111" s="473"/>
      <c r="CS111" s="473"/>
      <c r="CT111" s="473"/>
      <c r="CU111" s="516"/>
      <c r="CV111" s="501">
        <f t="shared" si="4"/>
        <v>0</v>
      </c>
      <c r="CW111" s="501">
        <f t="shared" si="5"/>
        <v>0</v>
      </c>
      <c r="CX111" s="473">
        <f t="shared" si="6"/>
        <v>0</v>
      </c>
      <c r="CY111" s="512">
        <f t="shared" si="7"/>
        <v>0</v>
      </c>
    </row>
    <row r="112" spans="1:103">
      <c r="A112" s="112" t="s">
        <v>453</v>
      </c>
      <c r="B112" s="162" t="str">
        <f>IFERROR(VLOOKUP(ParicipationJuillet1[[#This Row],[Référence]],ListeÉtudiants1[],18,FALSE),"")</f>
        <v>PICARDET LISSANNDRA</v>
      </c>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640"/>
      <c r="AH112" s="202">
        <f>COUNTIF(ParicipationJuillet1[[#This Row],[1]:[31]],Code1)</f>
        <v>0</v>
      </c>
      <c r="AI112" s="475">
        <f>COUNTIF(ParicipationJuillet1[[#This Row],[1]:[31]],code22)</f>
        <v>0</v>
      </c>
      <c r="AJ112" s="202">
        <f>COUNTIF(ParicipationJuillet1[[#This Row],[1]:[31]],Code2)</f>
        <v>0</v>
      </c>
      <c r="AK112" s="202">
        <f>COUNTIF(ParicipationJuillet1[[#This Row],[1]:[31]],Code3)</f>
        <v>0</v>
      </c>
      <c r="AL112" s="202">
        <f>COUNTIF(ParicipationJuillet1[[#This Row],[1]:[31]],Code4)</f>
        <v>0</v>
      </c>
      <c r="AM112" s="473">
        <f>COUNTIF(ParicipationJuillet1[[#This Row],[1]:[31]],Code5)</f>
        <v>0</v>
      </c>
      <c r="AN112" s="473">
        <f>COUNTIF(ParicipationJuillet1[[#This Row],[1]:[31]],Code23)</f>
        <v>0</v>
      </c>
      <c r="AO112" s="473">
        <f>COUNTIF(ParicipationJuillet1[[#This Row],[1]:[31]],Code6)</f>
        <v>0</v>
      </c>
      <c r="AP112" s="473">
        <f>COUNTIF(ParicipationJuillet1[[#This Row],[1]:[31]],Code7)</f>
        <v>0</v>
      </c>
      <c r="AQ112" s="473">
        <f>COUNTIF(ParicipationJuillet1[[#This Row],[1]:[31]],Code8)</f>
        <v>0</v>
      </c>
      <c r="AR112" s="473">
        <f>COUNTIF(ParicipationJuillet1[[#This Row],[1]:[31]],Code9)</f>
        <v>0</v>
      </c>
      <c r="AS112" s="473">
        <f>COUNTIF(ParicipationJuillet1[[#This Row],[1]:[31]],Code10)</f>
        <v>0</v>
      </c>
      <c r="AT112" s="473">
        <f>COUNTIF(ParicipationJuillet1[[#This Row],[1]:[31]],Code11)</f>
        <v>0</v>
      </c>
      <c r="AU112" s="473">
        <f>COUNTIF(ParicipationJuillet1[[#This Row],[1]:[31]],Code12)</f>
        <v>0</v>
      </c>
      <c r="AV112" s="473">
        <f>COUNTIF(ParicipationJuillet1[[#This Row],[1]:[31]],Code13)</f>
        <v>0</v>
      </c>
      <c r="AW112" s="473">
        <f>COUNTIF(ParicipationJuillet1[[#This Row],[1]:[31]],Code14)</f>
        <v>0</v>
      </c>
      <c r="AX112" s="473">
        <f>COUNTIF(ParicipationJuillet1[[#This Row],[1]:[31]],Code15)</f>
        <v>0</v>
      </c>
      <c r="AY112" s="473">
        <f>COUNTIF(ParicipationJuillet1[[#This Row],[1]:[31]],Code16)</f>
        <v>0</v>
      </c>
      <c r="AZ112" s="473">
        <f>COUNTIF(ParicipationJuillet1[[#This Row],[1]:[31]],Code17)</f>
        <v>0</v>
      </c>
      <c r="BA112" s="473">
        <f>COUNTIF(ParicipationJuillet1[[#This Row],[1]:[31]],Code25)</f>
        <v>0</v>
      </c>
      <c r="BB112" s="473">
        <f>COUNTIF(ParicipationJuillet1[[#This Row],[1]:[31]],Code26)</f>
        <v>0</v>
      </c>
      <c r="BC112" s="473">
        <f>COUNTIF(ParicipationJuillet1[[#This Row],[1]:[31]],Code27)</f>
        <v>0</v>
      </c>
      <c r="BD112" s="473">
        <f>COUNTIF(ParicipationJuillet1[[#This Row],[1]:[31]],Code28)</f>
        <v>0</v>
      </c>
      <c r="BE112" s="473">
        <f>COUNTIF(ParicipationJuillet1[[#This Row],[1]:[31]],code30)</f>
        <v>0</v>
      </c>
      <c r="BF112" s="473">
        <f>COUNTIF(ParicipationJuillet1[[#This Row],[1]:[31]],Code31)</f>
        <v>0</v>
      </c>
      <c r="BG112" s="473">
        <f>COUNTIF(ParicipationJuillet1[[#This Row],[1]:[31]],code21)</f>
        <v>0</v>
      </c>
      <c r="BH112" s="473">
        <f>COUNTIF(ParicipationJuillet1[[#This Row],[1]:[31]],Code24)</f>
        <v>0</v>
      </c>
      <c r="BI112" s="473">
        <f>COUNTIF(ParicipationJuillet1[[#This Row],[1]:[31]],code18)</f>
        <v>0</v>
      </c>
      <c r="BJ112" s="473">
        <f>COUNTIF(ParicipationJuillet1[[#This Row],[1]:[31]],code19)</f>
        <v>0</v>
      </c>
      <c r="BK112" s="473">
        <f>COUNTIF(ParicipationJuillet1[[#This Row],[1]:[31]],code20)</f>
        <v>0</v>
      </c>
      <c r="BL112" s="516">
        <f>COUNTIF(ParicipationJuillet1[[#This Row],[1]:[31]],code29)</f>
        <v>0</v>
      </c>
      <c r="BM112" s="473"/>
      <c r="BN112" s="473"/>
      <c r="BO112" s="473"/>
      <c r="BP112" s="473"/>
      <c r="BQ112" s="473"/>
      <c r="BR112" s="473"/>
      <c r="BS112" s="473"/>
      <c r="BT112" s="473"/>
      <c r="BU112" s="473"/>
      <c r="BV112" s="473"/>
      <c r="BW112" s="473"/>
      <c r="BX112" s="473"/>
      <c r="BY112" s="473"/>
      <c r="BZ112" s="473"/>
      <c r="CA112" s="473"/>
      <c r="CB112" s="473"/>
      <c r="CC112" s="473"/>
      <c r="CD112" s="473"/>
      <c r="CE112" s="473"/>
      <c r="CF112" s="473"/>
      <c r="CG112" s="473"/>
      <c r="CH112" s="473"/>
      <c r="CI112" s="473"/>
      <c r="CJ112" s="473"/>
      <c r="CK112" s="473"/>
      <c r="CL112" s="473"/>
      <c r="CM112" s="473"/>
      <c r="CN112" s="473"/>
      <c r="CO112" s="473"/>
      <c r="CP112" s="473"/>
      <c r="CQ112" s="473"/>
      <c r="CR112" s="473"/>
      <c r="CS112" s="473"/>
      <c r="CT112" s="473"/>
      <c r="CU112" s="516"/>
      <c r="CV112" s="501">
        <f t="shared" si="4"/>
        <v>0</v>
      </c>
      <c r="CW112" s="501">
        <f t="shared" si="5"/>
        <v>0</v>
      </c>
      <c r="CX112" s="473">
        <f t="shared" si="6"/>
        <v>0</v>
      </c>
      <c r="CY112" s="512">
        <f t="shared" si="7"/>
        <v>0</v>
      </c>
    </row>
    <row r="113" spans="1:103">
      <c r="A113" s="112" t="s">
        <v>454</v>
      </c>
      <c r="B113" s="162" t="str">
        <f>IFERROR(VLOOKUP(ParicipationJuillet1[[#This Row],[Référence]],ListeÉtudiants1[],18,FALSE),"")</f>
        <v>PIRES KEVIN</v>
      </c>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640"/>
      <c r="AH113" s="202">
        <f>COUNTIF(ParicipationJuillet1[[#This Row],[1]:[31]],Code1)</f>
        <v>0</v>
      </c>
      <c r="AI113" s="475">
        <f>COUNTIF(ParicipationJuillet1[[#This Row],[1]:[31]],code22)</f>
        <v>0</v>
      </c>
      <c r="AJ113" s="202">
        <f>COUNTIF(ParicipationJuillet1[[#This Row],[1]:[31]],Code2)</f>
        <v>0</v>
      </c>
      <c r="AK113" s="202">
        <f>COUNTIF(ParicipationJuillet1[[#This Row],[1]:[31]],Code3)</f>
        <v>0</v>
      </c>
      <c r="AL113" s="202">
        <f>COUNTIF(ParicipationJuillet1[[#This Row],[1]:[31]],Code4)</f>
        <v>0</v>
      </c>
      <c r="AM113" s="473">
        <f>COUNTIF(ParicipationJuillet1[[#This Row],[1]:[31]],Code5)</f>
        <v>0</v>
      </c>
      <c r="AN113" s="473">
        <f>COUNTIF(ParicipationJuillet1[[#This Row],[1]:[31]],Code23)</f>
        <v>0</v>
      </c>
      <c r="AO113" s="473">
        <f>COUNTIF(ParicipationJuillet1[[#This Row],[1]:[31]],Code6)</f>
        <v>0</v>
      </c>
      <c r="AP113" s="473">
        <f>COUNTIF(ParicipationJuillet1[[#This Row],[1]:[31]],Code7)</f>
        <v>0</v>
      </c>
      <c r="AQ113" s="473">
        <f>COUNTIF(ParicipationJuillet1[[#This Row],[1]:[31]],Code8)</f>
        <v>0</v>
      </c>
      <c r="AR113" s="473">
        <f>COUNTIF(ParicipationJuillet1[[#This Row],[1]:[31]],Code9)</f>
        <v>0</v>
      </c>
      <c r="AS113" s="473">
        <f>COUNTIF(ParicipationJuillet1[[#This Row],[1]:[31]],Code10)</f>
        <v>0</v>
      </c>
      <c r="AT113" s="473">
        <f>COUNTIF(ParicipationJuillet1[[#This Row],[1]:[31]],Code11)</f>
        <v>0</v>
      </c>
      <c r="AU113" s="473">
        <f>COUNTIF(ParicipationJuillet1[[#This Row],[1]:[31]],Code12)</f>
        <v>0</v>
      </c>
      <c r="AV113" s="473">
        <f>COUNTIF(ParicipationJuillet1[[#This Row],[1]:[31]],Code13)</f>
        <v>0</v>
      </c>
      <c r="AW113" s="473">
        <f>COUNTIF(ParicipationJuillet1[[#This Row],[1]:[31]],Code14)</f>
        <v>0</v>
      </c>
      <c r="AX113" s="473">
        <f>COUNTIF(ParicipationJuillet1[[#This Row],[1]:[31]],Code15)</f>
        <v>0</v>
      </c>
      <c r="AY113" s="473">
        <f>COUNTIF(ParicipationJuillet1[[#This Row],[1]:[31]],Code16)</f>
        <v>0</v>
      </c>
      <c r="AZ113" s="473">
        <f>COUNTIF(ParicipationJuillet1[[#This Row],[1]:[31]],Code17)</f>
        <v>0</v>
      </c>
      <c r="BA113" s="473">
        <f>COUNTIF(ParicipationJuillet1[[#This Row],[1]:[31]],Code25)</f>
        <v>0</v>
      </c>
      <c r="BB113" s="473">
        <f>COUNTIF(ParicipationJuillet1[[#This Row],[1]:[31]],Code26)</f>
        <v>0</v>
      </c>
      <c r="BC113" s="473">
        <f>COUNTIF(ParicipationJuillet1[[#This Row],[1]:[31]],Code27)</f>
        <v>0</v>
      </c>
      <c r="BD113" s="473">
        <f>COUNTIF(ParicipationJuillet1[[#This Row],[1]:[31]],Code28)</f>
        <v>0</v>
      </c>
      <c r="BE113" s="473">
        <f>COUNTIF(ParicipationJuillet1[[#This Row],[1]:[31]],code30)</f>
        <v>0</v>
      </c>
      <c r="BF113" s="473">
        <f>COUNTIF(ParicipationJuillet1[[#This Row],[1]:[31]],Code31)</f>
        <v>0</v>
      </c>
      <c r="BG113" s="473">
        <f>COUNTIF(ParicipationJuillet1[[#This Row],[1]:[31]],code21)</f>
        <v>0</v>
      </c>
      <c r="BH113" s="473">
        <f>COUNTIF(ParicipationJuillet1[[#This Row],[1]:[31]],Code24)</f>
        <v>0</v>
      </c>
      <c r="BI113" s="473">
        <f>COUNTIF(ParicipationJuillet1[[#This Row],[1]:[31]],code18)</f>
        <v>0</v>
      </c>
      <c r="BJ113" s="473">
        <f>COUNTIF(ParicipationJuillet1[[#This Row],[1]:[31]],code19)</f>
        <v>0</v>
      </c>
      <c r="BK113" s="473">
        <f>COUNTIF(ParicipationJuillet1[[#This Row],[1]:[31]],code20)</f>
        <v>0</v>
      </c>
      <c r="BL113" s="516">
        <f>COUNTIF(ParicipationJuillet1[[#This Row],[1]:[31]],code29)</f>
        <v>0</v>
      </c>
      <c r="BM113" s="473"/>
      <c r="BN113" s="473"/>
      <c r="BO113" s="473"/>
      <c r="BP113" s="473"/>
      <c r="BQ113" s="473"/>
      <c r="BR113" s="473"/>
      <c r="BS113" s="473"/>
      <c r="BT113" s="473"/>
      <c r="BU113" s="473"/>
      <c r="BV113" s="473"/>
      <c r="BW113" s="473"/>
      <c r="BX113" s="473"/>
      <c r="BY113" s="473"/>
      <c r="BZ113" s="473"/>
      <c r="CA113" s="473"/>
      <c r="CB113" s="473"/>
      <c r="CC113" s="473"/>
      <c r="CD113" s="473"/>
      <c r="CE113" s="473"/>
      <c r="CF113" s="473"/>
      <c r="CG113" s="473"/>
      <c r="CH113" s="473"/>
      <c r="CI113" s="473"/>
      <c r="CJ113" s="473"/>
      <c r="CK113" s="473"/>
      <c r="CL113" s="473"/>
      <c r="CM113" s="473"/>
      <c r="CN113" s="473"/>
      <c r="CO113" s="473"/>
      <c r="CP113" s="473"/>
      <c r="CQ113" s="473"/>
      <c r="CR113" s="473"/>
      <c r="CS113" s="473"/>
      <c r="CT113" s="473"/>
      <c r="CU113" s="516"/>
      <c r="CV113" s="501">
        <f t="shared" si="4"/>
        <v>0</v>
      </c>
      <c r="CW113" s="501">
        <f t="shared" si="5"/>
        <v>0</v>
      </c>
      <c r="CX113" s="473">
        <f t="shared" si="6"/>
        <v>0</v>
      </c>
      <c r="CY113" s="512">
        <f t="shared" si="7"/>
        <v>0</v>
      </c>
    </row>
    <row r="114" spans="1:103">
      <c r="A114" s="112" t="s">
        <v>455</v>
      </c>
      <c r="B114" s="162" t="str">
        <f>IFERROR(VLOOKUP(ParicipationJuillet1[[#This Row],[Référence]],ListeÉtudiants1[],18,FALSE),"")</f>
        <v>PITKIAYE MPOUTOU JESSICA</v>
      </c>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640"/>
      <c r="AH114" s="202">
        <f>COUNTIF(ParicipationJuillet1[[#This Row],[1]:[31]],Code1)</f>
        <v>0</v>
      </c>
      <c r="AI114" s="475">
        <f>COUNTIF(ParicipationJuillet1[[#This Row],[1]:[31]],code22)</f>
        <v>0</v>
      </c>
      <c r="AJ114" s="202">
        <f>COUNTIF(ParicipationJuillet1[[#This Row],[1]:[31]],Code2)</f>
        <v>0</v>
      </c>
      <c r="AK114" s="202">
        <f>COUNTIF(ParicipationJuillet1[[#This Row],[1]:[31]],Code3)</f>
        <v>0</v>
      </c>
      <c r="AL114" s="202">
        <f>COUNTIF(ParicipationJuillet1[[#This Row],[1]:[31]],Code4)</f>
        <v>0</v>
      </c>
      <c r="AM114" s="473">
        <f>COUNTIF(ParicipationJuillet1[[#This Row],[1]:[31]],Code5)</f>
        <v>0</v>
      </c>
      <c r="AN114" s="473">
        <f>COUNTIF(ParicipationJuillet1[[#This Row],[1]:[31]],Code23)</f>
        <v>0</v>
      </c>
      <c r="AO114" s="473">
        <f>COUNTIF(ParicipationJuillet1[[#This Row],[1]:[31]],Code6)</f>
        <v>0</v>
      </c>
      <c r="AP114" s="473">
        <f>COUNTIF(ParicipationJuillet1[[#This Row],[1]:[31]],Code7)</f>
        <v>0</v>
      </c>
      <c r="AQ114" s="473">
        <f>COUNTIF(ParicipationJuillet1[[#This Row],[1]:[31]],Code8)</f>
        <v>0</v>
      </c>
      <c r="AR114" s="473">
        <f>COUNTIF(ParicipationJuillet1[[#This Row],[1]:[31]],Code9)</f>
        <v>0</v>
      </c>
      <c r="AS114" s="473">
        <f>COUNTIF(ParicipationJuillet1[[#This Row],[1]:[31]],Code10)</f>
        <v>0</v>
      </c>
      <c r="AT114" s="473">
        <f>COUNTIF(ParicipationJuillet1[[#This Row],[1]:[31]],Code11)</f>
        <v>0</v>
      </c>
      <c r="AU114" s="473">
        <f>COUNTIF(ParicipationJuillet1[[#This Row],[1]:[31]],Code12)</f>
        <v>0</v>
      </c>
      <c r="AV114" s="473">
        <f>COUNTIF(ParicipationJuillet1[[#This Row],[1]:[31]],Code13)</f>
        <v>0</v>
      </c>
      <c r="AW114" s="473">
        <f>COUNTIF(ParicipationJuillet1[[#This Row],[1]:[31]],Code14)</f>
        <v>0</v>
      </c>
      <c r="AX114" s="473">
        <f>COUNTIF(ParicipationJuillet1[[#This Row],[1]:[31]],Code15)</f>
        <v>0</v>
      </c>
      <c r="AY114" s="473">
        <f>COUNTIF(ParicipationJuillet1[[#This Row],[1]:[31]],Code16)</f>
        <v>0</v>
      </c>
      <c r="AZ114" s="473">
        <f>COUNTIF(ParicipationJuillet1[[#This Row],[1]:[31]],Code17)</f>
        <v>0</v>
      </c>
      <c r="BA114" s="473">
        <f>COUNTIF(ParicipationJuillet1[[#This Row],[1]:[31]],Code25)</f>
        <v>0</v>
      </c>
      <c r="BB114" s="473">
        <f>COUNTIF(ParicipationJuillet1[[#This Row],[1]:[31]],Code26)</f>
        <v>0</v>
      </c>
      <c r="BC114" s="473">
        <f>COUNTIF(ParicipationJuillet1[[#This Row],[1]:[31]],Code27)</f>
        <v>0</v>
      </c>
      <c r="BD114" s="473">
        <f>COUNTIF(ParicipationJuillet1[[#This Row],[1]:[31]],Code28)</f>
        <v>0</v>
      </c>
      <c r="BE114" s="473">
        <f>COUNTIF(ParicipationJuillet1[[#This Row],[1]:[31]],code30)</f>
        <v>0</v>
      </c>
      <c r="BF114" s="473">
        <f>COUNTIF(ParicipationJuillet1[[#This Row],[1]:[31]],Code31)</f>
        <v>0</v>
      </c>
      <c r="BG114" s="473">
        <f>COUNTIF(ParicipationJuillet1[[#This Row],[1]:[31]],code21)</f>
        <v>0</v>
      </c>
      <c r="BH114" s="473">
        <f>COUNTIF(ParicipationJuillet1[[#This Row],[1]:[31]],Code24)</f>
        <v>0</v>
      </c>
      <c r="BI114" s="473">
        <f>COUNTIF(ParicipationJuillet1[[#This Row],[1]:[31]],code18)</f>
        <v>0</v>
      </c>
      <c r="BJ114" s="473">
        <f>COUNTIF(ParicipationJuillet1[[#This Row],[1]:[31]],code19)</f>
        <v>0</v>
      </c>
      <c r="BK114" s="473">
        <f>COUNTIF(ParicipationJuillet1[[#This Row],[1]:[31]],code20)</f>
        <v>0</v>
      </c>
      <c r="BL114" s="516">
        <f>COUNTIF(ParicipationJuillet1[[#This Row],[1]:[31]],code29)</f>
        <v>0</v>
      </c>
      <c r="BM114" s="473"/>
      <c r="BN114" s="473"/>
      <c r="BO114" s="473"/>
      <c r="BP114" s="473"/>
      <c r="BQ114" s="473"/>
      <c r="BR114" s="473"/>
      <c r="BS114" s="473"/>
      <c r="BT114" s="473"/>
      <c r="BU114" s="473"/>
      <c r="BV114" s="473"/>
      <c r="BW114" s="473"/>
      <c r="BX114" s="473"/>
      <c r="BY114" s="473"/>
      <c r="BZ114" s="473"/>
      <c r="CA114" s="473"/>
      <c r="CB114" s="473"/>
      <c r="CC114" s="473"/>
      <c r="CD114" s="473"/>
      <c r="CE114" s="473"/>
      <c r="CF114" s="473"/>
      <c r="CG114" s="473"/>
      <c r="CH114" s="473"/>
      <c r="CI114" s="473"/>
      <c r="CJ114" s="473"/>
      <c r="CK114" s="473"/>
      <c r="CL114" s="473"/>
      <c r="CM114" s="473"/>
      <c r="CN114" s="473"/>
      <c r="CO114" s="473"/>
      <c r="CP114" s="473"/>
      <c r="CQ114" s="473"/>
      <c r="CR114" s="473"/>
      <c r="CS114" s="473"/>
      <c r="CT114" s="473"/>
      <c r="CU114" s="516"/>
      <c r="CV114" s="501">
        <f t="shared" si="4"/>
        <v>0</v>
      </c>
      <c r="CW114" s="501">
        <f t="shared" si="5"/>
        <v>0</v>
      </c>
      <c r="CX114" s="473">
        <f t="shared" si="6"/>
        <v>0</v>
      </c>
      <c r="CY114" s="512">
        <f t="shared" si="7"/>
        <v>0</v>
      </c>
    </row>
    <row r="115" spans="1:103">
      <c r="A115" s="112" t="s">
        <v>456</v>
      </c>
      <c r="B115" s="162" t="str">
        <f>IFERROR(VLOOKUP(ParicipationJuillet1[[#This Row],[Référence]],ListeÉtudiants1[],18,FALSE),"")</f>
        <v>QUINTAIS ALEXANDRE</v>
      </c>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640"/>
      <c r="AH115" s="202">
        <f>COUNTIF(ParicipationJuillet1[[#This Row],[1]:[31]],Code1)</f>
        <v>0</v>
      </c>
      <c r="AI115" s="475">
        <f>COUNTIF(ParicipationJuillet1[[#This Row],[1]:[31]],code22)</f>
        <v>0</v>
      </c>
      <c r="AJ115" s="202">
        <f>COUNTIF(ParicipationJuillet1[[#This Row],[1]:[31]],Code2)</f>
        <v>0</v>
      </c>
      <c r="AK115" s="202">
        <f>COUNTIF(ParicipationJuillet1[[#This Row],[1]:[31]],Code3)</f>
        <v>0</v>
      </c>
      <c r="AL115" s="202">
        <f>COUNTIF(ParicipationJuillet1[[#This Row],[1]:[31]],Code4)</f>
        <v>0</v>
      </c>
      <c r="AM115" s="473">
        <f>COUNTIF(ParicipationJuillet1[[#This Row],[1]:[31]],Code5)</f>
        <v>0</v>
      </c>
      <c r="AN115" s="473">
        <f>COUNTIF(ParicipationJuillet1[[#This Row],[1]:[31]],Code23)</f>
        <v>0</v>
      </c>
      <c r="AO115" s="473">
        <f>COUNTIF(ParicipationJuillet1[[#This Row],[1]:[31]],Code6)</f>
        <v>0</v>
      </c>
      <c r="AP115" s="473">
        <f>COUNTIF(ParicipationJuillet1[[#This Row],[1]:[31]],Code7)</f>
        <v>0</v>
      </c>
      <c r="AQ115" s="473">
        <f>COUNTIF(ParicipationJuillet1[[#This Row],[1]:[31]],Code8)</f>
        <v>0</v>
      </c>
      <c r="AR115" s="473">
        <f>COUNTIF(ParicipationJuillet1[[#This Row],[1]:[31]],Code9)</f>
        <v>0</v>
      </c>
      <c r="AS115" s="473">
        <f>COUNTIF(ParicipationJuillet1[[#This Row],[1]:[31]],Code10)</f>
        <v>0</v>
      </c>
      <c r="AT115" s="473">
        <f>COUNTIF(ParicipationJuillet1[[#This Row],[1]:[31]],Code11)</f>
        <v>0</v>
      </c>
      <c r="AU115" s="473">
        <f>COUNTIF(ParicipationJuillet1[[#This Row],[1]:[31]],Code12)</f>
        <v>0</v>
      </c>
      <c r="AV115" s="473">
        <f>COUNTIF(ParicipationJuillet1[[#This Row],[1]:[31]],Code13)</f>
        <v>0</v>
      </c>
      <c r="AW115" s="473">
        <f>COUNTIF(ParicipationJuillet1[[#This Row],[1]:[31]],Code14)</f>
        <v>0</v>
      </c>
      <c r="AX115" s="473">
        <f>COUNTIF(ParicipationJuillet1[[#This Row],[1]:[31]],Code15)</f>
        <v>0</v>
      </c>
      <c r="AY115" s="473">
        <f>COUNTIF(ParicipationJuillet1[[#This Row],[1]:[31]],Code16)</f>
        <v>0</v>
      </c>
      <c r="AZ115" s="473">
        <f>COUNTIF(ParicipationJuillet1[[#This Row],[1]:[31]],Code17)</f>
        <v>0</v>
      </c>
      <c r="BA115" s="473">
        <f>COUNTIF(ParicipationJuillet1[[#This Row],[1]:[31]],Code25)</f>
        <v>0</v>
      </c>
      <c r="BB115" s="473">
        <f>COUNTIF(ParicipationJuillet1[[#This Row],[1]:[31]],Code26)</f>
        <v>0</v>
      </c>
      <c r="BC115" s="473">
        <f>COUNTIF(ParicipationJuillet1[[#This Row],[1]:[31]],Code27)</f>
        <v>0</v>
      </c>
      <c r="BD115" s="473">
        <f>COUNTIF(ParicipationJuillet1[[#This Row],[1]:[31]],Code28)</f>
        <v>0</v>
      </c>
      <c r="BE115" s="473">
        <f>COUNTIF(ParicipationJuillet1[[#This Row],[1]:[31]],code30)</f>
        <v>0</v>
      </c>
      <c r="BF115" s="473">
        <f>COUNTIF(ParicipationJuillet1[[#This Row],[1]:[31]],Code31)</f>
        <v>0</v>
      </c>
      <c r="BG115" s="473">
        <f>COUNTIF(ParicipationJuillet1[[#This Row],[1]:[31]],code21)</f>
        <v>0</v>
      </c>
      <c r="BH115" s="473">
        <f>COUNTIF(ParicipationJuillet1[[#This Row],[1]:[31]],Code24)</f>
        <v>0</v>
      </c>
      <c r="BI115" s="473">
        <f>COUNTIF(ParicipationJuillet1[[#This Row],[1]:[31]],code18)</f>
        <v>0</v>
      </c>
      <c r="BJ115" s="473">
        <f>COUNTIF(ParicipationJuillet1[[#This Row],[1]:[31]],code19)</f>
        <v>0</v>
      </c>
      <c r="BK115" s="473">
        <f>COUNTIF(ParicipationJuillet1[[#This Row],[1]:[31]],code20)</f>
        <v>0</v>
      </c>
      <c r="BL115" s="516">
        <f>COUNTIF(ParicipationJuillet1[[#This Row],[1]:[31]],code29)</f>
        <v>0</v>
      </c>
      <c r="BM115" s="473"/>
      <c r="BN115" s="473"/>
      <c r="BO115" s="473"/>
      <c r="BP115" s="473"/>
      <c r="BQ115" s="473"/>
      <c r="BR115" s="473"/>
      <c r="BS115" s="473"/>
      <c r="BT115" s="473"/>
      <c r="BU115" s="473"/>
      <c r="BV115" s="473"/>
      <c r="BW115" s="473"/>
      <c r="BX115" s="473"/>
      <c r="BY115" s="473"/>
      <c r="BZ115" s="473"/>
      <c r="CA115" s="473"/>
      <c r="CB115" s="473"/>
      <c r="CC115" s="473"/>
      <c r="CD115" s="473"/>
      <c r="CE115" s="473"/>
      <c r="CF115" s="473"/>
      <c r="CG115" s="473"/>
      <c r="CH115" s="473"/>
      <c r="CI115" s="473"/>
      <c r="CJ115" s="473"/>
      <c r="CK115" s="473"/>
      <c r="CL115" s="473"/>
      <c r="CM115" s="473"/>
      <c r="CN115" s="473"/>
      <c r="CO115" s="473"/>
      <c r="CP115" s="473"/>
      <c r="CQ115" s="473"/>
      <c r="CR115" s="473"/>
      <c r="CS115" s="473"/>
      <c r="CT115" s="473"/>
      <c r="CU115" s="516"/>
      <c r="CV115" s="501">
        <f t="shared" si="4"/>
        <v>0</v>
      </c>
      <c r="CW115" s="501">
        <f t="shared" si="5"/>
        <v>0</v>
      </c>
      <c r="CX115" s="473">
        <f t="shared" si="6"/>
        <v>0</v>
      </c>
      <c r="CY115" s="512">
        <f t="shared" si="7"/>
        <v>0</v>
      </c>
    </row>
    <row r="116" spans="1:103">
      <c r="A116" s="112" t="s">
        <v>457</v>
      </c>
      <c r="B116" s="162" t="str">
        <f>IFERROR(VLOOKUP(ParicipationJuillet1[[#This Row],[Référence]],ListeÉtudiants1[],18,FALSE),"")</f>
        <v>RAMOS MARION</v>
      </c>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640"/>
      <c r="AH116" s="202">
        <f>COUNTIF(ParicipationJuillet1[[#This Row],[1]:[31]],Code1)</f>
        <v>0</v>
      </c>
      <c r="AI116" s="475">
        <f>COUNTIF(ParicipationJuillet1[[#This Row],[1]:[31]],code22)</f>
        <v>0</v>
      </c>
      <c r="AJ116" s="202">
        <f>COUNTIF(ParicipationJuillet1[[#This Row],[1]:[31]],Code2)</f>
        <v>0</v>
      </c>
      <c r="AK116" s="202">
        <f>COUNTIF(ParicipationJuillet1[[#This Row],[1]:[31]],Code3)</f>
        <v>0</v>
      </c>
      <c r="AL116" s="202">
        <f>COUNTIF(ParicipationJuillet1[[#This Row],[1]:[31]],Code4)</f>
        <v>0</v>
      </c>
      <c r="AM116" s="473">
        <f>COUNTIF(ParicipationJuillet1[[#This Row],[1]:[31]],Code5)</f>
        <v>0</v>
      </c>
      <c r="AN116" s="473">
        <f>COUNTIF(ParicipationJuillet1[[#This Row],[1]:[31]],Code23)</f>
        <v>0</v>
      </c>
      <c r="AO116" s="473">
        <f>COUNTIF(ParicipationJuillet1[[#This Row],[1]:[31]],Code6)</f>
        <v>0</v>
      </c>
      <c r="AP116" s="473">
        <f>COUNTIF(ParicipationJuillet1[[#This Row],[1]:[31]],Code7)</f>
        <v>0</v>
      </c>
      <c r="AQ116" s="473">
        <f>COUNTIF(ParicipationJuillet1[[#This Row],[1]:[31]],Code8)</f>
        <v>0</v>
      </c>
      <c r="AR116" s="473">
        <f>COUNTIF(ParicipationJuillet1[[#This Row],[1]:[31]],Code9)</f>
        <v>0</v>
      </c>
      <c r="AS116" s="473">
        <f>COUNTIF(ParicipationJuillet1[[#This Row],[1]:[31]],Code10)</f>
        <v>0</v>
      </c>
      <c r="AT116" s="473">
        <f>COUNTIF(ParicipationJuillet1[[#This Row],[1]:[31]],Code11)</f>
        <v>0</v>
      </c>
      <c r="AU116" s="473">
        <f>COUNTIF(ParicipationJuillet1[[#This Row],[1]:[31]],Code12)</f>
        <v>0</v>
      </c>
      <c r="AV116" s="473">
        <f>COUNTIF(ParicipationJuillet1[[#This Row],[1]:[31]],Code13)</f>
        <v>0</v>
      </c>
      <c r="AW116" s="473">
        <f>COUNTIF(ParicipationJuillet1[[#This Row],[1]:[31]],Code14)</f>
        <v>0</v>
      </c>
      <c r="AX116" s="473">
        <f>COUNTIF(ParicipationJuillet1[[#This Row],[1]:[31]],Code15)</f>
        <v>0</v>
      </c>
      <c r="AY116" s="473">
        <f>COUNTIF(ParicipationJuillet1[[#This Row],[1]:[31]],Code16)</f>
        <v>0</v>
      </c>
      <c r="AZ116" s="473">
        <f>COUNTIF(ParicipationJuillet1[[#This Row],[1]:[31]],Code17)</f>
        <v>0</v>
      </c>
      <c r="BA116" s="473">
        <f>COUNTIF(ParicipationJuillet1[[#This Row],[1]:[31]],Code25)</f>
        <v>0</v>
      </c>
      <c r="BB116" s="473">
        <f>COUNTIF(ParicipationJuillet1[[#This Row],[1]:[31]],Code26)</f>
        <v>0</v>
      </c>
      <c r="BC116" s="473">
        <f>COUNTIF(ParicipationJuillet1[[#This Row],[1]:[31]],Code27)</f>
        <v>0</v>
      </c>
      <c r="BD116" s="473">
        <f>COUNTIF(ParicipationJuillet1[[#This Row],[1]:[31]],Code28)</f>
        <v>0</v>
      </c>
      <c r="BE116" s="473">
        <f>COUNTIF(ParicipationJuillet1[[#This Row],[1]:[31]],code30)</f>
        <v>0</v>
      </c>
      <c r="BF116" s="473">
        <f>COUNTIF(ParicipationJuillet1[[#This Row],[1]:[31]],Code31)</f>
        <v>0</v>
      </c>
      <c r="BG116" s="473">
        <f>COUNTIF(ParicipationJuillet1[[#This Row],[1]:[31]],code21)</f>
        <v>0</v>
      </c>
      <c r="BH116" s="473">
        <f>COUNTIF(ParicipationJuillet1[[#This Row],[1]:[31]],Code24)</f>
        <v>0</v>
      </c>
      <c r="BI116" s="473">
        <f>COUNTIF(ParicipationJuillet1[[#This Row],[1]:[31]],code18)</f>
        <v>0</v>
      </c>
      <c r="BJ116" s="473">
        <f>COUNTIF(ParicipationJuillet1[[#This Row],[1]:[31]],code19)</f>
        <v>0</v>
      </c>
      <c r="BK116" s="473">
        <f>COUNTIF(ParicipationJuillet1[[#This Row],[1]:[31]],code20)</f>
        <v>0</v>
      </c>
      <c r="BL116" s="516">
        <f>COUNTIF(ParicipationJuillet1[[#This Row],[1]:[31]],code29)</f>
        <v>0</v>
      </c>
      <c r="BM116" s="473"/>
      <c r="BN116" s="473"/>
      <c r="BO116" s="473"/>
      <c r="BP116" s="473"/>
      <c r="BQ116" s="473"/>
      <c r="BR116" s="473"/>
      <c r="BS116" s="473"/>
      <c r="BT116" s="473"/>
      <c r="BU116" s="473"/>
      <c r="BV116" s="473"/>
      <c r="BW116" s="473"/>
      <c r="BX116" s="473"/>
      <c r="BY116" s="473"/>
      <c r="BZ116" s="473"/>
      <c r="CA116" s="473"/>
      <c r="CB116" s="473"/>
      <c r="CC116" s="473"/>
      <c r="CD116" s="473"/>
      <c r="CE116" s="473"/>
      <c r="CF116" s="473"/>
      <c r="CG116" s="473"/>
      <c r="CH116" s="473"/>
      <c r="CI116" s="473"/>
      <c r="CJ116" s="473"/>
      <c r="CK116" s="473"/>
      <c r="CL116" s="473"/>
      <c r="CM116" s="473"/>
      <c r="CN116" s="473"/>
      <c r="CO116" s="473"/>
      <c r="CP116" s="473"/>
      <c r="CQ116" s="473"/>
      <c r="CR116" s="473"/>
      <c r="CS116" s="473"/>
      <c r="CT116" s="473"/>
      <c r="CU116" s="516"/>
      <c r="CV116" s="501">
        <f t="shared" si="4"/>
        <v>0</v>
      </c>
      <c r="CW116" s="501">
        <f t="shared" si="5"/>
        <v>0</v>
      </c>
      <c r="CX116" s="473">
        <f t="shared" si="6"/>
        <v>0</v>
      </c>
      <c r="CY116" s="512">
        <f t="shared" si="7"/>
        <v>0</v>
      </c>
    </row>
    <row r="117" spans="1:103">
      <c r="A117" s="112" t="s">
        <v>458</v>
      </c>
      <c r="B117" s="162" t="str">
        <f>IFERROR(VLOOKUP(ParicipationJuillet1[[#This Row],[Référence]],ListeÉtudiants1[],18,FALSE),"")</f>
        <v>REMIR REBECCA</v>
      </c>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640"/>
      <c r="AH117" s="202">
        <f>COUNTIF(ParicipationJuillet1[[#This Row],[1]:[31]],Code1)</f>
        <v>0</v>
      </c>
      <c r="AI117" s="475">
        <f>COUNTIF(ParicipationJuillet1[[#This Row],[1]:[31]],code22)</f>
        <v>0</v>
      </c>
      <c r="AJ117" s="202">
        <f>COUNTIF(ParicipationJuillet1[[#This Row],[1]:[31]],Code2)</f>
        <v>0</v>
      </c>
      <c r="AK117" s="202">
        <f>COUNTIF(ParicipationJuillet1[[#This Row],[1]:[31]],Code3)</f>
        <v>0</v>
      </c>
      <c r="AL117" s="202">
        <f>COUNTIF(ParicipationJuillet1[[#This Row],[1]:[31]],Code4)</f>
        <v>0</v>
      </c>
      <c r="AM117" s="473">
        <f>COUNTIF(ParicipationJuillet1[[#This Row],[1]:[31]],Code5)</f>
        <v>0</v>
      </c>
      <c r="AN117" s="473">
        <f>COUNTIF(ParicipationJuillet1[[#This Row],[1]:[31]],Code23)</f>
        <v>0</v>
      </c>
      <c r="AO117" s="473">
        <f>COUNTIF(ParicipationJuillet1[[#This Row],[1]:[31]],Code6)</f>
        <v>0</v>
      </c>
      <c r="AP117" s="473">
        <f>COUNTIF(ParicipationJuillet1[[#This Row],[1]:[31]],Code7)</f>
        <v>0</v>
      </c>
      <c r="AQ117" s="473">
        <f>COUNTIF(ParicipationJuillet1[[#This Row],[1]:[31]],Code8)</f>
        <v>0</v>
      </c>
      <c r="AR117" s="473">
        <f>COUNTIF(ParicipationJuillet1[[#This Row],[1]:[31]],Code9)</f>
        <v>0</v>
      </c>
      <c r="AS117" s="473">
        <f>COUNTIF(ParicipationJuillet1[[#This Row],[1]:[31]],Code10)</f>
        <v>0</v>
      </c>
      <c r="AT117" s="473">
        <f>COUNTIF(ParicipationJuillet1[[#This Row],[1]:[31]],Code11)</f>
        <v>0</v>
      </c>
      <c r="AU117" s="473">
        <f>COUNTIF(ParicipationJuillet1[[#This Row],[1]:[31]],Code12)</f>
        <v>0</v>
      </c>
      <c r="AV117" s="473">
        <f>COUNTIF(ParicipationJuillet1[[#This Row],[1]:[31]],Code13)</f>
        <v>0</v>
      </c>
      <c r="AW117" s="473">
        <f>COUNTIF(ParicipationJuillet1[[#This Row],[1]:[31]],Code14)</f>
        <v>0</v>
      </c>
      <c r="AX117" s="473">
        <f>COUNTIF(ParicipationJuillet1[[#This Row],[1]:[31]],Code15)</f>
        <v>0</v>
      </c>
      <c r="AY117" s="473">
        <f>COUNTIF(ParicipationJuillet1[[#This Row],[1]:[31]],Code16)</f>
        <v>0</v>
      </c>
      <c r="AZ117" s="473">
        <f>COUNTIF(ParicipationJuillet1[[#This Row],[1]:[31]],Code17)</f>
        <v>0</v>
      </c>
      <c r="BA117" s="473">
        <f>COUNTIF(ParicipationJuillet1[[#This Row],[1]:[31]],Code25)</f>
        <v>0</v>
      </c>
      <c r="BB117" s="473">
        <f>COUNTIF(ParicipationJuillet1[[#This Row],[1]:[31]],Code26)</f>
        <v>0</v>
      </c>
      <c r="BC117" s="473">
        <f>COUNTIF(ParicipationJuillet1[[#This Row],[1]:[31]],Code27)</f>
        <v>0</v>
      </c>
      <c r="BD117" s="473">
        <f>COUNTIF(ParicipationJuillet1[[#This Row],[1]:[31]],Code28)</f>
        <v>0</v>
      </c>
      <c r="BE117" s="473">
        <f>COUNTIF(ParicipationJuillet1[[#This Row],[1]:[31]],code30)</f>
        <v>0</v>
      </c>
      <c r="BF117" s="473">
        <f>COUNTIF(ParicipationJuillet1[[#This Row],[1]:[31]],Code31)</f>
        <v>0</v>
      </c>
      <c r="BG117" s="473">
        <f>COUNTIF(ParicipationJuillet1[[#This Row],[1]:[31]],code21)</f>
        <v>0</v>
      </c>
      <c r="BH117" s="473">
        <f>COUNTIF(ParicipationJuillet1[[#This Row],[1]:[31]],Code24)</f>
        <v>0</v>
      </c>
      <c r="BI117" s="473">
        <f>COUNTIF(ParicipationJuillet1[[#This Row],[1]:[31]],code18)</f>
        <v>0</v>
      </c>
      <c r="BJ117" s="473">
        <f>COUNTIF(ParicipationJuillet1[[#This Row],[1]:[31]],code19)</f>
        <v>0</v>
      </c>
      <c r="BK117" s="473">
        <f>COUNTIF(ParicipationJuillet1[[#This Row],[1]:[31]],code20)</f>
        <v>0</v>
      </c>
      <c r="BL117" s="516">
        <f>COUNTIF(ParicipationJuillet1[[#This Row],[1]:[31]],code29)</f>
        <v>0</v>
      </c>
      <c r="BM117" s="473"/>
      <c r="BN117" s="473"/>
      <c r="BO117" s="473"/>
      <c r="BP117" s="473"/>
      <c r="BQ117" s="473"/>
      <c r="BR117" s="473"/>
      <c r="BS117" s="473"/>
      <c r="BT117" s="473"/>
      <c r="BU117" s="473"/>
      <c r="BV117" s="473"/>
      <c r="BW117" s="473"/>
      <c r="BX117" s="473"/>
      <c r="BY117" s="473"/>
      <c r="BZ117" s="473"/>
      <c r="CA117" s="473"/>
      <c r="CB117" s="473"/>
      <c r="CC117" s="473"/>
      <c r="CD117" s="473"/>
      <c r="CE117" s="473"/>
      <c r="CF117" s="473"/>
      <c r="CG117" s="473"/>
      <c r="CH117" s="473"/>
      <c r="CI117" s="473"/>
      <c r="CJ117" s="473"/>
      <c r="CK117" s="473"/>
      <c r="CL117" s="473"/>
      <c r="CM117" s="473"/>
      <c r="CN117" s="473"/>
      <c r="CO117" s="473"/>
      <c r="CP117" s="473"/>
      <c r="CQ117" s="473"/>
      <c r="CR117" s="473"/>
      <c r="CS117" s="473"/>
      <c r="CT117" s="473"/>
      <c r="CU117" s="516"/>
      <c r="CV117" s="501">
        <f t="shared" si="4"/>
        <v>0</v>
      </c>
      <c r="CW117" s="501">
        <f t="shared" si="5"/>
        <v>0</v>
      </c>
      <c r="CX117" s="473">
        <f t="shared" si="6"/>
        <v>0</v>
      </c>
      <c r="CY117" s="512">
        <f t="shared" si="7"/>
        <v>0</v>
      </c>
    </row>
    <row r="118" spans="1:103">
      <c r="A118" s="112" t="s">
        <v>459</v>
      </c>
      <c r="B118" s="162" t="str">
        <f>IFERROR(VLOOKUP(ParicipationJuillet1[[#This Row],[Référence]],ListeÉtudiants1[],18,FALSE),"")</f>
        <v>RODRIGUES AFONSO CHARLOTTE</v>
      </c>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640"/>
      <c r="AH118" s="202">
        <f>COUNTIF(ParicipationJuillet1[[#This Row],[1]:[31]],Code1)</f>
        <v>0</v>
      </c>
      <c r="AI118" s="475">
        <f>COUNTIF(ParicipationJuillet1[[#This Row],[1]:[31]],code22)</f>
        <v>0</v>
      </c>
      <c r="AJ118" s="202">
        <f>COUNTIF(ParicipationJuillet1[[#This Row],[1]:[31]],Code2)</f>
        <v>0</v>
      </c>
      <c r="AK118" s="202">
        <f>COUNTIF(ParicipationJuillet1[[#This Row],[1]:[31]],Code3)</f>
        <v>0</v>
      </c>
      <c r="AL118" s="202">
        <f>COUNTIF(ParicipationJuillet1[[#This Row],[1]:[31]],Code4)</f>
        <v>0</v>
      </c>
      <c r="AM118" s="473">
        <f>COUNTIF(ParicipationJuillet1[[#This Row],[1]:[31]],Code5)</f>
        <v>0</v>
      </c>
      <c r="AN118" s="473">
        <f>COUNTIF(ParicipationJuillet1[[#This Row],[1]:[31]],Code23)</f>
        <v>0</v>
      </c>
      <c r="AO118" s="473">
        <f>COUNTIF(ParicipationJuillet1[[#This Row],[1]:[31]],Code6)</f>
        <v>0</v>
      </c>
      <c r="AP118" s="473">
        <f>COUNTIF(ParicipationJuillet1[[#This Row],[1]:[31]],Code7)</f>
        <v>0</v>
      </c>
      <c r="AQ118" s="473">
        <f>COUNTIF(ParicipationJuillet1[[#This Row],[1]:[31]],Code8)</f>
        <v>0</v>
      </c>
      <c r="AR118" s="473">
        <f>COUNTIF(ParicipationJuillet1[[#This Row],[1]:[31]],Code9)</f>
        <v>0</v>
      </c>
      <c r="AS118" s="473">
        <f>COUNTIF(ParicipationJuillet1[[#This Row],[1]:[31]],Code10)</f>
        <v>0</v>
      </c>
      <c r="AT118" s="473">
        <f>COUNTIF(ParicipationJuillet1[[#This Row],[1]:[31]],Code11)</f>
        <v>0</v>
      </c>
      <c r="AU118" s="473">
        <f>COUNTIF(ParicipationJuillet1[[#This Row],[1]:[31]],Code12)</f>
        <v>0</v>
      </c>
      <c r="AV118" s="473">
        <f>COUNTIF(ParicipationJuillet1[[#This Row],[1]:[31]],Code13)</f>
        <v>0</v>
      </c>
      <c r="AW118" s="473">
        <f>COUNTIF(ParicipationJuillet1[[#This Row],[1]:[31]],Code14)</f>
        <v>0</v>
      </c>
      <c r="AX118" s="473">
        <f>COUNTIF(ParicipationJuillet1[[#This Row],[1]:[31]],Code15)</f>
        <v>0</v>
      </c>
      <c r="AY118" s="473">
        <f>COUNTIF(ParicipationJuillet1[[#This Row],[1]:[31]],Code16)</f>
        <v>0</v>
      </c>
      <c r="AZ118" s="473">
        <f>COUNTIF(ParicipationJuillet1[[#This Row],[1]:[31]],Code17)</f>
        <v>0</v>
      </c>
      <c r="BA118" s="473">
        <f>COUNTIF(ParicipationJuillet1[[#This Row],[1]:[31]],Code25)</f>
        <v>0</v>
      </c>
      <c r="BB118" s="473">
        <f>COUNTIF(ParicipationJuillet1[[#This Row],[1]:[31]],Code26)</f>
        <v>0</v>
      </c>
      <c r="BC118" s="473">
        <f>COUNTIF(ParicipationJuillet1[[#This Row],[1]:[31]],Code27)</f>
        <v>0</v>
      </c>
      <c r="BD118" s="473">
        <f>COUNTIF(ParicipationJuillet1[[#This Row],[1]:[31]],Code28)</f>
        <v>0</v>
      </c>
      <c r="BE118" s="473">
        <f>COUNTIF(ParicipationJuillet1[[#This Row],[1]:[31]],code30)</f>
        <v>0</v>
      </c>
      <c r="BF118" s="473">
        <f>COUNTIF(ParicipationJuillet1[[#This Row],[1]:[31]],Code31)</f>
        <v>0</v>
      </c>
      <c r="BG118" s="473">
        <f>COUNTIF(ParicipationJuillet1[[#This Row],[1]:[31]],code21)</f>
        <v>0</v>
      </c>
      <c r="BH118" s="473">
        <f>COUNTIF(ParicipationJuillet1[[#This Row],[1]:[31]],Code24)</f>
        <v>0</v>
      </c>
      <c r="BI118" s="473">
        <f>COUNTIF(ParicipationJuillet1[[#This Row],[1]:[31]],code18)</f>
        <v>0</v>
      </c>
      <c r="BJ118" s="473">
        <f>COUNTIF(ParicipationJuillet1[[#This Row],[1]:[31]],code19)</f>
        <v>0</v>
      </c>
      <c r="BK118" s="473">
        <f>COUNTIF(ParicipationJuillet1[[#This Row],[1]:[31]],code20)</f>
        <v>0</v>
      </c>
      <c r="BL118" s="516">
        <f>COUNTIF(ParicipationJuillet1[[#This Row],[1]:[31]],code29)</f>
        <v>0</v>
      </c>
      <c r="BM118" s="473"/>
      <c r="BN118" s="473"/>
      <c r="BO118" s="473"/>
      <c r="BP118" s="473"/>
      <c r="BQ118" s="473"/>
      <c r="BR118" s="473"/>
      <c r="BS118" s="473"/>
      <c r="BT118" s="473"/>
      <c r="BU118" s="473"/>
      <c r="BV118" s="473"/>
      <c r="BW118" s="473"/>
      <c r="BX118" s="473"/>
      <c r="BY118" s="473"/>
      <c r="BZ118" s="473"/>
      <c r="CA118" s="473"/>
      <c r="CB118" s="473"/>
      <c r="CC118" s="473"/>
      <c r="CD118" s="473"/>
      <c r="CE118" s="473"/>
      <c r="CF118" s="473"/>
      <c r="CG118" s="473"/>
      <c r="CH118" s="473"/>
      <c r="CI118" s="473"/>
      <c r="CJ118" s="473"/>
      <c r="CK118" s="473"/>
      <c r="CL118" s="473"/>
      <c r="CM118" s="473"/>
      <c r="CN118" s="473"/>
      <c r="CO118" s="473"/>
      <c r="CP118" s="473"/>
      <c r="CQ118" s="473"/>
      <c r="CR118" s="473"/>
      <c r="CS118" s="473"/>
      <c r="CT118" s="473"/>
      <c r="CU118" s="516"/>
      <c r="CV118" s="501">
        <f t="shared" si="4"/>
        <v>0</v>
      </c>
      <c r="CW118" s="501">
        <f t="shared" si="5"/>
        <v>0</v>
      </c>
      <c r="CX118" s="473">
        <f t="shared" si="6"/>
        <v>0</v>
      </c>
      <c r="CY118" s="512">
        <f t="shared" si="7"/>
        <v>0</v>
      </c>
    </row>
    <row r="119" spans="1:103">
      <c r="A119" s="112" t="s">
        <v>460</v>
      </c>
      <c r="B119" s="162" t="str">
        <f>IFERROR(VLOOKUP(ParicipationJuillet1[[#This Row],[Référence]],ListeÉtudiants1[],18,FALSE),"")</f>
        <v>SARAOUI KATIA</v>
      </c>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640"/>
      <c r="AH119" s="202">
        <f>COUNTIF(ParicipationJuillet1[[#This Row],[1]:[31]],Code1)</f>
        <v>0</v>
      </c>
      <c r="AI119" s="475">
        <f>COUNTIF(ParicipationJuillet1[[#This Row],[1]:[31]],code22)</f>
        <v>0</v>
      </c>
      <c r="AJ119" s="202">
        <f>COUNTIF(ParicipationJuillet1[[#This Row],[1]:[31]],Code2)</f>
        <v>0</v>
      </c>
      <c r="AK119" s="202">
        <f>COUNTIF(ParicipationJuillet1[[#This Row],[1]:[31]],Code3)</f>
        <v>0</v>
      </c>
      <c r="AL119" s="202">
        <f>COUNTIF(ParicipationJuillet1[[#This Row],[1]:[31]],Code4)</f>
        <v>0</v>
      </c>
      <c r="AM119" s="473">
        <f>COUNTIF(ParicipationJuillet1[[#This Row],[1]:[31]],Code5)</f>
        <v>0</v>
      </c>
      <c r="AN119" s="473">
        <f>COUNTIF(ParicipationJuillet1[[#This Row],[1]:[31]],Code23)</f>
        <v>0</v>
      </c>
      <c r="AO119" s="473">
        <f>COUNTIF(ParicipationJuillet1[[#This Row],[1]:[31]],Code6)</f>
        <v>0</v>
      </c>
      <c r="AP119" s="473">
        <f>COUNTIF(ParicipationJuillet1[[#This Row],[1]:[31]],Code7)</f>
        <v>0</v>
      </c>
      <c r="AQ119" s="473">
        <f>COUNTIF(ParicipationJuillet1[[#This Row],[1]:[31]],Code8)</f>
        <v>0</v>
      </c>
      <c r="AR119" s="473">
        <f>COUNTIF(ParicipationJuillet1[[#This Row],[1]:[31]],Code9)</f>
        <v>0</v>
      </c>
      <c r="AS119" s="473">
        <f>COUNTIF(ParicipationJuillet1[[#This Row],[1]:[31]],Code10)</f>
        <v>0</v>
      </c>
      <c r="AT119" s="473">
        <f>COUNTIF(ParicipationJuillet1[[#This Row],[1]:[31]],Code11)</f>
        <v>0</v>
      </c>
      <c r="AU119" s="473">
        <f>COUNTIF(ParicipationJuillet1[[#This Row],[1]:[31]],Code12)</f>
        <v>0</v>
      </c>
      <c r="AV119" s="473">
        <f>COUNTIF(ParicipationJuillet1[[#This Row],[1]:[31]],Code13)</f>
        <v>0</v>
      </c>
      <c r="AW119" s="473">
        <f>COUNTIF(ParicipationJuillet1[[#This Row],[1]:[31]],Code14)</f>
        <v>0</v>
      </c>
      <c r="AX119" s="473">
        <f>COUNTIF(ParicipationJuillet1[[#This Row],[1]:[31]],Code15)</f>
        <v>0</v>
      </c>
      <c r="AY119" s="473">
        <f>COUNTIF(ParicipationJuillet1[[#This Row],[1]:[31]],Code16)</f>
        <v>0</v>
      </c>
      <c r="AZ119" s="473">
        <f>COUNTIF(ParicipationJuillet1[[#This Row],[1]:[31]],Code17)</f>
        <v>0</v>
      </c>
      <c r="BA119" s="473">
        <f>COUNTIF(ParicipationJuillet1[[#This Row],[1]:[31]],Code25)</f>
        <v>0</v>
      </c>
      <c r="BB119" s="473">
        <f>COUNTIF(ParicipationJuillet1[[#This Row],[1]:[31]],Code26)</f>
        <v>0</v>
      </c>
      <c r="BC119" s="473">
        <f>COUNTIF(ParicipationJuillet1[[#This Row],[1]:[31]],Code27)</f>
        <v>0</v>
      </c>
      <c r="BD119" s="473">
        <f>COUNTIF(ParicipationJuillet1[[#This Row],[1]:[31]],Code28)</f>
        <v>0</v>
      </c>
      <c r="BE119" s="473">
        <f>COUNTIF(ParicipationJuillet1[[#This Row],[1]:[31]],code30)</f>
        <v>0</v>
      </c>
      <c r="BF119" s="473">
        <f>COUNTIF(ParicipationJuillet1[[#This Row],[1]:[31]],Code31)</f>
        <v>0</v>
      </c>
      <c r="BG119" s="473">
        <f>COUNTIF(ParicipationJuillet1[[#This Row],[1]:[31]],code21)</f>
        <v>0</v>
      </c>
      <c r="BH119" s="473">
        <f>COUNTIF(ParicipationJuillet1[[#This Row],[1]:[31]],Code24)</f>
        <v>0</v>
      </c>
      <c r="BI119" s="473">
        <f>COUNTIF(ParicipationJuillet1[[#This Row],[1]:[31]],code18)</f>
        <v>0</v>
      </c>
      <c r="BJ119" s="473">
        <f>COUNTIF(ParicipationJuillet1[[#This Row],[1]:[31]],code19)</f>
        <v>0</v>
      </c>
      <c r="BK119" s="473">
        <f>COUNTIF(ParicipationJuillet1[[#This Row],[1]:[31]],code20)</f>
        <v>0</v>
      </c>
      <c r="BL119" s="516">
        <f>COUNTIF(ParicipationJuillet1[[#This Row],[1]:[31]],code29)</f>
        <v>0</v>
      </c>
      <c r="BM119" s="473"/>
      <c r="BN119" s="473"/>
      <c r="BO119" s="473"/>
      <c r="BP119" s="473"/>
      <c r="BQ119" s="473"/>
      <c r="BR119" s="473"/>
      <c r="BS119" s="473"/>
      <c r="BT119" s="473"/>
      <c r="BU119" s="473"/>
      <c r="BV119" s="473"/>
      <c r="BW119" s="473"/>
      <c r="BX119" s="473"/>
      <c r="BY119" s="473"/>
      <c r="BZ119" s="473"/>
      <c r="CA119" s="473"/>
      <c r="CB119" s="473"/>
      <c r="CC119" s="473"/>
      <c r="CD119" s="473"/>
      <c r="CE119" s="473"/>
      <c r="CF119" s="473"/>
      <c r="CG119" s="473"/>
      <c r="CH119" s="473"/>
      <c r="CI119" s="473"/>
      <c r="CJ119" s="473"/>
      <c r="CK119" s="473"/>
      <c r="CL119" s="473"/>
      <c r="CM119" s="473"/>
      <c r="CN119" s="473"/>
      <c r="CO119" s="473"/>
      <c r="CP119" s="473"/>
      <c r="CQ119" s="473"/>
      <c r="CR119" s="473"/>
      <c r="CS119" s="473"/>
      <c r="CT119" s="473"/>
      <c r="CU119" s="516"/>
      <c r="CV119" s="501">
        <f t="shared" si="4"/>
        <v>0</v>
      </c>
      <c r="CW119" s="501">
        <f t="shared" si="5"/>
        <v>0</v>
      </c>
      <c r="CX119" s="473">
        <f t="shared" si="6"/>
        <v>0</v>
      </c>
      <c r="CY119" s="512">
        <f t="shared" si="7"/>
        <v>0</v>
      </c>
    </row>
    <row r="120" spans="1:103">
      <c r="A120" s="112" t="s">
        <v>461</v>
      </c>
      <c r="B120" s="162" t="str">
        <f>IFERROR(VLOOKUP(ParicipationJuillet1[[#This Row],[Référence]],ListeÉtudiants1[],18,FALSE),"")</f>
        <v>SAUBER SEBASTIEN</v>
      </c>
      <c r="C120" s="202"/>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640"/>
      <c r="AH120" s="202">
        <f>COUNTIF(ParicipationJuillet1[[#This Row],[1]:[31]],Code1)</f>
        <v>0</v>
      </c>
      <c r="AI120" s="475">
        <f>COUNTIF(ParicipationJuillet1[[#This Row],[1]:[31]],code22)</f>
        <v>0</v>
      </c>
      <c r="AJ120" s="202">
        <f>COUNTIF(ParicipationJuillet1[[#This Row],[1]:[31]],Code2)</f>
        <v>0</v>
      </c>
      <c r="AK120" s="202">
        <f>COUNTIF(ParicipationJuillet1[[#This Row],[1]:[31]],Code3)</f>
        <v>0</v>
      </c>
      <c r="AL120" s="202">
        <f>COUNTIF(ParicipationJuillet1[[#This Row],[1]:[31]],Code4)</f>
        <v>0</v>
      </c>
      <c r="AM120" s="473">
        <f>COUNTIF(ParicipationJuillet1[[#This Row],[1]:[31]],Code5)</f>
        <v>0</v>
      </c>
      <c r="AN120" s="473">
        <f>COUNTIF(ParicipationJuillet1[[#This Row],[1]:[31]],Code23)</f>
        <v>0</v>
      </c>
      <c r="AO120" s="473">
        <f>COUNTIF(ParicipationJuillet1[[#This Row],[1]:[31]],Code6)</f>
        <v>0</v>
      </c>
      <c r="AP120" s="473">
        <f>COUNTIF(ParicipationJuillet1[[#This Row],[1]:[31]],Code7)</f>
        <v>0</v>
      </c>
      <c r="AQ120" s="473">
        <f>COUNTIF(ParicipationJuillet1[[#This Row],[1]:[31]],Code8)</f>
        <v>0</v>
      </c>
      <c r="AR120" s="473">
        <f>COUNTIF(ParicipationJuillet1[[#This Row],[1]:[31]],Code9)</f>
        <v>0</v>
      </c>
      <c r="AS120" s="473">
        <f>COUNTIF(ParicipationJuillet1[[#This Row],[1]:[31]],Code10)</f>
        <v>0</v>
      </c>
      <c r="AT120" s="473">
        <f>COUNTIF(ParicipationJuillet1[[#This Row],[1]:[31]],Code11)</f>
        <v>0</v>
      </c>
      <c r="AU120" s="473">
        <f>COUNTIF(ParicipationJuillet1[[#This Row],[1]:[31]],Code12)</f>
        <v>0</v>
      </c>
      <c r="AV120" s="473">
        <f>COUNTIF(ParicipationJuillet1[[#This Row],[1]:[31]],Code13)</f>
        <v>0</v>
      </c>
      <c r="AW120" s="473">
        <f>COUNTIF(ParicipationJuillet1[[#This Row],[1]:[31]],Code14)</f>
        <v>0</v>
      </c>
      <c r="AX120" s="473">
        <f>COUNTIF(ParicipationJuillet1[[#This Row],[1]:[31]],Code15)</f>
        <v>0</v>
      </c>
      <c r="AY120" s="473">
        <f>COUNTIF(ParicipationJuillet1[[#This Row],[1]:[31]],Code16)</f>
        <v>0</v>
      </c>
      <c r="AZ120" s="473">
        <f>COUNTIF(ParicipationJuillet1[[#This Row],[1]:[31]],Code17)</f>
        <v>0</v>
      </c>
      <c r="BA120" s="473">
        <f>COUNTIF(ParicipationJuillet1[[#This Row],[1]:[31]],Code25)</f>
        <v>0</v>
      </c>
      <c r="BB120" s="473">
        <f>COUNTIF(ParicipationJuillet1[[#This Row],[1]:[31]],Code26)</f>
        <v>0</v>
      </c>
      <c r="BC120" s="473">
        <f>COUNTIF(ParicipationJuillet1[[#This Row],[1]:[31]],Code27)</f>
        <v>0</v>
      </c>
      <c r="BD120" s="473">
        <f>COUNTIF(ParicipationJuillet1[[#This Row],[1]:[31]],Code28)</f>
        <v>0</v>
      </c>
      <c r="BE120" s="473">
        <f>COUNTIF(ParicipationJuillet1[[#This Row],[1]:[31]],code30)</f>
        <v>0</v>
      </c>
      <c r="BF120" s="473">
        <f>COUNTIF(ParicipationJuillet1[[#This Row],[1]:[31]],Code31)</f>
        <v>0</v>
      </c>
      <c r="BG120" s="473">
        <f>COUNTIF(ParicipationJuillet1[[#This Row],[1]:[31]],code21)</f>
        <v>0</v>
      </c>
      <c r="BH120" s="473">
        <f>COUNTIF(ParicipationJuillet1[[#This Row],[1]:[31]],Code24)</f>
        <v>0</v>
      </c>
      <c r="BI120" s="473">
        <f>COUNTIF(ParicipationJuillet1[[#This Row],[1]:[31]],code18)</f>
        <v>0</v>
      </c>
      <c r="BJ120" s="473">
        <f>COUNTIF(ParicipationJuillet1[[#This Row],[1]:[31]],code19)</f>
        <v>0</v>
      </c>
      <c r="BK120" s="473">
        <f>COUNTIF(ParicipationJuillet1[[#This Row],[1]:[31]],code20)</f>
        <v>0</v>
      </c>
      <c r="BL120" s="516">
        <f>COUNTIF(ParicipationJuillet1[[#This Row],[1]:[31]],code29)</f>
        <v>0</v>
      </c>
      <c r="BM120" s="473"/>
      <c r="BN120" s="473"/>
      <c r="BO120" s="473"/>
      <c r="BP120" s="473"/>
      <c r="BQ120" s="473"/>
      <c r="BR120" s="473"/>
      <c r="BS120" s="473"/>
      <c r="BT120" s="473"/>
      <c r="BU120" s="473"/>
      <c r="BV120" s="473"/>
      <c r="BW120" s="473"/>
      <c r="BX120" s="473"/>
      <c r="BY120" s="473"/>
      <c r="BZ120" s="473"/>
      <c r="CA120" s="473"/>
      <c r="CB120" s="473"/>
      <c r="CC120" s="473"/>
      <c r="CD120" s="473"/>
      <c r="CE120" s="473"/>
      <c r="CF120" s="473"/>
      <c r="CG120" s="473"/>
      <c r="CH120" s="473"/>
      <c r="CI120" s="473"/>
      <c r="CJ120" s="473"/>
      <c r="CK120" s="473"/>
      <c r="CL120" s="473"/>
      <c r="CM120" s="473"/>
      <c r="CN120" s="473"/>
      <c r="CO120" s="473"/>
      <c r="CP120" s="473"/>
      <c r="CQ120" s="473"/>
      <c r="CR120" s="473"/>
      <c r="CS120" s="473"/>
      <c r="CT120" s="473"/>
      <c r="CU120" s="516"/>
      <c r="CV120" s="501">
        <f t="shared" si="4"/>
        <v>0</v>
      </c>
      <c r="CW120" s="501">
        <f t="shared" si="5"/>
        <v>0</v>
      </c>
      <c r="CX120" s="473">
        <f t="shared" si="6"/>
        <v>0</v>
      </c>
      <c r="CY120" s="512">
        <f t="shared" si="7"/>
        <v>0</v>
      </c>
    </row>
    <row r="121" spans="1:103">
      <c r="A121" s="112" t="s">
        <v>462</v>
      </c>
      <c r="B121" s="162" t="str">
        <f>IFERROR(VLOOKUP(ParicipationJuillet1[[#This Row],[Référence]],ListeÉtudiants1[],18,FALSE),"")</f>
        <v>SCHUTZ LAURA</v>
      </c>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640"/>
      <c r="AH121" s="202">
        <f>COUNTIF(ParicipationJuillet1[[#This Row],[1]:[31]],Code1)</f>
        <v>0</v>
      </c>
      <c r="AI121" s="475">
        <f>COUNTIF(ParicipationJuillet1[[#This Row],[1]:[31]],code22)</f>
        <v>0</v>
      </c>
      <c r="AJ121" s="202">
        <f>COUNTIF(ParicipationJuillet1[[#This Row],[1]:[31]],Code2)</f>
        <v>0</v>
      </c>
      <c r="AK121" s="202">
        <f>COUNTIF(ParicipationJuillet1[[#This Row],[1]:[31]],Code3)</f>
        <v>0</v>
      </c>
      <c r="AL121" s="202">
        <f>COUNTIF(ParicipationJuillet1[[#This Row],[1]:[31]],Code4)</f>
        <v>0</v>
      </c>
      <c r="AM121" s="473">
        <f>COUNTIF(ParicipationJuillet1[[#This Row],[1]:[31]],Code5)</f>
        <v>0</v>
      </c>
      <c r="AN121" s="473">
        <f>COUNTIF(ParicipationJuillet1[[#This Row],[1]:[31]],Code23)</f>
        <v>0</v>
      </c>
      <c r="AO121" s="473">
        <f>COUNTIF(ParicipationJuillet1[[#This Row],[1]:[31]],Code6)</f>
        <v>0</v>
      </c>
      <c r="AP121" s="473">
        <f>COUNTIF(ParicipationJuillet1[[#This Row],[1]:[31]],Code7)</f>
        <v>0</v>
      </c>
      <c r="AQ121" s="473">
        <f>COUNTIF(ParicipationJuillet1[[#This Row],[1]:[31]],Code8)</f>
        <v>0</v>
      </c>
      <c r="AR121" s="473">
        <f>COUNTIF(ParicipationJuillet1[[#This Row],[1]:[31]],Code9)</f>
        <v>0</v>
      </c>
      <c r="AS121" s="473">
        <f>COUNTIF(ParicipationJuillet1[[#This Row],[1]:[31]],Code10)</f>
        <v>0</v>
      </c>
      <c r="AT121" s="473">
        <f>COUNTIF(ParicipationJuillet1[[#This Row],[1]:[31]],Code11)</f>
        <v>0</v>
      </c>
      <c r="AU121" s="473">
        <f>COUNTIF(ParicipationJuillet1[[#This Row],[1]:[31]],Code12)</f>
        <v>0</v>
      </c>
      <c r="AV121" s="473">
        <f>COUNTIF(ParicipationJuillet1[[#This Row],[1]:[31]],Code13)</f>
        <v>0</v>
      </c>
      <c r="AW121" s="473">
        <f>COUNTIF(ParicipationJuillet1[[#This Row],[1]:[31]],Code14)</f>
        <v>0</v>
      </c>
      <c r="AX121" s="473">
        <f>COUNTIF(ParicipationJuillet1[[#This Row],[1]:[31]],Code15)</f>
        <v>0</v>
      </c>
      <c r="AY121" s="473">
        <f>COUNTIF(ParicipationJuillet1[[#This Row],[1]:[31]],Code16)</f>
        <v>0</v>
      </c>
      <c r="AZ121" s="473">
        <f>COUNTIF(ParicipationJuillet1[[#This Row],[1]:[31]],Code17)</f>
        <v>0</v>
      </c>
      <c r="BA121" s="473">
        <f>COUNTIF(ParicipationJuillet1[[#This Row],[1]:[31]],Code25)</f>
        <v>0</v>
      </c>
      <c r="BB121" s="473">
        <f>COUNTIF(ParicipationJuillet1[[#This Row],[1]:[31]],Code26)</f>
        <v>0</v>
      </c>
      <c r="BC121" s="473">
        <f>COUNTIF(ParicipationJuillet1[[#This Row],[1]:[31]],Code27)</f>
        <v>0</v>
      </c>
      <c r="BD121" s="473">
        <f>COUNTIF(ParicipationJuillet1[[#This Row],[1]:[31]],Code28)</f>
        <v>0</v>
      </c>
      <c r="BE121" s="473">
        <f>COUNTIF(ParicipationJuillet1[[#This Row],[1]:[31]],code30)</f>
        <v>0</v>
      </c>
      <c r="BF121" s="473">
        <f>COUNTIF(ParicipationJuillet1[[#This Row],[1]:[31]],Code31)</f>
        <v>0</v>
      </c>
      <c r="BG121" s="473">
        <f>COUNTIF(ParicipationJuillet1[[#This Row],[1]:[31]],code21)</f>
        <v>0</v>
      </c>
      <c r="BH121" s="473">
        <f>COUNTIF(ParicipationJuillet1[[#This Row],[1]:[31]],Code24)</f>
        <v>0</v>
      </c>
      <c r="BI121" s="473">
        <f>COUNTIF(ParicipationJuillet1[[#This Row],[1]:[31]],code18)</f>
        <v>0</v>
      </c>
      <c r="BJ121" s="473">
        <f>COUNTIF(ParicipationJuillet1[[#This Row],[1]:[31]],code19)</f>
        <v>0</v>
      </c>
      <c r="BK121" s="473">
        <f>COUNTIF(ParicipationJuillet1[[#This Row],[1]:[31]],code20)</f>
        <v>0</v>
      </c>
      <c r="BL121" s="516">
        <f>COUNTIF(ParicipationJuillet1[[#This Row],[1]:[31]],code29)</f>
        <v>0</v>
      </c>
      <c r="BM121" s="473"/>
      <c r="BN121" s="473"/>
      <c r="BO121" s="473"/>
      <c r="BP121" s="473"/>
      <c r="BQ121" s="473"/>
      <c r="BR121" s="473"/>
      <c r="BS121" s="473"/>
      <c r="BT121" s="473"/>
      <c r="BU121" s="473"/>
      <c r="BV121" s="473"/>
      <c r="BW121" s="473"/>
      <c r="BX121" s="473"/>
      <c r="BY121" s="473"/>
      <c r="BZ121" s="473"/>
      <c r="CA121" s="473"/>
      <c r="CB121" s="473"/>
      <c r="CC121" s="473"/>
      <c r="CD121" s="473"/>
      <c r="CE121" s="473"/>
      <c r="CF121" s="473"/>
      <c r="CG121" s="473"/>
      <c r="CH121" s="473"/>
      <c r="CI121" s="473"/>
      <c r="CJ121" s="473"/>
      <c r="CK121" s="473"/>
      <c r="CL121" s="473"/>
      <c r="CM121" s="473"/>
      <c r="CN121" s="473"/>
      <c r="CO121" s="473"/>
      <c r="CP121" s="473"/>
      <c r="CQ121" s="473"/>
      <c r="CR121" s="473"/>
      <c r="CS121" s="473"/>
      <c r="CT121" s="473"/>
      <c r="CU121" s="516"/>
      <c r="CV121" s="501">
        <f t="shared" si="4"/>
        <v>0</v>
      </c>
      <c r="CW121" s="501">
        <f t="shared" si="5"/>
        <v>0</v>
      </c>
      <c r="CX121" s="473">
        <f t="shared" si="6"/>
        <v>0</v>
      </c>
      <c r="CY121" s="512">
        <f t="shared" si="7"/>
        <v>0</v>
      </c>
    </row>
    <row r="122" spans="1:103">
      <c r="A122" s="112" t="s">
        <v>463</v>
      </c>
      <c r="B122" s="162" t="str">
        <f>IFERROR(VLOOKUP(ParicipationJuillet1[[#This Row],[Référence]],ListeÉtudiants1[],18,FALSE),"")</f>
        <v>SEHIMI  INES</v>
      </c>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640"/>
      <c r="AH122" s="202">
        <f>COUNTIF(ParicipationJuillet1[[#This Row],[1]:[31]],Code1)</f>
        <v>0</v>
      </c>
      <c r="AI122" s="475">
        <f>COUNTIF(ParicipationJuillet1[[#This Row],[1]:[31]],code22)</f>
        <v>0</v>
      </c>
      <c r="AJ122" s="202">
        <f>COUNTIF(ParicipationJuillet1[[#This Row],[1]:[31]],Code2)</f>
        <v>0</v>
      </c>
      <c r="AK122" s="202">
        <f>COUNTIF(ParicipationJuillet1[[#This Row],[1]:[31]],Code3)</f>
        <v>0</v>
      </c>
      <c r="AL122" s="202">
        <f>COUNTIF(ParicipationJuillet1[[#This Row],[1]:[31]],Code4)</f>
        <v>0</v>
      </c>
      <c r="AM122" s="473">
        <f>COUNTIF(ParicipationJuillet1[[#This Row],[1]:[31]],Code5)</f>
        <v>0</v>
      </c>
      <c r="AN122" s="473">
        <f>COUNTIF(ParicipationJuillet1[[#This Row],[1]:[31]],Code23)</f>
        <v>0</v>
      </c>
      <c r="AO122" s="473">
        <f>COUNTIF(ParicipationJuillet1[[#This Row],[1]:[31]],Code6)</f>
        <v>0</v>
      </c>
      <c r="AP122" s="473">
        <f>COUNTIF(ParicipationJuillet1[[#This Row],[1]:[31]],Code7)</f>
        <v>0</v>
      </c>
      <c r="AQ122" s="473">
        <f>COUNTIF(ParicipationJuillet1[[#This Row],[1]:[31]],Code8)</f>
        <v>0</v>
      </c>
      <c r="AR122" s="473">
        <f>COUNTIF(ParicipationJuillet1[[#This Row],[1]:[31]],Code9)</f>
        <v>0</v>
      </c>
      <c r="AS122" s="473">
        <f>COUNTIF(ParicipationJuillet1[[#This Row],[1]:[31]],Code10)</f>
        <v>0</v>
      </c>
      <c r="AT122" s="473">
        <f>COUNTIF(ParicipationJuillet1[[#This Row],[1]:[31]],Code11)</f>
        <v>0</v>
      </c>
      <c r="AU122" s="473">
        <f>COUNTIF(ParicipationJuillet1[[#This Row],[1]:[31]],Code12)</f>
        <v>0</v>
      </c>
      <c r="AV122" s="473">
        <f>COUNTIF(ParicipationJuillet1[[#This Row],[1]:[31]],Code13)</f>
        <v>0</v>
      </c>
      <c r="AW122" s="473">
        <f>COUNTIF(ParicipationJuillet1[[#This Row],[1]:[31]],Code14)</f>
        <v>0</v>
      </c>
      <c r="AX122" s="473">
        <f>COUNTIF(ParicipationJuillet1[[#This Row],[1]:[31]],Code15)</f>
        <v>0</v>
      </c>
      <c r="AY122" s="473">
        <f>COUNTIF(ParicipationJuillet1[[#This Row],[1]:[31]],Code16)</f>
        <v>0</v>
      </c>
      <c r="AZ122" s="473">
        <f>COUNTIF(ParicipationJuillet1[[#This Row],[1]:[31]],Code17)</f>
        <v>0</v>
      </c>
      <c r="BA122" s="473">
        <f>COUNTIF(ParicipationJuillet1[[#This Row],[1]:[31]],Code25)</f>
        <v>0</v>
      </c>
      <c r="BB122" s="473">
        <f>COUNTIF(ParicipationJuillet1[[#This Row],[1]:[31]],Code26)</f>
        <v>0</v>
      </c>
      <c r="BC122" s="473">
        <f>COUNTIF(ParicipationJuillet1[[#This Row],[1]:[31]],Code27)</f>
        <v>0</v>
      </c>
      <c r="BD122" s="473">
        <f>COUNTIF(ParicipationJuillet1[[#This Row],[1]:[31]],Code28)</f>
        <v>0</v>
      </c>
      <c r="BE122" s="473">
        <f>COUNTIF(ParicipationJuillet1[[#This Row],[1]:[31]],code30)</f>
        <v>0</v>
      </c>
      <c r="BF122" s="473">
        <f>COUNTIF(ParicipationJuillet1[[#This Row],[1]:[31]],Code31)</f>
        <v>0</v>
      </c>
      <c r="BG122" s="473">
        <f>COUNTIF(ParicipationJuillet1[[#This Row],[1]:[31]],code21)</f>
        <v>0</v>
      </c>
      <c r="BH122" s="473">
        <f>COUNTIF(ParicipationJuillet1[[#This Row],[1]:[31]],Code24)</f>
        <v>0</v>
      </c>
      <c r="BI122" s="473">
        <f>COUNTIF(ParicipationJuillet1[[#This Row],[1]:[31]],code18)</f>
        <v>0</v>
      </c>
      <c r="BJ122" s="473">
        <f>COUNTIF(ParicipationJuillet1[[#This Row],[1]:[31]],code19)</f>
        <v>0</v>
      </c>
      <c r="BK122" s="473">
        <f>COUNTIF(ParicipationJuillet1[[#This Row],[1]:[31]],code20)</f>
        <v>0</v>
      </c>
      <c r="BL122" s="516">
        <f>COUNTIF(ParicipationJuillet1[[#This Row],[1]:[31]],code29)</f>
        <v>0</v>
      </c>
      <c r="BM122" s="473"/>
      <c r="BN122" s="473"/>
      <c r="BO122" s="473"/>
      <c r="BP122" s="473"/>
      <c r="BQ122" s="473"/>
      <c r="BR122" s="473"/>
      <c r="BS122" s="473"/>
      <c r="BT122" s="473"/>
      <c r="BU122" s="473"/>
      <c r="BV122" s="473"/>
      <c r="BW122" s="473"/>
      <c r="BX122" s="473"/>
      <c r="BY122" s="473"/>
      <c r="BZ122" s="473"/>
      <c r="CA122" s="473"/>
      <c r="CB122" s="473"/>
      <c r="CC122" s="473"/>
      <c r="CD122" s="473"/>
      <c r="CE122" s="473"/>
      <c r="CF122" s="473"/>
      <c r="CG122" s="473"/>
      <c r="CH122" s="473"/>
      <c r="CI122" s="473"/>
      <c r="CJ122" s="473"/>
      <c r="CK122" s="473"/>
      <c r="CL122" s="473"/>
      <c r="CM122" s="473"/>
      <c r="CN122" s="473"/>
      <c r="CO122" s="473"/>
      <c r="CP122" s="473"/>
      <c r="CQ122" s="473"/>
      <c r="CR122" s="473"/>
      <c r="CS122" s="473"/>
      <c r="CT122" s="473"/>
      <c r="CU122" s="516"/>
      <c r="CV122" s="501">
        <f t="shared" si="4"/>
        <v>0</v>
      </c>
      <c r="CW122" s="501">
        <f t="shared" si="5"/>
        <v>0</v>
      </c>
      <c r="CX122" s="473">
        <f t="shared" si="6"/>
        <v>0</v>
      </c>
      <c r="CY122" s="512">
        <f t="shared" si="7"/>
        <v>0</v>
      </c>
    </row>
    <row r="123" spans="1:103">
      <c r="A123" s="112" t="s">
        <v>464</v>
      </c>
      <c r="B123" s="162" t="str">
        <f>IFERROR(VLOOKUP(ParicipationJuillet1[[#This Row],[Référence]],ListeÉtudiants1[],18,FALSE),"")</f>
        <v>SEINGUERLET CONSTANCE</v>
      </c>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640"/>
      <c r="AH123" s="202">
        <f>COUNTIF(ParicipationJuillet1[[#This Row],[1]:[31]],Code1)</f>
        <v>0</v>
      </c>
      <c r="AI123" s="475">
        <f>COUNTIF(ParicipationJuillet1[[#This Row],[1]:[31]],code22)</f>
        <v>0</v>
      </c>
      <c r="AJ123" s="202">
        <f>COUNTIF(ParicipationJuillet1[[#This Row],[1]:[31]],Code2)</f>
        <v>0</v>
      </c>
      <c r="AK123" s="202">
        <f>COUNTIF(ParicipationJuillet1[[#This Row],[1]:[31]],Code3)</f>
        <v>0</v>
      </c>
      <c r="AL123" s="202">
        <f>COUNTIF(ParicipationJuillet1[[#This Row],[1]:[31]],Code4)</f>
        <v>0</v>
      </c>
      <c r="AM123" s="473">
        <f>COUNTIF(ParicipationJuillet1[[#This Row],[1]:[31]],Code5)</f>
        <v>0</v>
      </c>
      <c r="AN123" s="473">
        <f>COUNTIF(ParicipationJuillet1[[#This Row],[1]:[31]],Code23)</f>
        <v>0</v>
      </c>
      <c r="AO123" s="473">
        <f>COUNTIF(ParicipationJuillet1[[#This Row],[1]:[31]],Code6)</f>
        <v>0</v>
      </c>
      <c r="AP123" s="473">
        <f>COUNTIF(ParicipationJuillet1[[#This Row],[1]:[31]],Code7)</f>
        <v>0</v>
      </c>
      <c r="AQ123" s="473">
        <f>COUNTIF(ParicipationJuillet1[[#This Row],[1]:[31]],Code8)</f>
        <v>0</v>
      </c>
      <c r="AR123" s="473">
        <f>COUNTIF(ParicipationJuillet1[[#This Row],[1]:[31]],Code9)</f>
        <v>0</v>
      </c>
      <c r="AS123" s="473">
        <f>COUNTIF(ParicipationJuillet1[[#This Row],[1]:[31]],Code10)</f>
        <v>0</v>
      </c>
      <c r="AT123" s="473">
        <f>COUNTIF(ParicipationJuillet1[[#This Row],[1]:[31]],Code11)</f>
        <v>0</v>
      </c>
      <c r="AU123" s="473">
        <f>COUNTIF(ParicipationJuillet1[[#This Row],[1]:[31]],Code12)</f>
        <v>0</v>
      </c>
      <c r="AV123" s="473">
        <f>COUNTIF(ParicipationJuillet1[[#This Row],[1]:[31]],Code13)</f>
        <v>0</v>
      </c>
      <c r="AW123" s="473">
        <f>COUNTIF(ParicipationJuillet1[[#This Row],[1]:[31]],Code14)</f>
        <v>0</v>
      </c>
      <c r="AX123" s="473">
        <f>COUNTIF(ParicipationJuillet1[[#This Row],[1]:[31]],Code15)</f>
        <v>0</v>
      </c>
      <c r="AY123" s="473">
        <f>COUNTIF(ParicipationJuillet1[[#This Row],[1]:[31]],Code16)</f>
        <v>0</v>
      </c>
      <c r="AZ123" s="473">
        <f>COUNTIF(ParicipationJuillet1[[#This Row],[1]:[31]],Code17)</f>
        <v>0</v>
      </c>
      <c r="BA123" s="473">
        <f>COUNTIF(ParicipationJuillet1[[#This Row],[1]:[31]],Code25)</f>
        <v>0</v>
      </c>
      <c r="BB123" s="473">
        <f>COUNTIF(ParicipationJuillet1[[#This Row],[1]:[31]],Code26)</f>
        <v>0</v>
      </c>
      <c r="BC123" s="473">
        <f>COUNTIF(ParicipationJuillet1[[#This Row],[1]:[31]],Code27)</f>
        <v>0</v>
      </c>
      <c r="BD123" s="473">
        <f>COUNTIF(ParicipationJuillet1[[#This Row],[1]:[31]],Code28)</f>
        <v>0</v>
      </c>
      <c r="BE123" s="473">
        <f>COUNTIF(ParicipationJuillet1[[#This Row],[1]:[31]],code30)</f>
        <v>0</v>
      </c>
      <c r="BF123" s="473">
        <f>COUNTIF(ParicipationJuillet1[[#This Row],[1]:[31]],Code31)</f>
        <v>0</v>
      </c>
      <c r="BG123" s="473">
        <f>COUNTIF(ParicipationJuillet1[[#This Row],[1]:[31]],code21)</f>
        <v>0</v>
      </c>
      <c r="BH123" s="473">
        <f>COUNTIF(ParicipationJuillet1[[#This Row],[1]:[31]],Code24)</f>
        <v>0</v>
      </c>
      <c r="BI123" s="473">
        <f>COUNTIF(ParicipationJuillet1[[#This Row],[1]:[31]],code18)</f>
        <v>0</v>
      </c>
      <c r="BJ123" s="473">
        <f>COUNTIF(ParicipationJuillet1[[#This Row],[1]:[31]],code19)</f>
        <v>0</v>
      </c>
      <c r="BK123" s="473">
        <f>COUNTIF(ParicipationJuillet1[[#This Row],[1]:[31]],code20)</f>
        <v>0</v>
      </c>
      <c r="BL123" s="516">
        <f>COUNTIF(ParicipationJuillet1[[#This Row],[1]:[31]],code29)</f>
        <v>0</v>
      </c>
      <c r="BM123" s="473"/>
      <c r="BN123" s="473"/>
      <c r="BO123" s="473"/>
      <c r="BP123" s="473"/>
      <c r="BQ123" s="473"/>
      <c r="BR123" s="473"/>
      <c r="BS123" s="473"/>
      <c r="BT123" s="473"/>
      <c r="BU123" s="473"/>
      <c r="BV123" s="473"/>
      <c r="BW123" s="473"/>
      <c r="BX123" s="473"/>
      <c r="BY123" s="473"/>
      <c r="BZ123" s="473"/>
      <c r="CA123" s="473"/>
      <c r="CB123" s="473"/>
      <c r="CC123" s="473"/>
      <c r="CD123" s="473"/>
      <c r="CE123" s="473"/>
      <c r="CF123" s="473"/>
      <c r="CG123" s="473"/>
      <c r="CH123" s="473"/>
      <c r="CI123" s="473"/>
      <c r="CJ123" s="473"/>
      <c r="CK123" s="473"/>
      <c r="CL123" s="473"/>
      <c r="CM123" s="473"/>
      <c r="CN123" s="473"/>
      <c r="CO123" s="473"/>
      <c r="CP123" s="473"/>
      <c r="CQ123" s="473"/>
      <c r="CR123" s="473"/>
      <c r="CS123" s="473"/>
      <c r="CT123" s="473"/>
      <c r="CU123" s="516"/>
      <c r="CV123" s="501">
        <f t="shared" si="4"/>
        <v>0</v>
      </c>
      <c r="CW123" s="501">
        <f t="shared" si="5"/>
        <v>0</v>
      </c>
      <c r="CX123" s="473">
        <f t="shared" si="6"/>
        <v>0</v>
      </c>
      <c r="CY123" s="512">
        <f t="shared" si="7"/>
        <v>0</v>
      </c>
    </row>
    <row r="124" spans="1:103">
      <c r="A124" s="112" t="s">
        <v>465</v>
      </c>
      <c r="B124" s="162" t="str">
        <f>IFERROR(VLOOKUP(ParicipationJuillet1[[#This Row],[Référence]],ListeÉtudiants1[],18,FALSE),"")</f>
        <v>SERVENT MARION</v>
      </c>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640"/>
      <c r="AH124" s="202">
        <f>COUNTIF(ParicipationJuillet1[[#This Row],[1]:[31]],Code1)</f>
        <v>0</v>
      </c>
      <c r="AI124" s="475">
        <f>COUNTIF(ParicipationJuillet1[[#This Row],[1]:[31]],code22)</f>
        <v>0</v>
      </c>
      <c r="AJ124" s="202">
        <f>COUNTIF(ParicipationJuillet1[[#This Row],[1]:[31]],Code2)</f>
        <v>0</v>
      </c>
      <c r="AK124" s="202">
        <f>COUNTIF(ParicipationJuillet1[[#This Row],[1]:[31]],Code3)</f>
        <v>0</v>
      </c>
      <c r="AL124" s="202">
        <f>COUNTIF(ParicipationJuillet1[[#This Row],[1]:[31]],Code4)</f>
        <v>0</v>
      </c>
      <c r="AM124" s="473">
        <f>COUNTIF(ParicipationJuillet1[[#This Row],[1]:[31]],Code5)</f>
        <v>0</v>
      </c>
      <c r="AN124" s="473">
        <f>COUNTIF(ParicipationJuillet1[[#This Row],[1]:[31]],Code23)</f>
        <v>0</v>
      </c>
      <c r="AO124" s="473">
        <f>COUNTIF(ParicipationJuillet1[[#This Row],[1]:[31]],Code6)</f>
        <v>0</v>
      </c>
      <c r="AP124" s="473">
        <f>COUNTIF(ParicipationJuillet1[[#This Row],[1]:[31]],Code7)</f>
        <v>0</v>
      </c>
      <c r="AQ124" s="473">
        <f>COUNTIF(ParicipationJuillet1[[#This Row],[1]:[31]],Code8)</f>
        <v>0</v>
      </c>
      <c r="AR124" s="473">
        <f>COUNTIF(ParicipationJuillet1[[#This Row],[1]:[31]],Code9)</f>
        <v>0</v>
      </c>
      <c r="AS124" s="473">
        <f>COUNTIF(ParicipationJuillet1[[#This Row],[1]:[31]],Code10)</f>
        <v>0</v>
      </c>
      <c r="AT124" s="473">
        <f>COUNTIF(ParicipationJuillet1[[#This Row],[1]:[31]],Code11)</f>
        <v>0</v>
      </c>
      <c r="AU124" s="473">
        <f>COUNTIF(ParicipationJuillet1[[#This Row],[1]:[31]],Code12)</f>
        <v>0</v>
      </c>
      <c r="AV124" s="473">
        <f>COUNTIF(ParicipationJuillet1[[#This Row],[1]:[31]],Code13)</f>
        <v>0</v>
      </c>
      <c r="AW124" s="473">
        <f>COUNTIF(ParicipationJuillet1[[#This Row],[1]:[31]],Code14)</f>
        <v>0</v>
      </c>
      <c r="AX124" s="473">
        <f>COUNTIF(ParicipationJuillet1[[#This Row],[1]:[31]],Code15)</f>
        <v>0</v>
      </c>
      <c r="AY124" s="473">
        <f>COUNTIF(ParicipationJuillet1[[#This Row],[1]:[31]],Code16)</f>
        <v>0</v>
      </c>
      <c r="AZ124" s="473">
        <f>COUNTIF(ParicipationJuillet1[[#This Row],[1]:[31]],Code17)</f>
        <v>0</v>
      </c>
      <c r="BA124" s="473">
        <f>COUNTIF(ParicipationJuillet1[[#This Row],[1]:[31]],Code25)</f>
        <v>0</v>
      </c>
      <c r="BB124" s="473">
        <f>COUNTIF(ParicipationJuillet1[[#This Row],[1]:[31]],Code26)</f>
        <v>0</v>
      </c>
      <c r="BC124" s="473">
        <f>COUNTIF(ParicipationJuillet1[[#This Row],[1]:[31]],Code27)</f>
        <v>0</v>
      </c>
      <c r="BD124" s="473">
        <f>COUNTIF(ParicipationJuillet1[[#This Row],[1]:[31]],Code28)</f>
        <v>0</v>
      </c>
      <c r="BE124" s="473">
        <f>COUNTIF(ParicipationJuillet1[[#This Row],[1]:[31]],code30)</f>
        <v>0</v>
      </c>
      <c r="BF124" s="473">
        <f>COUNTIF(ParicipationJuillet1[[#This Row],[1]:[31]],Code31)</f>
        <v>0</v>
      </c>
      <c r="BG124" s="473">
        <f>COUNTIF(ParicipationJuillet1[[#This Row],[1]:[31]],code21)</f>
        <v>0</v>
      </c>
      <c r="BH124" s="473">
        <f>COUNTIF(ParicipationJuillet1[[#This Row],[1]:[31]],Code24)</f>
        <v>0</v>
      </c>
      <c r="BI124" s="473">
        <f>COUNTIF(ParicipationJuillet1[[#This Row],[1]:[31]],code18)</f>
        <v>0</v>
      </c>
      <c r="BJ124" s="473">
        <f>COUNTIF(ParicipationJuillet1[[#This Row],[1]:[31]],code19)</f>
        <v>0</v>
      </c>
      <c r="BK124" s="473">
        <f>COUNTIF(ParicipationJuillet1[[#This Row],[1]:[31]],code20)</f>
        <v>0</v>
      </c>
      <c r="BL124" s="516">
        <f>COUNTIF(ParicipationJuillet1[[#This Row],[1]:[31]],code29)</f>
        <v>0</v>
      </c>
      <c r="BM124" s="473"/>
      <c r="BN124" s="473"/>
      <c r="BO124" s="473"/>
      <c r="BP124" s="473"/>
      <c r="BQ124" s="473"/>
      <c r="BR124" s="473"/>
      <c r="BS124" s="473"/>
      <c r="BT124" s="473"/>
      <c r="BU124" s="473"/>
      <c r="BV124" s="473"/>
      <c r="BW124" s="473"/>
      <c r="BX124" s="473"/>
      <c r="BY124" s="473"/>
      <c r="BZ124" s="473"/>
      <c r="CA124" s="473"/>
      <c r="CB124" s="473"/>
      <c r="CC124" s="473"/>
      <c r="CD124" s="473"/>
      <c r="CE124" s="473"/>
      <c r="CF124" s="473"/>
      <c r="CG124" s="473"/>
      <c r="CH124" s="473"/>
      <c r="CI124" s="473"/>
      <c r="CJ124" s="473"/>
      <c r="CK124" s="473"/>
      <c r="CL124" s="473"/>
      <c r="CM124" s="473"/>
      <c r="CN124" s="473"/>
      <c r="CO124" s="473"/>
      <c r="CP124" s="473"/>
      <c r="CQ124" s="473"/>
      <c r="CR124" s="473"/>
      <c r="CS124" s="473"/>
      <c r="CT124" s="473"/>
      <c r="CU124" s="516"/>
      <c r="CV124" s="501">
        <f t="shared" si="4"/>
        <v>0</v>
      </c>
      <c r="CW124" s="501">
        <f t="shared" si="5"/>
        <v>0</v>
      </c>
      <c r="CX124" s="473">
        <f t="shared" si="6"/>
        <v>0</v>
      </c>
      <c r="CY124" s="512">
        <f t="shared" si="7"/>
        <v>0</v>
      </c>
    </row>
    <row r="125" spans="1:103">
      <c r="A125" s="112" t="s">
        <v>466</v>
      </c>
      <c r="B125" s="162" t="str">
        <f>IFERROR(VLOOKUP(ParicipationJuillet1[[#This Row],[Référence]],ListeÉtudiants1[],18,FALSE),"")</f>
        <v>SHEIKBOUDOU MACILIA</v>
      </c>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640"/>
      <c r="AH125" s="202">
        <f>COUNTIF(ParicipationJuillet1[[#This Row],[1]:[31]],Code1)</f>
        <v>0</v>
      </c>
      <c r="AI125" s="475">
        <f>COUNTIF(ParicipationJuillet1[[#This Row],[1]:[31]],code22)</f>
        <v>0</v>
      </c>
      <c r="AJ125" s="202">
        <f>COUNTIF(ParicipationJuillet1[[#This Row],[1]:[31]],Code2)</f>
        <v>0</v>
      </c>
      <c r="AK125" s="202">
        <f>COUNTIF(ParicipationJuillet1[[#This Row],[1]:[31]],Code3)</f>
        <v>0</v>
      </c>
      <c r="AL125" s="202">
        <f>COUNTIF(ParicipationJuillet1[[#This Row],[1]:[31]],Code4)</f>
        <v>0</v>
      </c>
      <c r="AM125" s="473">
        <f>COUNTIF(ParicipationJuillet1[[#This Row],[1]:[31]],Code5)</f>
        <v>0</v>
      </c>
      <c r="AN125" s="473">
        <f>COUNTIF(ParicipationJuillet1[[#This Row],[1]:[31]],Code23)</f>
        <v>0</v>
      </c>
      <c r="AO125" s="473">
        <f>COUNTIF(ParicipationJuillet1[[#This Row],[1]:[31]],Code6)</f>
        <v>0</v>
      </c>
      <c r="AP125" s="473">
        <f>COUNTIF(ParicipationJuillet1[[#This Row],[1]:[31]],Code7)</f>
        <v>0</v>
      </c>
      <c r="AQ125" s="473">
        <f>COUNTIF(ParicipationJuillet1[[#This Row],[1]:[31]],Code8)</f>
        <v>0</v>
      </c>
      <c r="AR125" s="473">
        <f>COUNTIF(ParicipationJuillet1[[#This Row],[1]:[31]],Code9)</f>
        <v>0</v>
      </c>
      <c r="AS125" s="473">
        <f>COUNTIF(ParicipationJuillet1[[#This Row],[1]:[31]],Code10)</f>
        <v>0</v>
      </c>
      <c r="AT125" s="473">
        <f>COUNTIF(ParicipationJuillet1[[#This Row],[1]:[31]],Code11)</f>
        <v>0</v>
      </c>
      <c r="AU125" s="473">
        <f>COUNTIF(ParicipationJuillet1[[#This Row],[1]:[31]],Code12)</f>
        <v>0</v>
      </c>
      <c r="AV125" s="473">
        <f>COUNTIF(ParicipationJuillet1[[#This Row],[1]:[31]],Code13)</f>
        <v>0</v>
      </c>
      <c r="AW125" s="473">
        <f>COUNTIF(ParicipationJuillet1[[#This Row],[1]:[31]],Code14)</f>
        <v>0</v>
      </c>
      <c r="AX125" s="473">
        <f>COUNTIF(ParicipationJuillet1[[#This Row],[1]:[31]],Code15)</f>
        <v>0</v>
      </c>
      <c r="AY125" s="473">
        <f>COUNTIF(ParicipationJuillet1[[#This Row],[1]:[31]],Code16)</f>
        <v>0</v>
      </c>
      <c r="AZ125" s="473">
        <f>COUNTIF(ParicipationJuillet1[[#This Row],[1]:[31]],Code17)</f>
        <v>0</v>
      </c>
      <c r="BA125" s="473">
        <f>COUNTIF(ParicipationJuillet1[[#This Row],[1]:[31]],Code25)</f>
        <v>0</v>
      </c>
      <c r="BB125" s="473">
        <f>COUNTIF(ParicipationJuillet1[[#This Row],[1]:[31]],Code26)</f>
        <v>0</v>
      </c>
      <c r="BC125" s="473">
        <f>COUNTIF(ParicipationJuillet1[[#This Row],[1]:[31]],Code27)</f>
        <v>0</v>
      </c>
      <c r="BD125" s="473">
        <f>COUNTIF(ParicipationJuillet1[[#This Row],[1]:[31]],Code28)</f>
        <v>0</v>
      </c>
      <c r="BE125" s="473">
        <f>COUNTIF(ParicipationJuillet1[[#This Row],[1]:[31]],code30)</f>
        <v>0</v>
      </c>
      <c r="BF125" s="473">
        <f>COUNTIF(ParicipationJuillet1[[#This Row],[1]:[31]],Code31)</f>
        <v>0</v>
      </c>
      <c r="BG125" s="473">
        <f>COUNTIF(ParicipationJuillet1[[#This Row],[1]:[31]],code21)</f>
        <v>0</v>
      </c>
      <c r="BH125" s="473">
        <f>COUNTIF(ParicipationJuillet1[[#This Row],[1]:[31]],Code24)</f>
        <v>0</v>
      </c>
      <c r="BI125" s="473">
        <f>COUNTIF(ParicipationJuillet1[[#This Row],[1]:[31]],code18)</f>
        <v>0</v>
      </c>
      <c r="BJ125" s="473">
        <f>COUNTIF(ParicipationJuillet1[[#This Row],[1]:[31]],code19)</f>
        <v>0</v>
      </c>
      <c r="BK125" s="473">
        <f>COUNTIF(ParicipationJuillet1[[#This Row],[1]:[31]],code20)</f>
        <v>0</v>
      </c>
      <c r="BL125" s="516">
        <f>COUNTIF(ParicipationJuillet1[[#This Row],[1]:[31]],code29)</f>
        <v>0</v>
      </c>
      <c r="BM125" s="473"/>
      <c r="BN125" s="473"/>
      <c r="BO125" s="473"/>
      <c r="BP125" s="473"/>
      <c r="BQ125" s="473"/>
      <c r="BR125" s="473"/>
      <c r="BS125" s="473"/>
      <c r="BT125" s="473"/>
      <c r="BU125" s="473"/>
      <c r="BV125" s="473"/>
      <c r="BW125" s="473"/>
      <c r="BX125" s="473"/>
      <c r="BY125" s="473"/>
      <c r="BZ125" s="473"/>
      <c r="CA125" s="473"/>
      <c r="CB125" s="473"/>
      <c r="CC125" s="473"/>
      <c r="CD125" s="473"/>
      <c r="CE125" s="473"/>
      <c r="CF125" s="473"/>
      <c r="CG125" s="473"/>
      <c r="CH125" s="473"/>
      <c r="CI125" s="473"/>
      <c r="CJ125" s="473"/>
      <c r="CK125" s="473"/>
      <c r="CL125" s="473"/>
      <c r="CM125" s="473"/>
      <c r="CN125" s="473"/>
      <c r="CO125" s="473"/>
      <c r="CP125" s="473"/>
      <c r="CQ125" s="473"/>
      <c r="CR125" s="473"/>
      <c r="CS125" s="473"/>
      <c r="CT125" s="473"/>
      <c r="CU125" s="516"/>
      <c r="CV125" s="501">
        <f t="shared" si="4"/>
        <v>0</v>
      </c>
      <c r="CW125" s="501">
        <f t="shared" si="5"/>
        <v>0</v>
      </c>
      <c r="CX125" s="473">
        <f t="shared" si="6"/>
        <v>0</v>
      </c>
      <c r="CY125" s="512">
        <f t="shared" si="7"/>
        <v>0</v>
      </c>
    </row>
    <row r="126" spans="1:103">
      <c r="A126" s="112" t="s">
        <v>467</v>
      </c>
      <c r="B126" s="162" t="str">
        <f>IFERROR(VLOOKUP(ParicipationJuillet1[[#This Row],[Référence]],ListeÉtudiants1[],18,FALSE),"")</f>
        <v>SILVERE SHERLEY</v>
      </c>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640"/>
      <c r="AH126" s="202">
        <f>COUNTIF(ParicipationJuillet1[[#This Row],[1]:[31]],Code1)</f>
        <v>0</v>
      </c>
      <c r="AI126" s="475">
        <f>COUNTIF(ParicipationJuillet1[[#This Row],[1]:[31]],code22)</f>
        <v>0</v>
      </c>
      <c r="AJ126" s="202">
        <f>COUNTIF(ParicipationJuillet1[[#This Row],[1]:[31]],Code2)</f>
        <v>0</v>
      </c>
      <c r="AK126" s="202">
        <f>COUNTIF(ParicipationJuillet1[[#This Row],[1]:[31]],Code3)</f>
        <v>0</v>
      </c>
      <c r="AL126" s="202">
        <f>COUNTIF(ParicipationJuillet1[[#This Row],[1]:[31]],Code4)</f>
        <v>0</v>
      </c>
      <c r="AM126" s="473">
        <f>COUNTIF(ParicipationJuillet1[[#This Row],[1]:[31]],Code5)</f>
        <v>0</v>
      </c>
      <c r="AN126" s="473">
        <f>COUNTIF(ParicipationJuillet1[[#This Row],[1]:[31]],Code23)</f>
        <v>0</v>
      </c>
      <c r="AO126" s="473">
        <f>COUNTIF(ParicipationJuillet1[[#This Row],[1]:[31]],Code6)</f>
        <v>0</v>
      </c>
      <c r="AP126" s="473">
        <f>COUNTIF(ParicipationJuillet1[[#This Row],[1]:[31]],Code7)</f>
        <v>0</v>
      </c>
      <c r="AQ126" s="473">
        <f>COUNTIF(ParicipationJuillet1[[#This Row],[1]:[31]],Code8)</f>
        <v>0</v>
      </c>
      <c r="AR126" s="473">
        <f>COUNTIF(ParicipationJuillet1[[#This Row],[1]:[31]],Code9)</f>
        <v>0</v>
      </c>
      <c r="AS126" s="473">
        <f>COUNTIF(ParicipationJuillet1[[#This Row],[1]:[31]],Code10)</f>
        <v>0</v>
      </c>
      <c r="AT126" s="473">
        <f>COUNTIF(ParicipationJuillet1[[#This Row],[1]:[31]],Code11)</f>
        <v>0</v>
      </c>
      <c r="AU126" s="473">
        <f>COUNTIF(ParicipationJuillet1[[#This Row],[1]:[31]],Code12)</f>
        <v>0</v>
      </c>
      <c r="AV126" s="473">
        <f>COUNTIF(ParicipationJuillet1[[#This Row],[1]:[31]],Code13)</f>
        <v>0</v>
      </c>
      <c r="AW126" s="473">
        <f>COUNTIF(ParicipationJuillet1[[#This Row],[1]:[31]],Code14)</f>
        <v>0</v>
      </c>
      <c r="AX126" s="473">
        <f>COUNTIF(ParicipationJuillet1[[#This Row],[1]:[31]],Code15)</f>
        <v>0</v>
      </c>
      <c r="AY126" s="473">
        <f>COUNTIF(ParicipationJuillet1[[#This Row],[1]:[31]],Code16)</f>
        <v>0</v>
      </c>
      <c r="AZ126" s="473">
        <f>COUNTIF(ParicipationJuillet1[[#This Row],[1]:[31]],Code17)</f>
        <v>0</v>
      </c>
      <c r="BA126" s="473">
        <f>COUNTIF(ParicipationJuillet1[[#This Row],[1]:[31]],Code25)</f>
        <v>0</v>
      </c>
      <c r="BB126" s="473">
        <f>COUNTIF(ParicipationJuillet1[[#This Row],[1]:[31]],Code26)</f>
        <v>0</v>
      </c>
      <c r="BC126" s="473">
        <f>COUNTIF(ParicipationJuillet1[[#This Row],[1]:[31]],Code27)</f>
        <v>0</v>
      </c>
      <c r="BD126" s="473">
        <f>COUNTIF(ParicipationJuillet1[[#This Row],[1]:[31]],Code28)</f>
        <v>0</v>
      </c>
      <c r="BE126" s="473">
        <f>COUNTIF(ParicipationJuillet1[[#This Row],[1]:[31]],code30)</f>
        <v>0</v>
      </c>
      <c r="BF126" s="473">
        <f>COUNTIF(ParicipationJuillet1[[#This Row],[1]:[31]],Code31)</f>
        <v>0</v>
      </c>
      <c r="BG126" s="473">
        <f>COUNTIF(ParicipationJuillet1[[#This Row],[1]:[31]],code21)</f>
        <v>0</v>
      </c>
      <c r="BH126" s="473">
        <f>COUNTIF(ParicipationJuillet1[[#This Row],[1]:[31]],Code24)</f>
        <v>0</v>
      </c>
      <c r="BI126" s="473">
        <f>COUNTIF(ParicipationJuillet1[[#This Row],[1]:[31]],code18)</f>
        <v>0</v>
      </c>
      <c r="BJ126" s="473">
        <f>COUNTIF(ParicipationJuillet1[[#This Row],[1]:[31]],code19)</f>
        <v>0</v>
      </c>
      <c r="BK126" s="473">
        <f>COUNTIF(ParicipationJuillet1[[#This Row],[1]:[31]],code20)</f>
        <v>0</v>
      </c>
      <c r="BL126" s="516">
        <f>COUNTIF(ParicipationJuillet1[[#This Row],[1]:[31]],code29)</f>
        <v>0</v>
      </c>
      <c r="BM126" s="473"/>
      <c r="BN126" s="473"/>
      <c r="BO126" s="473"/>
      <c r="BP126" s="473"/>
      <c r="BQ126" s="473"/>
      <c r="BR126" s="473"/>
      <c r="BS126" s="473"/>
      <c r="BT126" s="473"/>
      <c r="BU126" s="473"/>
      <c r="BV126" s="473"/>
      <c r="BW126" s="473"/>
      <c r="BX126" s="473"/>
      <c r="BY126" s="473"/>
      <c r="BZ126" s="473"/>
      <c r="CA126" s="473"/>
      <c r="CB126" s="473"/>
      <c r="CC126" s="473"/>
      <c r="CD126" s="473"/>
      <c r="CE126" s="473"/>
      <c r="CF126" s="473"/>
      <c r="CG126" s="473"/>
      <c r="CH126" s="473"/>
      <c r="CI126" s="473"/>
      <c r="CJ126" s="473"/>
      <c r="CK126" s="473"/>
      <c r="CL126" s="473"/>
      <c r="CM126" s="473"/>
      <c r="CN126" s="473"/>
      <c r="CO126" s="473"/>
      <c r="CP126" s="473"/>
      <c r="CQ126" s="473"/>
      <c r="CR126" s="473"/>
      <c r="CS126" s="473"/>
      <c r="CT126" s="473"/>
      <c r="CU126" s="516"/>
      <c r="CV126" s="501">
        <f t="shared" si="4"/>
        <v>0</v>
      </c>
      <c r="CW126" s="501">
        <f t="shared" si="5"/>
        <v>0</v>
      </c>
      <c r="CX126" s="473">
        <f t="shared" si="6"/>
        <v>0</v>
      </c>
      <c r="CY126" s="512">
        <f t="shared" si="7"/>
        <v>0</v>
      </c>
    </row>
    <row r="127" spans="1:103">
      <c r="A127" s="112" t="s">
        <v>468</v>
      </c>
      <c r="B127" s="162" t="str">
        <f>IFERROR(VLOOKUP(ParicipationJuillet1[[#This Row],[Référence]],ListeÉtudiants1[],18,FALSE),"")</f>
        <v>SOUQUERE LAURANA</v>
      </c>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640"/>
      <c r="AH127" s="202">
        <f>COUNTIF(ParicipationJuillet1[[#This Row],[1]:[31]],Code1)</f>
        <v>0</v>
      </c>
      <c r="AI127" s="475">
        <f>COUNTIF(ParicipationJuillet1[[#This Row],[1]:[31]],code22)</f>
        <v>0</v>
      </c>
      <c r="AJ127" s="202">
        <f>COUNTIF(ParicipationJuillet1[[#This Row],[1]:[31]],Code2)</f>
        <v>0</v>
      </c>
      <c r="AK127" s="202">
        <f>COUNTIF(ParicipationJuillet1[[#This Row],[1]:[31]],Code3)</f>
        <v>0</v>
      </c>
      <c r="AL127" s="202">
        <f>COUNTIF(ParicipationJuillet1[[#This Row],[1]:[31]],Code4)</f>
        <v>0</v>
      </c>
      <c r="AM127" s="473">
        <f>COUNTIF(ParicipationJuillet1[[#This Row],[1]:[31]],Code5)</f>
        <v>0</v>
      </c>
      <c r="AN127" s="473">
        <f>COUNTIF(ParicipationJuillet1[[#This Row],[1]:[31]],Code23)</f>
        <v>0</v>
      </c>
      <c r="AO127" s="473">
        <f>COUNTIF(ParicipationJuillet1[[#This Row],[1]:[31]],Code6)</f>
        <v>0</v>
      </c>
      <c r="AP127" s="473">
        <f>COUNTIF(ParicipationJuillet1[[#This Row],[1]:[31]],Code7)</f>
        <v>0</v>
      </c>
      <c r="AQ127" s="473">
        <f>COUNTIF(ParicipationJuillet1[[#This Row],[1]:[31]],Code8)</f>
        <v>0</v>
      </c>
      <c r="AR127" s="473">
        <f>COUNTIF(ParicipationJuillet1[[#This Row],[1]:[31]],Code9)</f>
        <v>0</v>
      </c>
      <c r="AS127" s="473">
        <f>COUNTIF(ParicipationJuillet1[[#This Row],[1]:[31]],Code10)</f>
        <v>0</v>
      </c>
      <c r="AT127" s="473">
        <f>COUNTIF(ParicipationJuillet1[[#This Row],[1]:[31]],Code11)</f>
        <v>0</v>
      </c>
      <c r="AU127" s="473">
        <f>COUNTIF(ParicipationJuillet1[[#This Row],[1]:[31]],Code12)</f>
        <v>0</v>
      </c>
      <c r="AV127" s="473">
        <f>COUNTIF(ParicipationJuillet1[[#This Row],[1]:[31]],Code13)</f>
        <v>0</v>
      </c>
      <c r="AW127" s="473">
        <f>COUNTIF(ParicipationJuillet1[[#This Row],[1]:[31]],Code14)</f>
        <v>0</v>
      </c>
      <c r="AX127" s="473">
        <f>COUNTIF(ParicipationJuillet1[[#This Row],[1]:[31]],Code15)</f>
        <v>0</v>
      </c>
      <c r="AY127" s="473">
        <f>COUNTIF(ParicipationJuillet1[[#This Row],[1]:[31]],Code16)</f>
        <v>0</v>
      </c>
      <c r="AZ127" s="473">
        <f>COUNTIF(ParicipationJuillet1[[#This Row],[1]:[31]],Code17)</f>
        <v>0</v>
      </c>
      <c r="BA127" s="473">
        <f>COUNTIF(ParicipationJuillet1[[#This Row],[1]:[31]],Code25)</f>
        <v>0</v>
      </c>
      <c r="BB127" s="473">
        <f>COUNTIF(ParicipationJuillet1[[#This Row],[1]:[31]],Code26)</f>
        <v>0</v>
      </c>
      <c r="BC127" s="473">
        <f>COUNTIF(ParicipationJuillet1[[#This Row],[1]:[31]],Code27)</f>
        <v>0</v>
      </c>
      <c r="BD127" s="473">
        <f>COUNTIF(ParicipationJuillet1[[#This Row],[1]:[31]],Code28)</f>
        <v>0</v>
      </c>
      <c r="BE127" s="473">
        <f>COUNTIF(ParicipationJuillet1[[#This Row],[1]:[31]],code30)</f>
        <v>0</v>
      </c>
      <c r="BF127" s="473">
        <f>COUNTIF(ParicipationJuillet1[[#This Row],[1]:[31]],Code31)</f>
        <v>0</v>
      </c>
      <c r="BG127" s="473">
        <f>COUNTIF(ParicipationJuillet1[[#This Row],[1]:[31]],code21)</f>
        <v>0</v>
      </c>
      <c r="BH127" s="473">
        <f>COUNTIF(ParicipationJuillet1[[#This Row],[1]:[31]],Code24)</f>
        <v>0</v>
      </c>
      <c r="BI127" s="473">
        <f>COUNTIF(ParicipationJuillet1[[#This Row],[1]:[31]],code18)</f>
        <v>0</v>
      </c>
      <c r="BJ127" s="473">
        <f>COUNTIF(ParicipationJuillet1[[#This Row],[1]:[31]],code19)</f>
        <v>0</v>
      </c>
      <c r="BK127" s="473">
        <f>COUNTIF(ParicipationJuillet1[[#This Row],[1]:[31]],code20)</f>
        <v>0</v>
      </c>
      <c r="BL127" s="516">
        <f>COUNTIF(ParicipationJuillet1[[#This Row],[1]:[31]],code29)</f>
        <v>0</v>
      </c>
      <c r="BM127" s="473"/>
      <c r="BN127" s="473"/>
      <c r="BO127" s="473"/>
      <c r="BP127" s="473"/>
      <c r="BQ127" s="473"/>
      <c r="BR127" s="473"/>
      <c r="BS127" s="473"/>
      <c r="BT127" s="473"/>
      <c r="BU127" s="473"/>
      <c r="BV127" s="473"/>
      <c r="BW127" s="473"/>
      <c r="BX127" s="473"/>
      <c r="BY127" s="473"/>
      <c r="BZ127" s="473"/>
      <c r="CA127" s="473"/>
      <c r="CB127" s="473"/>
      <c r="CC127" s="473"/>
      <c r="CD127" s="473"/>
      <c r="CE127" s="473"/>
      <c r="CF127" s="473"/>
      <c r="CG127" s="473"/>
      <c r="CH127" s="473"/>
      <c r="CI127" s="473"/>
      <c r="CJ127" s="473"/>
      <c r="CK127" s="473"/>
      <c r="CL127" s="473"/>
      <c r="CM127" s="473"/>
      <c r="CN127" s="473"/>
      <c r="CO127" s="473"/>
      <c r="CP127" s="473"/>
      <c r="CQ127" s="473"/>
      <c r="CR127" s="473"/>
      <c r="CS127" s="473"/>
      <c r="CT127" s="473"/>
      <c r="CU127" s="516"/>
      <c r="CV127" s="501">
        <f t="shared" si="4"/>
        <v>0</v>
      </c>
      <c r="CW127" s="501">
        <f t="shared" si="5"/>
        <v>0</v>
      </c>
      <c r="CX127" s="473">
        <f t="shared" si="6"/>
        <v>0</v>
      </c>
      <c r="CY127" s="512">
        <f t="shared" si="7"/>
        <v>0</v>
      </c>
    </row>
    <row r="128" spans="1:103">
      <c r="A128" s="112" t="s">
        <v>469</v>
      </c>
      <c r="B128" s="162" t="str">
        <f>IFERROR(VLOOKUP(ParicipationJuillet1[[#This Row],[Référence]],ListeÉtudiants1[],18,FALSE),"")</f>
        <v>TABUDI DARLENE</v>
      </c>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640"/>
      <c r="AH128" s="202">
        <f>COUNTIF(ParicipationJuillet1[[#This Row],[1]:[31]],Code1)</f>
        <v>0</v>
      </c>
      <c r="AI128" s="475">
        <f>COUNTIF(ParicipationJuillet1[[#This Row],[1]:[31]],code22)</f>
        <v>0</v>
      </c>
      <c r="AJ128" s="202">
        <f>COUNTIF(ParicipationJuillet1[[#This Row],[1]:[31]],Code2)</f>
        <v>0</v>
      </c>
      <c r="AK128" s="202">
        <f>COUNTIF(ParicipationJuillet1[[#This Row],[1]:[31]],Code3)</f>
        <v>0</v>
      </c>
      <c r="AL128" s="202">
        <f>COUNTIF(ParicipationJuillet1[[#This Row],[1]:[31]],Code4)</f>
        <v>0</v>
      </c>
      <c r="AM128" s="473">
        <f>COUNTIF(ParicipationJuillet1[[#This Row],[1]:[31]],Code5)</f>
        <v>0</v>
      </c>
      <c r="AN128" s="473">
        <f>COUNTIF(ParicipationJuillet1[[#This Row],[1]:[31]],Code23)</f>
        <v>0</v>
      </c>
      <c r="AO128" s="473">
        <f>COUNTIF(ParicipationJuillet1[[#This Row],[1]:[31]],Code6)</f>
        <v>0</v>
      </c>
      <c r="AP128" s="473">
        <f>COUNTIF(ParicipationJuillet1[[#This Row],[1]:[31]],Code7)</f>
        <v>0</v>
      </c>
      <c r="AQ128" s="473">
        <f>COUNTIF(ParicipationJuillet1[[#This Row],[1]:[31]],Code8)</f>
        <v>0</v>
      </c>
      <c r="AR128" s="473">
        <f>COUNTIF(ParicipationJuillet1[[#This Row],[1]:[31]],Code9)</f>
        <v>0</v>
      </c>
      <c r="AS128" s="473">
        <f>COUNTIF(ParicipationJuillet1[[#This Row],[1]:[31]],Code10)</f>
        <v>0</v>
      </c>
      <c r="AT128" s="473">
        <f>COUNTIF(ParicipationJuillet1[[#This Row],[1]:[31]],Code11)</f>
        <v>0</v>
      </c>
      <c r="AU128" s="473">
        <f>COUNTIF(ParicipationJuillet1[[#This Row],[1]:[31]],Code12)</f>
        <v>0</v>
      </c>
      <c r="AV128" s="473">
        <f>COUNTIF(ParicipationJuillet1[[#This Row],[1]:[31]],Code13)</f>
        <v>0</v>
      </c>
      <c r="AW128" s="473">
        <f>COUNTIF(ParicipationJuillet1[[#This Row],[1]:[31]],Code14)</f>
        <v>0</v>
      </c>
      <c r="AX128" s="473">
        <f>COUNTIF(ParicipationJuillet1[[#This Row],[1]:[31]],Code15)</f>
        <v>0</v>
      </c>
      <c r="AY128" s="473">
        <f>COUNTIF(ParicipationJuillet1[[#This Row],[1]:[31]],Code16)</f>
        <v>0</v>
      </c>
      <c r="AZ128" s="473">
        <f>COUNTIF(ParicipationJuillet1[[#This Row],[1]:[31]],Code17)</f>
        <v>0</v>
      </c>
      <c r="BA128" s="473">
        <f>COUNTIF(ParicipationJuillet1[[#This Row],[1]:[31]],Code25)</f>
        <v>0</v>
      </c>
      <c r="BB128" s="473">
        <f>COUNTIF(ParicipationJuillet1[[#This Row],[1]:[31]],Code26)</f>
        <v>0</v>
      </c>
      <c r="BC128" s="473">
        <f>COUNTIF(ParicipationJuillet1[[#This Row],[1]:[31]],Code27)</f>
        <v>0</v>
      </c>
      <c r="BD128" s="473">
        <f>COUNTIF(ParicipationJuillet1[[#This Row],[1]:[31]],Code28)</f>
        <v>0</v>
      </c>
      <c r="BE128" s="473">
        <f>COUNTIF(ParicipationJuillet1[[#This Row],[1]:[31]],code30)</f>
        <v>0</v>
      </c>
      <c r="BF128" s="473">
        <f>COUNTIF(ParicipationJuillet1[[#This Row],[1]:[31]],Code31)</f>
        <v>0</v>
      </c>
      <c r="BG128" s="473">
        <f>COUNTIF(ParicipationJuillet1[[#This Row],[1]:[31]],code21)</f>
        <v>0</v>
      </c>
      <c r="BH128" s="473">
        <f>COUNTIF(ParicipationJuillet1[[#This Row],[1]:[31]],Code24)</f>
        <v>0</v>
      </c>
      <c r="BI128" s="473">
        <f>COUNTIF(ParicipationJuillet1[[#This Row],[1]:[31]],code18)</f>
        <v>0</v>
      </c>
      <c r="BJ128" s="473">
        <f>COUNTIF(ParicipationJuillet1[[#This Row],[1]:[31]],code19)</f>
        <v>0</v>
      </c>
      <c r="BK128" s="473">
        <f>COUNTIF(ParicipationJuillet1[[#This Row],[1]:[31]],code20)</f>
        <v>0</v>
      </c>
      <c r="BL128" s="516">
        <f>COUNTIF(ParicipationJuillet1[[#This Row],[1]:[31]],code29)</f>
        <v>0</v>
      </c>
      <c r="BM128" s="473"/>
      <c r="BN128" s="473"/>
      <c r="BO128" s="473"/>
      <c r="BP128" s="473"/>
      <c r="BQ128" s="473"/>
      <c r="BR128" s="473"/>
      <c r="BS128" s="473"/>
      <c r="BT128" s="473"/>
      <c r="BU128" s="473"/>
      <c r="BV128" s="473"/>
      <c r="BW128" s="473"/>
      <c r="BX128" s="473"/>
      <c r="BY128" s="473"/>
      <c r="BZ128" s="473"/>
      <c r="CA128" s="473"/>
      <c r="CB128" s="473"/>
      <c r="CC128" s="473"/>
      <c r="CD128" s="473"/>
      <c r="CE128" s="473"/>
      <c r="CF128" s="473"/>
      <c r="CG128" s="473"/>
      <c r="CH128" s="473"/>
      <c r="CI128" s="473"/>
      <c r="CJ128" s="473"/>
      <c r="CK128" s="473"/>
      <c r="CL128" s="473"/>
      <c r="CM128" s="473"/>
      <c r="CN128" s="473"/>
      <c r="CO128" s="473"/>
      <c r="CP128" s="473"/>
      <c r="CQ128" s="473"/>
      <c r="CR128" s="473"/>
      <c r="CS128" s="473"/>
      <c r="CT128" s="473"/>
      <c r="CU128" s="516"/>
      <c r="CV128" s="501">
        <f t="shared" si="4"/>
        <v>0</v>
      </c>
      <c r="CW128" s="501">
        <f t="shared" si="5"/>
        <v>0</v>
      </c>
      <c r="CX128" s="473">
        <f t="shared" si="6"/>
        <v>0</v>
      </c>
      <c r="CY128" s="512">
        <f t="shared" si="7"/>
        <v>0</v>
      </c>
    </row>
    <row r="129" spans="1:103">
      <c r="A129" s="112" t="s">
        <v>470</v>
      </c>
      <c r="B129" s="162" t="str">
        <f>IFERROR(VLOOKUP(ParicipationJuillet1[[#This Row],[Référence]],ListeÉtudiants1[],18,FALSE),"")</f>
        <v>TAKERKART SIRINE</v>
      </c>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640"/>
      <c r="AH129" s="202">
        <f>COUNTIF(ParicipationJuillet1[[#This Row],[1]:[31]],Code1)</f>
        <v>0</v>
      </c>
      <c r="AI129" s="475">
        <f>COUNTIF(ParicipationJuillet1[[#This Row],[1]:[31]],code22)</f>
        <v>0</v>
      </c>
      <c r="AJ129" s="202">
        <f>COUNTIF(ParicipationJuillet1[[#This Row],[1]:[31]],Code2)</f>
        <v>0</v>
      </c>
      <c r="AK129" s="202">
        <f>COUNTIF(ParicipationJuillet1[[#This Row],[1]:[31]],Code3)</f>
        <v>0</v>
      </c>
      <c r="AL129" s="202">
        <f>COUNTIF(ParicipationJuillet1[[#This Row],[1]:[31]],Code4)</f>
        <v>0</v>
      </c>
      <c r="AM129" s="473">
        <f>COUNTIF(ParicipationJuillet1[[#This Row],[1]:[31]],Code5)</f>
        <v>0</v>
      </c>
      <c r="AN129" s="473">
        <f>COUNTIF(ParicipationJuillet1[[#This Row],[1]:[31]],Code23)</f>
        <v>0</v>
      </c>
      <c r="AO129" s="473">
        <f>COUNTIF(ParicipationJuillet1[[#This Row],[1]:[31]],Code6)</f>
        <v>0</v>
      </c>
      <c r="AP129" s="473">
        <f>COUNTIF(ParicipationJuillet1[[#This Row],[1]:[31]],Code7)</f>
        <v>0</v>
      </c>
      <c r="AQ129" s="473">
        <f>COUNTIF(ParicipationJuillet1[[#This Row],[1]:[31]],Code8)</f>
        <v>0</v>
      </c>
      <c r="AR129" s="473">
        <f>COUNTIF(ParicipationJuillet1[[#This Row],[1]:[31]],Code9)</f>
        <v>0</v>
      </c>
      <c r="AS129" s="473">
        <f>COUNTIF(ParicipationJuillet1[[#This Row],[1]:[31]],Code10)</f>
        <v>0</v>
      </c>
      <c r="AT129" s="473">
        <f>COUNTIF(ParicipationJuillet1[[#This Row],[1]:[31]],Code11)</f>
        <v>0</v>
      </c>
      <c r="AU129" s="473">
        <f>COUNTIF(ParicipationJuillet1[[#This Row],[1]:[31]],Code12)</f>
        <v>0</v>
      </c>
      <c r="AV129" s="473">
        <f>COUNTIF(ParicipationJuillet1[[#This Row],[1]:[31]],Code13)</f>
        <v>0</v>
      </c>
      <c r="AW129" s="473">
        <f>COUNTIF(ParicipationJuillet1[[#This Row],[1]:[31]],Code14)</f>
        <v>0</v>
      </c>
      <c r="AX129" s="473">
        <f>COUNTIF(ParicipationJuillet1[[#This Row],[1]:[31]],Code15)</f>
        <v>0</v>
      </c>
      <c r="AY129" s="473">
        <f>COUNTIF(ParicipationJuillet1[[#This Row],[1]:[31]],Code16)</f>
        <v>0</v>
      </c>
      <c r="AZ129" s="473">
        <f>COUNTIF(ParicipationJuillet1[[#This Row],[1]:[31]],Code17)</f>
        <v>0</v>
      </c>
      <c r="BA129" s="473">
        <f>COUNTIF(ParicipationJuillet1[[#This Row],[1]:[31]],Code25)</f>
        <v>0</v>
      </c>
      <c r="BB129" s="473">
        <f>COUNTIF(ParicipationJuillet1[[#This Row],[1]:[31]],Code26)</f>
        <v>0</v>
      </c>
      <c r="BC129" s="473">
        <f>COUNTIF(ParicipationJuillet1[[#This Row],[1]:[31]],Code27)</f>
        <v>0</v>
      </c>
      <c r="BD129" s="473">
        <f>COUNTIF(ParicipationJuillet1[[#This Row],[1]:[31]],Code28)</f>
        <v>0</v>
      </c>
      <c r="BE129" s="473">
        <f>COUNTIF(ParicipationJuillet1[[#This Row],[1]:[31]],code30)</f>
        <v>0</v>
      </c>
      <c r="BF129" s="473">
        <f>COUNTIF(ParicipationJuillet1[[#This Row],[1]:[31]],Code31)</f>
        <v>0</v>
      </c>
      <c r="BG129" s="473">
        <f>COUNTIF(ParicipationJuillet1[[#This Row],[1]:[31]],code21)</f>
        <v>0</v>
      </c>
      <c r="BH129" s="473">
        <f>COUNTIF(ParicipationJuillet1[[#This Row],[1]:[31]],Code24)</f>
        <v>0</v>
      </c>
      <c r="BI129" s="473">
        <f>COUNTIF(ParicipationJuillet1[[#This Row],[1]:[31]],code18)</f>
        <v>0</v>
      </c>
      <c r="BJ129" s="473">
        <f>COUNTIF(ParicipationJuillet1[[#This Row],[1]:[31]],code19)</f>
        <v>0</v>
      </c>
      <c r="BK129" s="473">
        <f>COUNTIF(ParicipationJuillet1[[#This Row],[1]:[31]],code20)</f>
        <v>0</v>
      </c>
      <c r="BL129" s="516">
        <f>COUNTIF(ParicipationJuillet1[[#This Row],[1]:[31]],code29)</f>
        <v>0</v>
      </c>
      <c r="BM129" s="473"/>
      <c r="BN129" s="473"/>
      <c r="BO129" s="473"/>
      <c r="BP129" s="473"/>
      <c r="BQ129" s="473"/>
      <c r="BR129" s="473"/>
      <c r="BS129" s="473"/>
      <c r="BT129" s="473"/>
      <c r="BU129" s="473"/>
      <c r="BV129" s="473"/>
      <c r="BW129" s="473"/>
      <c r="BX129" s="473"/>
      <c r="BY129" s="473"/>
      <c r="BZ129" s="473"/>
      <c r="CA129" s="473"/>
      <c r="CB129" s="473"/>
      <c r="CC129" s="473"/>
      <c r="CD129" s="473"/>
      <c r="CE129" s="473"/>
      <c r="CF129" s="473"/>
      <c r="CG129" s="473"/>
      <c r="CH129" s="473"/>
      <c r="CI129" s="473"/>
      <c r="CJ129" s="473"/>
      <c r="CK129" s="473"/>
      <c r="CL129" s="473"/>
      <c r="CM129" s="473"/>
      <c r="CN129" s="473"/>
      <c r="CO129" s="473"/>
      <c r="CP129" s="473"/>
      <c r="CQ129" s="473"/>
      <c r="CR129" s="473"/>
      <c r="CS129" s="473"/>
      <c r="CT129" s="473"/>
      <c r="CU129" s="516"/>
      <c r="CV129" s="501">
        <f t="shared" si="4"/>
        <v>0</v>
      </c>
      <c r="CW129" s="501">
        <f t="shared" si="5"/>
        <v>0</v>
      </c>
      <c r="CX129" s="473">
        <f t="shared" si="6"/>
        <v>0</v>
      </c>
      <c r="CY129" s="512">
        <f t="shared" si="7"/>
        <v>0</v>
      </c>
    </row>
    <row r="130" spans="1:103">
      <c r="A130" s="112" t="s">
        <v>471</v>
      </c>
      <c r="B130" s="162" t="str">
        <f>IFERROR(VLOOKUP(ParicipationJuillet1[[#This Row],[Référence]],ListeÉtudiants1[],18,FALSE),"")</f>
        <v>THENARD FLORENCE</v>
      </c>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640"/>
      <c r="AH130" s="202">
        <f>COUNTIF(ParicipationJuillet1[[#This Row],[1]:[31]],Code1)</f>
        <v>0</v>
      </c>
      <c r="AI130" s="475">
        <f>COUNTIF(ParicipationJuillet1[[#This Row],[1]:[31]],code22)</f>
        <v>0</v>
      </c>
      <c r="AJ130" s="202">
        <f>COUNTIF(ParicipationJuillet1[[#This Row],[1]:[31]],Code2)</f>
        <v>0</v>
      </c>
      <c r="AK130" s="202">
        <f>COUNTIF(ParicipationJuillet1[[#This Row],[1]:[31]],Code3)</f>
        <v>0</v>
      </c>
      <c r="AL130" s="202">
        <f>COUNTIF(ParicipationJuillet1[[#This Row],[1]:[31]],Code4)</f>
        <v>0</v>
      </c>
      <c r="AM130" s="473">
        <f>COUNTIF(ParicipationJuillet1[[#This Row],[1]:[31]],Code5)</f>
        <v>0</v>
      </c>
      <c r="AN130" s="473">
        <f>COUNTIF(ParicipationJuillet1[[#This Row],[1]:[31]],Code23)</f>
        <v>0</v>
      </c>
      <c r="AO130" s="473">
        <f>COUNTIF(ParicipationJuillet1[[#This Row],[1]:[31]],Code6)</f>
        <v>0</v>
      </c>
      <c r="AP130" s="473">
        <f>COUNTIF(ParicipationJuillet1[[#This Row],[1]:[31]],Code7)</f>
        <v>0</v>
      </c>
      <c r="AQ130" s="473">
        <f>COUNTIF(ParicipationJuillet1[[#This Row],[1]:[31]],Code8)</f>
        <v>0</v>
      </c>
      <c r="AR130" s="473">
        <f>COUNTIF(ParicipationJuillet1[[#This Row],[1]:[31]],Code9)</f>
        <v>0</v>
      </c>
      <c r="AS130" s="473">
        <f>COUNTIF(ParicipationJuillet1[[#This Row],[1]:[31]],Code10)</f>
        <v>0</v>
      </c>
      <c r="AT130" s="473">
        <f>COUNTIF(ParicipationJuillet1[[#This Row],[1]:[31]],Code11)</f>
        <v>0</v>
      </c>
      <c r="AU130" s="473">
        <f>COUNTIF(ParicipationJuillet1[[#This Row],[1]:[31]],Code12)</f>
        <v>0</v>
      </c>
      <c r="AV130" s="473">
        <f>COUNTIF(ParicipationJuillet1[[#This Row],[1]:[31]],Code13)</f>
        <v>0</v>
      </c>
      <c r="AW130" s="473">
        <f>COUNTIF(ParicipationJuillet1[[#This Row],[1]:[31]],Code14)</f>
        <v>0</v>
      </c>
      <c r="AX130" s="473">
        <f>COUNTIF(ParicipationJuillet1[[#This Row],[1]:[31]],Code15)</f>
        <v>0</v>
      </c>
      <c r="AY130" s="473">
        <f>COUNTIF(ParicipationJuillet1[[#This Row],[1]:[31]],Code16)</f>
        <v>0</v>
      </c>
      <c r="AZ130" s="473">
        <f>COUNTIF(ParicipationJuillet1[[#This Row],[1]:[31]],Code17)</f>
        <v>0</v>
      </c>
      <c r="BA130" s="473">
        <f>COUNTIF(ParicipationJuillet1[[#This Row],[1]:[31]],Code25)</f>
        <v>0</v>
      </c>
      <c r="BB130" s="473">
        <f>COUNTIF(ParicipationJuillet1[[#This Row],[1]:[31]],Code26)</f>
        <v>0</v>
      </c>
      <c r="BC130" s="473">
        <f>COUNTIF(ParicipationJuillet1[[#This Row],[1]:[31]],Code27)</f>
        <v>0</v>
      </c>
      <c r="BD130" s="473">
        <f>COUNTIF(ParicipationJuillet1[[#This Row],[1]:[31]],Code28)</f>
        <v>0</v>
      </c>
      <c r="BE130" s="473">
        <f>COUNTIF(ParicipationJuillet1[[#This Row],[1]:[31]],code30)</f>
        <v>0</v>
      </c>
      <c r="BF130" s="473">
        <f>COUNTIF(ParicipationJuillet1[[#This Row],[1]:[31]],Code31)</f>
        <v>0</v>
      </c>
      <c r="BG130" s="473">
        <f>COUNTIF(ParicipationJuillet1[[#This Row],[1]:[31]],code21)</f>
        <v>0</v>
      </c>
      <c r="BH130" s="473">
        <f>COUNTIF(ParicipationJuillet1[[#This Row],[1]:[31]],Code24)</f>
        <v>0</v>
      </c>
      <c r="BI130" s="473">
        <f>COUNTIF(ParicipationJuillet1[[#This Row],[1]:[31]],code18)</f>
        <v>0</v>
      </c>
      <c r="BJ130" s="473">
        <f>COUNTIF(ParicipationJuillet1[[#This Row],[1]:[31]],code19)</f>
        <v>0</v>
      </c>
      <c r="BK130" s="473">
        <f>COUNTIF(ParicipationJuillet1[[#This Row],[1]:[31]],code20)</f>
        <v>0</v>
      </c>
      <c r="BL130" s="516">
        <f>COUNTIF(ParicipationJuillet1[[#This Row],[1]:[31]],code29)</f>
        <v>0</v>
      </c>
      <c r="BM130" s="473"/>
      <c r="BN130" s="473"/>
      <c r="BO130" s="473"/>
      <c r="BP130" s="473"/>
      <c r="BQ130" s="473"/>
      <c r="BR130" s="473"/>
      <c r="BS130" s="473"/>
      <c r="BT130" s="473"/>
      <c r="BU130" s="473"/>
      <c r="BV130" s="473"/>
      <c r="BW130" s="473"/>
      <c r="BX130" s="473"/>
      <c r="BY130" s="473"/>
      <c r="BZ130" s="473"/>
      <c r="CA130" s="473"/>
      <c r="CB130" s="473"/>
      <c r="CC130" s="473"/>
      <c r="CD130" s="473"/>
      <c r="CE130" s="473"/>
      <c r="CF130" s="473"/>
      <c r="CG130" s="473"/>
      <c r="CH130" s="473"/>
      <c r="CI130" s="473"/>
      <c r="CJ130" s="473"/>
      <c r="CK130" s="473"/>
      <c r="CL130" s="473"/>
      <c r="CM130" s="473"/>
      <c r="CN130" s="473"/>
      <c r="CO130" s="473"/>
      <c r="CP130" s="473"/>
      <c r="CQ130" s="473"/>
      <c r="CR130" s="473"/>
      <c r="CS130" s="473"/>
      <c r="CT130" s="473"/>
      <c r="CU130" s="516"/>
      <c r="CV130" s="501">
        <f t="shared" si="4"/>
        <v>0</v>
      </c>
      <c r="CW130" s="501">
        <f t="shared" si="5"/>
        <v>0</v>
      </c>
      <c r="CX130" s="473">
        <f t="shared" si="6"/>
        <v>0</v>
      </c>
      <c r="CY130" s="512">
        <f t="shared" si="7"/>
        <v>0</v>
      </c>
    </row>
    <row r="131" spans="1:103">
      <c r="A131" s="112" t="s">
        <v>472</v>
      </c>
      <c r="B131" s="162" t="str">
        <f>IFERROR(VLOOKUP(ParicipationJuillet1[[#This Row],[Référence]],ListeÉtudiants1[],18,FALSE),"")</f>
        <v>TOTO SANDY</v>
      </c>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640"/>
      <c r="AH131" s="202">
        <f>COUNTIF(ParicipationJuillet1[[#This Row],[1]:[31]],Code1)</f>
        <v>0</v>
      </c>
      <c r="AI131" s="475">
        <f>COUNTIF(ParicipationJuillet1[[#This Row],[1]:[31]],code22)</f>
        <v>0</v>
      </c>
      <c r="AJ131" s="202">
        <f>COUNTIF(ParicipationJuillet1[[#This Row],[1]:[31]],Code2)</f>
        <v>0</v>
      </c>
      <c r="AK131" s="202">
        <f>COUNTIF(ParicipationJuillet1[[#This Row],[1]:[31]],Code3)</f>
        <v>0</v>
      </c>
      <c r="AL131" s="202">
        <f>COUNTIF(ParicipationJuillet1[[#This Row],[1]:[31]],Code4)</f>
        <v>0</v>
      </c>
      <c r="AM131" s="473">
        <f>COUNTIF(ParicipationJuillet1[[#This Row],[1]:[31]],Code5)</f>
        <v>0</v>
      </c>
      <c r="AN131" s="473">
        <f>COUNTIF(ParicipationJuillet1[[#This Row],[1]:[31]],Code23)</f>
        <v>0</v>
      </c>
      <c r="AO131" s="473">
        <f>COUNTIF(ParicipationJuillet1[[#This Row],[1]:[31]],Code6)</f>
        <v>0</v>
      </c>
      <c r="AP131" s="473">
        <f>COUNTIF(ParicipationJuillet1[[#This Row],[1]:[31]],Code7)</f>
        <v>0</v>
      </c>
      <c r="AQ131" s="473">
        <f>COUNTIF(ParicipationJuillet1[[#This Row],[1]:[31]],Code8)</f>
        <v>0</v>
      </c>
      <c r="AR131" s="473">
        <f>COUNTIF(ParicipationJuillet1[[#This Row],[1]:[31]],Code9)</f>
        <v>0</v>
      </c>
      <c r="AS131" s="473">
        <f>COUNTIF(ParicipationJuillet1[[#This Row],[1]:[31]],Code10)</f>
        <v>0</v>
      </c>
      <c r="AT131" s="473">
        <f>COUNTIF(ParicipationJuillet1[[#This Row],[1]:[31]],Code11)</f>
        <v>0</v>
      </c>
      <c r="AU131" s="473">
        <f>COUNTIF(ParicipationJuillet1[[#This Row],[1]:[31]],Code12)</f>
        <v>0</v>
      </c>
      <c r="AV131" s="473">
        <f>COUNTIF(ParicipationJuillet1[[#This Row],[1]:[31]],Code13)</f>
        <v>0</v>
      </c>
      <c r="AW131" s="473">
        <f>COUNTIF(ParicipationJuillet1[[#This Row],[1]:[31]],Code14)</f>
        <v>0</v>
      </c>
      <c r="AX131" s="473">
        <f>COUNTIF(ParicipationJuillet1[[#This Row],[1]:[31]],Code15)</f>
        <v>0</v>
      </c>
      <c r="AY131" s="473">
        <f>COUNTIF(ParicipationJuillet1[[#This Row],[1]:[31]],Code16)</f>
        <v>0</v>
      </c>
      <c r="AZ131" s="473">
        <f>COUNTIF(ParicipationJuillet1[[#This Row],[1]:[31]],Code17)</f>
        <v>0</v>
      </c>
      <c r="BA131" s="473">
        <f>COUNTIF(ParicipationJuillet1[[#This Row],[1]:[31]],Code25)</f>
        <v>0</v>
      </c>
      <c r="BB131" s="473">
        <f>COUNTIF(ParicipationJuillet1[[#This Row],[1]:[31]],Code26)</f>
        <v>0</v>
      </c>
      <c r="BC131" s="473">
        <f>COUNTIF(ParicipationJuillet1[[#This Row],[1]:[31]],Code27)</f>
        <v>0</v>
      </c>
      <c r="BD131" s="473">
        <f>COUNTIF(ParicipationJuillet1[[#This Row],[1]:[31]],Code28)</f>
        <v>0</v>
      </c>
      <c r="BE131" s="473">
        <f>COUNTIF(ParicipationJuillet1[[#This Row],[1]:[31]],code30)</f>
        <v>0</v>
      </c>
      <c r="BF131" s="473">
        <f>COUNTIF(ParicipationJuillet1[[#This Row],[1]:[31]],Code31)</f>
        <v>0</v>
      </c>
      <c r="BG131" s="473">
        <f>COUNTIF(ParicipationJuillet1[[#This Row],[1]:[31]],code21)</f>
        <v>0</v>
      </c>
      <c r="BH131" s="473">
        <f>COUNTIF(ParicipationJuillet1[[#This Row],[1]:[31]],Code24)</f>
        <v>0</v>
      </c>
      <c r="BI131" s="473">
        <f>COUNTIF(ParicipationJuillet1[[#This Row],[1]:[31]],code18)</f>
        <v>0</v>
      </c>
      <c r="BJ131" s="473">
        <f>COUNTIF(ParicipationJuillet1[[#This Row],[1]:[31]],code19)</f>
        <v>0</v>
      </c>
      <c r="BK131" s="473">
        <f>COUNTIF(ParicipationJuillet1[[#This Row],[1]:[31]],code20)</f>
        <v>0</v>
      </c>
      <c r="BL131" s="516">
        <f>COUNTIF(ParicipationJuillet1[[#This Row],[1]:[31]],code29)</f>
        <v>0</v>
      </c>
      <c r="BM131" s="473"/>
      <c r="BN131" s="473"/>
      <c r="BO131" s="473"/>
      <c r="BP131" s="473"/>
      <c r="BQ131" s="473"/>
      <c r="BR131" s="473"/>
      <c r="BS131" s="473"/>
      <c r="BT131" s="473"/>
      <c r="BU131" s="473"/>
      <c r="BV131" s="473"/>
      <c r="BW131" s="473"/>
      <c r="BX131" s="473"/>
      <c r="BY131" s="473"/>
      <c r="BZ131" s="473"/>
      <c r="CA131" s="473"/>
      <c r="CB131" s="473"/>
      <c r="CC131" s="473"/>
      <c r="CD131" s="473"/>
      <c r="CE131" s="473"/>
      <c r="CF131" s="473"/>
      <c r="CG131" s="473"/>
      <c r="CH131" s="473"/>
      <c r="CI131" s="473"/>
      <c r="CJ131" s="473"/>
      <c r="CK131" s="473"/>
      <c r="CL131" s="473"/>
      <c r="CM131" s="473"/>
      <c r="CN131" s="473"/>
      <c r="CO131" s="473"/>
      <c r="CP131" s="473"/>
      <c r="CQ131" s="473"/>
      <c r="CR131" s="473"/>
      <c r="CS131" s="473"/>
      <c r="CT131" s="473"/>
      <c r="CU131" s="516"/>
      <c r="CV131" s="501">
        <f t="shared" si="4"/>
        <v>0</v>
      </c>
      <c r="CW131" s="501">
        <f t="shared" si="5"/>
        <v>0</v>
      </c>
      <c r="CX131" s="473">
        <f t="shared" si="6"/>
        <v>0</v>
      </c>
      <c r="CY131" s="512">
        <f t="shared" si="7"/>
        <v>0</v>
      </c>
    </row>
    <row r="132" spans="1:103">
      <c r="A132" s="112" t="s">
        <v>473</v>
      </c>
      <c r="B132" s="162" t="str">
        <f>IFERROR(VLOOKUP(ParicipationJuillet1[[#This Row],[Référence]],ListeÉtudiants1[],18,FALSE),"")</f>
        <v>TOUAZI EMMA</v>
      </c>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640"/>
      <c r="AH132" s="202">
        <f>COUNTIF(ParicipationJuillet1[[#This Row],[1]:[31]],Code1)</f>
        <v>0</v>
      </c>
      <c r="AI132" s="475">
        <f>COUNTIF(ParicipationJuillet1[[#This Row],[1]:[31]],code22)</f>
        <v>0</v>
      </c>
      <c r="AJ132" s="202">
        <f>COUNTIF(ParicipationJuillet1[[#This Row],[1]:[31]],Code2)</f>
        <v>0</v>
      </c>
      <c r="AK132" s="202">
        <f>COUNTIF(ParicipationJuillet1[[#This Row],[1]:[31]],Code3)</f>
        <v>0</v>
      </c>
      <c r="AL132" s="202">
        <f>COUNTIF(ParicipationJuillet1[[#This Row],[1]:[31]],Code4)</f>
        <v>0</v>
      </c>
      <c r="AM132" s="473">
        <f>COUNTIF(ParicipationJuillet1[[#This Row],[1]:[31]],Code5)</f>
        <v>0</v>
      </c>
      <c r="AN132" s="473">
        <f>COUNTIF(ParicipationJuillet1[[#This Row],[1]:[31]],Code23)</f>
        <v>0</v>
      </c>
      <c r="AO132" s="473">
        <f>COUNTIF(ParicipationJuillet1[[#This Row],[1]:[31]],Code6)</f>
        <v>0</v>
      </c>
      <c r="AP132" s="473">
        <f>COUNTIF(ParicipationJuillet1[[#This Row],[1]:[31]],Code7)</f>
        <v>0</v>
      </c>
      <c r="AQ132" s="473">
        <f>COUNTIF(ParicipationJuillet1[[#This Row],[1]:[31]],Code8)</f>
        <v>0</v>
      </c>
      <c r="AR132" s="473">
        <f>COUNTIF(ParicipationJuillet1[[#This Row],[1]:[31]],Code9)</f>
        <v>0</v>
      </c>
      <c r="AS132" s="473">
        <f>COUNTIF(ParicipationJuillet1[[#This Row],[1]:[31]],Code10)</f>
        <v>0</v>
      </c>
      <c r="AT132" s="473">
        <f>COUNTIF(ParicipationJuillet1[[#This Row],[1]:[31]],Code11)</f>
        <v>0</v>
      </c>
      <c r="AU132" s="473">
        <f>COUNTIF(ParicipationJuillet1[[#This Row],[1]:[31]],Code12)</f>
        <v>0</v>
      </c>
      <c r="AV132" s="473">
        <f>COUNTIF(ParicipationJuillet1[[#This Row],[1]:[31]],Code13)</f>
        <v>0</v>
      </c>
      <c r="AW132" s="473">
        <f>COUNTIF(ParicipationJuillet1[[#This Row],[1]:[31]],Code14)</f>
        <v>0</v>
      </c>
      <c r="AX132" s="473">
        <f>COUNTIF(ParicipationJuillet1[[#This Row],[1]:[31]],Code15)</f>
        <v>0</v>
      </c>
      <c r="AY132" s="473">
        <f>COUNTIF(ParicipationJuillet1[[#This Row],[1]:[31]],Code16)</f>
        <v>0</v>
      </c>
      <c r="AZ132" s="473">
        <f>COUNTIF(ParicipationJuillet1[[#This Row],[1]:[31]],Code17)</f>
        <v>0</v>
      </c>
      <c r="BA132" s="473">
        <f>COUNTIF(ParicipationJuillet1[[#This Row],[1]:[31]],Code25)</f>
        <v>0</v>
      </c>
      <c r="BB132" s="473">
        <f>COUNTIF(ParicipationJuillet1[[#This Row],[1]:[31]],Code26)</f>
        <v>0</v>
      </c>
      <c r="BC132" s="473">
        <f>COUNTIF(ParicipationJuillet1[[#This Row],[1]:[31]],Code27)</f>
        <v>0</v>
      </c>
      <c r="BD132" s="473">
        <f>COUNTIF(ParicipationJuillet1[[#This Row],[1]:[31]],Code28)</f>
        <v>0</v>
      </c>
      <c r="BE132" s="473">
        <f>COUNTIF(ParicipationJuillet1[[#This Row],[1]:[31]],code30)</f>
        <v>0</v>
      </c>
      <c r="BF132" s="473">
        <f>COUNTIF(ParicipationJuillet1[[#This Row],[1]:[31]],Code31)</f>
        <v>0</v>
      </c>
      <c r="BG132" s="473">
        <f>COUNTIF(ParicipationJuillet1[[#This Row],[1]:[31]],code21)</f>
        <v>0</v>
      </c>
      <c r="BH132" s="473">
        <f>COUNTIF(ParicipationJuillet1[[#This Row],[1]:[31]],Code24)</f>
        <v>0</v>
      </c>
      <c r="BI132" s="473">
        <f>COUNTIF(ParicipationJuillet1[[#This Row],[1]:[31]],code18)</f>
        <v>0</v>
      </c>
      <c r="BJ132" s="473">
        <f>COUNTIF(ParicipationJuillet1[[#This Row],[1]:[31]],code19)</f>
        <v>0</v>
      </c>
      <c r="BK132" s="473">
        <f>COUNTIF(ParicipationJuillet1[[#This Row],[1]:[31]],code20)</f>
        <v>0</v>
      </c>
      <c r="BL132" s="516">
        <f>COUNTIF(ParicipationJuillet1[[#This Row],[1]:[31]],code29)</f>
        <v>0</v>
      </c>
      <c r="BM132" s="473"/>
      <c r="BN132" s="473"/>
      <c r="BO132" s="473"/>
      <c r="BP132" s="473"/>
      <c r="BQ132" s="473"/>
      <c r="BR132" s="473"/>
      <c r="BS132" s="473"/>
      <c r="BT132" s="473"/>
      <c r="BU132" s="473"/>
      <c r="BV132" s="473"/>
      <c r="BW132" s="473"/>
      <c r="BX132" s="473"/>
      <c r="BY132" s="473"/>
      <c r="BZ132" s="473"/>
      <c r="CA132" s="473"/>
      <c r="CB132" s="473"/>
      <c r="CC132" s="473"/>
      <c r="CD132" s="473"/>
      <c r="CE132" s="473"/>
      <c r="CF132" s="473"/>
      <c r="CG132" s="473"/>
      <c r="CH132" s="473"/>
      <c r="CI132" s="473"/>
      <c r="CJ132" s="473"/>
      <c r="CK132" s="473"/>
      <c r="CL132" s="473"/>
      <c r="CM132" s="473"/>
      <c r="CN132" s="473"/>
      <c r="CO132" s="473"/>
      <c r="CP132" s="473"/>
      <c r="CQ132" s="473"/>
      <c r="CR132" s="473"/>
      <c r="CS132" s="473"/>
      <c r="CT132" s="473"/>
      <c r="CU132" s="516"/>
      <c r="CV132" s="501">
        <f t="shared" si="4"/>
        <v>0</v>
      </c>
      <c r="CW132" s="501">
        <f t="shared" si="5"/>
        <v>0</v>
      </c>
      <c r="CX132" s="473">
        <f t="shared" si="6"/>
        <v>0</v>
      </c>
      <c r="CY132" s="512">
        <f t="shared" si="7"/>
        <v>0</v>
      </c>
    </row>
    <row r="133" spans="1:103">
      <c r="A133" s="112" t="s">
        <v>474</v>
      </c>
      <c r="B133" s="162" t="str">
        <f>IFERROR(VLOOKUP(ParicipationJuillet1[[#This Row],[Référence]],ListeÉtudiants1[],18,FALSE),"")</f>
        <v>TOUIDJINE VICTORIA</v>
      </c>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640"/>
      <c r="AH133" s="202">
        <f>COUNTIF(ParicipationJuillet1[[#This Row],[1]:[31]],Code1)</f>
        <v>0</v>
      </c>
      <c r="AI133" s="475">
        <f>COUNTIF(ParicipationJuillet1[[#This Row],[1]:[31]],code22)</f>
        <v>0</v>
      </c>
      <c r="AJ133" s="202">
        <f>COUNTIF(ParicipationJuillet1[[#This Row],[1]:[31]],Code2)</f>
        <v>0</v>
      </c>
      <c r="AK133" s="202">
        <f>COUNTIF(ParicipationJuillet1[[#This Row],[1]:[31]],Code3)</f>
        <v>0</v>
      </c>
      <c r="AL133" s="202">
        <f>COUNTIF(ParicipationJuillet1[[#This Row],[1]:[31]],Code4)</f>
        <v>0</v>
      </c>
      <c r="AM133" s="473">
        <f>COUNTIF(ParicipationJuillet1[[#This Row],[1]:[31]],Code5)</f>
        <v>0</v>
      </c>
      <c r="AN133" s="473">
        <f>COUNTIF(ParicipationJuillet1[[#This Row],[1]:[31]],Code23)</f>
        <v>0</v>
      </c>
      <c r="AO133" s="473">
        <f>COUNTIF(ParicipationJuillet1[[#This Row],[1]:[31]],Code6)</f>
        <v>0</v>
      </c>
      <c r="AP133" s="473">
        <f>COUNTIF(ParicipationJuillet1[[#This Row],[1]:[31]],Code7)</f>
        <v>0</v>
      </c>
      <c r="AQ133" s="473">
        <f>COUNTIF(ParicipationJuillet1[[#This Row],[1]:[31]],Code8)</f>
        <v>0</v>
      </c>
      <c r="AR133" s="473">
        <f>COUNTIF(ParicipationJuillet1[[#This Row],[1]:[31]],Code9)</f>
        <v>0</v>
      </c>
      <c r="AS133" s="473">
        <f>COUNTIF(ParicipationJuillet1[[#This Row],[1]:[31]],Code10)</f>
        <v>0</v>
      </c>
      <c r="AT133" s="473">
        <f>COUNTIF(ParicipationJuillet1[[#This Row],[1]:[31]],Code11)</f>
        <v>0</v>
      </c>
      <c r="AU133" s="473">
        <f>COUNTIF(ParicipationJuillet1[[#This Row],[1]:[31]],Code12)</f>
        <v>0</v>
      </c>
      <c r="AV133" s="473">
        <f>COUNTIF(ParicipationJuillet1[[#This Row],[1]:[31]],Code13)</f>
        <v>0</v>
      </c>
      <c r="AW133" s="473">
        <f>COUNTIF(ParicipationJuillet1[[#This Row],[1]:[31]],Code14)</f>
        <v>0</v>
      </c>
      <c r="AX133" s="473">
        <f>COUNTIF(ParicipationJuillet1[[#This Row],[1]:[31]],Code15)</f>
        <v>0</v>
      </c>
      <c r="AY133" s="473">
        <f>COUNTIF(ParicipationJuillet1[[#This Row],[1]:[31]],Code16)</f>
        <v>0</v>
      </c>
      <c r="AZ133" s="473">
        <f>COUNTIF(ParicipationJuillet1[[#This Row],[1]:[31]],Code17)</f>
        <v>0</v>
      </c>
      <c r="BA133" s="473">
        <f>COUNTIF(ParicipationJuillet1[[#This Row],[1]:[31]],Code25)</f>
        <v>0</v>
      </c>
      <c r="BB133" s="473">
        <f>COUNTIF(ParicipationJuillet1[[#This Row],[1]:[31]],Code26)</f>
        <v>0</v>
      </c>
      <c r="BC133" s="473">
        <f>COUNTIF(ParicipationJuillet1[[#This Row],[1]:[31]],Code27)</f>
        <v>0</v>
      </c>
      <c r="BD133" s="473">
        <f>COUNTIF(ParicipationJuillet1[[#This Row],[1]:[31]],Code28)</f>
        <v>0</v>
      </c>
      <c r="BE133" s="473">
        <f>COUNTIF(ParicipationJuillet1[[#This Row],[1]:[31]],code30)</f>
        <v>0</v>
      </c>
      <c r="BF133" s="473">
        <f>COUNTIF(ParicipationJuillet1[[#This Row],[1]:[31]],Code31)</f>
        <v>0</v>
      </c>
      <c r="BG133" s="473">
        <f>COUNTIF(ParicipationJuillet1[[#This Row],[1]:[31]],code21)</f>
        <v>0</v>
      </c>
      <c r="BH133" s="473">
        <f>COUNTIF(ParicipationJuillet1[[#This Row],[1]:[31]],Code24)</f>
        <v>0</v>
      </c>
      <c r="BI133" s="473">
        <f>COUNTIF(ParicipationJuillet1[[#This Row],[1]:[31]],code18)</f>
        <v>0</v>
      </c>
      <c r="BJ133" s="473">
        <f>COUNTIF(ParicipationJuillet1[[#This Row],[1]:[31]],code19)</f>
        <v>0</v>
      </c>
      <c r="BK133" s="473">
        <f>COUNTIF(ParicipationJuillet1[[#This Row],[1]:[31]],code20)</f>
        <v>0</v>
      </c>
      <c r="BL133" s="516">
        <f>COUNTIF(ParicipationJuillet1[[#This Row],[1]:[31]],code29)</f>
        <v>0</v>
      </c>
      <c r="BM133" s="473"/>
      <c r="BN133" s="473"/>
      <c r="BO133" s="473"/>
      <c r="BP133" s="473"/>
      <c r="BQ133" s="473"/>
      <c r="BR133" s="473"/>
      <c r="BS133" s="473"/>
      <c r="BT133" s="473"/>
      <c r="BU133" s="473"/>
      <c r="BV133" s="473"/>
      <c r="BW133" s="473"/>
      <c r="BX133" s="473"/>
      <c r="BY133" s="473"/>
      <c r="BZ133" s="473"/>
      <c r="CA133" s="473"/>
      <c r="CB133" s="473"/>
      <c r="CC133" s="473"/>
      <c r="CD133" s="473"/>
      <c r="CE133" s="473"/>
      <c r="CF133" s="473"/>
      <c r="CG133" s="473"/>
      <c r="CH133" s="473"/>
      <c r="CI133" s="473"/>
      <c r="CJ133" s="473"/>
      <c r="CK133" s="473"/>
      <c r="CL133" s="473"/>
      <c r="CM133" s="473"/>
      <c r="CN133" s="473"/>
      <c r="CO133" s="473"/>
      <c r="CP133" s="473"/>
      <c r="CQ133" s="473"/>
      <c r="CR133" s="473"/>
      <c r="CS133" s="473"/>
      <c r="CT133" s="473"/>
      <c r="CU133" s="516"/>
      <c r="CV133" s="501">
        <f t="shared" si="4"/>
        <v>0</v>
      </c>
      <c r="CW133" s="501">
        <f t="shared" si="5"/>
        <v>0</v>
      </c>
      <c r="CX133" s="473">
        <f t="shared" si="6"/>
        <v>0</v>
      </c>
      <c r="CY133" s="512">
        <f t="shared" si="7"/>
        <v>0</v>
      </c>
    </row>
    <row r="134" spans="1:103">
      <c r="A134" s="112" t="s">
        <v>475</v>
      </c>
      <c r="B134" s="162" t="str">
        <f>IFERROR(VLOOKUP(ParicipationJuillet1[[#This Row],[Référence]],ListeÉtudiants1[],18,FALSE),"")</f>
        <v>TOURE SIPA</v>
      </c>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640"/>
      <c r="AH134" s="202">
        <f>COUNTIF(ParicipationJuillet1[[#This Row],[1]:[31]],Code1)</f>
        <v>0</v>
      </c>
      <c r="AI134" s="475">
        <f>COUNTIF(ParicipationJuillet1[[#This Row],[1]:[31]],code22)</f>
        <v>0</v>
      </c>
      <c r="AJ134" s="202">
        <f>COUNTIF(ParicipationJuillet1[[#This Row],[1]:[31]],Code2)</f>
        <v>0</v>
      </c>
      <c r="AK134" s="202">
        <f>COUNTIF(ParicipationJuillet1[[#This Row],[1]:[31]],Code3)</f>
        <v>0</v>
      </c>
      <c r="AL134" s="202">
        <f>COUNTIF(ParicipationJuillet1[[#This Row],[1]:[31]],Code4)</f>
        <v>0</v>
      </c>
      <c r="AM134" s="473">
        <f>COUNTIF(ParicipationJuillet1[[#This Row],[1]:[31]],Code5)</f>
        <v>0</v>
      </c>
      <c r="AN134" s="473">
        <f>COUNTIF(ParicipationJuillet1[[#This Row],[1]:[31]],Code23)</f>
        <v>0</v>
      </c>
      <c r="AO134" s="473">
        <f>COUNTIF(ParicipationJuillet1[[#This Row],[1]:[31]],Code6)</f>
        <v>0</v>
      </c>
      <c r="AP134" s="473">
        <f>COUNTIF(ParicipationJuillet1[[#This Row],[1]:[31]],Code7)</f>
        <v>0</v>
      </c>
      <c r="AQ134" s="473">
        <f>COUNTIF(ParicipationJuillet1[[#This Row],[1]:[31]],Code8)</f>
        <v>0</v>
      </c>
      <c r="AR134" s="473">
        <f>COUNTIF(ParicipationJuillet1[[#This Row],[1]:[31]],Code9)</f>
        <v>0</v>
      </c>
      <c r="AS134" s="473">
        <f>COUNTIF(ParicipationJuillet1[[#This Row],[1]:[31]],Code10)</f>
        <v>0</v>
      </c>
      <c r="AT134" s="473">
        <f>COUNTIF(ParicipationJuillet1[[#This Row],[1]:[31]],Code11)</f>
        <v>0</v>
      </c>
      <c r="AU134" s="473">
        <f>COUNTIF(ParicipationJuillet1[[#This Row],[1]:[31]],Code12)</f>
        <v>0</v>
      </c>
      <c r="AV134" s="473">
        <f>COUNTIF(ParicipationJuillet1[[#This Row],[1]:[31]],Code13)</f>
        <v>0</v>
      </c>
      <c r="AW134" s="473">
        <f>COUNTIF(ParicipationJuillet1[[#This Row],[1]:[31]],Code14)</f>
        <v>0</v>
      </c>
      <c r="AX134" s="473">
        <f>COUNTIF(ParicipationJuillet1[[#This Row],[1]:[31]],Code15)</f>
        <v>0</v>
      </c>
      <c r="AY134" s="473">
        <f>COUNTIF(ParicipationJuillet1[[#This Row],[1]:[31]],Code16)</f>
        <v>0</v>
      </c>
      <c r="AZ134" s="473">
        <f>COUNTIF(ParicipationJuillet1[[#This Row],[1]:[31]],Code17)</f>
        <v>0</v>
      </c>
      <c r="BA134" s="473">
        <f>COUNTIF(ParicipationJuillet1[[#This Row],[1]:[31]],Code25)</f>
        <v>0</v>
      </c>
      <c r="BB134" s="473">
        <f>COUNTIF(ParicipationJuillet1[[#This Row],[1]:[31]],Code26)</f>
        <v>0</v>
      </c>
      <c r="BC134" s="473">
        <f>COUNTIF(ParicipationJuillet1[[#This Row],[1]:[31]],Code27)</f>
        <v>0</v>
      </c>
      <c r="BD134" s="473">
        <f>COUNTIF(ParicipationJuillet1[[#This Row],[1]:[31]],Code28)</f>
        <v>0</v>
      </c>
      <c r="BE134" s="473">
        <f>COUNTIF(ParicipationJuillet1[[#This Row],[1]:[31]],code30)</f>
        <v>0</v>
      </c>
      <c r="BF134" s="473">
        <f>COUNTIF(ParicipationJuillet1[[#This Row],[1]:[31]],Code31)</f>
        <v>0</v>
      </c>
      <c r="BG134" s="473">
        <f>COUNTIF(ParicipationJuillet1[[#This Row],[1]:[31]],code21)</f>
        <v>0</v>
      </c>
      <c r="BH134" s="473">
        <f>COUNTIF(ParicipationJuillet1[[#This Row],[1]:[31]],Code24)</f>
        <v>0</v>
      </c>
      <c r="BI134" s="473">
        <f>COUNTIF(ParicipationJuillet1[[#This Row],[1]:[31]],code18)</f>
        <v>0</v>
      </c>
      <c r="BJ134" s="473">
        <f>COUNTIF(ParicipationJuillet1[[#This Row],[1]:[31]],code19)</f>
        <v>0</v>
      </c>
      <c r="BK134" s="473">
        <f>COUNTIF(ParicipationJuillet1[[#This Row],[1]:[31]],code20)</f>
        <v>0</v>
      </c>
      <c r="BL134" s="516">
        <f>COUNTIF(ParicipationJuillet1[[#This Row],[1]:[31]],code29)</f>
        <v>0</v>
      </c>
      <c r="BM134" s="473"/>
      <c r="BN134" s="473"/>
      <c r="BO134" s="473"/>
      <c r="BP134" s="473"/>
      <c r="BQ134" s="473"/>
      <c r="BR134" s="473"/>
      <c r="BS134" s="473"/>
      <c r="BT134" s="473"/>
      <c r="BU134" s="473"/>
      <c r="BV134" s="473"/>
      <c r="BW134" s="473"/>
      <c r="BX134" s="473"/>
      <c r="BY134" s="473"/>
      <c r="BZ134" s="473"/>
      <c r="CA134" s="473"/>
      <c r="CB134" s="473"/>
      <c r="CC134" s="473"/>
      <c r="CD134" s="473"/>
      <c r="CE134" s="473"/>
      <c r="CF134" s="473"/>
      <c r="CG134" s="473"/>
      <c r="CH134" s="473"/>
      <c r="CI134" s="473"/>
      <c r="CJ134" s="473"/>
      <c r="CK134" s="473"/>
      <c r="CL134" s="473"/>
      <c r="CM134" s="473"/>
      <c r="CN134" s="473"/>
      <c r="CO134" s="473"/>
      <c r="CP134" s="473"/>
      <c r="CQ134" s="473"/>
      <c r="CR134" s="473"/>
      <c r="CS134" s="473"/>
      <c r="CT134" s="473"/>
      <c r="CU134" s="516"/>
      <c r="CV134" s="501">
        <f t="shared" si="4"/>
        <v>0</v>
      </c>
      <c r="CW134" s="501">
        <f t="shared" si="5"/>
        <v>0</v>
      </c>
      <c r="CX134" s="473">
        <f t="shared" si="6"/>
        <v>0</v>
      </c>
      <c r="CY134" s="512">
        <f t="shared" si="7"/>
        <v>0</v>
      </c>
    </row>
    <row r="135" spans="1:103">
      <c r="A135" s="112" t="s">
        <v>476</v>
      </c>
      <c r="B135" s="162" t="str">
        <f>IFERROR(VLOOKUP(ParicipationJuillet1[[#This Row],[Référence]],ListeÉtudiants1[],18,FALSE),"")</f>
        <v>TRIPET AMANDINE</v>
      </c>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640"/>
      <c r="AH135" s="202">
        <f>COUNTIF(ParicipationJuillet1[[#This Row],[1]:[31]],Code1)</f>
        <v>0</v>
      </c>
      <c r="AI135" s="475">
        <f>COUNTIF(ParicipationJuillet1[[#This Row],[1]:[31]],code22)</f>
        <v>0</v>
      </c>
      <c r="AJ135" s="202">
        <f>COUNTIF(ParicipationJuillet1[[#This Row],[1]:[31]],Code2)</f>
        <v>0</v>
      </c>
      <c r="AK135" s="202">
        <f>COUNTIF(ParicipationJuillet1[[#This Row],[1]:[31]],Code3)</f>
        <v>0</v>
      </c>
      <c r="AL135" s="202">
        <f>COUNTIF(ParicipationJuillet1[[#This Row],[1]:[31]],Code4)</f>
        <v>0</v>
      </c>
      <c r="AM135" s="473">
        <f>COUNTIF(ParicipationJuillet1[[#This Row],[1]:[31]],Code5)</f>
        <v>0</v>
      </c>
      <c r="AN135" s="473">
        <f>COUNTIF(ParicipationJuillet1[[#This Row],[1]:[31]],Code23)</f>
        <v>0</v>
      </c>
      <c r="AO135" s="473">
        <f>COUNTIF(ParicipationJuillet1[[#This Row],[1]:[31]],Code6)</f>
        <v>0</v>
      </c>
      <c r="AP135" s="473">
        <f>COUNTIF(ParicipationJuillet1[[#This Row],[1]:[31]],Code7)</f>
        <v>0</v>
      </c>
      <c r="AQ135" s="473">
        <f>COUNTIF(ParicipationJuillet1[[#This Row],[1]:[31]],Code8)</f>
        <v>0</v>
      </c>
      <c r="AR135" s="473">
        <f>COUNTIF(ParicipationJuillet1[[#This Row],[1]:[31]],Code9)</f>
        <v>0</v>
      </c>
      <c r="AS135" s="473">
        <f>COUNTIF(ParicipationJuillet1[[#This Row],[1]:[31]],Code10)</f>
        <v>0</v>
      </c>
      <c r="AT135" s="473">
        <f>COUNTIF(ParicipationJuillet1[[#This Row],[1]:[31]],Code11)</f>
        <v>0</v>
      </c>
      <c r="AU135" s="473">
        <f>COUNTIF(ParicipationJuillet1[[#This Row],[1]:[31]],Code12)</f>
        <v>0</v>
      </c>
      <c r="AV135" s="473">
        <f>COUNTIF(ParicipationJuillet1[[#This Row],[1]:[31]],Code13)</f>
        <v>0</v>
      </c>
      <c r="AW135" s="473">
        <f>COUNTIF(ParicipationJuillet1[[#This Row],[1]:[31]],Code14)</f>
        <v>0</v>
      </c>
      <c r="AX135" s="473">
        <f>COUNTIF(ParicipationJuillet1[[#This Row],[1]:[31]],Code15)</f>
        <v>0</v>
      </c>
      <c r="AY135" s="473">
        <f>COUNTIF(ParicipationJuillet1[[#This Row],[1]:[31]],Code16)</f>
        <v>0</v>
      </c>
      <c r="AZ135" s="473">
        <f>COUNTIF(ParicipationJuillet1[[#This Row],[1]:[31]],Code17)</f>
        <v>0</v>
      </c>
      <c r="BA135" s="473">
        <f>COUNTIF(ParicipationJuillet1[[#This Row],[1]:[31]],Code25)</f>
        <v>0</v>
      </c>
      <c r="BB135" s="473">
        <f>COUNTIF(ParicipationJuillet1[[#This Row],[1]:[31]],Code26)</f>
        <v>0</v>
      </c>
      <c r="BC135" s="473">
        <f>COUNTIF(ParicipationJuillet1[[#This Row],[1]:[31]],Code27)</f>
        <v>0</v>
      </c>
      <c r="BD135" s="473">
        <f>COUNTIF(ParicipationJuillet1[[#This Row],[1]:[31]],Code28)</f>
        <v>0</v>
      </c>
      <c r="BE135" s="473">
        <f>COUNTIF(ParicipationJuillet1[[#This Row],[1]:[31]],code30)</f>
        <v>0</v>
      </c>
      <c r="BF135" s="473">
        <f>COUNTIF(ParicipationJuillet1[[#This Row],[1]:[31]],Code31)</f>
        <v>0</v>
      </c>
      <c r="BG135" s="473">
        <f>COUNTIF(ParicipationJuillet1[[#This Row],[1]:[31]],code21)</f>
        <v>0</v>
      </c>
      <c r="BH135" s="473">
        <f>COUNTIF(ParicipationJuillet1[[#This Row],[1]:[31]],Code24)</f>
        <v>0</v>
      </c>
      <c r="BI135" s="473">
        <f>COUNTIF(ParicipationJuillet1[[#This Row],[1]:[31]],code18)</f>
        <v>0</v>
      </c>
      <c r="BJ135" s="473">
        <f>COUNTIF(ParicipationJuillet1[[#This Row],[1]:[31]],code19)</f>
        <v>0</v>
      </c>
      <c r="BK135" s="473">
        <f>COUNTIF(ParicipationJuillet1[[#This Row],[1]:[31]],code20)</f>
        <v>0</v>
      </c>
      <c r="BL135" s="516">
        <f>COUNTIF(ParicipationJuillet1[[#This Row],[1]:[31]],code29)</f>
        <v>0</v>
      </c>
      <c r="BM135" s="473"/>
      <c r="BN135" s="473"/>
      <c r="BO135" s="473"/>
      <c r="BP135" s="473"/>
      <c r="BQ135" s="473"/>
      <c r="BR135" s="473"/>
      <c r="BS135" s="473"/>
      <c r="BT135" s="473"/>
      <c r="BU135" s="473"/>
      <c r="BV135" s="473"/>
      <c r="BW135" s="473"/>
      <c r="BX135" s="473"/>
      <c r="BY135" s="473"/>
      <c r="BZ135" s="473"/>
      <c r="CA135" s="473"/>
      <c r="CB135" s="473"/>
      <c r="CC135" s="473"/>
      <c r="CD135" s="473"/>
      <c r="CE135" s="473"/>
      <c r="CF135" s="473"/>
      <c r="CG135" s="473"/>
      <c r="CH135" s="473"/>
      <c r="CI135" s="473"/>
      <c r="CJ135" s="473"/>
      <c r="CK135" s="473"/>
      <c r="CL135" s="473"/>
      <c r="CM135" s="473"/>
      <c r="CN135" s="473"/>
      <c r="CO135" s="473"/>
      <c r="CP135" s="473"/>
      <c r="CQ135" s="473"/>
      <c r="CR135" s="473"/>
      <c r="CS135" s="473"/>
      <c r="CT135" s="473"/>
      <c r="CU135" s="516"/>
      <c r="CV135" s="501">
        <f t="shared" si="4"/>
        <v>0</v>
      </c>
      <c r="CW135" s="501">
        <f t="shared" si="5"/>
        <v>0</v>
      </c>
      <c r="CX135" s="473">
        <f t="shared" si="6"/>
        <v>0</v>
      </c>
      <c r="CY135" s="512">
        <f t="shared" si="7"/>
        <v>0</v>
      </c>
    </row>
    <row r="136" spans="1:103">
      <c r="A136" s="112" t="s">
        <v>477</v>
      </c>
      <c r="B136" s="162" t="str">
        <f>IFERROR(VLOOKUP(ParicipationJuillet1[[#This Row],[Référence]],ListeÉtudiants1[],18,FALSE),"")</f>
        <v>UGOLIN MARIE-ROSE</v>
      </c>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640"/>
      <c r="AH136" s="202">
        <f>COUNTIF(ParicipationJuillet1[[#This Row],[1]:[31]],Code1)</f>
        <v>0</v>
      </c>
      <c r="AI136" s="475">
        <f>COUNTIF(ParicipationJuillet1[[#This Row],[1]:[31]],code22)</f>
        <v>0</v>
      </c>
      <c r="AJ136" s="202">
        <f>COUNTIF(ParicipationJuillet1[[#This Row],[1]:[31]],Code2)</f>
        <v>0</v>
      </c>
      <c r="AK136" s="202">
        <f>COUNTIF(ParicipationJuillet1[[#This Row],[1]:[31]],Code3)</f>
        <v>0</v>
      </c>
      <c r="AL136" s="202">
        <f>COUNTIF(ParicipationJuillet1[[#This Row],[1]:[31]],Code4)</f>
        <v>0</v>
      </c>
      <c r="AM136" s="473">
        <f>COUNTIF(ParicipationJuillet1[[#This Row],[1]:[31]],Code5)</f>
        <v>0</v>
      </c>
      <c r="AN136" s="473">
        <f>COUNTIF(ParicipationJuillet1[[#This Row],[1]:[31]],Code23)</f>
        <v>0</v>
      </c>
      <c r="AO136" s="473">
        <f>COUNTIF(ParicipationJuillet1[[#This Row],[1]:[31]],Code6)</f>
        <v>0</v>
      </c>
      <c r="AP136" s="473">
        <f>COUNTIF(ParicipationJuillet1[[#This Row],[1]:[31]],Code7)</f>
        <v>0</v>
      </c>
      <c r="AQ136" s="473">
        <f>COUNTIF(ParicipationJuillet1[[#This Row],[1]:[31]],Code8)</f>
        <v>0</v>
      </c>
      <c r="AR136" s="473">
        <f>COUNTIF(ParicipationJuillet1[[#This Row],[1]:[31]],Code9)</f>
        <v>0</v>
      </c>
      <c r="AS136" s="473">
        <f>COUNTIF(ParicipationJuillet1[[#This Row],[1]:[31]],Code10)</f>
        <v>0</v>
      </c>
      <c r="AT136" s="473">
        <f>COUNTIF(ParicipationJuillet1[[#This Row],[1]:[31]],Code11)</f>
        <v>0</v>
      </c>
      <c r="AU136" s="473">
        <f>COUNTIF(ParicipationJuillet1[[#This Row],[1]:[31]],Code12)</f>
        <v>0</v>
      </c>
      <c r="AV136" s="473">
        <f>COUNTIF(ParicipationJuillet1[[#This Row],[1]:[31]],Code13)</f>
        <v>0</v>
      </c>
      <c r="AW136" s="473">
        <f>COUNTIF(ParicipationJuillet1[[#This Row],[1]:[31]],Code14)</f>
        <v>0</v>
      </c>
      <c r="AX136" s="473">
        <f>COUNTIF(ParicipationJuillet1[[#This Row],[1]:[31]],Code15)</f>
        <v>0</v>
      </c>
      <c r="AY136" s="473">
        <f>COUNTIF(ParicipationJuillet1[[#This Row],[1]:[31]],Code16)</f>
        <v>0</v>
      </c>
      <c r="AZ136" s="473">
        <f>COUNTIF(ParicipationJuillet1[[#This Row],[1]:[31]],Code17)</f>
        <v>0</v>
      </c>
      <c r="BA136" s="473">
        <f>COUNTIF(ParicipationJuillet1[[#This Row],[1]:[31]],Code25)</f>
        <v>0</v>
      </c>
      <c r="BB136" s="473">
        <f>COUNTIF(ParicipationJuillet1[[#This Row],[1]:[31]],Code26)</f>
        <v>0</v>
      </c>
      <c r="BC136" s="473">
        <f>COUNTIF(ParicipationJuillet1[[#This Row],[1]:[31]],Code27)</f>
        <v>0</v>
      </c>
      <c r="BD136" s="473">
        <f>COUNTIF(ParicipationJuillet1[[#This Row],[1]:[31]],Code28)</f>
        <v>0</v>
      </c>
      <c r="BE136" s="473">
        <f>COUNTIF(ParicipationJuillet1[[#This Row],[1]:[31]],code30)</f>
        <v>0</v>
      </c>
      <c r="BF136" s="473">
        <f>COUNTIF(ParicipationJuillet1[[#This Row],[1]:[31]],Code31)</f>
        <v>0</v>
      </c>
      <c r="BG136" s="473">
        <f>COUNTIF(ParicipationJuillet1[[#This Row],[1]:[31]],code21)</f>
        <v>0</v>
      </c>
      <c r="BH136" s="473">
        <f>COUNTIF(ParicipationJuillet1[[#This Row],[1]:[31]],Code24)</f>
        <v>0</v>
      </c>
      <c r="BI136" s="473">
        <f>COUNTIF(ParicipationJuillet1[[#This Row],[1]:[31]],code18)</f>
        <v>0</v>
      </c>
      <c r="BJ136" s="473">
        <f>COUNTIF(ParicipationJuillet1[[#This Row],[1]:[31]],code19)</f>
        <v>0</v>
      </c>
      <c r="BK136" s="473">
        <f>COUNTIF(ParicipationJuillet1[[#This Row],[1]:[31]],code20)</f>
        <v>0</v>
      </c>
      <c r="BL136" s="516">
        <f>COUNTIF(ParicipationJuillet1[[#This Row],[1]:[31]],code29)</f>
        <v>0</v>
      </c>
      <c r="BM136" s="473"/>
      <c r="BN136" s="473"/>
      <c r="BO136" s="473"/>
      <c r="BP136" s="473"/>
      <c r="BQ136" s="473"/>
      <c r="BR136" s="473"/>
      <c r="BS136" s="473"/>
      <c r="BT136" s="473"/>
      <c r="BU136" s="473"/>
      <c r="BV136" s="473"/>
      <c r="BW136" s="473"/>
      <c r="BX136" s="473"/>
      <c r="BY136" s="473"/>
      <c r="BZ136" s="473"/>
      <c r="CA136" s="473"/>
      <c r="CB136" s="473"/>
      <c r="CC136" s="473"/>
      <c r="CD136" s="473"/>
      <c r="CE136" s="473"/>
      <c r="CF136" s="473"/>
      <c r="CG136" s="473"/>
      <c r="CH136" s="473"/>
      <c r="CI136" s="473"/>
      <c r="CJ136" s="473"/>
      <c r="CK136" s="473"/>
      <c r="CL136" s="473"/>
      <c r="CM136" s="473"/>
      <c r="CN136" s="473"/>
      <c r="CO136" s="473"/>
      <c r="CP136" s="473"/>
      <c r="CQ136" s="473"/>
      <c r="CR136" s="473"/>
      <c r="CS136" s="473"/>
      <c r="CT136" s="473"/>
      <c r="CU136" s="516"/>
      <c r="CV136" s="501">
        <f t="shared" si="4"/>
        <v>0</v>
      </c>
      <c r="CW136" s="501">
        <f t="shared" si="5"/>
        <v>0</v>
      </c>
      <c r="CX136" s="473">
        <f t="shared" si="6"/>
        <v>0</v>
      </c>
      <c r="CY136" s="512">
        <f t="shared" si="7"/>
        <v>0</v>
      </c>
    </row>
    <row r="137" spans="1:103">
      <c r="A137" s="112" t="s">
        <v>478</v>
      </c>
      <c r="B137" s="162" t="str">
        <f>IFERROR(VLOOKUP(ParicipationJuillet1[[#This Row],[Référence]],ListeÉtudiants1[],18,FALSE),"")</f>
        <v>VERKEST LEA</v>
      </c>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640"/>
      <c r="AH137" s="202">
        <f>COUNTIF(ParicipationJuillet1[[#This Row],[1]:[31]],Code1)</f>
        <v>0</v>
      </c>
      <c r="AI137" s="475">
        <f>COUNTIF(ParicipationJuillet1[[#This Row],[1]:[31]],code22)</f>
        <v>0</v>
      </c>
      <c r="AJ137" s="202">
        <f>COUNTIF(ParicipationJuillet1[[#This Row],[1]:[31]],Code2)</f>
        <v>0</v>
      </c>
      <c r="AK137" s="202">
        <f>COUNTIF(ParicipationJuillet1[[#This Row],[1]:[31]],Code3)</f>
        <v>0</v>
      </c>
      <c r="AL137" s="202">
        <f>COUNTIF(ParicipationJuillet1[[#This Row],[1]:[31]],Code4)</f>
        <v>0</v>
      </c>
      <c r="AM137" s="473">
        <f>COUNTIF(ParicipationJuillet1[[#This Row],[1]:[31]],Code5)</f>
        <v>0</v>
      </c>
      <c r="AN137" s="473">
        <f>COUNTIF(ParicipationJuillet1[[#This Row],[1]:[31]],Code23)</f>
        <v>0</v>
      </c>
      <c r="AO137" s="473">
        <f>COUNTIF(ParicipationJuillet1[[#This Row],[1]:[31]],Code6)</f>
        <v>0</v>
      </c>
      <c r="AP137" s="473">
        <f>COUNTIF(ParicipationJuillet1[[#This Row],[1]:[31]],Code7)</f>
        <v>0</v>
      </c>
      <c r="AQ137" s="473">
        <f>COUNTIF(ParicipationJuillet1[[#This Row],[1]:[31]],Code8)</f>
        <v>0</v>
      </c>
      <c r="AR137" s="473">
        <f>COUNTIF(ParicipationJuillet1[[#This Row],[1]:[31]],Code9)</f>
        <v>0</v>
      </c>
      <c r="AS137" s="473">
        <f>COUNTIF(ParicipationJuillet1[[#This Row],[1]:[31]],Code10)</f>
        <v>0</v>
      </c>
      <c r="AT137" s="473">
        <f>COUNTIF(ParicipationJuillet1[[#This Row],[1]:[31]],Code11)</f>
        <v>0</v>
      </c>
      <c r="AU137" s="473">
        <f>COUNTIF(ParicipationJuillet1[[#This Row],[1]:[31]],Code12)</f>
        <v>0</v>
      </c>
      <c r="AV137" s="473">
        <f>COUNTIF(ParicipationJuillet1[[#This Row],[1]:[31]],Code13)</f>
        <v>0</v>
      </c>
      <c r="AW137" s="473">
        <f>COUNTIF(ParicipationJuillet1[[#This Row],[1]:[31]],Code14)</f>
        <v>0</v>
      </c>
      <c r="AX137" s="473">
        <f>COUNTIF(ParicipationJuillet1[[#This Row],[1]:[31]],Code15)</f>
        <v>0</v>
      </c>
      <c r="AY137" s="473">
        <f>COUNTIF(ParicipationJuillet1[[#This Row],[1]:[31]],Code16)</f>
        <v>0</v>
      </c>
      <c r="AZ137" s="473">
        <f>COUNTIF(ParicipationJuillet1[[#This Row],[1]:[31]],Code17)</f>
        <v>0</v>
      </c>
      <c r="BA137" s="473">
        <f>COUNTIF(ParicipationJuillet1[[#This Row],[1]:[31]],Code25)</f>
        <v>0</v>
      </c>
      <c r="BB137" s="473">
        <f>COUNTIF(ParicipationJuillet1[[#This Row],[1]:[31]],Code26)</f>
        <v>0</v>
      </c>
      <c r="BC137" s="473">
        <f>COUNTIF(ParicipationJuillet1[[#This Row],[1]:[31]],Code27)</f>
        <v>0</v>
      </c>
      <c r="BD137" s="473">
        <f>COUNTIF(ParicipationJuillet1[[#This Row],[1]:[31]],Code28)</f>
        <v>0</v>
      </c>
      <c r="BE137" s="473">
        <f>COUNTIF(ParicipationJuillet1[[#This Row],[1]:[31]],code30)</f>
        <v>0</v>
      </c>
      <c r="BF137" s="473">
        <f>COUNTIF(ParicipationJuillet1[[#This Row],[1]:[31]],Code31)</f>
        <v>0</v>
      </c>
      <c r="BG137" s="473">
        <f>COUNTIF(ParicipationJuillet1[[#This Row],[1]:[31]],code21)</f>
        <v>0</v>
      </c>
      <c r="BH137" s="473">
        <f>COUNTIF(ParicipationJuillet1[[#This Row],[1]:[31]],Code24)</f>
        <v>0</v>
      </c>
      <c r="BI137" s="473">
        <f>COUNTIF(ParicipationJuillet1[[#This Row],[1]:[31]],code18)</f>
        <v>0</v>
      </c>
      <c r="BJ137" s="473">
        <f>COUNTIF(ParicipationJuillet1[[#This Row],[1]:[31]],code19)</f>
        <v>0</v>
      </c>
      <c r="BK137" s="473">
        <f>COUNTIF(ParicipationJuillet1[[#This Row],[1]:[31]],code20)</f>
        <v>0</v>
      </c>
      <c r="BL137" s="516">
        <f>COUNTIF(ParicipationJuillet1[[#This Row],[1]:[31]],code29)</f>
        <v>0</v>
      </c>
      <c r="BM137" s="473"/>
      <c r="BN137" s="473"/>
      <c r="BO137" s="473"/>
      <c r="BP137" s="473"/>
      <c r="BQ137" s="473"/>
      <c r="BR137" s="473"/>
      <c r="BS137" s="473"/>
      <c r="BT137" s="473"/>
      <c r="BU137" s="473"/>
      <c r="BV137" s="473"/>
      <c r="BW137" s="473"/>
      <c r="BX137" s="473"/>
      <c r="BY137" s="473"/>
      <c r="BZ137" s="473"/>
      <c r="CA137" s="473"/>
      <c r="CB137" s="473"/>
      <c r="CC137" s="473"/>
      <c r="CD137" s="473"/>
      <c r="CE137" s="473"/>
      <c r="CF137" s="473"/>
      <c r="CG137" s="473"/>
      <c r="CH137" s="473"/>
      <c r="CI137" s="473"/>
      <c r="CJ137" s="473"/>
      <c r="CK137" s="473"/>
      <c r="CL137" s="473"/>
      <c r="CM137" s="473"/>
      <c r="CN137" s="473"/>
      <c r="CO137" s="473"/>
      <c r="CP137" s="473"/>
      <c r="CQ137" s="473"/>
      <c r="CR137" s="473"/>
      <c r="CS137" s="473"/>
      <c r="CT137" s="473"/>
      <c r="CU137" s="516"/>
      <c r="CV137" s="501">
        <f t="shared" si="4"/>
        <v>0</v>
      </c>
      <c r="CW137" s="501">
        <f t="shared" si="5"/>
        <v>0</v>
      </c>
      <c r="CX137" s="473">
        <f t="shared" si="6"/>
        <v>0</v>
      </c>
      <c r="CY137" s="512">
        <f t="shared" si="7"/>
        <v>0</v>
      </c>
    </row>
    <row r="138" spans="1:103">
      <c r="A138" s="112" t="s">
        <v>479</v>
      </c>
      <c r="B138" s="162" t="str">
        <f>IFERROR(VLOOKUP(ParicipationJuillet1[[#This Row],[Référence]],ListeÉtudiants1[],18,FALSE),"")</f>
        <v>VIRIN AMANDINE</v>
      </c>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640"/>
      <c r="AH138" s="202">
        <f>COUNTIF(ParicipationJuillet1[[#This Row],[1]:[31]],Code1)</f>
        <v>0</v>
      </c>
      <c r="AI138" s="475">
        <f>COUNTIF(ParicipationJuillet1[[#This Row],[1]:[31]],code22)</f>
        <v>0</v>
      </c>
      <c r="AJ138" s="202">
        <f>COUNTIF(ParicipationJuillet1[[#This Row],[1]:[31]],Code2)</f>
        <v>0</v>
      </c>
      <c r="AK138" s="202">
        <f>COUNTIF(ParicipationJuillet1[[#This Row],[1]:[31]],Code3)</f>
        <v>0</v>
      </c>
      <c r="AL138" s="202">
        <f>COUNTIF(ParicipationJuillet1[[#This Row],[1]:[31]],Code4)</f>
        <v>0</v>
      </c>
      <c r="AM138" s="473">
        <f>COUNTIF(ParicipationJuillet1[[#This Row],[1]:[31]],Code5)</f>
        <v>0</v>
      </c>
      <c r="AN138" s="473">
        <f>COUNTIF(ParicipationJuillet1[[#This Row],[1]:[31]],Code23)</f>
        <v>0</v>
      </c>
      <c r="AO138" s="473">
        <f>COUNTIF(ParicipationJuillet1[[#This Row],[1]:[31]],Code6)</f>
        <v>0</v>
      </c>
      <c r="AP138" s="473">
        <f>COUNTIF(ParicipationJuillet1[[#This Row],[1]:[31]],Code7)</f>
        <v>0</v>
      </c>
      <c r="AQ138" s="473">
        <f>COUNTIF(ParicipationJuillet1[[#This Row],[1]:[31]],Code8)</f>
        <v>0</v>
      </c>
      <c r="AR138" s="473">
        <f>COUNTIF(ParicipationJuillet1[[#This Row],[1]:[31]],Code9)</f>
        <v>0</v>
      </c>
      <c r="AS138" s="473">
        <f>COUNTIF(ParicipationJuillet1[[#This Row],[1]:[31]],Code10)</f>
        <v>0</v>
      </c>
      <c r="AT138" s="473">
        <f>COUNTIF(ParicipationJuillet1[[#This Row],[1]:[31]],Code11)</f>
        <v>0</v>
      </c>
      <c r="AU138" s="473">
        <f>COUNTIF(ParicipationJuillet1[[#This Row],[1]:[31]],Code12)</f>
        <v>0</v>
      </c>
      <c r="AV138" s="473">
        <f>COUNTIF(ParicipationJuillet1[[#This Row],[1]:[31]],Code13)</f>
        <v>0</v>
      </c>
      <c r="AW138" s="473">
        <f>COUNTIF(ParicipationJuillet1[[#This Row],[1]:[31]],Code14)</f>
        <v>0</v>
      </c>
      <c r="AX138" s="473">
        <f>COUNTIF(ParicipationJuillet1[[#This Row],[1]:[31]],Code15)</f>
        <v>0</v>
      </c>
      <c r="AY138" s="473">
        <f>COUNTIF(ParicipationJuillet1[[#This Row],[1]:[31]],Code16)</f>
        <v>0</v>
      </c>
      <c r="AZ138" s="473">
        <f>COUNTIF(ParicipationJuillet1[[#This Row],[1]:[31]],Code17)</f>
        <v>0</v>
      </c>
      <c r="BA138" s="473">
        <f>COUNTIF(ParicipationJuillet1[[#This Row],[1]:[31]],Code25)</f>
        <v>0</v>
      </c>
      <c r="BB138" s="473">
        <f>COUNTIF(ParicipationJuillet1[[#This Row],[1]:[31]],Code26)</f>
        <v>0</v>
      </c>
      <c r="BC138" s="473">
        <f>COUNTIF(ParicipationJuillet1[[#This Row],[1]:[31]],Code27)</f>
        <v>0</v>
      </c>
      <c r="BD138" s="473">
        <f>COUNTIF(ParicipationJuillet1[[#This Row],[1]:[31]],Code28)</f>
        <v>0</v>
      </c>
      <c r="BE138" s="473">
        <f>COUNTIF(ParicipationJuillet1[[#This Row],[1]:[31]],code30)</f>
        <v>0</v>
      </c>
      <c r="BF138" s="473">
        <f>COUNTIF(ParicipationJuillet1[[#This Row],[1]:[31]],Code31)</f>
        <v>0</v>
      </c>
      <c r="BG138" s="473">
        <f>COUNTIF(ParicipationJuillet1[[#This Row],[1]:[31]],code21)</f>
        <v>0</v>
      </c>
      <c r="BH138" s="473">
        <f>COUNTIF(ParicipationJuillet1[[#This Row],[1]:[31]],Code24)</f>
        <v>0</v>
      </c>
      <c r="BI138" s="473">
        <f>COUNTIF(ParicipationJuillet1[[#This Row],[1]:[31]],code18)</f>
        <v>0</v>
      </c>
      <c r="BJ138" s="473">
        <f>COUNTIF(ParicipationJuillet1[[#This Row],[1]:[31]],code19)</f>
        <v>0</v>
      </c>
      <c r="BK138" s="473">
        <f>COUNTIF(ParicipationJuillet1[[#This Row],[1]:[31]],code20)</f>
        <v>0</v>
      </c>
      <c r="BL138" s="516">
        <f>COUNTIF(ParicipationJuillet1[[#This Row],[1]:[31]],code29)</f>
        <v>0</v>
      </c>
      <c r="BM138" s="473"/>
      <c r="BN138" s="473"/>
      <c r="BO138" s="473"/>
      <c r="BP138" s="473"/>
      <c r="BQ138" s="473"/>
      <c r="BR138" s="473"/>
      <c r="BS138" s="473"/>
      <c r="BT138" s="473"/>
      <c r="BU138" s="473"/>
      <c r="BV138" s="473"/>
      <c r="BW138" s="473"/>
      <c r="BX138" s="473"/>
      <c r="BY138" s="473"/>
      <c r="BZ138" s="473"/>
      <c r="CA138" s="473"/>
      <c r="CB138" s="473"/>
      <c r="CC138" s="473"/>
      <c r="CD138" s="473"/>
      <c r="CE138" s="473"/>
      <c r="CF138" s="473"/>
      <c r="CG138" s="473"/>
      <c r="CH138" s="473"/>
      <c r="CI138" s="473"/>
      <c r="CJ138" s="473"/>
      <c r="CK138" s="473"/>
      <c r="CL138" s="473"/>
      <c r="CM138" s="473"/>
      <c r="CN138" s="473"/>
      <c r="CO138" s="473"/>
      <c r="CP138" s="473"/>
      <c r="CQ138" s="473"/>
      <c r="CR138" s="473"/>
      <c r="CS138" s="473"/>
      <c r="CT138" s="473"/>
      <c r="CU138" s="516"/>
      <c r="CV138" s="501">
        <f t="shared" si="4"/>
        <v>0</v>
      </c>
      <c r="CW138" s="501">
        <f t="shared" si="5"/>
        <v>0</v>
      </c>
      <c r="CX138" s="473">
        <f t="shared" si="6"/>
        <v>0</v>
      </c>
      <c r="CY138" s="512">
        <f t="shared" si="7"/>
        <v>0</v>
      </c>
    </row>
    <row r="139" spans="1:103">
      <c r="A139" s="112" t="s">
        <v>578</v>
      </c>
      <c r="B139" s="162" t="str">
        <f>IFERROR(VLOOKUP(ParicipationJuillet1[[#This Row],[Référence]],ListeÉtudiants1[],18,FALSE),"")</f>
        <v>ASSOUMANI ASMINA</v>
      </c>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c r="AG139" s="640"/>
      <c r="AH139" s="202">
        <f>COUNTIF(ParicipationJuillet1[[#This Row],[1]:[31]],Code1)</f>
        <v>0</v>
      </c>
      <c r="AI139" s="475">
        <f>COUNTIF(ParicipationJuillet1[[#This Row],[1]:[31]],code22)</f>
        <v>0</v>
      </c>
      <c r="AJ139" s="202">
        <f>COUNTIF(ParicipationJuillet1[[#This Row],[1]:[31]],Code2)</f>
        <v>0</v>
      </c>
      <c r="AK139" s="202">
        <f>COUNTIF(ParicipationJuillet1[[#This Row],[1]:[31]],Code3)</f>
        <v>0</v>
      </c>
      <c r="AL139" s="202">
        <f>COUNTIF(ParicipationJuillet1[[#This Row],[1]:[31]],Code4)</f>
        <v>0</v>
      </c>
      <c r="AM139" s="473">
        <f>COUNTIF(ParicipationJuillet1[[#This Row],[1]:[31]],Code5)</f>
        <v>0</v>
      </c>
      <c r="AN139" s="473">
        <f>COUNTIF(ParicipationJuillet1[[#This Row],[1]:[31]],Code23)</f>
        <v>0</v>
      </c>
      <c r="AO139" s="473">
        <f>COUNTIF(ParicipationJuillet1[[#This Row],[1]:[31]],Code6)</f>
        <v>0</v>
      </c>
      <c r="AP139" s="473">
        <f>COUNTIF(ParicipationJuillet1[[#This Row],[1]:[31]],Code7)</f>
        <v>0</v>
      </c>
      <c r="AQ139" s="473">
        <f>COUNTIF(ParicipationJuillet1[[#This Row],[1]:[31]],Code8)</f>
        <v>0</v>
      </c>
      <c r="AR139" s="473">
        <f>COUNTIF(ParicipationJuillet1[[#This Row],[1]:[31]],Code9)</f>
        <v>0</v>
      </c>
      <c r="AS139" s="473">
        <f>COUNTIF(ParicipationJuillet1[[#This Row],[1]:[31]],Code10)</f>
        <v>0</v>
      </c>
      <c r="AT139" s="473">
        <f>COUNTIF(ParicipationJuillet1[[#This Row],[1]:[31]],Code11)</f>
        <v>0</v>
      </c>
      <c r="AU139" s="473">
        <f>COUNTIF(ParicipationJuillet1[[#This Row],[1]:[31]],Code12)</f>
        <v>0</v>
      </c>
      <c r="AV139" s="473">
        <f>COUNTIF(ParicipationJuillet1[[#This Row],[1]:[31]],Code13)</f>
        <v>0</v>
      </c>
      <c r="AW139" s="473">
        <f>COUNTIF(ParicipationJuillet1[[#This Row],[1]:[31]],Code14)</f>
        <v>0</v>
      </c>
      <c r="AX139" s="473">
        <f>COUNTIF(ParicipationJuillet1[[#This Row],[1]:[31]],Code15)</f>
        <v>0</v>
      </c>
      <c r="AY139" s="473">
        <f>COUNTIF(ParicipationJuillet1[[#This Row],[1]:[31]],Code16)</f>
        <v>0</v>
      </c>
      <c r="AZ139" s="473">
        <f>COUNTIF(ParicipationJuillet1[[#This Row],[1]:[31]],Code17)</f>
        <v>0</v>
      </c>
      <c r="BA139" s="473">
        <f>COUNTIF(ParicipationJuillet1[[#This Row],[1]:[31]],Code25)</f>
        <v>0</v>
      </c>
      <c r="BB139" s="473">
        <f>COUNTIF(ParicipationJuillet1[[#This Row],[1]:[31]],Code26)</f>
        <v>0</v>
      </c>
      <c r="BC139" s="473">
        <f>COUNTIF(ParicipationJuillet1[[#This Row],[1]:[31]],Code27)</f>
        <v>0</v>
      </c>
      <c r="BD139" s="473">
        <f>COUNTIF(ParicipationJuillet1[[#This Row],[1]:[31]],Code28)</f>
        <v>0</v>
      </c>
      <c r="BE139" s="473">
        <f>COUNTIF(ParicipationJuillet1[[#This Row],[1]:[31]],code30)</f>
        <v>0</v>
      </c>
      <c r="BF139" s="473">
        <f>COUNTIF(ParicipationJuillet1[[#This Row],[1]:[31]],Code31)</f>
        <v>0</v>
      </c>
      <c r="BG139" s="473">
        <f>COUNTIF(ParicipationJuillet1[[#This Row],[1]:[31]],code21)</f>
        <v>0</v>
      </c>
      <c r="BH139" s="473">
        <f>COUNTIF(ParicipationJuillet1[[#This Row],[1]:[31]],Code24)</f>
        <v>0</v>
      </c>
      <c r="BI139" s="473">
        <f>COUNTIF(ParicipationJuillet1[[#This Row],[1]:[31]],code18)</f>
        <v>0</v>
      </c>
      <c r="BJ139" s="473">
        <f>COUNTIF(ParicipationJuillet1[[#This Row],[1]:[31]],code19)</f>
        <v>0</v>
      </c>
      <c r="BK139" s="473">
        <f>COUNTIF(ParicipationJuillet1[[#This Row],[1]:[31]],code20)</f>
        <v>0</v>
      </c>
      <c r="BL139" s="516">
        <f>COUNTIF(ParicipationJuillet1[[#This Row],[1]:[31]],code29)</f>
        <v>0</v>
      </c>
      <c r="BM139" s="473"/>
      <c r="BN139" s="473"/>
      <c r="BO139" s="473"/>
      <c r="BP139" s="473"/>
      <c r="BQ139" s="473"/>
      <c r="BR139" s="473"/>
      <c r="BS139" s="473"/>
      <c r="BT139" s="473"/>
      <c r="BU139" s="473"/>
      <c r="BV139" s="473"/>
      <c r="BW139" s="473"/>
      <c r="BX139" s="473"/>
      <c r="BY139" s="473"/>
      <c r="BZ139" s="473"/>
      <c r="CA139" s="473"/>
      <c r="CB139" s="473"/>
      <c r="CC139" s="473"/>
      <c r="CD139" s="473"/>
      <c r="CE139" s="473"/>
      <c r="CF139" s="473"/>
      <c r="CG139" s="473"/>
      <c r="CH139" s="473"/>
      <c r="CI139" s="473"/>
      <c r="CJ139" s="473"/>
      <c r="CK139" s="473"/>
      <c r="CL139" s="473"/>
      <c r="CM139" s="473"/>
      <c r="CN139" s="473"/>
      <c r="CO139" s="473"/>
      <c r="CP139" s="473"/>
      <c r="CQ139" s="473"/>
      <c r="CR139" s="473"/>
      <c r="CS139" s="473"/>
      <c r="CT139" s="473"/>
      <c r="CU139" s="516"/>
      <c r="CV139" s="501">
        <f t="shared" ref="CV139:CV156" si="8">SUM((AH139*1)+(AI139*1.5)+(AJ139*2)+(AK139*3)+(AP139*5)+(AQ139*6)+(AR139*7)+(AU139*2)+(AX139*3)+(AY139*4)+(AZ139*5)+(BB139*3)+(BA139*2)+(BG139*2)+(BC139*2)+(BD139*2))</f>
        <v>0</v>
      </c>
      <c r="CW139" s="501">
        <f t="shared" ref="CW139:CW156" si="9">SUM((AO139*1)+(AN139*2)+(AP139*3)+(AQ139*4)+(AU139*5)+(AV139*7)+(AW139*7)+(AX139*7)+(AY139*4)+(BA139*3)+(AZ139*2)+(BD139*4)+(BC139*1)+(BH139*2)+(BB139*5)+(BG139*1))</f>
        <v>0</v>
      </c>
      <c r="CX139" s="473">
        <f t="shared" ref="CX139:CX156" si="10">BH139*1+BL139*3</f>
        <v>0</v>
      </c>
      <c r="CY139" s="512">
        <f t="shared" ref="CY139:CY156" si="11">SUM((BI139*7)+(BJ139*10)+(BK139*12))</f>
        <v>0</v>
      </c>
    </row>
    <row r="140" spans="1:103">
      <c r="A140" s="112" t="s">
        <v>579</v>
      </c>
      <c r="B140" s="162" t="str">
        <f>IFERROR(VLOOKUP(ParicipationJuillet1[[#This Row],[Référence]],ListeÉtudiants1[],18,FALSE),"")</f>
        <v>ATSE KIMBERLEY</v>
      </c>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640"/>
      <c r="AH140" s="202">
        <f>COUNTIF(ParicipationJuillet1[[#This Row],[1]:[31]],Code1)</f>
        <v>0</v>
      </c>
      <c r="AI140" s="475">
        <f>COUNTIF(ParicipationJuillet1[[#This Row],[1]:[31]],code22)</f>
        <v>0</v>
      </c>
      <c r="AJ140" s="202">
        <f>COUNTIF(ParicipationJuillet1[[#This Row],[1]:[31]],Code2)</f>
        <v>0</v>
      </c>
      <c r="AK140" s="202">
        <f>COUNTIF(ParicipationJuillet1[[#This Row],[1]:[31]],Code3)</f>
        <v>0</v>
      </c>
      <c r="AL140" s="202">
        <f>COUNTIF(ParicipationJuillet1[[#This Row],[1]:[31]],Code4)</f>
        <v>0</v>
      </c>
      <c r="AM140" s="473">
        <f>COUNTIF(ParicipationJuillet1[[#This Row],[1]:[31]],Code5)</f>
        <v>0</v>
      </c>
      <c r="AN140" s="473">
        <f>COUNTIF(ParicipationJuillet1[[#This Row],[1]:[31]],Code23)</f>
        <v>0</v>
      </c>
      <c r="AO140" s="473">
        <f>COUNTIF(ParicipationJuillet1[[#This Row],[1]:[31]],Code6)</f>
        <v>0</v>
      </c>
      <c r="AP140" s="473">
        <f>COUNTIF(ParicipationJuillet1[[#This Row],[1]:[31]],Code7)</f>
        <v>0</v>
      </c>
      <c r="AQ140" s="473">
        <f>COUNTIF(ParicipationJuillet1[[#This Row],[1]:[31]],Code8)</f>
        <v>0</v>
      </c>
      <c r="AR140" s="473">
        <f>COUNTIF(ParicipationJuillet1[[#This Row],[1]:[31]],Code9)</f>
        <v>0</v>
      </c>
      <c r="AS140" s="473">
        <f>COUNTIF(ParicipationJuillet1[[#This Row],[1]:[31]],Code10)</f>
        <v>0</v>
      </c>
      <c r="AT140" s="473">
        <f>COUNTIF(ParicipationJuillet1[[#This Row],[1]:[31]],Code11)</f>
        <v>0</v>
      </c>
      <c r="AU140" s="473">
        <f>COUNTIF(ParicipationJuillet1[[#This Row],[1]:[31]],Code12)</f>
        <v>0</v>
      </c>
      <c r="AV140" s="473">
        <f>COUNTIF(ParicipationJuillet1[[#This Row],[1]:[31]],Code13)</f>
        <v>0</v>
      </c>
      <c r="AW140" s="473">
        <f>COUNTIF(ParicipationJuillet1[[#This Row],[1]:[31]],Code14)</f>
        <v>0</v>
      </c>
      <c r="AX140" s="473">
        <f>COUNTIF(ParicipationJuillet1[[#This Row],[1]:[31]],Code15)</f>
        <v>0</v>
      </c>
      <c r="AY140" s="473">
        <f>COUNTIF(ParicipationJuillet1[[#This Row],[1]:[31]],Code16)</f>
        <v>0</v>
      </c>
      <c r="AZ140" s="473">
        <f>COUNTIF(ParicipationJuillet1[[#This Row],[1]:[31]],Code17)</f>
        <v>0</v>
      </c>
      <c r="BA140" s="473">
        <f>COUNTIF(ParicipationJuillet1[[#This Row],[1]:[31]],Code25)</f>
        <v>0</v>
      </c>
      <c r="BB140" s="473">
        <f>COUNTIF(ParicipationJuillet1[[#This Row],[1]:[31]],Code26)</f>
        <v>0</v>
      </c>
      <c r="BC140" s="473">
        <f>COUNTIF(ParicipationJuillet1[[#This Row],[1]:[31]],Code27)</f>
        <v>0</v>
      </c>
      <c r="BD140" s="473">
        <f>COUNTIF(ParicipationJuillet1[[#This Row],[1]:[31]],Code28)</f>
        <v>0</v>
      </c>
      <c r="BE140" s="473">
        <f>COUNTIF(ParicipationJuillet1[[#This Row],[1]:[31]],code30)</f>
        <v>0</v>
      </c>
      <c r="BF140" s="473">
        <f>COUNTIF(ParicipationJuillet1[[#This Row],[1]:[31]],Code31)</f>
        <v>0</v>
      </c>
      <c r="BG140" s="473">
        <f>COUNTIF(ParicipationJuillet1[[#This Row],[1]:[31]],code21)</f>
        <v>0</v>
      </c>
      <c r="BH140" s="473">
        <f>COUNTIF(ParicipationJuillet1[[#This Row],[1]:[31]],Code24)</f>
        <v>0</v>
      </c>
      <c r="BI140" s="473">
        <f>COUNTIF(ParicipationJuillet1[[#This Row],[1]:[31]],code18)</f>
        <v>0</v>
      </c>
      <c r="BJ140" s="473">
        <f>COUNTIF(ParicipationJuillet1[[#This Row],[1]:[31]],code19)</f>
        <v>0</v>
      </c>
      <c r="BK140" s="473">
        <f>COUNTIF(ParicipationJuillet1[[#This Row],[1]:[31]],code20)</f>
        <v>0</v>
      </c>
      <c r="BL140" s="516">
        <f>COUNTIF(ParicipationJuillet1[[#This Row],[1]:[31]],code29)</f>
        <v>0</v>
      </c>
      <c r="BM140" s="473"/>
      <c r="BN140" s="473"/>
      <c r="BO140" s="473"/>
      <c r="BP140" s="473"/>
      <c r="BQ140" s="473"/>
      <c r="BR140" s="473"/>
      <c r="BS140" s="473"/>
      <c r="BT140" s="473"/>
      <c r="BU140" s="473"/>
      <c r="BV140" s="473"/>
      <c r="BW140" s="473"/>
      <c r="BX140" s="473"/>
      <c r="BY140" s="473"/>
      <c r="BZ140" s="473"/>
      <c r="CA140" s="473"/>
      <c r="CB140" s="473"/>
      <c r="CC140" s="473"/>
      <c r="CD140" s="473"/>
      <c r="CE140" s="473"/>
      <c r="CF140" s="473"/>
      <c r="CG140" s="473"/>
      <c r="CH140" s="473"/>
      <c r="CI140" s="473"/>
      <c r="CJ140" s="473"/>
      <c r="CK140" s="473"/>
      <c r="CL140" s="473"/>
      <c r="CM140" s="473"/>
      <c r="CN140" s="473"/>
      <c r="CO140" s="473"/>
      <c r="CP140" s="473"/>
      <c r="CQ140" s="473"/>
      <c r="CR140" s="473"/>
      <c r="CS140" s="473"/>
      <c r="CT140" s="473"/>
      <c r="CU140" s="516"/>
      <c r="CV140" s="501">
        <f t="shared" si="8"/>
        <v>0</v>
      </c>
      <c r="CW140" s="501">
        <f t="shared" si="9"/>
        <v>0</v>
      </c>
      <c r="CX140" s="473">
        <f t="shared" si="10"/>
        <v>0</v>
      </c>
      <c r="CY140" s="512">
        <f t="shared" si="11"/>
        <v>0</v>
      </c>
    </row>
    <row r="141" spans="1:103">
      <c r="A141" s="112" t="s">
        <v>582</v>
      </c>
      <c r="B141" s="162" t="str">
        <f>IFERROR(VLOOKUP(ParicipationJuillet1[[#This Row],[Référence]],ListeÉtudiants1[],18,FALSE),"")</f>
        <v>BOLINGO  Malise</v>
      </c>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640"/>
      <c r="AH141" s="202">
        <f>COUNTIF(ParicipationJuillet1[[#This Row],[1]:[31]],Code1)</f>
        <v>0</v>
      </c>
      <c r="AI141" s="475">
        <f>COUNTIF(ParicipationJuillet1[[#This Row],[1]:[31]],code22)</f>
        <v>0</v>
      </c>
      <c r="AJ141" s="202">
        <f>COUNTIF(ParicipationJuillet1[[#This Row],[1]:[31]],Code2)</f>
        <v>0</v>
      </c>
      <c r="AK141" s="202">
        <f>COUNTIF(ParicipationJuillet1[[#This Row],[1]:[31]],Code3)</f>
        <v>0</v>
      </c>
      <c r="AL141" s="202">
        <f>COUNTIF(ParicipationJuillet1[[#This Row],[1]:[31]],Code4)</f>
        <v>0</v>
      </c>
      <c r="AM141" s="473">
        <f>COUNTIF(ParicipationJuillet1[[#This Row],[1]:[31]],Code5)</f>
        <v>0</v>
      </c>
      <c r="AN141" s="473">
        <f>COUNTIF(ParicipationJuillet1[[#This Row],[1]:[31]],Code23)</f>
        <v>0</v>
      </c>
      <c r="AO141" s="473">
        <f>COUNTIF(ParicipationJuillet1[[#This Row],[1]:[31]],Code6)</f>
        <v>0</v>
      </c>
      <c r="AP141" s="473">
        <f>COUNTIF(ParicipationJuillet1[[#This Row],[1]:[31]],Code7)</f>
        <v>0</v>
      </c>
      <c r="AQ141" s="473">
        <f>COUNTIF(ParicipationJuillet1[[#This Row],[1]:[31]],Code8)</f>
        <v>0</v>
      </c>
      <c r="AR141" s="473">
        <f>COUNTIF(ParicipationJuillet1[[#This Row],[1]:[31]],Code9)</f>
        <v>0</v>
      </c>
      <c r="AS141" s="473">
        <f>COUNTIF(ParicipationJuillet1[[#This Row],[1]:[31]],Code10)</f>
        <v>0</v>
      </c>
      <c r="AT141" s="473">
        <f>COUNTIF(ParicipationJuillet1[[#This Row],[1]:[31]],Code11)</f>
        <v>0</v>
      </c>
      <c r="AU141" s="473">
        <f>COUNTIF(ParicipationJuillet1[[#This Row],[1]:[31]],Code12)</f>
        <v>0</v>
      </c>
      <c r="AV141" s="473">
        <f>COUNTIF(ParicipationJuillet1[[#This Row],[1]:[31]],Code13)</f>
        <v>0</v>
      </c>
      <c r="AW141" s="473">
        <f>COUNTIF(ParicipationJuillet1[[#This Row],[1]:[31]],Code14)</f>
        <v>0</v>
      </c>
      <c r="AX141" s="473">
        <f>COUNTIF(ParicipationJuillet1[[#This Row],[1]:[31]],Code15)</f>
        <v>0</v>
      </c>
      <c r="AY141" s="473">
        <f>COUNTIF(ParicipationJuillet1[[#This Row],[1]:[31]],Code16)</f>
        <v>0</v>
      </c>
      <c r="AZ141" s="473">
        <f>COUNTIF(ParicipationJuillet1[[#This Row],[1]:[31]],Code17)</f>
        <v>0</v>
      </c>
      <c r="BA141" s="473">
        <f>COUNTIF(ParicipationJuillet1[[#This Row],[1]:[31]],Code25)</f>
        <v>0</v>
      </c>
      <c r="BB141" s="473">
        <f>COUNTIF(ParicipationJuillet1[[#This Row],[1]:[31]],Code26)</f>
        <v>0</v>
      </c>
      <c r="BC141" s="473">
        <f>COUNTIF(ParicipationJuillet1[[#This Row],[1]:[31]],Code27)</f>
        <v>0</v>
      </c>
      <c r="BD141" s="473">
        <f>COUNTIF(ParicipationJuillet1[[#This Row],[1]:[31]],Code28)</f>
        <v>0</v>
      </c>
      <c r="BE141" s="473">
        <f>COUNTIF(ParicipationJuillet1[[#This Row],[1]:[31]],code30)</f>
        <v>0</v>
      </c>
      <c r="BF141" s="473">
        <f>COUNTIF(ParicipationJuillet1[[#This Row],[1]:[31]],Code31)</f>
        <v>0</v>
      </c>
      <c r="BG141" s="473">
        <f>COUNTIF(ParicipationJuillet1[[#This Row],[1]:[31]],code21)</f>
        <v>0</v>
      </c>
      <c r="BH141" s="473">
        <f>COUNTIF(ParicipationJuillet1[[#This Row],[1]:[31]],Code24)</f>
        <v>0</v>
      </c>
      <c r="BI141" s="473">
        <f>COUNTIF(ParicipationJuillet1[[#This Row],[1]:[31]],code18)</f>
        <v>0</v>
      </c>
      <c r="BJ141" s="473">
        <f>COUNTIF(ParicipationJuillet1[[#This Row],[1]:[31]],code19)</f>
        <v>0</v>
      </c>
      <c r="BK141" s="473">
        <f>COUNTIF(ParicipationJuillet1[[#This Row],[1]:[31]],code20)</f>
        <v>0</v>
      </c>
      <c r="BL141" s="516">
        <f>COUNTIF(ParicipationJuillet1[[#This Row],[1]:[31]],code29)</f>
        <v>0</v>
      </c>
      <c r="BM141" s="473"/>
      <c r="BN141" s="473"/>
      <c r="BO141" s="473"/>
      <c r="BP141" s="473"/>
      <c r="BQ141" s="473"/>
      <c r="BR141" s="473"/>
      <c r="BS141" s="473"/>
      <c r="BT141" s="473"/>
      <c r="BU141" s="473"/>
      <c r="BV141" s="473"/>
      <c r="BW141" s="473"/>
      <c r="BX141" s="473"/>
      <c r="BY141" s="473"/>
      <c r="BZ141" s="473"/>
      <c r="CA141" s="473"/>
      <c r="CB141" s="473"/>
      <c r="CC141" s="473"/>
      <c r="CD141" s="473"/>
      <c r="CE141" s="473"/>
      <c r="CF141" s="473"/>
      <c r="CG141" s="473"/>
      <c r="CH141" s="473"/>
      <c r="CI141" s="473"/>
      <c r="CJ141" s="473"/>
      <c r="CK141" s="473"/>
      <c r="CL141" s="473"/>
      <c r="CM141" s="473"/>
      <c r="CN141" s="473"/>
      <c r="CO141" s="473"/>
      <c r="CP141" s="473"/>
      <c r="CQ141" s="473"/>
      <c r="CR141" s="473"/>
      <c r="CS141" s="473"/>
      <c r="CT141" s="473"/>
      <c r="CU141" s="516"/>
      <c r="CV141" s="501">
        <f t="shared" si="8"/>
        <v>0</v>
      </c>
      <c r="CW141" s="501">
        <f t="shared" si="9"/>
        <v>0</v>
      </c>
      <c r="CX141" s="473">
        <f t="shared" si="10"/>
        <v>0</v>
      </c>
      <c r="CY141" s="512">
        <f t="shared" si="11"/>
        <v>0</v>
      </c>
    </row>
    <row r="142" spans="1:103">
      <c r="A142" s="112" t="s">
        <v>584</v>
      </c>
      <c r="B142" s="162" t="str">
        <f>IFERROR(VLOOKUP(ParicipationJuillet1[[#This Row],[Référence]],ListeÉtudiants1[],18,FALSE),"")</f>
        <v>CAPAROS Maia</v>
      </c>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c r="AG142" s="640"/>
      <c r="AH142" s="202">
        <f>COUNTIF(ParicipationJuillet1[[#This Row],[1]:[31]],Code1)</f>
        <v>0</v>
      </c>
      <c r="AI142" s="475">
        <f>COUNTIF(ParicipationJuillet1[[#This Row],[1]:[31]],code22)</f>
        <v>0</v>
      </c>
      <c r="AJ142" s="202">
        <f>COUNTIF(ParicipationJuillet1[[#This Row],[1]:[31]],Code2)</f>
        <v>0</v>
      </c>
      <c r="AK142" s="202">
        <f>COUNTIF(ParicipationJuillet1[[#This Row],[1]:[31]],Code3)</f>
        <v>0</v>
      </c>
      <c r="AL142" s="202">
        <f>COUNTIF(ParicipationJuillet1[[#This Row],[1]:[31]],Code4)</f>
        <v>0</v>
      </c>
      <c r="AM142" s="473">
        <f>COUNTIF(ParicipationJuillet1[[#This Row],[1]:[31]],Code5)</f>
        <v>0</v>
      </c>
      <c r="AN142" s="473">
        <f>COUNTIF(ParicipationJuillet1[[#This Row],[1]:[31]],Code23)</f>
        <v>0</v>
      </c>
      <c r="AO142" s="473">
        <f>COUNTIF(ParicipationJuillet1[[#This Row],[1]:[31]],Code6)</f>
        <v>0</v>
      </c>
      <c r="AP142" s="473">
        <f>COUNTIF(ParicipationJuillet1[[#This Row],[1]:[31]],Code7)</f>
        <v>0</v>
      </c>
      <c r="AQ142" s="473">
        <f>COUNTIF(ParicipationJuillet1[[#This Row],[1]:[31]],Code8)</f>
        <v>0</v>
      </c>
      <c r="AR142" s="473">
        <f>COUNTIF(ParicipationJuillet1[[#This Row],[1]:[31]],Code9)</f>
        <v>0</v>
      </c>
      <c r="AS142" s="473">
        <f>COUNTIF(ParicipationJuillet1[[#This Row],[1]:[31]],Code10)</f>
        <v>0</v>
      </c>
      <c r="AT142" s="473">
        <f>COUNTIF(ParicipationJuillet1[[#This Row],[1]:[31]],Code11)</f>
        <v>0</v>
      </c>
      <c r="AU142" s="473">
        <f>COUNTIF(ParicipationJuillet1[[#This Row],[1]:[31]],Code12)</f>
        <v>0</v>
      </c>
      <c r="AV142" s="473">
        <f>COUNTIF(ParicipationJuillet1[[#This Row],[1]:[31]],Code13)</f>
        <v>0</v>
      </c>
      <c r="AW142" s="473">
        <f>COUNTIF(ParicipationJuillet1[[#This Row],[1]:[31]],Code14)</f>
        <v>0</v>
      </c>
      <c r="AX142" s="473">
        <f>COUNTIF(ParicipationJuillet1[[#This Row],[1]:[31]],Code15)</f>
        <v>0</v>
      </c>
      <c r="AY142" s="473">
        <f>COUNTIF(ParicipationJuillet1[[#This Row],[1]:[31]],Code16)</f>
        <v>0</v>
      </c>
      <c r="AZ142" s="473">
        <f>COUNTIF(ParicipationJuillet1[[#This Row],[1]:[31]],Code17)</f>
        <v>0</v>
      </c>
      <c r="BA142" s="473">
        <f>COUNTIF(ParicipationJuillet1[[#This Row],[1]:[31]],Code25)</f>
        <v>0</v>
      </c>
      <c r="BB142" s="473">
        <f>COUNTIF(ParicipationJuillet1[[#This Row],[1]:[31]],Code26)</f>
        <v>0</v>
      </c>
      <c r="BC142" s="473">
        <f>COUNTIF(ParicipationJuillet1[[#This Row],[1]:[31]],Code27)</f>
        <v>0</v>
      </c>
      <c r="BD142" s="473">
        <f>COUNTIF(ParicipationJuillet1[[#This Row],[1]:[31]],Code28)</f>
        <v>0</v>
      </c>
      <c r="BE142" s="473">
        <f>COUNTIF(ParicipationJuillet1[[#This Row],[1]:[31]],code30)</f>
        <v>0</v>
      </c>
      <c r="BF142" s="473">
        <f>COUNTIF(ParicipationJuillet1[[#This Row],[1]:[31]],Code31)</f>
        <v>0</v>
      </c>
      <c r="BG142" s="473">
        <f>COUNTIF(ParicipationJuillet1[[#This Row],[1]:[31]],code21)</f>
        <v>0</v>
      </c>
      <c r="BH142" s="473">
        <f>COUNTIF(ParicipationJuillet1[[#This Row],[1]:[31]],Code24)</f>
        <v>0</v>
      </c>
      <c r="BI142" s="473">
        <f>COUNTIF(ParicipationJuillet1[[#This Row],[1]:[31]],code18)</f>
        <v>0</v>
      </c>
      <c r="BJ142" s="473">
        <f>COUNTIF(ParicipationJuillet1[[#This Row],[1]:[31]],code19)</f>
        <v>0</v>
      </c>
      <c r="BK142" s="473">
        <f>COUNTIF(ParicipationJuillet1[[#This Row],[1]:[31]],code20)</f>
        <v>0</v>
      </c>
      <c r="BL142" s="516">
        <f>COUNTIF(ParicipationJuillet1[[#This Row],[1]:[31]],code29)</f>
        <v>0</v>
      </c>
      <c r="BM142" s="473"/>
      <c r="BN142" s="473"/>
      <c r="BO142" s="473"/>
      <c r="BP142" s="473"/>
      <c r="BQ142" s="473"/>
      <c r="BR142" s="473"/>
      <c r="BS142" s="473"/>
      <c r="BT142" s="473"/>
      <c r="BU142" s="473"/>
      <c r="BV142" s="473"/>
      <c r="BW142" s="473"/>
      <c r="BX142" s="473"/>
      <c r="BY142" s="473"/>
      <c r="BZ142" s="473"/>
      <c r="CA142" s="473"/>
      <c r="CB142" s="473"/>
      <c r="CC142" s="473"/>
      <c r="CD142" s="473"/>
      <c r="CE142" s="473"/>
      <c r="CF142" s="473"/>
      <c r="CG142" s="473"/>
      <c r="CH142" s="473"/>
      <c r="CI142" s="473"/>
      <c r="CJ142" s="473"/>
      <c r="CK142" s="473"/>
      <c r="CL142" s="473"/>
      <c r="CM142" s="473"/>
      <c r="CN142" s="473"/>
      <c r="CO142" s="473"/>
      <c r="CP142" s="473"/>
      <c r="CQ142" s="473"/>
      <c r="CR142" s="473"/>
      <c r="CS142" s="473"/>
      <c r="CT142" s="473"/>
      <c r="CU142" s="516"/>
      <c r="CV142" s="501">
        <f t="shared" si="8"/>
        <v>0</v>
      </c>
      <c r="CW142" s="501">
        <f t="shared" si="9"/>
        <v>0</v>
      </c>
      <c r="CX142" s="473">
        <f t="shared" si="10"/>
        <v>0</v>
      </c>
      <c r="CY142" s="512">
        <f t="shared" si="11"/>
        <v>0</v>
      </c>
    </row>
    <row r="143" spans="1:103">
      <c r="A143" s="112" t="s">
        <v>585</v>
      </c>
      <c r="B143" s="162" t="str">
        <f>IFERROR(VLOOKUP(ParicipationJuillet1[[#This Row],[Référence]],ListeÉtudiants1[],18,FALSE),"")</f>
        <v>COLLADO ALICIA</v>
      </c>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640"/>
      <c r="AH143" s="202">
        <f>COUNTIF(ParicipationJuillet1[[#This Row],[1]:[31]],Code1)</f>
        <v>0</v>
      </c>
      <c r="AI143" s="475">
        <f>COUNTIF(ParicipationJuillet1[[#This Row],[1]:[31]],code22)</f>
        <v>0</v>
      </c>
      <c r="AJ143" s="202">
        <f>COUNTIF(ParicipationJuillet1[[#This Row],[1]:[31]],Code2)</f>
        <v>0</v>
      </c>
      <c r="AK143" s="202">
        <f>COUNTIF(ParicipationJuillet1[[#This Row],[1]:[31]],Code3)</f>
        <v>0</v>
      </c>
      <c r="AL143" s="202">
        <f>COUNTIF(ParicipationJuillet1[[#This Row],[1]:[31]],Code4)</f>
        <v>0</v>
      </c>
      <c r="AM143" s="473">
        <f>COUNTIF(ParicipationJuillet1[[#This Row],[1]:[31]],Code5)</f>
        <v>0</v>
      </c>
      <c r="AN143" s="473">
        <f>COUNTIF(ParicipationJuillet1[[#This Row],[1]:[31]],Code23)</f>
        <v>0</v>
      </c>
      <c r="AO143" s="473">
        <f>COUNTIF(ParicipationJuillet1[[#This Row],[1]:[31]],Code6)</f>
        <v>0</v>
      </c>
      <c r="AP143" s="473">
        <f>COUNTIF(ParicipationJuillet1[[#This Row],[1]:[31]],Code7)</f>
        <v>0</v>
      </c>
      <c r="AQ143" s="473">
        <f>COUNTIF(ParicipationJuillet1[[#This Row],[1]:[31]],Code8)</f>
        <v>0</v>
      </c>
      <c r="AR143" s="473">
        <f>COUNTIF(ParicipationJuillet1[[#This Row],[1]:[31]],Code9)</f>
        <v>0</v>
      </c>
      <c r="AS143" s="473">
        <f>COUNTIF(ParicipationJuillet1[[#This Row],[1]:[31]],Code10)</f>
        <v>0</v>
      </c>
      <c r="AT143" s="473">
        <f>COUNTIF(ParicipationJuillet1[[#This Row],[1]:[31]],Code11)</f>
        <v>0</v>
      </c>
      <c r="AU143" s="473">
        <f>COUNTIF(ParicipationJuillet1[[#This Row],[1]:[31]],Code12)</f>
        <v>0</v>
      </c>
      <c r="AV143" s="473">
        <f>COUNTIF(ParicipationJuillet1[[#This Row],[1]:[31]],Code13)</f>
        <v>0</v>
      </c>
      <c r="AW143" s="473">
        <f>COUNTIF(ParicipationJuillet1[[#This Row],[1]:[31]],Code14)</f>
        <v>0</v>
      </c>
      <c r="AX143" s="473">
        <f>COUNTIF(ParicipationJuillet1[[#This Row],[1]:[31]],Code15)</f>
        <v>0</v>
      </c>
      <c r="AY143" s="473">
        <f>COUNTIF(ParicipationJuillet1[[#This Row],[1]:[31]],Code16)</f>
        <v>0</v>
      </c>
      <c r="AZ143" s="473">
        <f>COUNTIF(ParicipationJuillet1[[#This Row],[1]:[31]],Code17)</f>
        <v>0</v>
      </c>
      <c r="BA143" s="473">
        <f>COUNTIF(ParicipationJuillet1[[#This Row],[1]:[31]],Code25)</f>
        <v>0</v>
      </c>
      <c r="BB143" s="473">
        <f>COUNTIF(ParicipationJuillet1[[#This Row],[1]:[31]],Code26)</f>
        <v>0</v>
      </c>
      <c r="BC143" s="473">
        <f>COUNTIF(ParicipationJuillet1[[#This Row],[1]:[31]],Code27)</f>
        <v>0</v>
      </c>
      <c r="BD143" s="473">
        <f>COUNTIF(ParicipationJuillet1[[#This Row],[1]:[31]],Code28)</f>
        <v>0</v>
      </c>
      <c r="BE143" s="473">
        <f>COUNTIF(ParicipationJuillet1[[#This Row],[1]:[31]],code30)</f>
        <v>0</v>
      </c>
      <c r="BF143" s="473">
        <f>COUNTIF(ParicipationJuillet1[[#This Row],[1]:[31]],Code31)</f>
        <v>0</v>
      </c>
      <c r="BG143" s="473">
        <f>COUNTIF(ParicipationJuillet1[[#This Row],[1]:[31]],code21)</f>
        <v>0</v>
      </c>
      <c r="BH143" s="473">
        <f>COUNTIF(ParicipationJuillet1[[#This Row],[1]:[31]],Code24)</f>
        <v>0</v>
      </c>
      <c r="BI143" s="473">
        <f>COUNTIF(ParicipationJuillet1[[#This Row],[1]:[31]],code18)</f>
        <v>0</v>
      </c>
      <c r="BJ143" s="473">
        <f>COUNTIF(ParicipationJuillet1[[#This Row],[1]:[31]],code19)</f>
        <v>0</v>
      </c>
      <c r="BK143" s="473">
        <f>COUNTIF(ParicipationJuillet1[[#This Row],[1]:[31]],code20)</f>
        <v>0</v>
      </c>
      <c r="BL143" s="516">
        <f>COUNTIF(ParicipationJuillet1[[#This Row],[1]:[31]],code29)</f>
        <v>0</v>
      </c>
      <c r="BM143" s="473"/>
      <c r="BN143" s="473"/>
      <c r="BO143" s="473"/>
      <c r="BP143" s="473"/>
      <c r="BQ143" s="473"/>
      <c r="BR143" s="473"/>
      <c r="BS143" s="473"/>
      <c r="BT143" s="473"/>
      <c r="BU143" s="473"/>
      <c r="BV143" s="473"/>
      <c r="BW143" s="473"/>
      <c r="BX143" s="473"/>
      <c r="BY143" s="473"/>
      <c r="BZ143" s="473"/>
      <c r="CA143" s="473"/>
      <c r="CB143" s="473"/>
      <c r="CC143" s="473"/>
      <c r="CD143" s="473"/>
      <c r="CE143" s="473"/>
      <c r="CF143" s="473"/>
      <c r="CG143" s="473"/>
      <c r="CH143" s="473"/>
      <c r="CI143" s="473"/>
      <c r="CJ143" s="473"/>
      <c r="CK143" s="473"/>
      <c r="CL143" s="473"/>
      <c r="CM143" s="473"/>
      <c r="CN143" s="473"/>
      <c r="CO143" s="473"/>
      <c r="CP143" s="473"/>
      <c r="CQ143" s="473"/>
      <c r="CR143" s="473"/>
      <c r="CS143" s="473"/>
      <c r="CT143" s="473"/>
      <c r="CU143" s="516"/>
      <c r="CV143" s="501">
        <f t="shared" si="8"/>
        <v>0</v>
      </c>
      <c r="CW143" s="501">
        <f t="shared" si="9"/>
        <v>0</v>
      </c>
      <c r="CX143" s="473">
        <f t="shared" si="10"/>
        <v>0</v>
      </c>
      <c r="CY143" s="512">
        <f t="shared" si="11"/>
        <v>0</v>
      </c>
    </row>
    <row r="144" spans="1:103">
      <c r="A144" s="112" t="s">
        <v>588</v>
      </c>
      <c r="B144" s="162" t="str">
        <f>IFERROR(VLOOKUP(ParicipationJuillet1[[#This Row],[Référence]],ListeÉtudiants1[],18,FALSE),"")</f>
        <v>FERGUENE Chaineze</v>
      </c>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640"/>
      <c r="AH144" s="202">
        <f>COUNTIF(ParicipationJuillet1[[#This Row],[1]:[31]],Code1)</f>
        <v>0</v>
      </c>
      <c r="AI144" s="475">
        <f>COUNTIF(ParicipationJuillet1[[#This Row],[1]:[31]],code22)</f>
        <v>0</v>
      </c>
      <c r="AJ144" s="202">
        <f>COUNTIF(ParicipationJuillet1[[#This Row],[1]:[31]],Code2)</f>
        <v>0</v>
      </c>
      <c r="AK144" s="202">
        <f>COUNTIF(ParicipationJuillet1[[#This Row],[1]:[31]],Code3)</f>
        <v>0</v>
      </c>
      <c r="AL144" s="202">
        <f>COUNTIF(ParicipationJuillet1[[#This Row],[1]:[31]],Code4)</f>
        <v>0</v>
      </c>
      <c r="AM144" s="473">
        <f>COUNTIF(ParicipationJuillet1[[#This Row],[1]:[31]],Code5)</f>
        <v>0</v>
      </c>
      <c r="AN144" s="473">
        <f>COUNTIF(ParicipationJuillet1[[#This Row],[1]:[31]],Code23)</f>
        <v>0</v>
      </c>
      <c r="AO144" s="473">
        <f>COUNTIF(ParicipationJuillet1[[#This Row],[1]:[31]],Code6)</f>
        <v>0</v>
      </c>
      <c r="AP144" s="473">
        <f>COUNTIF(ParicipationJuillet1[[#This Row],[1]:[31]],Code7)</f>
        <v>0</v>
      </c>
      <c r="AQ144" s="473">
        <f>COUNTIF(ParicipationJuillet1[[#This Row],[1]:[31]],Code8)</f>
        <v>0</v>
      </c>
      <c r="AR144" s="473">
        <f>COUNTIF(ParicipationJuillet1[[#This Row],[1]:[31]],Code9)</f>
        <v>0</v>
      </c>
      <c r="AS144" s="473">
        <f>COUNTIF(ParicipationJuillet1[[#This Row],[1]:[31]],Code10)</f>
        <v>0</v>
      </c>
      <c r="AT144" s="473">
        <f>COUNTIF(ParicipationJuillet1[[#This Row],[1]:[31]],Code11)</f>
        <v>0</v>
      </c>
      <c r="AU144" s="473">
        <f>COUNTIF(ParicipationJuillet1[[#This Row],[1]:[31]],Code12)</f>
        <v>0</v>
      </c>
      <c r="AV144" s="473">
        <f>COUNTIF(ParicipationJuillet1[[#This Row],[1]:[31]],Code13)</f>
        <v>0</v>
      </c>
      <c r="AW144" s="473">
        <f>COUNTIF(ParicipationJuillet1[[#This Row],[1]:[31]],Code14)</f>
        <v>0</v>
      </c>
      <c r="AX144" s="473">
        <f>COUNTIF(ParicipationJuillet1[[#This Row],[1]:[31]],Code15)</f>
        <v>0</v>
      </c>
      <c r="AY144" s="473">
        <f>COUNTIF(ParicipationJuillet1[[#This Row],[1]:[31]],Code16)</f>
        <v>0</v>
      </c>
      <c r="AZ144" s="473">
        <f>COUNTIF(ParicipationJuillet1[[#This Row],[1]:[31]],Code17)</f>
        <v>0</v>
      </c>
      <c r="BA144" s="473">
        <f>COUNTIF(ParicipationJuillet1[[#This Row],[1]:[31]],Code25)</f>
        <v>0</v>
      </c>
      <c r="BB144" s="473">
        <f>COUNTIF(ParicipationJuillet1[[#This Row],[1]:[31]],Code26)</f>
        <v>0</v>
      </c>
      <c r="BC144" s="473">
        <f>COUNTIF(ParicipationJuillet1[[#This Row],[1]:[31]],Code27)</f>
        <v>0</v>
      </c>
      <c r="BD144" s="473">
        <f>COUNTIF(ParicipationJuillet1[[#This Row],[1]:[31]],Code28)</f>
        <v>0</v>
      </c>
      <c r="BE144" s="473">
        <f>COUNTIF(ParicipationJuillet1[[#This Row],[1]:[31]],code30)</f>
        <v>0</v>
      </c>
      <c r="BF144" s="473">
        <f>COUNTIF(ParicipationJuillet1[[#This Row],[1]:[31]],Code31)</f>
        <v>0</v>
      </c>
      <c r="BG144" s="473">
        <f>COUNTIF(ParicipationJuillet1[[#This Row],[1]:[31]],code21)</f>
        <v>0</v>
      </c>
      <c r="BH144" s="473">
        <f>COUNTIF(ParicipationJuillet1[[#This Row],[1]:[31]],Code24)</f>
        <v>0</v>
      </c>
      <c r="BI144" s="473">
        <f>COUNTIF(ParicipationJuillet1[[#This Row],[1]:[31]],code18)</f>
        <v>0</v>
      </c>
      <c r="BJ144" s="473">
        <f>COUNTIF(ParicipationJuillet1[[#This Row],[1]:[31]],code19)</f>
        <v>0</v>
      </c>
      <c r="BK144" s="473">
        <f>COUNTIF(ParicipationJuillet1[[#This Row],[1]:[31]],code20)</f>
        <v>0</v>
      </c>
      <c r="BL144" s="516">
        <f>COUNTIF(ParicipationJuillet1[[#This Row],[1]:[31]],code29)</f>
        <v>0</v>
      </c>
      <c r="BM144" s="473"/>
      <c r="BN144" s="473"/>
      <c r="BO144" s="473"/>
      <c r="BP144" s="473"/>
      <c r="BQ144" s="473"/>
      <c r="BR144" s="473"/>
      <c r="BS144" s="473"/>
      <c r="BT144" s="473"/>
      <c r="BU144" s="473"/>
      <c r="BV144" s="473"/>
      <c r="BW144" s="473"/>
      <c r="BX144" s="473"/>
      <c r="BY144" s="473"/>
      <c r="BZ144" s="473"/>
      <c r="CA144" s="473"/>
      <c r="CB144" s="473"/>
      <c r="CC144" s="473"/>
      <c r="CD144" s="473"/>
      <c r="CE144" s="473"/>
      <c r="CF144" s="473"/>
      <c r="CG144" s="473"/>
      <c r="CH144" s="473"/>
      <c r="CI144" s="473"/>
      <c r="CJ144" s="473"/>
      <c r="CK144" s="473"/>
      <c r="CL144" s="473"/>
      <c r="CM144" s="473"/>
      <c r="CN144" s="473"/>
      <c r="CO144" s="473"/>
      <c r="CP144" s="473"/>
      <c r="CQ144" s="473"/>
      <c r="CR144" s="473"/>
      <c r="CS144" s="473"/>
      <c r="CT144" s="473"/>
      <c r="CU144" s="516"/>
      <c r="CV144" s="501">
        <f t="shared" si="8"/>
        <v>0</v>
      </c>
      <c r="CW144" s="501">
        <f t="shared" si="9"/>
        <v>0</v>
      </c>
      <c r="CX144" s="473">
        <f t="shared" si="10"/>
        <v>0</v>
      </c>
      <c r="CY144" s="512">
        <f t="shared" si="11"/>
        <v>0</v>
      </c>
    </row>
    <row r="145" spans="1:103">
      <c r="A145" s="112" t="s">
        <v>590</v>
      </c>
      <c r="B145" s="162" t="str">
        <f>IFERROR(VLOOKUP(ParicipationJuillet1[[#This Row],[Référence]],ListeÉtudiants1[],18,FALSE),"")</f>
        <v>HAMEAU KEVIN</v>
      </c>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640"/>
      <c r="AH145" s="202">
        <f>COUNTIF(ParicipationJuillet1[[#This Row],[1]:[31]],Code1)</f>
        <v>0</v>
      </c>
      <c r="AI145" s="475">
        <f>COUNTIF(ParicipationJuillet1[[#This Row],[1]:[31]],code22)</f>
        <v>0</v>
      </c>
      <c r="AJ145" s="202">
        <f>COUNTIF(ParicipationJuillet1[[#This Row],[1]:[31]],Code2)</f>
        <v>0</v>
      </c>
      <c r="AK145" s="202">
        <f>COUNTIF(ParicipationJuillet1[[#This Row],[1]:[31]],Code3)</f>
        <v>0</v>
      </c>
      <c r="AL145" s="202">
        <f>COUNTIF(ParicipationJuillet1[[#This Row],[1]:[31]],Code4)</f>
        <v>0</v>
      </c>
      <c r="AM145" s="473">
        <f>COUNTIF(ParicipationJuillet1[[#This Row],[1]:[31]],Code5)</f>
        <v>0</v>
      </c>
      <c r="AN145" s="473">
        <f>COUNTIF(ParicipationJuillet1[[#This Row],[1]:[31]],Code23)</f>
        <v>0</v>
      </c>
      <c r="AO145" s="473">
        <f>COUNTIF(ParicipationJuillet1[[#This Row],[1]:[31]],Code6)</f>
        <v>0</v>
      </c>
      <c r="AP145" s="473">
        <f>COUNTIF(ParicipationJuillet1[[#This Row],[1]:[31]],Code7)</f>
        <v>0</v>
      </c>
      <c r="AQ145" s="473">
        <f>COUNTIF(ParicipationJuillet1[[#This Row],[1]:[31]],Code8)</f>
        <v>0</v>
      </c>
      <c r="AR145" s="473">
        <f>COUNTIF(ParicipationJuillet1[[#This Row],[1]:[31]],Code9)</f>
        <v>0</v>
      </c>
      <c r="AS145" s="473">
        <f>COUNTIF(ParicipationJuillet1[[#This Row],[1]:[31]],Code10)</f>
        <v>0</v>
      </c>
      <c r="AT145" s="473">
        <f>COUNTIF(ParicipationJuillet1[[#This Row],[1]:[31]],Code11)</f>
        <v>0</v>
      </c>
      <c r="AU145" s="473">
        <f>COUNTIF(ParicipationJuillet1[[#This Row],[1]:[31]],Code12)</f>
        <v>0</v>
      </c>
      <c r="AV145" s="473">
        <f>COUNTIF(ParicipationJuillet1[[#This Row],[1]:[31]],Code13)</f>
        <v>0</v>
      </c>
      <c r="AW145" s="473">
        <f>COUNTIF(ParicipationJuillet1[[#This Row],[1]:[31]],Code14)</f>
        <v>0</v>
      </c>
      <c r="AX145" s="473">
        <f>COUNTIF(ParicipationJuillet1[[#This Row],[1]:[31]],Code15)</f>
        <v>0</v>
      </c>
      <c r="AY145" s="473">
        <f>COUNTIF(ParicipationJuillet1[[#This Row],[1]:[31]],Code16)</f>
        <v>0</v>
      </c>
      <c r="AZ145" s="473">
        <f>COUNTIF(ParicipationJuillet1[[#This Row],[1]:[31]],Code17)</f>
        <v>0</v>
      </c>
      <c r="BA145" s="473">
        <f>COUNTIF(ParicipationJuillet1[[#This Row],[1]:[31]],Code25)</f>
        <v>0</v>
      </c>
      <c r="BB145" s="473">
        <f>COUNTIF(ParicipationJuillet1[[#This Row],[1]:[31]],Code26)</f>
        <v>0</v>
      </c>
      <c r="BC145" s="473">
        <f>COUNTIF(ParicipationJuillet1[[#This Row],[1]:[31]],Code27)</f>
        <v>0</v>
      </c>
      <c r="BD145" s="473">
        <f>COUNTIF(ParicipationJuillet1[[#This Row],[1]:[31]],Code28)</f>
        <v>0</v>
      </c>
      <c r="BE145" s="473">
        <f>COUNTIF(ParicipationJuillet1[[#This Row],[1]:[31]],code30)</f>
        <v>0</v>
      </c>
      <c r="BF145" s="473">
        <f>COUNTIF(ParicipationJuillet1[[#This Row],[1]:[31]],Code31)</f>
        <v>0</v>
      </c>
      <c r="BG145" s="473">
        <f>COUNTIF(ParicipationJuillet1[[#This Row],[1]:[31]],code21)</f>
        <v>0</v>
      </c>
      <c r="BH145" s="473">
        <f>COUNTIF(ParicipationJuillet1[[#This Row],[1]:[31]],Code24)</f>
        <v>0</v>
      </c>
      <c r="BI145" s="473">
        <f>COUNTIF(ParicipationJuillet1[[#This Row],[1]:[31]],code18)</f>
        <v>0</v>
      </c>
      <c r="BJ145" s="473">
        <f>COUNTIF(ParicipationJuillet1[[#This Row],[1]:[31]],code19)</f>
        <v>0</v>
      </c>
      <c r="BK145" s="473">
        <f>COUNTIF(ParicipationJuillet1[[#This Row],[1]:[31]],code20)</f>
        <v>0</v>
      </c>
      <c r="BL145" s="516">
        <f>COUNTIF(ParicipationJuillet1[[#This Row],[1]:[31]],code29)</f>
        <v>0</v>
      </c>
      <c r="BM145" s="473"/>
      <c r="BN145" s="473"/>
      <c r="BO145" s="473"/>
      <c r="BP145" s="473"/>
      <c r="BQ145" s="473"/>
      <c r="BR145" s="473"/>
      <c r="BS145" s="473"/>
      <c r="BT145" s="473"/>
      <c r="BU145" s="473"/>
      <c r="BV145" s="473"/>
      <c r="BW145" s="473"/>
      <c r="BX145" s="473"/>
      <c r="BY145" s="473"/>
      <c r="BZ145" s="473"/>
      <c r="CA145" s="473"/>
      <c r="CB145" s="473"/>
      <c r="CC145" s="473"/>
      <c r="CD145" s="473"/>
      <c r="CE145" s="473"/>
      <c r="CF145" s="473"/>
      <c r="CG145" s="473"/>
      <c r="CH145" s="473"/>
      <c r="CI145" s="473"/>
      <c r="CJ145" s="473"/>
      <c r="CK145" s="473"/>
      <c r="CL145" s="473"/>
      <c r="CM145" s="473"/>
      <c r="CN145" s="473"/>
      <c r="CO145" s="473"/>
      <c r="CP145" s="473"/>
      <c r="CQ145" s="473"/>
      <c r="CR145" s="473"/>
      <c r="CS145" s="473"/>
      <c r="CT145" s="473"/>
      <c r="CU145" s="516"/>
      <c r="CV145" s="501">
        <f t="shared" si="8"/>
        <v>0</v>
      </c>
      <c r="CW145" s="501">
        <f t="shared" si="9"/>
        <v>0</v>
      </c>
      <c r="CX145" s="473">
        <f t="shared" si="10"/>
        <v>0</v>
      </c>
      <c r="CY145" s="512">
        <f t="shared" si="11"/>
        <v>0</v>
      </c>
    </row>
    <row r="146" spans="1:103">
      <c r="A146" s="112" t="s">
        <v>593</v>
      </c>
      <c r="B146" s="162" t="str">
        <f>IFERROR(VLOOKUP(ParicipationJuillet1[[#This Row],[Référence]],ListeÉtudiants1[],18,FALSE),"")</f>
        <v>KIOLO Carine Laure</v>
      </c>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640"/>
      <c r="AH146" s="202">
        <f>COUNTIF(ParicipationJuillet1[[#This Row],[1]:[31]],Code1)</f>
        <v>0</v>
      </c>
      <c r="AI146" s="475">
        <f>COUNTIF(ParicipationJuillet1[[#This Row],[1]:[31]],code22)</f>
        <v>0</v>
      </c>
      <c r="AJ146" s="202">
        <f>COUNTIF(ParicipationJuillet1[[#This Row],[1]:[31]],Code2)</f>
        <v>0</v>
      </c>
      <c r="AK146" s="202">
        <f>COUNTIF(ParicipationJuillet1[[#This Row],[1]:[31]],Code3)</f>
        <v>0</v>
      </c>
      <c r="AL146" s="202">
        <f>COUNTIF(ParicipationJuillet1[[#This Row],[1]:[31]],Code4)</f>
        <v>0</v>
      </c>
      <c r="AM146" s="473">
        <f>COUNTIF(ParicipationJuillet1[[#This Row],[1]:[31]],Code5)</f>
        <v>0</v>
      </c>
      <c r="AN146" s="473">
        <f>COUNTIF(ParicipationJuillet1[[#This Row],[1]:[31]],Code23)</f>
        <v>0</v>
      </c>
      <c r="AO146" s="473">
        <f>COUNTIF(ParicipationJuillet1[[#This Row],[1]:[31]],Code6)</f>
        <v>0</v>
      </c>
      <c r="AP146" s="473">
        <f>COUNTIF(ParicipationJuillet1[[#This Row],[1]:[31]],Code7)</f>
        <v>0</v>
      </c>
      <c r="AQ146" s="473">
        <f>COUNTIF(ParicipationJuillet1[[#This Row],[1]:[31]],Code8)</f>
        <v>0</v>
      </c>
      <c r="AR146" s="473">
        <f>COUNTIF(ParicipationJuillet1[[#This Row],[1]:[31]],Code9)</f>
        <v>0</v>
      </c>
      <c r="AS146" s="473">
        <f>COUNTIF(ParicipationJuillet1[[#This Row],[1]:[31]],Code10)</f>
        <v>0</v>
      </c>
      <c r="AT146" s="473">
        <f>COUNTIF(ParicipationJuillet1[[#This Row],[1]:[31]],Code11)</f>
        <v>0</v>
      </c>
      <c r="AU146" s="473">
        <f>COUNTIF(ParicipationJuillet1[[#This Row],[1]:[31]],Code12)</f>
        <v>0</v>
      </c>
      <c r="AV146" s="473">
        <f>COUNTIF(ParicipationJuillet1[[#This Row],[1]:[31]],Code13)</f>
        <v>0</v>
      </c>
      <c r="AW146" s="473">
        <f>COUNTIF(ParicipationJuillet1[[#This Row],[1]:[31]],Code14)</f>
        <v>0</v>
      </c>
      <c r="AX146" s="473">
        <f>COUNTIF(ParicipationJuillet1[[#This Row],[1]:[31]],Code15)</f>
        <v>0</v>
      </c>
      <c r="AY146" s="473">
        <f>COUNTIF(ParicipationJuillet1[[#This Row],[1]:[31]],Code16)</f>
        <v>0</v>
      </c>
      <c r="AZ146" s="473">
        <f>COUNTIF(ParicipationJuillet1[[#This Row],[1]:[31]],Code17)</f>
        <v>0</v>
      </c>
      <c r="BA146" s="473">
        <f>COUNTIF(ParicipationJuillet1[[#This Row],[1]:[31]],Code25)</f>
        <v>0</v>
      </c>
      <c r="BB146" s="473">
        <f>COUNTIF(ParicipationJuillet1[[#This Row],[1]:[31]],Code26)</f>
        <v>0</v>
      </c>
      <c r="BC146" s="473">
        <f>COUNTIF(ParicipationJuillet1[[#This Row],[1]:[31]],Code27)</f>
        <v>0</v>
      </c>
      <c r="BD146" s="473">
        <f>COUNTIF(ParicipationJuillet1[[#This Row],[1]:[31]],Code28)</f>
        <v>0</v>
      </c>
      <c r="BE146" s="473">
        <f>COUNTIF(ParicipationJuillet1[[#This Row],[1]:[31]],code30)</f>
        <v>0</v>
      </c>
      <c r="BF146" s="473">
        <f>COUNTIF(ParicipationJuillet1[[#This Row],[1]:[31]],Code31)</f>
        <v>0</v>
      </c>
      <c r="BG146" s="473">
        <f>COUNTIF(ParicipationJuillet1[[#This Row],[1]:[31]],code21)</f>
        <v>0</v>
      </c>
      <c r="BH146" s="473">
        <f>COUNTIF(ParicipationJuillet1[[#This Row],[1]:[31]],Code24)</f>
        <v>0</v>
      </c>
      <c r="BI146" s="473">
        <f>COUNTIF(ParicipationJuillet1[[#This Row],[1]:[31]],code18)</f>
        <v>0</v>
      </c>
      <c r="BJ146" s="473">
        <f>COUNTIF(ParicipationJuillet1[[#This Row],[1]:[31]],code19)</f>
        <v>0</v>
      </c>
      <c r="BK146" s="473">
        <f>COUNTIF(ParicipationJuillet1[[#This Row],[1]:[31]],code20)</f>
        <v>0</v>
      </c>
      <c r="BL146" s="516">
        <f>COUNTIF(ParicipationJuillet1[[#This Row],[1]:[31]],code29)</f>
        <v>0</v>
      </c>
      <c r="BM146" s="473"/>
      <c r="BN146" s="473"/>
      <c r="BO146" s="473"/>
      <c r="BP146" s="473"/>
      <c r="BQ146" s="473"/>
      <c r="BR146" s="473"/>
      <c r="BS146" s="473"/>
      <c r="BT146" s="473"/>
      <c r="BU146" s="473"/>
      <c r="BV146" s="473"/>
      <c r="BW146" s="473"/>
      <c r="BX146" s="473"/>
      <c r="BY146" s="473"/>
      <c r="BZ146" s="473"/>
      <c r="CA146" s="473"/>
      <c r="CB146" s="473"/>
      <c r="CC146" s="473"/>
      <c r="CD146" s="473"/>
      <c r="CE146" s="473"/>
      <c r="CF146" s="473"/>
      <c r="CG146" s="473"/>
      <c r="CH146" s="473"/>
      <c r="CI146" s="473"/>
      <c r="CJ146" s="473"/>
      <c r="CK146" s="473"/>
      <c r="CL146" s="473"/>
      <c r="CM146" s="473"/>
      <c r="CN146" s="473"/>
      <c r="CO146" s="473"/>
      <c r="CP146" s="473"/>
      <c r="CQ146" s="473"/>
      <c r="CR146" s="473"/>
      <c r="CS146" s="473"/>
      <c r="CT146" s="473"/>
      <c r="CU146" s="516"/>
      <c r="CV146" s="501">
        <f t="shared" si="8"/>
        <v>0</v>
      </c>
      <c r="CW146" s="501">
        <f t="shared" si="9"/>
        <v>0</v>
      </c>
      <c r="CX146" s="473">
        <f t="shared" si="10"/>
        <v>0</v>
      </c>
      <c r="CY146" s="512">
        <f t="shared" si="11"/>
        <v>0</v>
      </c>
    </row>
    <row r="147" spans="1:103">
      <c r="A147" s="112" t="s">
        <v>596</v>
      </c>
      <c r="B147" s="162" t="str">
        <f>IFERROR(VLOOKUP(ParicipationJuillet1[[#This Row],[Référence]],ListeÉtudiants1[],18,FALSE),"")</f>
        <v>LESUEUR GERALDINE</v>
      </c>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640"/>
      <c r="AH147" s="202">
        <f>COUNTIF(ParicipationJuillet1[[#This Row],[1]:[31]],Code1)</f>
        <v>0</v>
      </c>
      <c r="AI147" s="475">
        <f>COUNTIF(ParicipationJuillet1[[#This Row],[1]:[31]],code22)</f>
        <v>0</v>
      </c>
      <c r="AJ147" s="202">
        <f>COUNTIF(ParicipationJuillet1[[#This Row],[1]:[31]],Code2)</f>
        <v>0</v>
      </c>
      <c r="AK147" s="202">
        <f>COUNTIF(ParicipationJuillet1[[#This Row],[1]:[31]],Code3)</f>
        <v>0</v>
      </c>
      <c r="AL147" s="202">
        <f>COUNTIF(ParicipationJuillet1[[#This Row],[1]:[31]],Code4)</f>
        <v>0</v>
      </c>
      <c r="AM147" s="473">
        <f>COUNTIF(ParicipationJuillet1[[#This Row],[1]:[31]],Code5)</f>
        <v>0</v>
      </c>
      <c r="AN147" s="473">
        <f>COUNTIF(ParicipationJuillet1[[#This Row],[1]:[31]],Code23)</f>
        <v>0</v>
      </c>
      <c r="AO147" s="473">
        <f>COUNTIF(ParicipationJuillet1[[#This Row],[1]:[31]],Code6)</f>
        <v>0</v>
      </c>
      <c r="AP147" s="473">
        <f>COUNTIF(ParicipationJuillet1[[#This Row],[1]:[31]],Code7)</f>
        <v>0</v>
      </c>
      <c r="AQ147" s="473">
        <f>COUNTIF(ParicipationJuillet1[[#This Row],[1]:[31]],Code8)</f>
        <v>0</v>
      </c>
      <c r="AR147" s="473">
        <f>COUNTIF(ParicipationJuillet1[[#This Row],[1]:[31]],Code9)</f>
        <v>0</v>
      </c>
      <c r="AS147" s="473">
        <f>COUNTIF(ParicipationJuillet1[[#This Row],[1]:[31]],Code10)</f>
        <v>0</v>
      </c>
      <c r="AT147" s="473">
        <f>COUNTIF(ParicipationJuillet1[[#This Row],[1]:[31]],Code11)</f>
        <v>0</v>
      </c>
      <c r="AU147" s="473">
        <f>COUNTIF(ParicipationJuillet1[[#This Row],[1]:[31]],Code12)</f>
        <v>0</v>
      </c>
      <c r="AV147" s="473">
        <f>COUNTIF(ParicipationJuillet1[[#This Row],[1]:[31]],Code13)</f>
        <v>0</v>
      </c>
      <c r="AW147" s="473">
        <f>COUNTIF(ParicipationJuillet1[[#This Row],[1]:[31]],Code14)</f>
        <v>0</v>
      </c>
      <c r="AX147" s="473">
        <f>COUNTIF(ParicipationJuillet1[[#This Row],[1]:[31]],Code15)</f>
        <v>0</v>
      </c>
      <c r="AY147" s="473">
        <f>COUNTIF(ParicipationJuillet1[[#This Row],[1]:[31]],Code16)</f>
        <v>0</v>
      </c>
      <c r="AZ147" s="473">
        <f>COUNTIF(ParicipationJuillet1[[#This Row],[1]:[31]],Code17)</f>
        <v>0</v>
      </c>
      <c r="BA147" s="473">
        <f>COUNTIF(ParicipationJuillet1[[#This Row],[1]:[31]],Code25)</f>
        <v>0</v>
      </c>
      <c r="BB147" s="473">
        <f>COUNTIF(ParicipationJuillet1[[#This Row],[1]:[31]],Code26)</f>
        <v>0</v>
      </c>
      <c r="BC147" s="473">
        <f>COUNTIF(ParicipationJuillet1[[#This Row],[1]:[31]],Code27)</f>
        <v>0</v>
      </c>
      <c r="BD147" s="473">
        <f>COUNTIF(ParicipationJuillet1[[#This Row],[1]:[31]],Code28)</f>
        <v>0</v>
      </c>
      <c r="BE147" s="473">
        <f>COUNTIF(ParicipationJuillet1[[#This Row],[1]:[31]],code30)</f>
        <v>0</v>
      </c>
      <c r="BF147" s="473">
        <f>COUNTIF(ParicipationJuillet1[[#This Row],[1]:[31]],Code31)</f>
        <v>0</v>
      </c>
      <c r="BG147" s="473">
        <f>COUNTIF(ParicipationJuillet1[[#This Row],[1]:[31]],code21)</f>
        <v>0</v>
      </c>
      <c r="BH147" s="473">
        <f>COUNTIF(ParicipationJuillet1[[#This Row],[1]:[31]],Code24)</f>
        <v>0</v>
      </c>
      <c r="BI147" s="473">
        <f>COUNTIF(ParicipationJuillet1[[#This Row],[1]:[31]],code18)</f>
        <v>0</v>
      </c>
      <c r="BJ147" s="473">
        <f>COUNTIF(ParicipationJuillet1[[#This Row],[1]:[31]],code19)</f>
        <v>0</v>
      </c>
      <c r="BK147" s="473">
        <f>COUNTIF(ParicipationJuillet1[[#This Row],[1]:[31]],code20)</f>
        <v>0</v>
      </c>
      <c r="BL147" s="516">
        <f>COUNTIF(ParicipationJuillet1[[#This Row],[1]:[31]],code29)</f>
        <v>0</v>
      </c>
      <c r="BM147" s="473"/>
      <c r="BN147" s="473"/>
      <c r="BO147" s="473"/>
      <c r="BP147" s="473"/>
      <c r="BQ147" s="473"/>
      <c r="BR147" s="473"/>
      <c r="BS147" s="473"/>
      <c r="BT147" s="473"/>
      <c r="BU147" s="473"/>
      <c r="BV147" s="473"/>
      <c r="BW147" s="473"/>
      <c r="BX147" s="473"/>
      <c r="BY147" s="473"/>
      <c r="BZ147" s="473"/>
      <c r="CA147" s="473"/>
      <c r="CB147" s="473"/>
      <c r="CC147" s="473"/>
      <c r="CD147" s="473"/>
      <c r="CE147" s="473"/>
      <c r="CF147" s="473"/>
      <c r="CG147" s="473"/>
      <c r="CH147" s="473"/>
      <c r="CI147" s="473"/>
      <c r="CJ147" s="473"/>
      <c r="CK147" s="473"/>
      <c r="CL147" s="473"/>
      <c r="CM147" s="473"/>
      <c r="CN147" s="473"/>
      <c r="CO147" s="473"/>
      <c r="CP147" s="473"/>
      <c r="CQ147" s="473"/>
      <c r="CR147" s="473"/>
      <c r="CS147" s="473"/>
      <c r="CT147" s="473"/>
      <c r="CU147" s="516"/>
      <c r="CV147" s="501">
        <f t="shared" si="8"/>
        <v>0</v>
      </c>
      <c r="CW147" s="501">
        <f t="shared" si="9"/>
        <v>0</v>
      </c>
      <c r="CX147" s="473">
        <f t="shared" si="10"/>
        <v>0</v>
      </c>
      <c r="CY147" s="512">
        <f t="shared" si="11"/>
        <v>0</v>
      </c>
    </row>
    <row r="148" spans="1:103">
      <c r="A148" s="112" t="s">
        <v>599</v>
      </c>
      <c r="B148" s="162" t="str">
        <f>IFERROR(VLOOKUP(ParicipationJuillet1[[#This Row],[Référence]],ListeÉtudiants1[],18,FALSE),"")</f>
        <v>LOVE SAMUEL</v>
      </c>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640"/>
      <c r="AH148" s="202">
        <f>COUNTIF(ParicipationJuillet1[[#This Row],[1]:[31]],Code1)</f>
        <v>0</v>
      </c>
      <c r="AI148" s="475">
        <f>COUNTIF(ParicipationJuillet1[[#This Row],[1]:[31]],code22)</f>
        <v>0</v>
      </c>
      <c r="AJ148" s="202">
        <f>COUNTIF(ParicipationJuillet1[[#This Row],[1]:[31]],Code2)</f>
        <v>0</v>
      </c>
      <c r="AK148" s="202">
        <f>COUNTIF(ParicipationJuillet1[[#This Row],[1]:[31]],Code3)</f>
        <v>0</v>
      </c>
      <c r="AL148" s="202">
        <f>COUNTIF(ParicipationJuillet1[[#This Row],[1]:[31]],Code4)</f>
        <v>0</v>
      </c>
      <c r="AM148" s="473">
        <f>COUNTIF(ParicipationJuillet1[[#This Row],[1]:[31]],Code5)</f>
        <v>0</v>
      </c>
      <c r="AN148" s="473">
        <f>COUNTIF(ParicipationJuillet1[[#This Row],[1]:[31]],Code23)</f>
        <v>0</v>
      </c>
      <c r="AO148" s="473">
        <f>COUNTIF(ParicipationJuillet1[[#This Row],[1]:[31]],Code6)</f>
        <v>0</v>
      </c>
      <c r="AP148" s="473">
        <f>COUNTIF(ParicipationJuillet1[[#This Row],[1]:[31]],Code7)</f>
        <v>0</v>
      </c>
      <c r="AQ148" s="473">
        <f>COUNTIF(ParicipationJuillet1[[#This Row],[1]:[31]],Code8)</f>
        <v>0</v>
      </c>
      <c r="AR148" s="473">
        <f>COUNTIF(ParicipationJuillet1[[#This Row],[1]:[31]],Code9)</f>
        <v>0</v>
      </c>
      <c r="AS148" s="473">
        <f>COUNTIF(ParicipationJuillet1[[#This Row],[1]:[31]],Code10)</f>
        <v>0</v>
      </c>
      <c r="AT148" s="473">
        <f>COUNTIF(ParicipationJuillet1[[#This Row],[1]:[31]],Code11)</f>
        <v>0</v>
      </c>
      <c r="AU148" s="473">
        <f>COUNTIF(ParicipationJuillet1[[#This Row],[1]:[31]],Code12)</f>
        <v>0</v>
      </c>
      <c r="AV148" s="473">
        <f>COUNTIF(ParicipationJuillet1[[#This Row],[1]:[31]],Code13)</f>
        <v>0</v>
      </c>
      <c r="AW148" s="473">
        <f>COUNTIF(ParicipationJuillet1[[#This Row],[1]:[31]],Code14)</f>
        <v>0</v>
      </c>
      <c r="AX148" s="473">
        <f>COUNTIF(ParicipationJuillet1[[#This Row],[1]:[31]],Code15)</f>
        <v>0</v>
      </c>
      <c r="AY148" s="473">
        <f>COUNTIF(ParicipationJuillet1[[#This Row],[1]:[31]],Code16)</f>
        <v>0</v>
      </c>
      <c r="AZ148" s="473">
        <f>COUNTIF(ParicipationJuillet1[[#This Row],[1]:[31]],Code17)</f>
        <v>0</v>
      </c>
      <c r="BA148" s="473">
        <f>COUNTIF(ParicipationJuillet1[[#This Row],[1]:[31]],Code25)</f>
        <v>0</v>
      </c>
      <c r="BB148" s="473">
        <f>COUNTIF(ParicipationJuillet1[[#This Row],[1]:[31]],Code26)</f>
        <v>0</v>
      </c>
      <c r="BC148" s="473">
        <f>COUNTIF(ParicipationJuillet1[[#This Row],[1]:[31]],Code27)</f>
        <v>0</v>
      </c>
      <c r="BD148" s="473">
        <f>COUNTIF(ParicipationJuillet1[[#This Row],[1]:[31]],Code28)</f>
        <v>0</v>
      </c>
      <c r="BE148" s="473">
        <f>COUNTIF(ParicipationJuillet1[[#This Row],[1]:[31]],code30)</f>
        <v>0</v>
      </c>
      <c r="BF148" s="473">
        <f>COUNTIF(ParicipationJuillet1[[#This Row],[1]:[31]],Code31)</f>
        <v>0</v>
      </c>
      <c r="BG148" s="473">
        <f>COUNTIF(ParicipationJuillet1[[#This Row],[1]:[31]],code21)</f>
        <v>0</v>
      </c>
      <c r="BH148" s="473">
        <f>COUNTIF(ParicipationJuillet1[[#This Row],[1]:[31]],Code24)</f>
        <v>0</v>
      </c>
      <c r="BI148" s="473">
        <f>COUNTIF(ParicipationJuillet1[[#This Row],[1]:[31]],code18)</f>
        <v>0</v>
      </c>
      <c r="BJ148" s="473">
        <f>COUNTIF(ParicipationJuillet1[[#This Row],[1]:[31]],code19)</f>
        <v>0</v>
      </c>
      <c r="BK148" s="473">
        <f>COUNTIF(ParicipationJuillet1[[#This Row],[1]:[31]],code20)</f>
        <v>0</v>
      </c>
      <c r="BL148" s="516">
        <f>COUNTIF(ParicipationJuillet1[[#This Row],[1]:[31]],code29)</f>
        <v>0</v>
      </c>
      <c r="BM148" s="473"/>
      <c r="BN148" s="473"/>
      <c r="BO148" s="473"/>
      <c r="BP148" s="473"/>
      <c r="BQ148" s="473"/>
      <c r="BR148" s="473"/>
      <c r="BS148" s="473"/>
      <c r="BT148" s="473"/>
      <c r="BU148" s="473"/>
      <c r="BV148" s="473"/>
      <c r="BW148" s="473"/>
      <c r="BX148" s="473"/>
      <c r="BY148" s="473"/>
      <c r="BZ148" s="473"/>
      <c r="CA148" s="473"/>
      <c r="CB148" s="473"/>
      <c r="CC148" s="473"/>
      <c r="CD148" s="473"/>
      <c r="CE148" s="473"/>
      <c r="CF148" s="473"/>
      <c r="CG148" s="473"/>
      <c r="CH148" s="473"/>
      <c r="CI148" s="473"/>
      <c r="CJ148" s="473"/>
      <c r="CK148" s="473"/>
      <c r="CL148" s="473"/>
      <c r="CM148" s="473"/>
      <c r="CN148" s="473"/>
      <c r="CO148" s="473"/>
      <c r="CP148" s="473"/>
      <c r="CQ148" s="473"/>
      <c r="CR148" s="473"/>
      <c r="CS148" s="473"/>
      <c r="CT148" s="473"/>
      <c r="CU148" s="516"/>
      <c r="CV148" s="501">
        <f t="shared" si="8"/>
        <v>0</v>
      </c>
      <c r="CW148" s="501">
        <f t="shared" si="9"/>
        <v>0</v>
      </c>
      <c r="CX148" s="473">
        <f t="shared" si="10"/>
        <v>0</v>
      </c>
      <c r="CY148" s="512">
        <f t="shared" si="11"/>
        <v>0</v>
      </c>
    </row>
    <row r="149" spans="1:103">
      <c r="A149" s="112" t="s">
        <v>602</v>
      </c>
      <c r="B149" s="162" t="str">
        <f>IFERROR(VLOOKUP(ParicipationJuillet1[[#This Row],[Référence]],ListeÉtudiants1[],18,FALSE),"")</f>
        <v>LOVELY JOSELITA</v>
      </c>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640"/>
      <c r="AH149" s="202">
        <f>COUNTIF(ParicipationJuillet1[[#This Row],[1]:[31]],Code1)</f>
        <v>0</v>
      </c>
      <c r="AI149" s="475">
        <f>COUNTIF(ParicipationJuillet1[[#This Row],[1]:[31]],code22)</f>
        <v>0</v>
      </c>
      <c r="AJ149" s="202">
        <f>COUNTIF(ParicipationJuillet1[[#This Row],[1]:[31]],Code2)</f>
        <v>0</v>
      </c>
      <c r="AK149" s="202">
        <f>COUNTIF(ParicipationJuillet1[[#This Row],[1]:[31]],Code3)</f>
        <v>0</v>
      </c>
      <c r="AL149" s="202">
        <f>COUNTIF(ParicipationJuillet1[[#This Row],[1]:[31]],Code4)</f>
        <v>0</v>
      </c>
      <c r="AM149" s="473">
        <f>COUNTIF(ParicipationJuillet1[[#This Row],[1]:[31]],Code5)</f>
        <v>0</v>
      </c>
      <c r="AN149" s="473">
        <f>COUNTIF(ParicipationJuillet1[[#This Row],[1]:[31]],Code23)</f>
        <v>0</v>
      </c>
      <c r="AO149" s="473">
        <f>COUNTIF(ParicipationJuillet1[[#This Row],[1]:[31]],Code6)</f>
        <v>0</v>
      </c>
      <c r="AP149" s="473">
        <f>COUNTIF(ParicipationJuillet1[[#This Row],[1]:[31]],Code7)</f>
        <v>0</v>
      </c>
      <c r="AQ149" s="473">
        <f>COUNTIF(ParicipationJuillet1[[#This Row],[1]:[31]],Code8)</f>
        <v>0</v>
      </c>
      <c r="AR149" s="473">
        <f>COUNTIF(ParicipationJuillet1[[#This Row],[1]:[31]],Code9)</f>
        <v>0</v>
      </c>
      <c r="AS149" s="473">
        <f>COUNTIF(ParicipationJuillet1[[#This Row],[1]:[31]],Code10)</f>
        <v>0</v>
      </c>
      <c r="AT149" s="473">
        <f>COUNTIF(ParicipationJuillet1[[#This Row],[1]:[31]],Code11)</f>
        <v>0</v>
      </c>
      <c r="AU149" s="473">
        <f>COUNTIF(ParicipationJuillet1[[#This Row],[1]:[31]],Code12)</f>
        <v>0</v>
      </c>
      <c r="AV149" s="473">
        <f>COUNTIF(ParicipationJuillet1[[#This Row],[1]:[31]],Code13)</f>
        <v>0</v>
      </c>
      <c r="AW149" s="473">
        <f>COUNTIF(ParicipationJuillet1[[#This Row],[1]:[31]],Code14)</f>
        <v>0</v>
      </c>
      <c r="AX149" s="473">
        <f>COUNTIF(ParicipationJuillet1[[#This Row],[1]:[31]],Code15)</f>
        <v>0</v>
      </c>
      <c r="AY149" s="473">
        <f>COUNTIF(ParicipationJuillet1[[#This Row],[1]:[31]],Code16)</f>
        <v>0</v>
      </c>
      <c r="AZ149" s="473">
        <f>COUNTIF(ParicipationJuillet1[[#This Row],[1]:[31]],Code17)</f>
        <v>0</v>
      </c>
      <c r="BA149" s="473">
        <f>COUNTIF(ParicipationJuillet1[[#This Row],[1]:[31]],Code25)</f>
        <v>0</v>
      </c>
      <c r="BB149" s="473">
        <f>COUNTIF(ParicipationJuillet1[[#This Row],[1]:[31]],Code26)</f>
        <v>0</v>
      </c>
      <c r="BC149" s="473">
        <f>COUNTIF(ParicipationJuillet1[[#This Row],[1]:[31]],Code27)</f>
        <v>0</v>
      </c>
      <c r="BD149" s="473">
        <f>COUNTIF(ParicipationJuillet1[[#This Row],[1]:[31]],Code28)</f>
        <v>0</v>
      </c>
      <c r="BE149" s="473">
        <f>COUNTIF(ParicipationJuillet1[[#This Row],[1]:[31]],code30)</f>
        <v>0</v>
      </c>
      <c r="BF149" s="473">
        <f>COUNTIF(ParicipationJuillet1[[#This Row],[1]:[31]],Code31)</f>
        <v>0</v>
      </c>
      <c r="BG149" s="473">
        <f>COUNTIF(ParicipationJuillet1[[#This Row],[1]:[31]],code21)</f>
        <v>0</v>
      </c>
      <c r="BH149" s="473">
        <f>COUNTIF(ParicipationJuillet1[[#This Row],[1]:[31]],Code24)</f>
        <v>0</v>
      </c>
      <c r="BI149" s="473">
        <f>COUNTIF(ParicipationJuillet1[[#This Row],[1]:[31]],code18)</f>
        <v>0</v>
      </c>
      <c r="BJ149" s="473">
        <f>COUNTIF(ParicipationJuillet1[[#This Row],[1]:[31]],code19)</f>
        <v>0</v>
      </c>
      <c r="BK149" s="473">
        <f>COUNTIF(ParicipationJuillet1[[#This Row],[1]:[31]],code20)</f>
        <v>0</v>
      </c>
      <c r="BL149" s="516">
        <f>COUNTIF(ParicipationJuillet1[[#This Row],[1]:[31]],code29)</f>
        <v>0</v>
      </c>
      <c r="BM149" s="473"/>
      <c r="BN149" s="473"/>
      <c r="BO149" s="473"/>
      <c r="BP149" s="473"/>
      <c r="BQ149" s="473"/>
      <c r="BR149" s="473"/>
      <c r="BS149" s="473"/>
      <c r="BT149" s="473"/>
      <c r="BU149" s="473"/>
      <c r="BV149" s="473"/>
      <c r="BW149" s="473"/>
      <c r="BX149" s="473"/>
      <c r="BY149" s="473"/>
      <c r="BZ149" s="473"/>
      <c r="CA149" s="473"/>
      <c r="CB149" s="473"/>
      <c r="CC149" s="473"/>
      <c r="CD149" s="473"/>
      <c r="CE149" s="473"/>
      <c r="CF149" s="473"/>
      <c r="CG149" s="473"/>
      <c r="CH149" s="473"/>
      <c r="CI149" s="473"/>
      <c r="CJ149" s="473"/>
      <c r="CK149" s="473"/>
      <c r="CL149" s="473"/>
      <c r="CM149" s="473"/>
      <c r="CN149" s="473"/>
      <c r="CO149" s="473"/>
      <c r="CP149" s="473"/>
      <c r="CQ149" s="473"/>
      <c r="CR149" s="473"/>
      <c r="CS149" s="473"/>
      <c r="CT149" s="473"/>
      <c r="CU149" s="516"/>
      <c r="CV149" s="501">
        <f t="shared" si="8"/>
        <v>0</v>
      </c>
      <c r="CW149" s="501">
        <f t="shared" si="9"/>
        <v>0</v>
      </c>
      <c r="CX149" s="473">
        <f t="shared" si="10"/>
        <v>0</v>
      </c>
      <c r="CY149" s="512">
        <f t="shared" si="11"/>
        <v>0</v>
      </c>
    </row>
    <row r="150" spans="1:103">
      <c r="A150" s="112" t="s">
        <v>606</v>
      </c>
      <c r="B150" s="162" t="str">
        <f>IFERROR(VLOOKUP(ParicipationJuillet1[[#This Row],[Référence]],ListeÉtudiants1[],18,FALSE),"")</f>
        <v>MALULU INGRID</v>
      </c>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c r="AE150" s="202"/>
      <c r="AF150" s="202"/>
      <c r="AG150" s="640"/>
      <c r="AH150" s="202">
        <f>COUNTIF(ParicipationJuillet1[[#This Row],[1]:[31]],Code1)</f>
        <v>0</v>
      </c>
      <c r="AI150" s="475">
        <f>COUNTIF(ParicipationJuillet1[[#This Row],[1]:[31]],code22)</f>
        <v>0</v>
      </c>
      <c r="AJ150" s="202">
        <f>COUNTIF(ParicipationJuillet1[[#This Row],[1]:[31]],Code2)</f>
        <v>0</v>
      </c>
      <c r="AK150" s="202">
        <f>COUNTIF(ParicipationJuillet1[[#This Row],[1]:[31]],Code3)</f>
        <v>0</v>
      </c>
      <c r="AL150" s="202">
        <f>COUNTIF(ParicipationJuillet1[[#This Row],[1]:[31]],Code4)</f>
        <v>0</v>
      </c>
      <c r="AM150" s="473">
        <f>COUNTIF(ParicipationJuillet1[[#This Row],[1]:[31]],Code5)</f>
        <v>0</v>
      </c>
      <c r="AN150" s="473">
        <f>COUNTIF(ParicipationJuillet1[[#This Row],[1]:[31]],Code23)</f>
        <v>0</v>
      </c>
      <c r="AO150" s="473">
        <f>COUNTIF(ParicipationJuillet1[[#This Row],[1]:[31]],Code6)</f>
        <v>0</v>
      </c>
      <c r="AP150" s="473">
        <f>COUNTIF(ParicipationJuillet1[[#This Row],[1]:[31]],Code7)</f>
        <v>0</v>
      </c>
      <c r="AQ150" s="473">
        <f>COUNTIF(ParicipationJuillet1[[#This Row],[1]:[31]],Code8)</f>
        <v>0</v>
      </c>
      <c r="AR150" s="473">
        <f>COUNTIF(ParicipationJuillet1[[#This Row],[1]:[31]],Code9)</f>
        <v>0</v>
      </c>
      <c r="AS150" s="473">
        <f>COUNTIF(ParicipationJuillet1[[#This Row],[1]:[31]],Code10)</f>
        <v>0</v>
      </c>
      <c r="AT150" s="473">
        <f>COUNTIF(ParicipationJuillet1[[#This Row],[1]:[31]],Code11)</f>
        <v>0</v>
      </c>
      <c r="AU150" s="473">
        <f>COUNTIF(ParicipationJuillet1[[#This Row],[1]:[31]],Code12)</f>
        <v>0</v>
      </c>
      <c r="AV150" s="473">
        <f>COUNTIF(ParicipationJuillet1[[#This Row],[1]:[31]],Code13)</f>
        <v>0</v>
      </c>
      <c r="AW150" s="473">
        <f>COUNTIF(ParicipationJuillet1[[#This Row],[1]:[31]],Code14)</f>
        <v>0</v>
      </c>
      <c r="AX150" s="473">
        <f>COUNTIF(ParicipationJuillet1[[#This Row],[1]:[31]],Code15)</f>
        <v>0</v>
      </c>
      <c r="AY150" s="473">
        <f>COUNTIF(ParicipationJuillet1[[#This Row],[1]:[31]],Code16)</f>
        <v>0</v>
      </c>
      <c r="AZ150" s="473">
        <f>COUNTIF(ParicipationJuillet1[[#This Row],[1]:[31]],Code17)</f>
        <v>0</v>
      </c>
      <c r="BA150" s="473">
        <f>COUNTIF(ParicipationJuillet1[[#This Row],[1]:[31]],Code25)</f>
        <v>0</v>
      </c>
      <c r="BB150" s="473">
        <f>COUNTIF(ParicipationJuillet1[[#This Row],[1]:[31]],Code26)</f>
        <v>0</v>
      </c>
      <c r="BC150" s="473">
        <f>COUNTIF(ParicipationJuillet1[[#This Row],[1]:[31]],Code27)</f>
        <v>0</v>
      </c>
      <c r="BD150" s="473">
        <f>COUNTIF(ParicipationJuillet1[[#This Row],[1]:[31]],Code28)</f>
        <v>0</v>
      </c>
      <c r="BE150" s="473">
        <f>COUNTIF(ParicipationJuillet1[[#This Row],[1]:[31]],code30)</f>
        <v>0</v>
      </c>
      <c r="BF150" s="473">
        <f>COUNTIF(ParicipationJuillet1[[#This Row],[1]:[31]],Code31)</f>
        <v>0</v>
      </c>
      <c r="BG150" s="473">
        <f>COUNTIF(ParicipationJuillet1[[#This Row],[1]:[31]],code21)</f>
        <v>0</v>
      </c>
      <c r="BH150" s="473">
        <f>COUNTIF(ParicipationJuillet1[[#This Row],[1]:[31]],Code24)</f>
        <v>0</v>
      </c>
      <c r="BI150" s="473">
        <f>COUNTIF(ParicipationJuillet1[[#This Row],[1]:[31]],code18)</f>
        <v>0</v>
      </c>
      <c r="BJ150" s="473">
        <f>COUNTIF(ParicipationJuillet1[[#This Row],[1]:[31]],code19)</f>
        <v>0</v>
      </c>
      <c r="BK150" s="473">
        <f>COUNTIF(ParicipationJuillet1[[#This Row],[1]:[31]],code20)</f>
        <v>0</v>
      </c>
      <c r="BL150" s="516">
        <f>COUNTIF(ParicipationJuillet1[[#This Row],[1]:[31]],code29)</f>
        <v>0</v>
      </c>
      <c r="BM150" s="473"/>
      <c r="BN150" s="473"/>
      <c r="BO150" s="473"/>
      <c r="BP150" s="473"/>
      <c r="BQ150" s="473"/>
      <c r="BR150" s="473"/>
      <c r="BS150" s="473"/>
      <c r="BT150" s="473"/>
      <c r="BU150" s="473"/>
      <c r="BV150" s="473"/>
      <c r="BW150" s="473"/>
      <c r="BX150" s="473"/>
      <c r="BY150" s="473"/>
      <c r="BZ150" s="473"/>
      <c r="CA150" s="473"/>
      <c r="CB150" s="473"/>
      <c r="CC150" s="473"/>
      <c r="CD150" s="473"/>
      <c r="CE150" s="473"/>
      <c r="CF150" s="473"/>
      <c r="CG150" s="473"/>
      <c r="CH150" s="473"/>
      <c r="CI150" s="473"/>
      <c r="CJ150" s="473"/>
      <c r="CK150" s="473"/>
      <c r="CL150" s="473"/>
      <c r="CM150" s="473"/>
      <c r="CN150" s="473"/>
      <c r="CO150" s="473"/>
      <c r="CP150" s="473"/>
      <c r="CQ150" s="473"/>
      <c r="CR150" s="473"/>
      <c r="CS150" s="473"/>
      <c r="CT150" s="473"/>
      <c r="CU150" s="516"/>
      <c r="CV150" s="501">
        <f t="shared" si="8"/>
        <v>0</v>
      </c>
      <c r="CW150" s="501">
        <f t="shared" si="9"/>
        <v>0</v>
      </c>
      <c r="CX150" s="473">
        <f t="shared" si="10"/>
        <v>0</v>
      </c>
      <c r="CY150" s="512">
        <f t="shared" si="11"/>
        <v>0</v>
      </c>
    </row>
    <row r="151" spans="1:103">
      <c r="A151" s="112" t="s">
        <v>608</v>
      </c>
      <c r="B151" s="162" t="str">
        <f>IFERROR(VLOOKUP(ParicipationJuillet1[[#This Row],[Référence]],ListeÉtudiants1[],18,FALSE),"")</f>
        <v>NGOME BEKOMBO CASIMIR</v>
      </c>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640"/>
      <c r="AH151" s="202">
        <f>COUNTIF(ParicipationJuillet1[[#This Row],[1]:[31]],Code1)</f>
        <v>0</v>
      </c>
      <c r="AI151" s="475">
        <f>COUNTIF(ParicipationJuillet1[[#This Row],[1]:[31]],code22)</f>
        <v>0</v>
      </c>
      <c r="AJ151" s="202">
        <f>COUNTIF(ParicipationJuillet1[[#This Row],[1]:[31]],Code2)</f>
        <v>0</v>
      </c>
      <c r="AK151" s="202">
        <f>COUNTIF(ParicipationJuillet1[[#This Row],[1]:[31]],Code3)</f>
        <v>0</v>
      </c>
      <c r="AL151" s="202">
        <f>COUNTIF(ParicipationJuillet1[[#This Row],[1]:[31]],Code4)</f>
        <v>0</v>
      </c>
      <c r="AM151" s="473">
        <f>COUNTIF(ParicipationJuillet1[[#This Row],[1]:[31]],Code5)</f>
        <v>0</v>
      </c>
      <c r="AN151" s="473">
        <f>COUNTIF(ParicipationJuillet1[[#This Row],[1]:[31]],Code23)</f>
        <v>0</v>
      </c>
      <c r="AO151" s="473">
        <f>COUNTIF(ParicipationJuillet1[[#This Row],[1]:[31]],Code6)</f>
        <v>0</v>
      </c>
      <c r="AP151" s="473">
        <f>COUNTIF(ParicipationJuillet1[[#This Row],[1]:[31]],Code7)</f>
        <v>0</v>
      </c>
      <c r="AQ151" s="473">
        <f>COUNTIF(ParicipationJuillet1[[#This Row],[1]:[31]],Code8)</f>
        <v>0</v>
      </c>
      <c r="AR151" s="473">
        <f>COUNTIF(ParicipationJuillet1[[#This Row],[1]:[31]],Code9)</f>
        <v>0</v>
      </c>
      <c r="AS151" s="473">
        <f>COUNTIF(ParicipationJuillet1[[#This Row],[1]:[31]],Code10)</f>
        <v>0</v>
      </c>
      <c r="AT151" s="473">
        <f>COUNTIF(ParicipationJuillet1[[#This Row],[1]:[31]],Code11)</f>
        <v>0</v>
      </c>
      <c r="AU151" s="473">
        <f>COUNTIF(ParicipationJuillet1[[#This Row],[1]:[31]],Code12)</f>
        <v>0</v>
      </c>
      <c r="AV151" s="473">
        <f>COUNTIF(ParicipationJuillet1[[#This Row],[1]:[31]],Code13)</f>
        <v>0</v>
      </c>
      <c r="AW151" s="473">
        <f>COUNTIF(ParicipationJuillet1[[#This Row],[1]:[31]],Code14)</f>
        <v>0</v>
      </c>
      <c r="AX151" s="473">
        <f>COUNTIF(ParicipationJuillet1[[#This Row],[1]:[31]],Code15)</f>
        <v>0</v>
      </c>
      <c r="AY151" s="473">
        <f>COUNTIF(ParicipationJuillet1[[#This Row],[1]:[31]],Code16)</f>
        <v>0</v>
      </c>
      <c r="AZ151" s="473">
        <f>COUNTIF(ParicipationJuillet1[[#This Row],[1]:[31]],Code17)</f>
        <v>0</v>
      </c>
      <c r="BA151" s="473">
        <f>COUNTIF(ParicipationJuillet1[[#This Row],[1]:[31]],Code25)</f>
        <v>0</v>
      </c>
      <c r="BB151" s="473">
        <f>COUNTIF(ParicipationJuillet1[[#This Row],[1]:[31]],Code26)</f>
        <v>0</v>
      </c>
      <c r="BC151" s="473">
        <f>COUNTIF(ParicipationJuillet1[[#This Row],[1]:[31]],Code27)</f>
        <v>0</v>
      </c>
      <c r="BD151" s="473">
        <f>COUNTIF(ParicipationJuillet1[[#This Row],[1]:[31]],Code28)</f>
        <v>0</v>
      </c>
      <c r="BE151" s="473">
        <f>COUNTIF(ParicipationJuillet1[[#This Row],[1]:[31]],code30)</f>
        <v>0</v>
      </c>
      <c r="BF151" s="473">
        <f>COUNTIF(ParicipationJuillet1[[#This Row],[1]:[31]],Code31)</f>
        <v>0</v>
      </c>
      <c r="BG151" s="473">
        <f>COUNTIF(ParicipationJuillet1[[#This Row],[1]:[31]],code21)</f>
        <v>0</v>
      </c>
      <c r="BH151" s="473">
        <f>COUNTIF(ParicipationJuillet1[[#This Row],[1]:[31]],Code24)</f>
        <v>0</v>
      </c>
      <c r="BI151" s="473">
        <f>COUNTIF(ParicipationJuillet1[[#This Row],[1]:[31]],code18)</f>
        <v>0</v>
      </c>
      <c r="BJ151" s="473">
        <f>COUNTIF(ParicipationJuillet1[[#This Row],[1]:[31]],code19)</f>
        <v>0</v>
      </c>
      <c r="BK151" s="473">
        <f>COUNTIF(ParicipationJuillet1[[#This Row],[1]:[31]],code20)</f>
        <v>0</v>
      </c>
      <c r="BL151" s="516">
        <f>COUNTIF(ParicipationJuillet1[[#This Row],[1]:[31]],code29)</f>
        <v>0</v>
      </c>
      <c r="BM151" s="473"/>
      <c r="BN151" s="473"/>
      <c r="BO151" s="473"/>
      <c r="BP151" s="473"/>
      <c r="BQ151" s="473"/>
      <c r="BR151" s="473"/>
      <c r="BS151" s="473"/>
      <c r="BT151" s="473"/>
      <c r="BU151" s="473"/>
      <c r="BV151" s="473"/>
      <c r="BW151" s="473"/>
      <c r="BX151" s="473"/>
      <c r="BY151" s="473"/>
      <c r="BZ151" s="473"/>
      <c r="CA151" s="473"/>
      <c r="CB151" s="473"/>
      <c r="CC151" s="473"/>
      <c r="CD151" s="473"/>
      <c r="CE151" s="473"/>
      <c r="CF151" s="473"/>
      <c r="CG151" s="473"/>
      <c r="CH151" s="473"/>
      <c r="CI151" s="473"/>
      <c r="CJ151" s="473"/>
      <c r="CK151" s="473"/>
      <c r="CL151" s="473"/>
      <c r="CM151" s="473"/>
      <c r="CN151" s="473"/>
      <c r="CO151" s="473"/>
      <c r="CP151" s="473"/>
      <c r="CQ151" s="473"/>
      <c r="CR151" s="473"/>
      <c r="CS151" s="473"/>
      <c r="CT151" s="473"/>
      <c r="CU151" s="516"/>
      <c r="CV151" s="501">
        <f t="shared" si="8"/>
        <v>0</v>
      </c>
      <c r="CW151" s="501">
        <f t="shared" si="9"/>
        <v>0</v>
      </c>
      <c r="CX151" s="473">
        <f t="shared" si="10"/>
        <v>0</v>
      </c>
      <c r="CY151" s="512">
        <f t="shared" si="11"/>
        <v>0</v>
      </c>
    </row>
    <row r="152" spans="1:103">
      <c r="A152" s="112" t="s">
        <v>609</v>
      </c>
      <c r="B152" s="162" t="str">
        <f>IFERROR(VLOOKUP(ParicipationJuillet1[[#This Row],[Référence]],ListeÉtudiants1[],18,FALSE),"")</f>
        <v>SAINTRAY  Dorian</v>
      </c>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640"/>
      <c r="AH152" s="202">
        <f>COUNTIF(ParicipationJuillet1[[#This Row],[1]:[31]],Code1)</f>
        <v>0</v>
      </c>
      <c r="AI152" s="475">
        <f>COUNTIF(ParicipationJuillet1[[#This Row],[1]:[31]],code22)</f>
        <v>0</v>
      </c>
      <c r="AJ152" s="202">
        <f>COUNTIF(ParicipationJuillet1[[#This Row],[1]:[31]],Code2)</f>
        <v>0</v>
      </c>
      <c r="AK152" s="202">
        <f>COUNTIF(ParicipationJuillet1[[#This Row],[1]:[31]],Code3)</f>
        <v>0</v>
      </c>
      <c r="AL152" s="202">
        <f>COUNTIF(ParicipationJuillet1[[#This Row],[1]:[31]],Code4)</f>
        <v>0</v>
      </c>
      <c r="AM152" s="473">
        <f>COUNTIF(ParicipationJuillet1[[#This Row],[1]:[31]],Code5)</f>
        <v>0</v>
      </c>
      <c r="AN152" s="473">
        <f>COUNTIF(ParicipationJuillet1[[#This Row],[1]:[31]],Code23)</f>
        <v>0</v>
      </c>
      <c r="AO152" s="473">
        <f>COUNTIF(ParicipationJuillet1[[#This Row],[1]:[31]],Code6)</f>
        <v>0</v>
      </c>
      <c r="AP152" s="473">
        <f>COUNTIF(ParicipationJuillet1[[#This Row],[1]:[31]],Code7)</f>
        <v>0</v>
      </c>
      <c r="AQ152" s="473">
        <f>COUNTIF(ParicipationJuillet1[[#This Row],[1]:[31]],Code8)</f>
        <v>0</v>
      </c>
      <c r="AR152" s="473">
        <f>COUNTIF(ParicipationJuillet1[[#This Row],[1]:[31]],Code9)</f>
        <v>0</v>
      </c>
      <c r="AS152" s="473">
        <f>COUNTIF(ParicipationJuillet1[[#This Row],[1]:[31]],Code10)</f>
        <v>0</v>
      </c>
      <c r="AT152" s="473">
        <f>COUNTIF(ParicipationJuillet1[[#This Row],[1]:[31]],Code11)</f>
        <v>0</v>
      </c>
      <c r="AU152" s="473">
        <f>COUNTIF(ParicipationJuillet1[[#This Row],[1]:[31]],Code12)</f>
        <v>0</v>
      </c>
      <c r="AV152" s="473">
        <f>COUNTIF(ParicipationJuillet1[[#This Row],[1]:[31]],Code13)</f>
        <v>0</v>
      </c>
      <c r="AW152" s="473">
        <f>COUNTIF(ParicipationJuillet1[[#This Row],[1]:[31]],Code14)</f>
        <v>0</v>
      </c>
      <c r="AX152" s="473">
        <f>COUNTIF(ParicipationJuillet1[[#This Row],[1]:[31]],Code15)</f>
        <v>0</v>
      </c>
      <c r="AY152" s="473">
        <f>COUNTIF(ParicipationJuillet1[[#This Row],[1]:[31]],Code16)</f>
        <v>0</v>
      </c>
      <c r="AZ152" s="473">
        <f>COUNTIF(ParicipationJuillet1[[#This Row],[1]:[31]],Code17)</f>
        <v>0</v>
      </c>
      <c r="BA152" s="473">
        <f>COUNTIF(ParicipationJuillet1[[#This Row],[1]:[31]],Code25)</f>
        <v>0</v>
      </c>
      <c r="BB152" s="473">
        <f>COUNTIF(ParicipationJuillet1[[#This Row],[1]:[31]],Code26)</f>
        <v>0</v>
      </c>
      <c r="BC152" s="473">
        <f>COUNTIF(ParicipationJuillet1[[#This Row],[1]:[31]],Code27)</f>
        <v>0</v>
      </c>
      <c r="BD152" s="473">
        <f>COUNTIF(ParicipationJuillet1[[#This Row],[1]:[31]],Code28)</f>
        <v>0</v>
      </c>
      <c r="BE152" s="473">
        <f>COUNTIF(ParicipationJuillet1[[#This Row],[1]:[31]],code30)</f>
        <v>0</v>
      </c>
      <c r="BF152" s="473">
        <f>COUNTIF(ParicipationJuillet1[[#This Row],[1]:[31]],Code31)</f>
        <v>0</v>
      </c>
      <c r="BG152" s="473">
        <f>COUNTIF(ParicipationJuillet1[[#This Row],[1]:[31]],code21)</f>
        <v>0</v>
      </c>
      <c r="BH152" s="473">
        <f>COUNTIF(ParicipationJuillet1[[#This Row],[1]:[31]],Code24)</f>
        <v>0</v>
      </c>
      <c r="BI152" s="473">
        <f>COUNTIF(ParicipationJuillet1[[#This Row],[1]:[31]],code18)</f>
        <v>0</v>
      </c>
      <c r="BJ152" s="473">
        <f>COUNTIF(ParicipationJuillet1[[#This Row],[1]:[31]],code19)</f>
        <v>0</v>
      </c>
      <c r="BK152" s="473">
        <f>COUNTIF(ParicipationJuillet1[[#This Row],[1]:[31]],code20)</f>
        <v>0</v>
      </c>
      <c r="BL152" s="516">
        <f>COUNTIF(ParicipationJuillet1[[#This Row],[1]:[31]],code29)</f>
        <v>0</v>
      </c>
      <c r="BM152" s="473"/>
      <c r="BN152" s="473"/>
      <c r="BO152" s="473"/>
      <c r="BP152" s="473"/>
      <c r="BQ152" s="473"/>
      <c r="BR152" s="473"/>
      <c r="BS152" s="473"/>
      <c r="BT152" s="473"/>
      <c r="BU152" s="473"/>
      <c r="BV152" s="473"/>
      <c r="BW152" s="473"/>
      <c r="BX152" s="473"/>
      <c r="BY152" s="473"/>
      <c r="BZ152" s="473"/>
      <c r="CA152" s="473"/>
      <c r="CB152" s="473"/>
      <c r="CC152" s="473"/>
      <c r="CD152" s="473"/>
      <c r="CE152" s="473"/>
      <c r="CF152" s="473"/>
      <c r="CG152" s="473"/>
      <c r="CH152" s="473"/>
      <c r="CI152" s="473"/>
      <c r="CJ152" s="473"/>
      <c r="CK152" s="473"/>
      <c r="CL152" s="473"/>
      <c r="CM152" s="473"/>
      <c r="CN152" s="473"/>
      <c r="CO152" s="473"/>
      <c r="CP152" s="473"/>
      <c r="CQ152" s="473"/>
      <c r="CR152" s="473"/>
      <c r="CS152" s="473"/>
      <c r="CT152" s="473"/>
      <c r="CU152" s="516"/>
      <c r="CV152" s="501">
        <f t="shared" si="8"/>
        <v>0</v>
      </c>
      <c r="CW152" s="501">
        <f t="shared" si="9"/>
        <v>0</v>
      </c>
      <c r="CX152" s="473">
        <f t="shared" si="10"/>
        <v>0</v>
      </c>
      <c r="CY152" s="512">
        <f t="shared" si="11"/>
        <v>0</v>
      </c>
    </row>
    <row r="153" spans="1:103">
      <c r="A153" s="112" t="s">
        <v>613</v>
      </c>
      <c r="B153" s="162" t="str">
        <f>IFERROR(VLOOKUP(ParicipationJuillet1[[#This Row],[Référence]],ListeÉtudiants1[],18,FALSE),"")</f>
        <v xml:space="preserve">SISSOKO </v>
      </c>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c r="AG153" s="640"/>
      <c r="AH153" s="202">
        <f>COUNTIF(ParicipationJuillet1[[#This Row],[1]:[31]],Code1)</f>
        <v>0</v>
      </c>
      <c r="AI153" s="475">
        <f>COUNTIF(ParicipationJuillet1[[#This Row],[1]:[31]],code22)</f>
        <v>0</v>
      </c>
      <c r="AJ153" s="202">
        <f>COUNTIF(ParicipationJuillet1[[#This Row],[1]:[31]],Code2)</f>
        <v>0</v>
      </c>
      <c r="AK153" s="202">
        <f>COUNTIF(ParicipationJuillet1[[#This Row],[1]:[31]],Code3)</f>
        <v>0</v>
      </c>
      <c r="AL153" s="202">
        <f>COUNTIF(ParicipationJuillet1[[#This Row],[1]:[31]],Code4)</f>
        <v>0</v>
      </c>
      <c r="AM153" s="473">
        <f>COUNTIF(ParicipationJuillet1[[#This Row],[1]:[31]],Code5)</f>
        <v>0</v>
      </c>
      <c r="AN153" s="473">
        <f>COUNTIF(ParicipationJuillet1[[#This Row],[1]:[31]],Code23)</f>
        <v>0</v>
      </c>
      <c r="AO153" s="473">
        <f>COUNTIF(ParicipationJuillet1[[#This Row],[1]:[31]],Code6)</f>
        <v>0</v>
      </c>
      <c r="AP153" s="473">
        <f>COUNTIF(ParicipationJuillet1[[#This Row],[1]:[31]],Code7)</f>
        <v>0</v>
      </c>
      <c r="AQ153" s="473">
        <f>COUNTIF(ParicipationJuillet1[[#This Row],[1]:[31]],Code8)</f>
        <v>0</v>
      </c>
      <c r="AR153" s="473">
        <f>COUNTIF(ParicipationJuillet1[[#This Row],[1]:[31]],Code9)</f>
        <v>0</v>
      </c>
      <c r="AS153" s="473">
        <f>COUNTIF(ParicipationJuillet1[[#This Row],[1]:[31]],Code10)</f>
        <v>0</v>
      </c>
      <c r="AT153" s="473">
        <f>COUNTIF(ParicipationJuillet1[[#This Row],[1]:[31]],Code11)</f>
        <v>0</v>
      </c>
      <c r="AU153" s="473">
        <f>COUNTIF(ParicipationJuillet1[[#This Row],[1]:[31]],Code12)</f>
        <v>0</v>
      </c>
      <c r="AV153" s="473">
        <f>COUNTIF(ParicipationJuillet1[[#This Row],[1]:[31]],Code13)</f>
        <v>0</v>
      </c>
      <c r="AW153" s="473">
        <f>COUNTIF(ParicipationJuillet1[[#This Row],[1]:[31]],Code14)</f>
        <v>0</v>
      </c>
      <c r="AX153" s="473">
        <f>COUNTIF(ParicipationJuillet1[[#This Row],[1]:[31]],Code15)</f>
        <v>0</v>
      </c>
      <c r="AY153" s="473">
        <f>COUNTIF(ParicipationJuillet1[[#This Row],[1]:[31]],Code16)</f>
        <v>0</v>
      </c>
      <c r="AZ153" s="473">
        <f>COUNTIF(ParicipationJuillet1[[#This Row],[1]:[31]],Code17)</f>
        <v>0</v>
      </c>
      <c r="BA153" s="473">
        <f>COUNTIF(ParicipationJuillet1[[#This Row],[1]:[31]],Code25)</f>
        <v>0</v>
      </c>
      <c r="BB153" s="473">
        <f>COUNTIF(ParicipationJuillet1[[#This Row],[1]:[31]],Code26)</f>
        <v>0</v>
      </c>
      <c r="BC153" s="473">
        <f>COUNTIF(ParicipationJuillet1[[#This Row],[1]:[31]],Code27)</f>
        <v>0</v>
      </c>
      <c r="BD153" s="473">
        <f>COUNTIF(ParicipationJuillet1[[#This Row],[1]:[31]],Code28)</f>
        <v>0</v>
      </c>
      <c r="BE153" s="473">
        <f>COUNTIF(ParicipationJuillet1[[#This Row],[1]:[31]],code30)</f>
        <v>0</v>
      </c>
      <c r="BF153" s="473">
        <f>COUNTIF(ParicipationJuillet1[[#This Row],[1]:[31]],Code31)</f>
        <v>0</v>
      </c>
      <c r="BG153" s="473">
        <f>COUNTIF(ParicipationJuillet1[[#This Row],[1]:[31]],code21)</f>
        <v>0</v>
      </c>
      <c r="BH153" s="473">
        <f>COUNTIF(ParicipationJuillet1[[#This Row],[1]:[31]],Code24)</f>
        <v>0</v>
      </c>
      <c r="BI153" s="473">
        <f>COUNTIF(ParicipationJuillet1[[#This Row],[1]:[31]],code18)</f>
        <v>0</v>
      </c>
      <c r="BJ153" s="473">
        <f>COUNTIF(ParicipationJuillet1[[#This Row],[1]:[31]],code19)</f>
        <v>0</v>
      </c>
      <c r="BK153" s="473">
        <f>COUNTIF(ParicipationJuillet1[[#This Row],[1]:[31]],code20)</f>
        <v>0</v>
      </c>
      <c r="BL153" s="516">
        <f>COUNTIF(ParicipationJuillet1[[#This Row],[1]:[31]],code29)</f>
        <v>0</v>
      </c>
      <c r="BM153" s="473"/>
      <c r="BN153" s="473"/>
      <c r="BO153" s="473"/>
      <c r="BP153" s="473"/>
      <c r="BQ153" s="473"/>
      <c r="BR153" s="473"/>
      <c r="BS153" s="473"/>
      <c r="BT153" s="473"/>
      <c r="BU153" s="473"/>
      <c r="BV153" s="473"/>
      <c r="BW153" s="473"/>
      <c r="BX153" s="473"/>
      <c r="BY153" s="473"/>
      <c r="BZ153" s="473"/>
      <c r="CA153" s="473"/>
      <c r="CB153" s="473"/>
      <c r="CC153" s="473"/>
      <c r="CD153" s="473"/>
      <c r="CE153" s="473"/>
      <c r="CF153" s="473"/>
      <c r="CG153" s="473"/>
      <c r="CH153" s="473"/>
      <c r="CI153" s="473"/>
      <c r="CJ153" s="473"/>
      <c r="CK153" s="473"/>
      <c r="CL153" s="473"/>
      <c r="CM153" s="473"/>
      <c r="CN153" s="473"/>
      <c r="CO153" s="473"/>
      <c r="CP153" s="473"/>
      <c r="CQ153" s="473"/>
      <c r="CR153" s="473"/>
      <c r="CS153" s="473"/>
      <c r="CT153" s="473"/>
      <c r="CU153" s="516"/>
      <c r="CV153" s="501">
        <f t="shared" si="8"/>
        <v>0</v>
      </c>
      <c r="CW153" s="501">
        <f t="shared" si="9"/>
        <v>0</v>
      </c>
      <c r="CX153" s="473">
        <f t="shared" si="10"/>
        <v>0</v>
      </c>
      <c r="CY153" s="512">
        <f t="shared" si="11"/>
        <v>0</v>
      </c>
    </row>
    <row r="154" spans="1:103">
      <c r="A154" s="112" t="s">
        <v>614</v>
      </c>
      <c r="B154" s="162" t="str">
        <f>IFERROR(VLOOKUP(ParicipationJuillet1[[#This Row],[Référence]],ListeÉtudiants1[],18,FALSE),"")</f>
        <v>ZAKHOUR Samantha</v>
      </c>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c r="Y154" s="202"/>
      <c r="Z154" s="202"/>
      <c r="AA154" s="202"/>
      <c r="AB154" s="202"/>
      <c r="AC154" s="202"/>
      <c r="AD154" s="202"/>
      <c r="AE154" s="202"/>
      <c r="AF154" s="202"/>
      <c r="AG154" s="640"/>
      <c r="AH154" s="202">
        <f>COUNTIF(ParicipationJuillet1[[#This Row],[1]:[31]],Code1)</f>
        <v>0</v>
      </c>
      <c r="AI154" s="475">
        <f>COUNTIF(ParicipationJuillet1[[#This Row],[1]:[31]],code22)</f>
        <v>0</v>
      </c>
      <c r="AJ154" s="202">
        <f>COUNTIF(ParicipationJuillet1[[#This Row],[1]:[31]],Code2)</f>
        <v>0</v>
      </c>
      <c r="AK154" s="202">
        <f>COUNTIF(ParicipationJuillet1[[#This Row],[1]:[31]],Code3)</f>
        <v>0</v>
      </c>
      <c r="AL154" s="202">
        <f>COUNTIF(ParicipationJuillet1[[#This Row],[1]:[31]],Code4)</f>
        <v>0</v>
      </c>
      <c r="AM154" s="473">
        <f>COUNTIF(ParicipationJuillet1[[#This Row],[1]:[31]],Code5)</f>
        <v>0</v>
      </c>
      <c r="AN154" s="473">
        <f>COUNTIF(ParicipationJuillet1[[#This Row],[1]:[31]],Code23)</f>
        <v>0</v>
      </c>
      <c r="AO154" s="473">
        <f>COUNTIF(ParicipationJuillet1[[#This Row],[1]:[31]],Code6)</f>
        <v>0</v>
      </c>
      <c r="AP154" s="473">
        <f>COUNTIF(ParicipationJuillet1[[#This Row],[1]:[31]],Code7)</f>
        <v>0</v>
      </c>
      <c r="AQ154" s="473">
        <f>COUNTIF(ParicipationJuillet1[[#This Row],[1]:[31]],Code8)</f>
        <v>0</v>
      </c>
      <c r="AR154" s="473">
        <f>COUNTIF(ParicipationJuillet1[[#This Row],[1]:[31]],Code9)</f>
        <v>0</v>
      </c>
      <c r="AS154" s="473">
        <f>COUNTIF(ParicipationJuillet1[[#This Row],[1]:[31]],Code10)</f>
        <v>0</v>
      </c>
      <c r="AT154" s="473">
        <f>COUNTIF(ParicipationJuillet1[[#This Row],[1]:[31]],Code11)</f>
        <v>0</v>
      </c>
      <c r="AU154" s="473">
        <f>COUNTIF(ParicipationJuillet1[[#This Row],[1]:[31]],Code12)</f>
        <v>0</v>
      </c>
      <c r="AV154" s="473">
        <f>COUNTIF(ParicipationJuillet1[[#This Row],[1]:[31]],Code13)</f>
        <v>0</v>
      </c>
      <c r="AW154" s="473">
        <f>COUNTIF(ParicipationJuillet1[[#This Row],[1]:[31]],Code14)</f>
        <v>0</v>
      </c>
      <c r="AX154" s="473">
        <f>COUNTIF(ParicipationJuillet1[[#This Row],[1]:[31]],Code15)</f>
        <v>0</v>
      </c>
      <c r="AY154" s="473">
        <f>COUNTIF(ParicipationJuillet1[[#This Row],[1]:[31]],Code16)</f>
        <v>0</v>
      </c>
      <c r="AZ154" s="473">
        <f>COUNTIF(ParicipationJuillet1[[#This Row],[1]:[31]],Code17)</f>
        <v>0</v>
      </c>
      <c r="BA154" s="473">
        <f>COUNTIF(ParicipationJuillet1[[#This Row],[1]:[31]],Code25)</f>
        <v>0</v>
      </c>
      <c r="BB154" s="473">
        <f>COUNTIF(ParicipationJuillet1[[#This Row],[1]:[31]],Code26)</f>
        <v>0</v>
      </c>
      <c r="BC154" s="473">
        <f>COUNTIF(ParicipationJuillet1[[#This Row],[1]:[31]],Code27)</f>
        <v>0</v>
      </c>
      <c r="BD154" s="473">
        <f>COUNTIF(ParicipationJuillet1[[#This Row],[1]:[31]],Code28)</f>
        <v>0</v>
      </c>
      <c r="BE154" s="473">
        <f>COUNTIF(ParicipationJuillet1[[#This Row],[1]:[31]],code30)</f>
        <v>0</v>
      </c>
      <c r="BF154" s="473">
        <f>COUNTIF(ParicipationJuillet1[[#This Row],[1]:[31]],Code31)</f>
        <v>0</v>
      </c>
      <c r="BG154" s="473">
        <f>COUNTIF(ParicipationJuillet1[[#This Row],[1]:[31]],code21)</f>
        <v>0</v>
      </c>
      <c r="BH154" s="473">
        <f>COUNTIF(ParicipationJuillet1[[#This Row],[1]:[31]],Code24)</f>
        <v>0</v>
      </c>
      <c r="BI154" s="473">
        <f>COUNTIF(ParicipationJuillet1[[#This Row],[1]:[31]],code18)</f>
        <v>0</v>
      </c>
      <c r="BJ154" s="473">
        <f>COUNTIF(ParicipationJuillet1[[#This Row],[1]:[31]],code19)</f>
        <v>0</v>
      </c>
      <c r="BK154" s="473">
        <f>COUNTIF(ParicipationJuillet1[[#This Row],[1]:[31]],code20)</f>
        <v>0</v>
      </c>
      <c r="BL154" s="516">
        <f>COUNTIF(ParicipationJuillet1[[#This Row],[1]:[31]],code29)</f>
        <v>0</v>
      </c>
      <c r="BM154" s="473"/>
      <c r="BN154" s="473"/>
      <c r="BO154" s="473"/>
      <c r="BP154" s="473"/>
      <c r="BQ154" s="473"/>
      <c r="BR154" s="473"/>
      <c r="BS154" s="473"/>
      <c r="BT154" s="473"/>
      <c r="BU154" s="473"/>
      <c r="BV154" s="473"/>
      <c r="BW154" s="473"/>
      <c r="BX154" s="473"/>
      <c r="BY154" s="473"/>
      <c r="BZ154" s="473"/>
      <c r="CA154" s="473"/>
      <c r="CB154" s="473"/>
      <c r="CC154" s="473"/>
      <c r="CD154" s="473"/>
      <c r="CE154" s="473"/>
      <c r="CF154" s="473"/>
      <c r="CG154" s="473"/>
      <c r="CH154" s="473"/>
      <c r="CI154" s="473"/>
      <c r="CJ154" s="473"/>
      <c r="CK154" s="473"/>
      <c r="CL154" s="473"/>
      <c r="CM154" s="473"/>
      <c r="CN154" s="473"/>
      <c r="CO154" s="473"/>
      <c r="CP154" s="473"/>
      <c r="CQ154" s="473"/>
      <c r="CR154" s="473"/>
      <c r="CS154" s="473"/>
      <c r="CT154" s="473"/>
      <c r="CU154" s="516"/>
      <c r="CV154" s="501">
        <f t="shared" si="8"/>
        <v>0</v>
      </c>
      <c r="CW154" s="501">
        <f t="shared" si="9"/>
        <v>0</v>
      </c>
      <c r="CX154" s="473">
        <f t="shared" si="10"/>
        <v>0</v>
      </c>
      <c r="CY154" s="512">
        <f t="shared" si="11"/>
        <v>0</v>
      </c>
    </row>
    <row r="155" spans="1:103">
      <c r="A155" s="112"/>
      <c r="B155" s="162" t="str">
        <f>IFERROR(VLOOKUP(ParicipationJuillet1[[#This Row],[Référence]],ListeÉtudiants1[],18,FALSE),"")</f>
        <v/>
      </c>
      <c r="C155" s="202"/>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202"/>
      <c r="AB155" s="202"/>
      <c r="AC155" s="202"/>
      <c r="AD155" s="202"/>
      <c r="AE155" s="202"/>
      <c r="AF155" s="202"/>
      <c r="AG155" s="640"/>
      <c r="AH155" s="202">
        <f>COUNTIF(ParicipationJuillet1[[#This Row],[1]:[31]],Code1)</f>
        <v>0</v>
      </c>
      <c r="AI155" s="475">
        <f>COUNTIF(ParicipationJuillet1[[#This Row],[1]:[31]],code22)</f>
        <v>0</v>
      </c>
      <c r="AJ155" s="202">
        <f>COUNTIF(ParicipationJuillet1[[#This Row],[1]:[31]],Code2)</f>
        <v>0</v>
      </c>
      <c r="AK155" s="202">
        <f>COUNTIF(ParicipationJuillet1[[#This Row],[1]:[31]],Code3)</f>
        <v>0</v>
      </c>
      <c r="AL155" s="202">
        <f>COUNTIF(ParicipationJuillet1[[#This Row],[1]:[31]],Code4)</f>
        <v>0</v>
      </c>
      <c r="AM155" s="473">
        <f>COUNTIF(ParicipationJuillet1[[#This Row],[1]:[31]],Code5)</f>
        <v>0</v>
      </c>
      <c r="AN155" s="473">
        <f>COUNTIF(ParicipationJuillet1[[#This Row],[1]:[31]],Code23)</f>
        <v>0</v>
      </c>
      <c r="AO155" s="473">
        <f>COUNTIF(ParicipationJuillet1[[#This Row],[1]:[31]],Code6)</f>
        <v>0</v>
      </c>
      <c r="AP155" s="473">
        <f>COUNTIF(ParicipationJuillet1[[#This Row],[1]:[31]],Code7)</f>
        <v>0</v>
      </c>
      <c r="AQ155" s="473">
        <f>COUNTIF(ParicipationJuillet1[[#This Row],[1]:[31]],Code8)</f>
        <v>0</v>
      </c>
      <c r="AR155" s="473">
        <f>COUNTIF(ParicipationJuillet1[[#This Row],[1]:[31]],Code9)</f>
        <v>0</v>
      </c>
      <c r="AS155" s="473">
        <f>COUNTIF(ParicipationJuillet1[[#This Row],[1]:[31]],Code10)</f>
        <v>0</v>
      </c>
      <c r="AT155" s="473">
        <f>COUNTIF(ParicipationJuillet1[[#This Row],[1]:[31]],Code11)</f>
        <v>0</v>
      </c>
      <c r="AU155" s="473">
        <f>COUNTIF(ParicipationJuillet1[[#This Row],[1]:[31]],Code12)</f>
        <v>0</v>
      </c>
      <c r="AV155" s="473">
        <f>COUNTIF(ParicipationJuillet1[[#This Row],[1]:[31]],Code13)</f>
        <v>0</v>
      </c>
      <c r="AW155" s="473">
        <f>COUNTIF(ParicipationJuillet1[[#This Row],[1]:[31]],Code14)</f>
        <v>0</v>
      </c>
      <c r="AX155" s="473">
        <f>COUNTIF(ParicipationJuillet1[[#This Row],[1]:[31]],Code15)</f>
        <v>0</v>
      </c>
      <c r="AY155" s="473">
        <f>COUNTIF(ParicipationJuillet1[[#This Row],[1]:[31]],Code16)</f>
        <v>0</v>
      </c>
      <c r="AZ155" s="473">
        <f>COUNTIF(ParicipationJuillet1[[#This Row],[1]:[31]],Code17)</f>
        <v>0</v>
      </c>
      <c r="BA155" s="473">
        <f>COUNTIF(ParicipationJuillet1[[#This Row],[1]:[31]],Code25)</f>
        <v>0</v>
      </c>
      <c r="BB155" s="473">
        <f>COUNTIF(ParicipationJuillet1[[#This Row],[1]:[31]],Code26)</f>
        <v>0</v>
      </c>
      <c r="BC155" s="473">
        <f>COUNTIF(ParicipationJuillet1[[#This Row],[1]:[31]],Code27)</f>
        <v>0</v>
      </c>
      <c r="BD155" s="473">
        <f>COUNTIF(ParicipationJuillet1[[#This Row],[1]:[31]],Code28)</f>
        <v>0</v>
      </c>
      <c r="BE155" s="473">
        <f>COUNTIF(ParicipationJuillet1[[#This Row],[1]:[31]],code30)</f>
        <v>0</v>
      </c>
      <c r="BF155" s="473">
        <f>COUNTIF(ParicipationJuillet1[[#This Row],[1]:[31]],Code31)</f>
        <v>0</v>
      </c>
      <c r="BG155" s="473">
        <f>COUNTIF(ParicipationJuillet1[[#This Row],[1]:[31]],code21)</f>
        <v>0</v>
      </c>
      <c r="BH155" s="473">
        <f>COUNTIF(ParicipationJuillet1[[#This Row],[1]:[31]],Code24)</f>
        <v>0</v>
      </c>
      <c r="BI155" s="473">
        <f>COUNTIF(ParicipationJuillet1[[#This Row],[1]:[31]],code18)</f>
        <v>0</v>
      </c>
      <c r="BJ155" s="473">
        <f>COUNTIF(ParicipationJuillet1[[#This Row],[1]:[31]],code19)</f>
        <v>0</v>
      </c>
      <c r="BK155" s="473">
        <f>COUNTIF(ParicipationJuillet1[[#This Row],[1]:[31]],code20)</f>
        <v>0</v>
      </c>
      <c r="BL155" s="516">
        <f>COUNTIF(ParicipationJuillet1[[#This Row],[1]:[31]],code29)</f>
        <v>0</v>
      </c>
      <c r="BM155" s="473"/>
      <c r="BN155" s="473"/>
      <c r="BO155" s="473"/>
      <c r="BP155" s="473"/>
      <c r="BQ155" s="473"/>
      <c r="BR155" s="473"/>
      <c r="BS155" s="473"/>
      <c r="BT155" s="473"/>
      <c r="BU155" s="473"/>
      <c r="BV155" s="473"/>
      <c r="BW155" s="473"/>
      <c r="BX155" s="473"/>
      <c r="BY155" s="473"/>
      <c r="BZ155" s="473"/>
      <c r="CA155" s="473"/>
      <c r="CB155" s="473"/>
      <c r="CC155" s="473"/>
      <c r="CD155" s="473"/>
      <c r="CE155" s="473"/>
      <c r="CF155" s="473"/>
      <c r="CG155" s="473"/>
      <c r="CH155" s="473"/>
      <c r="CI155" s="473"/>
      <c r="CJ155" s="473"/>
      <c r="CK155" s="473"/>
      <c r="CL155" s="473"/>
      <c r="CM155" s="473"/>
      <c r="CN155" s="473"/>
      <c r="CO155" s="473"/>
      <c r="CP155" s="473"/>
      <c r="CQ155" s="473"/>
      <c r="CR155" s="473"/>
      <c r="CS155" s="473"/>
      <c r="CT155" s="473"/>
      <c r="CU155" s="516"/>
      <c r="CV155" s="501">
        <f t="shared" si="8"/>
        <v>0</v>
      </c>
      <c r="CW155" s="501">
        <f t="shared" si="9"/>
        <v>0</v>
      </c>
      <c r="CX155" s="473">
        <f t="shared" si="10"/>
        <v>0</v>
      </c>
      <c r="CY155" s="512">
        <f t="shared" si="11"/>
        <v>0</v>
      </c>
    </row>
    <row r="156" spans="1:103" ht="14.25" thickBot="1">
      <c r="A156" s="643"/>
      <c r="B156" s="190" t="str">
        <f>IFERROR(VLOOKUP(ParicipationJuillet1[[#This Row],[Référence]],ListeÉtudiants1[],18,FALSE),"")</f>
        <v/>
      </c>
      <c r="C156" s="644"/>
      <c r="D156" s="644"/>
      <c r="E156" s="644"/>
      <c r="F156" s="644"/>
      <c r="G156" s="644"/>
      <c r="H156" s="644"/>
      <c r="I156" s="644"/>
      <c r="J156" s="644"/>
      <c r="K156" s="644"/>
      <c r="L156" s="644"/>
      <c r="M156" s="644"/>
      <c r="N156" s="644"/>
      <c r="O156" s="644"/>
      <c r="P156" s="644"/>
      <c r="Q156" s="644"/>
      <c r="R156" s="644"/>
      <c r="S156" s="644"/>
      <c r="T156" s="644"/>
      <c r="U156" s="644"/>
      <c r="V156" s="644"/>
      <c r="W156" s="644"/>
      <c r="X156" s="644"/>
      <c r="Y156" s="644"/>
      <c r="Z156" s="644"/>
      <c r="AA156" s="644"/>
      <c r="AB156" s="644"/>
      <c r="AC156" s="644"/>
      <c r="AD156" s="644"/>
      <c r="AE156" s="644"/>
      <c r="AF156" s="644"/>
      <c r="AG156" s="645"/>
      <c r="AH156" s="644">
        <f>COUNTIF(ParicipationJuillet1[[#This Row],[1]:[31]],Code1)</f>
        <v>0</v>
      </c>
      <c r="AI156" s="646">
        <f>COUNTIF(ParicipationJuillet1[[#This Row],[1]:[31]],code22)</f>
        <v>0</v>
      </c>
      <c r="AJ156" s="644">
        <f>COUNTIF(ParicipationJuillet1[[#This Row],[1]:[31]],Code2)</f>
        <v>0</v>
      </c>
      <c r="AK156" s="644">
        <f>COUNTIF(ParicipationJuillet1[[#This Row],[1]:[31]],Code3)</f>
        <v>0</v>
      </c>
      <c r="AL156" s="644">
        <f>COUNTIF(ParicipationJuillet1[[#This Row],[1]:[31]],Code4)</f>
        <v>0</v>
      </c>
      <c r="AM156" s="642">
        <f>COUNTIF(ParicipationJuillet1[[#This Row],[1]:[31]],Code5)</f>
        <v>0</v>
      </c>
      <c r="AN156" s="642">
        <f>COUNTIF(ParicipationJuillet1[[#This Row],[1]:[31]],Code23)</f>
        <v>0</v>
      </c>
      <c r="AO156" s="642">
        <f>COUNTIF(ParicipationJuillet1[[#This Row],[1]:[31]],Code6)</f>
        <v>0</v>
      </c>
      <c r="AP156" s="642">
        <f>COUNTIF(ParicipationJuillet1[[#This Row],[1]:[31]],Code7)</f>
        <v>0</v>
      </c>
      <c r="AQ156" s="642">
        <f>COUNTIF(ParicipationJuillet1[[#This Row],[1]:[31]],Code8)</f>
        <v>0</v>
      </c>
      <c r="AR156" s="642">
        <f>COUNTIF(ParicipationJuillet1[[#This Row],[1]:[31]],Code9)</f>
        <v>0</v>
      </c>
      <c r="AS156" s="642">
        <f>COUNTIF(ParicipationJuillet1[[#This Row],[1]:[31]],Code10)</f>
        <v>0</v>
      </c>
      <c r="AT156" s="642">
        <f>COUNTIF(ParicipationJuillet1[[#This Row],[1]:[31]],Code11)</f>
        <v>0</v>
      </c>
      <c r="AU156" s="642">
        <f>COUNTIF(ParicipationJuillet1[[#This Row],[1]:[31]],Code12)</f>
        <v>0</v>
      </c>
      <c r="AV156" s="642">
        <f>COUNTIF(ParicipationJuillet1[[#This Row],[1]:[31]],Code13)</f>
        <v>0</v>
      </c>
      <c r="AW156" s="642">
        <f>COUNTIF(ParicipationJuillet1[[#This Row],[1]:[31]],Code14)</f>
        <v>0</v>
      </c>
      <c r="AX156" s="642">
        <f>COUNTIF(ParicipationJuillet1[[#This Row],[1]:[31]],Code15)</f>
        <v>0</v>
      </c>
      <c r="AY156" s="642">
        <f>COUNTIF(ParicipationJuillet1[[#This Row],[1]:[31]],Code16)</f>
        <v>0</v>
      </c>
      <c r="AZ156" s="642">
        <f>COUNTIF(ParicipationJuillet1[[#This Row],[1]:[31]],Code17)</f>
        <v>0</v>
      </c>
      <c r="BA156" s="642">
        <f>COUNTIF(ParicipationJuillet1[[#This Row],[1]:[31]],Code25)</f>
        <v>0</v>
      </c>
      <c r="BB156" s="642">
        <f>COUNTIF(ParicipationJuillet1[[#This Row],[1]:[31]],Code26)</f>
        <v>0</v>
      </c>
      <c r="BC156" s="642">
        <f>COUNTIF(ParicipationJuillet1[[#This Row],[1]:[31]],Code27)</f>
        <v>0</v>
      </c>
      <c r="BD156" s="642">
        <f>COUNTIF(ParicipationJuillet1[[#This Row],[1]:[31]],Code28)</f>
        <v>0</v>
      </c>
      <c r="BE156" s="642">
        <f>COUNTIF(ParicipationJuillet1[[#This Row],[1]:[31]],code30)</f>
        <v>0</v>
      </c>
      <c r="BF156" s="642">
        <f>COUNTIF(ParicipationJuillet1[[#This Row],[1]:[31]],Code31)</f>
        <v>0</v>
      </c>
      <c r="BG156" s="642">
        <f>COUNTIF(ParicipationJuillet1[[#This Row],[1]:[31]],code21)</f>
        <v>0</v>
      </c>
      <c r="BH156" s="642">
        <f>COUNTIF(ParicipationJuillet1[[#This Row],[1]:[31]],Code24)</f>
        <v>0</v>
      </c>
      <c r="BI156" s="642">
        <f>COUNTIF(ParicipationJuillet1[[#This Row],[1]:[31]],code18)</f>
        <v>0</v>
      </c>
      <c r="BJ156" s="642">
        <f>COUNTIF(ParicipationJuillet1[[#This Row],[1]:[31]],code19)</f>
        <v>0</v>
      </c>
      <c r="BK156" s="642">
        <f>COUNTIF(ParicipationJuillet1[[#This Row],[1]:[31]],code20)</f>
        <v>0</v>
      </c>
      <c r="BL156" s="647">
        <f>COUNTIF(ParicipationJuillet1[[#This Row],[1]:[31]],code29)</f>
        <v>0</v>
      </c>
      <c r="BM156" s="642"/>
      <c r="BN156" s="642"/>
      <c r="BO156" s="642"/>
      <c r="BP156" s="642"/>
      <c r="BQ156" s="642"/>
      <c r="BR156" s="642"/>
      <c r="BS156" s="642"/>
      <c r="BT156" s="642"/>
      <c r="BU156" s="642"/>
      <c r="BV156" s="642"/>
      <c r="BW156" s="642"/>
      <c r="BX156" s="642"/>
      <c r="BY156" s="642"/>
      <c r="BZ156" s="642"/>
      <c r="CA156" s="642"/>
      <c r="CB156" s="642"/>
      <c r="CC156" s="642"/>
      <c r="CD156" s="642"/>
      <c r="CE156" s="642"/>
      <c r="CF156" s="642"/>
      <c r="CG156" s="642"/>
      <c r="CH156" s="642"/>
      <c r="CI156" s="642"/>
      <c r="CJ156" s="642"/>
      <c r="CK156" s="642"/>
      <c r="CL156" s="642"/>
      <c r="CM156" s="642"/>
      <c r="CN156" s="642"/>
      <c r="CO156" s="642"/>
      <c r="CP156" s="642"/>
      <c r="CQ156" s="642"/>
      <c r="CR156" s="642"/>
      <c r="CS156" s="642"/>
      <c r="CT156" s="473"/>
      <c r="CU156" s="516"/>
      <c r="CV156" s="501">
        <f t="shared" si="8"/>
        <v>0</v>
      </c>
      <c r="CW156" s="505">
        <f t="shared" si="9"/>
        <v>0</v>
      </c>
      <c r="CX156" s="642">
        <f t="shared" si="10"/>
        <v>0</v>
      </c>
      <c r="CY156" s="600">
        <f t="shared" si="11"/>
        <v>0</v>
      </c>
    </row>
    <row r="157" spans="1:103" ht="14.25" thickTop="1">
      <c r="A157" s="469"/>
      <c r="B157" s="470"/>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1"/>
      <c r="AJ157" s="471"/>
      <c r="AK157" s="471"/>
      <c r="AL157" s="471"/>
      <c r="AM157" s="471"/>
      <c r="AN157" s="471"/>
      <c r="AO157" s="471"/>
      <c r="AP157" s="471"/>
      <c r="AQ157" s="471"/>
      <c r="AR157" s="471"/>
      <c r="AS157" s="471"/>
      <c r="AT157" s="471"/>
      <c r="AU157" s="471"/>
      <c r="AV157" s="471"/>
      <c r="AW157" s="471"/>
      <c r="AX157" s="471"/>
      <c r="AY157" s="471"/>
      <c r="AZ157" s="471"/>
      <c r="BA157" s="471"/>
      <c r="BB157" s="471"/>
      <c r="BC157" s="471"/>
      <c r="BD157" s="471"/>
      <c r="BE157" s="471"/>
      <c r="BF157" s="471"/>
      <c r="BG157" s="471"/>
      <c r="BH157" s="471"/>
      <c r="BI157" s="469"/>
      <c r="BJ157" s="469"/>
      <c r="BK157" s="469"/>
      <c r="BL157" s="469"/>
      <c r="BM157" s="469"/>
      <c r="BN157" s="469"/>
      <c r="BO157" s="469"/>
      <c r="BP157" s="469"/>
      <c r="BQ157" s="469"/>
      <c r="BR157" s="469"/>
      <c r="BS157" s="469"/>
      <c r="BT157" s="469"/>
      <c r="BU157" s="469"/>
      <c r="BV157" s="469"/>
      <c r="BW157" s="469"/>
      <c r="BX157" s="469"/>
      <c r="BY157" s="469"/>
      <c r="BZ157" s="469"/>
      <c r="CA157" s="469"/>
      <c r="CB157" s="469"/>
      <c r="CC157" s="469"/>
      <c r="CD157" s="469"/>
      <c r="CE157" s="469"/>
      <c r="CF157" s="469"/>
      <c r="CG157" s="469"/>
      <c r="CH157" s="469"/>
      <c r="CI157" s="469"/>
      <c r="CJ157" s="469"/>
      <c r="CK157" s="469"/>
      <c r="CL157" s="469"/>
      <c r="CM157" s="469"/>
      <c r="CN157" s="469"/>
      <c r="CO157" s="469"/>
      <c r="CP157" s="469"/>
      <c r="CQ157" s="469"/>
      <c r="CR157" s="469"/>
      <c r="CS157" s="469"/>
      <c r="CT157" s="529"/>
      <c r="CU157" s="529"/>
      <c r="CV157" s="529"/>
      <c r="CW157" s="529"/>
      <c r="CX157" s="469"/>
      <c r="CY157" s="469"/>
    </row>
  </sheetData>
  <mergeCells count="5">
    <mergeCell ref="AH9:AX9"/>
    <mergeCell ref="A1:B1"/>
    <mergeCell ref="H7:I7"/>
    <mergeCell ref="L7:M7"/>
    <mergeCell ref="P7:Q7"/>
  </mergeCells>
  <conditionalFormatting sqref="C11:AG156">
    <cfRule type="expression" dxfId="185" priority="3">
      <formula>C11=Code27</formula>
    </cfRule>
    <cfRule type="expression" dxfId="184" priority="4">
      <formula>C11=Code26</formula>
    </cfRule>
    <cfRule type="expression" dxfId="183" priority="5">
      <formula>C11=Code25</formula>
    </cfRule>
    <cfRule type="expression" dxfId="182" priority="6">
      <formula>C11=Code24</formula>
    </cfRule>
    <cfRule type="expression" dxfId="181" priority="7">
      <formula>C11=Code23</formula>
    </cfRule>
    <cfRule type="expression" dxfId="180" priority="8">
      <formula>C11=code22</formula>
    </cfRule>
    <cfRule type="expression" dxfId="179" priority="9">
      <formula>C11=code21</formula>
    </cfRule>
    <cfRule type="expression" dxfId="178" priority="10">
      <formula>C11=code20</formula>
    </cfRule>
    <cfRule type="expression" dxfId="177" priority="11">
      <formula>C11=code19</formula>
    </cfRule>
    <cfRule type="expression" dxfId="176" priority="12">
      <formula>C11=code18</formula>
    </cfRule>
    <cfRule type="expression" dxfId="175" priority="33" stopIfTrue="1">
      <formula>C11=Code17</formula>
    </cfRule>
    <cfRule type="expression" dxfId="174" priority="34" stopIfTrue="1">
      <formula>C11=Code16</formula>
    </cfRule>
    <cfRule type="expression" dxfId="173" priority="35" stopIfTrue="1">
      <formula>C11=Code15</formula>
    </cfRule>
    <cfRule type="expression" dxfId="172" priority="36" stopIfTrue="1">
      <formula>C11=Code13</formula>
    </cfRule>
    <cfRule type="expression" dxfId="171" priority="37" stopIfTrue="1">
      <formula>C11=Code14</formula>
    </cfRule>
    <cfRule type="expression" dxfId="170" priority="38" stopIfTrue="1">
      <formula>C11=Code12</formula>
    </cfRule>
    <cfRule type="expression" dxfId="169" priority="39" stopIfTrue="1">
      <formula>C11=Code11</formula>
    </cfRule>
    <cfRule type="expression" dxfId="168" priority="40" stopIfTrue="1">
      <formula>C11=Code10</formula>
    </cfRule>
    <cfRule type="expression" dxfId="167" priority="41" stopIfTrue="1">
      <formula>C11=Code9</formula>
    </cfRule>
    <cfRule type="expression" dxfId="166" priority="42" stopIfTrue="1">
      <formula>C11=Code8</formula>
    </cfRule>
    <cfRule type="expression" dxfId="165" priority="49" stopIfTrue="1">
      <formula>C11=Code7</formula>
    </cfRule>
    <cfRule type="expression" dxfId="164" priority="52" stopIfTrue="1">
      <formula>C11=Code6</formula>
    </cfRule>
    <cfRule type="expression" dxfId="163" priority="55" stopIfTrue="1">
      <formula>C11=Code5</formula>
    </cfRule>
    <cfRule type="expression" dxfId="162" priority="56" stopIfTrue="1">
      <formula>C11=Code4</formula>
    </cfRule>
    <cfRule type="expression" dxfId="161" priority="57" stopIfTrue="1">
      <formula>C11=Code3</formula>
    </cfRule>
    <cfRule type="expression" dxfId="160" priority="58" stopIfTrue="1">
      <formula>C11=Code1</formula>
    </cfRule>
  </conditionalFormatting>
  <conditionalFormatting sqref="C12:AI33 C11:AG11 C34:AG34 AI34 AH34:AH36">
    <cfRule type="expression" dxfId="159" priority="54" stopIfTrue="1">
      <formula>C11=Code2</formula>
    </cfRule>
  </conditionalFormatting>
  <conditionalFormatting sqref="CY31">
    <cfRule type="dataBar" priority="14">
      <dataBar>
        <cfvo type="min"/>
        <cfvo type="num" val="31"/>
        <color theme="4"/>
      </dataBar>
      <extLst>
        <ext xmlns:x14="http://schemas.microsoft.com/office/spreadsheetml/2009/9/main" uri="{B025F937-C7B1-47D3-B67F-A62EFF666E3E}">
          <x14:id>{C8348953-272A-4C22-B3B1-E4B4678167C5}</x14:id>
        </ext>
      </extLst>
    </cfRule>
  </conditionalFormatting>
  <conditionalFormatting sqref="CY32:CY33">
    <cfRule type="dataBar" priority="19">
      <dataBar>
        <cfvo type="min"/>
        <cfvo type="num" val="31"/>
        <color theme="4"/>
      </dataBar>
      <extLst>
        <ext xmlns:x14="http://schemas.microsoft.com/office/spreadsheetml/2009/9/main" uri="{B025F937-C7B1-47D3-B67F-A62EFF666E3E}">
          <x14:id>{4DC47B95-32C6-483B-A8E1-5C6E5BEDFD26}</x14:id>
        </ext>
      </extLst>
    </cfRule>
  </conditionalFormatting>
  <conditionalFormatting sqref="CY34">
    <cfRule type="dataBar" priority="18">
      <dataBar>
        <cfvo type="min"/>
        <cfvo type="num" val="31"/>
        <color theme="4"/>
      </dataBar>
      <extLst>
        <ext xmlns:x14="http://schemas.microsoft.com/office/spreadsheetml/2009/9/main" uri="{B025F937-C7B1-47D3-B67F-A62EFF666E3E}">
          <x14:id>{3527958F-F233-44AB-8CD8-FB6CD05AFC38}</x14:id>
        </ext>
      </extLst>
    </cfRule>
  </conditionalFormatting>
  <conditionalFormatting sqref="CY11:CY30">
    <cfRule type="dataBar" priority="15">
      <dataBar>
        <cfvo type="min"/>
        <cfvo type="num" val="31"/>
        <color theme="4"/>
      </dataBar>
      <extLst>
        <ext xmlns:x14="http://schemas.microsoft.com/office/spreadsheetml/2009/9/main" uri="{B025F937-C7B1-47D3-B67F-A62EFF666E3E}">
          <x14:id>{57D585CD-47E7-4F15-99BB-B4C5AF19EF7E}</x14:id>
        </ext>
      </extLst>
    </cfRule>
  </conditionalFormatting>
  <conditionalFormatting sqref="Y3">
    <cfRule type="cellIs" priority="13" operator="equal">
      <formula>"V"</formula>
    </cfRule>
  </conditionalFormatting>
  <conditionalFormatting sqref="X7">
    <cfRule type="cellIs" dxfId="158" priority="1" operator="equal">
      <formula>"St3"</formula>
    </cfRule>
  </conditionalFormatting>
  <conditionalFormatting sqref="V7">
    <cfRule type="cellIs" dxfId="157" priority="2" operator="equal">
      <formula>"St2"</formula>
    </cfRule>
  </conditionalFormatting>
  <conditionalFormatting sqref="CV36:CV157">
    <cfRule type="dataBar" priority="3716">
      <dataBar>
        <cfvo type="min"/>
        <cfvo type="num" val="31"/>
        <color theme="4"/>
      </dataBar>
      <extLst>
        <ext xmlns:x14="http://schemas.microsoft.com/office/spreadsheetml/2009/9/main" uri="{B025F937-C7B1-47D3-B67F-A62EFF666E3E}">
          <x14:id>{6B25807E-337D-4230-AF89-5529A9A6699E}</x14:id>
        </ext>
      </extLst>
    </cfRule>
  </conditionalFormatting>
  <conditionalFormatting sqref="CW36:CX157">
    <cfRule type="dataBar" priority="3718">
      <dataBar>
        <cfvo type="min"/>
        <cfvo type="num" val="31"/>
        <color theme="4"/>
      </dataBar>
      <extLst>
        <ext xmlns:x14="http://schemas.microsoft.com/office/spreadsheetml/2009/9/main" uri="{B025F937-C7B1-47D3-B67F-A62EFF666E3E}">
          <x14:id>{730B3615-0E13-4E95-8337-59580F84D3D6}</x14:id>
        </ext>
      </extLst>
    </cfRule>
  </conditionalFormatting>
  <conditionalFormatting sqref="CY36:CY157">
    <cfRule type="dataBar" priority="3720">
      <dataBar>
        <cfvo type="min"/>
        <cfvo type="num" val="31"/>
        <color theme="4"/>
      </dataBar>
      <extLst>
        <ext xmlns:x14="http://schemas.microsoft.com/office/spreadsheetml/2009/9/main" uri="{B025F937-C7B1-47D3-B67F-A62EFF666E3E}">
          <x14:id>{E64B8DD6-B721-4AC0-961B-20A8CD95135D}</x14:id>
        </ext>
      </extLst>
    </cfRule>
  </conditionalFormatting>
  <conditionalFormatting sqref="CV11:CV156">
    <cfRule type="dataBar" priority="3722">
      <dataBar>
        <cfvo type="min"/>
        <cfvo type="num" val="31"/>
        <color theme="4"/>
      </dataBar>
      <extLst>
        <ext xmlns:x14="http://schemas.microsoft.com/office/spreadsheetml/2009/9/main" uri="{B025F937-C7B1-47D3-B67F-A62EFF666E3E}">
          <x14:id>{B8E2074E-9F97-4FA2-9EE3-56E1F5B7469C}</x14:id>
        </ext>
      </extLst>
    </cfRule>
  </conditionalFormatting>
  <conditionalFormatting sqref="CW11:CX156">
    <cfRule type="dataBar" priority="3724">
      <dataBar>
        <cfvo type="min"/>
        <cfvo type="num" val="31"/>
        <color theme="4"/>
      </dataBar>
      <extLst>
        <ext xmlns:x14="http://schemas.microsoft.com/office/spreadsheetml/2009/9/main" uri="{B025F937-C7B1-47D3-B67F-A62EFF666E3E}">
          <x14:id>{425ADA67-DB47-4FCA-BE10-7670DC615A7F}</x14:id>
        </ext>
      </extLst>
    </cfRule>
  </conditionalFormatting>
  <dataValidations count="1">
    <dataValidation type="list" errorStyle="warning" allowBlank="1" showInputMessage="1" showErrorMessage="1" errorTitle="Whoops!" error="The Student ID you entered isn't on the Student List sheet. You can click Yes to use what you entered but that Student ID won't be available on the Student Attendance Report sheet." sqref="A11:A156">
      <formula1>IDÉtudiant1</formula1>
    </dataValidation>
  </dataValidations>
  <pageMargins left="0.7" right="0.7" top="0.75" bottom="0.75" header="0.3" footer="0.3"/>
  <pageSetup paperSize="9" orientation="portrait" horizontalDpi="0"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8348953-272A-4C22-B3B1-E4B4678167C5}">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CY31</xm:sqref>
        </x14:conditionalFormatting>
        <x14:conditionalFormatting xmlns:xm="http://schemas.microsoft.com/office/excel/2006/main">
          <x14:cfRule type="dataBar" id="{4DC47B95-32C6-483B-A8E1-5C6E5BEDFD26}">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CY32:CY33</xm:sqref>
        </x14:conditionalFormatting>
        <x14:conditionalFormatting xmlns:xm="http://schemas.microsoft.com/office/excel/2006/main">
          <x14:cfRule type="dataBar" id="{3527958F-F233-44AB-8CD8-FB6CD05AFC38}">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CY34</xm:sqref>
        </x14:conditionalFormatting>
        <x14:conditionalFormatting xmlns:xm="http://schemas.microsoft.com/office/excel/2006/main">
          <x14:cfRule type="dataBar" id="{57D585CD-47E7-4F15-99BB-B4C5AF19EF7E}">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CY11:CY30</xm:sqref>
        </x14:conditionalFormatting>
        <x14:conditionalFormatting xmlns:xm="http://schemas.microsoft.com/office/excel/2006/main">
          <x14:cfRule type="dataBar" id="{6B25807E-337D-4230-AF89-5529A9A6699E}">
            <x14:dataBar minLength="0" maxLength="100" border="1" negativeBarBorderColorSameAsPositive="0">
              <x14:cfvo type="autoMin"/>
              <x14:cfvo type="num">
                <xm:f>31</xm:f>
              </x14:cfvo>
              <x14:borderColor theme="4"/>
              <x14:negativeFillColor rgb="FFFF0000"/>
              <x14:negativeBorderColor rgb="FFFF0000"/>
              <x14:axisColor rgb="FF000000"/>
            </x14:dataBar>
          </x14:cfRule>
          <xm:sqref>CV36:CV157</xm:sqref>
        </x14:conditionalFormatting>
        <x14:conditionalFormatting xmlns:xm="http://schemas.microsoft.com/office/excel/2006/main">
          <x14:cfRule type="dataBar" id="{730B3615-0E13-4E95-8337-59580F84D3D6}">
            <x14:dataBar minLength="0" maxLength="100" border="1" negativeBarBorderColorSameAsPositive="0">
              <x14:cfvo type="autoMin"/>
              <x14:cfvo type="num">
                <xm:f>31</xm:f>
              </x14:cfvo>
              <x14:borderColor theme="4"/>
              <x14:negativeFillColor rgb="FFFF0000"/>
              <x14:negativeBorderColor rgb="FFFF0000"/>
              <x14:axisColor rgb="FF000000"/>
            </x14:dataBar>
          </x14:cfRule>
          <xm:sqref>CW36:CX157</xm:sqref>
        </x14:conditionalFormatting>
        <x14:conditionalFormatting xmlns:xm="http://schemas.microsoft.com/office/excel/2006/main">
          <x14:cfRule type="dataBar" id="{E64B8DD6-B721-4AC0-961B-20A8CD95135D}">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CY36:CY157</xm:sqref>
        </x14:conditionalFormatting>
        <x14:conditionalFormatting xmlns:xm="http://schemas.microsoft.com/office/excel/2006/main">
          <x14:cfRule type="dataBar" id="{B8E2074E-9F97-4FA2-9EE3-56E1F5B7469C}">
            <x14:dataBar minLength="0" maxLength="100" border="1" negativeBarBorderColorSameAsPositive="0">
              <x14:cfvo type="autoMin"/>
              <x14:cfvo type="num">
                <xm:f>31</xm:f>
              </x14:cfvo>
              <x14:borderColor theme="4"/>
              <x14:negativeFillColor rgb="FFFF0000"/>
              <x14:negativeBorderColor rgb="FFFF0000"/>
              <x14:axisColor rgb="FF000000"/>
            </x14:dataBar>
          </x14:cfRule>
          <xm:sqref>CV11:CV156</xm:sqref>
        </x14:conditionalFormatting>
        <x14:conditionalFormatting xmlns:xm="http://schemas.microsoft.com/office/excel/2006/main">
          <x14:cfRule type="dataBar" id="{425ADA67-DB47-4FCA-BE10-7670DC615A7F}">
            <x14:dataBar minLength="0" maxLength="100" border="1" negativeBarBorderColorSameAsPositive="0">
              <x14:cfvo type="autoMin"/>
              <x14:cfvo type="num">
                <xm:f>31</xm:f>
              </x14:cfvo>
              <x14:borderColor theme="4"/>
              <x14:negativeFillColor rgb="FFFF0000"/>
              <x14:negativeBorderColor rgb="FFFF0000"/>
              <x14:axisColor rgb="FF000000"/>
            </x14:dataBar>
          </x14:cfRule>
          <xm:sqref>CW11:CX156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CZ50"/>
  <sheetViews>
    <sheetView showGridLines="0" tabSelected="1" topLeftCell="AH13" zoomScale="90" zoomScaleNormal="90" workbookViewId="0">
      <selection activeCell="BM35" sqref="BM35:BM36"/>
    </sheetView>
  </sheetViews>
  <sheetFormatPr baseColWidth="10" defaultColWidth="9.140625" defaultRowHeight="13.5"/>
  <cols>
    <col min="1" max="1" width="3.42578125" style="17" customWidth="1"/>
    <col min="2" max="2" width="19" style="17" customWidth="1"/>
    <col min="3" max="3" width="3.5703125" style="17" customWidth="1"/>
    <col min="4" max="4" width="3.28515625" style="17" customWidth="1"/>
    <col min="5" max="5" width="6.5703125" style="17" customWidth="1"/>
    <col min="6" max="6" width="3.28515625" style="17" customWidth="1"/>
    <col min="7" max="7" width="6.85546875" style="17" customWidth="1"/>
    <col min="8" max="8" width="3.42578125" style="17" customWidth="1"/>
    <col min="9" max="9" width="6" style="17" customWidth="1"/>
    <col min="10" max="10" width="3.7109375" style="17" customWidth="1"/>
    <col min="11" max="11" width="6.28515625" style="17" customWidth="1"/>
    <col min="12" max="12" width="3.5703125" style="17" customWidth="1"/>
    <col min="13" max="13" width="6.85546875" style="17" customWidth="1"/>
    <col min="14" max="14" width="3.85546875" style="17" customWidth="1"/>
    <col min="15" max="15" width="6.42578125" style="17" customWidth="1"/>
    <col min="16" max="16" width="4" style="17" customWidth="1"/>
    <col min="17" max="17" width="6.140625" style="17" customWidth="1"/>
    <col min="18" max="18" width="4" style="17" customWidth="1"/>
    <col min="19" max="19" width="10.42578125" style="17" customWidth="1"/>
    <col min="20" max="20" width="4.42578125" style="17" customWidth="1"/>
    <col min="21" max="21" width="10.5703125" style="17" customWidth="1"/>
    <col min="22" max="22" width="9.5703125" style="17" customWidth="1"/>
    <col min="23" max="23" width="10" style="17" customWidth="1"/>
    <col min="24" max="24" width="6.42578125" style="17" customWidth="1"/>
    <col min="25" max="25" width="10.140625" style="17" customWidth="1"/>
    <col min="26" max="26" width="6.5703125" style="17" customWidth="1"/>
    <col min="27" max="27" width="6.28515625" style="17" customWidth="1"/>
    <col min="28" max="28" width="6.42578125" style="17" customWidth="1"/>
    <col min="29" max="30" width="3.28515625" style="17" customWidth="1"/>
    <col min="31" max="31" width="6.140625" style="17" customWidth="1"/>
    <col min="32" max="32" width="3.28515625" style="17" customWidth="1"/>
    <col min="33" max="33" width="7.42578125" style="17" customWidth="1"/>
    <col min="34" max="34" width="4.5703125" style="17" customWidth="1"/>
    <col min="35" max="35" width="3.85546875" style="17" customWidth="1"/>
    <col min="36" max="36" width="3.28515625" style="17" customWidth="1"/>
    <col min="37" max="37" width="2.85546875" style="17" customWidth="1"/>
    <col min="38" max="38" width="3.42578125" style="17" customWidth="1"/>
    <col min="39" max="40" width="3.7109375" style="17" customWidth="1"/>
    <col min="41" max="41" width="3.5703125" style="17" customWidth="1"/>
    <col min="42" max="42" width="2.7109375" style="17" customWidth="1"/>
    <col min="43" max="43" width="3.5703125" style="17" customWidth="1"/>
    <col min="44" max="44" width="3.28515625" style="17" customWidth="1"/>
    <col min="45" max="45" width="3.5703125" style="17" customWidth="1"/>
    <col min="46" max="46" width="3.28515625" style="17" customWidth="1"/>
    <col min="47" max="47" width="3" style="17" customWidth="1"/>
    <col min="48" max="48" width="3.28515625" style="17" customWidth="1"/>
    <col min="49" max="49" width="3.42578125" style="17" customWidth="1"/>
    <col min="50" max="58" width="3.140625" style="17" customWidth="1"/>
    <col min="59" max="60" width="4.140625" style="17" customWidth="1"/>
    <col min="61" max="62" width="4.28515625" style="17" customWidth="1"/>
    <col min="63" max="64" width="5.85546875" style="17" customWidth="1"/>
    <col min="65" max="65" width="3.85546875" style="17" customWidth="1"/>
    <col min="66" max="67" width="3.42578125" style="17" customWidth="1"/>
    <col min="68" max="68" width="3" style="17" customWidth="1"/>
    <col min="69" max="69" width="3.42578125" style="17" customWidth="1"/>
    <col min="70" max="70" width="3.85546875" style="17" customWidth="1"/>
    <col min="71" max="71" width="3.42578125" style="17" customWidth="1"/>
    <col min="72" max="72" width="3.140625" style="17" customWidth="1"/>
    <col min="73" max="73" width="3.28515625" style="17" customWidth="1"/>
    <col min="74" max="74" width="3.5703125" style="17" customWidth="1"/>
    <col min="75" max="75" width="3.42578125" style="17" customWidth="1"/>
    <col min="76" max="76" width="3.28515625" style="17" customWidth="1"/>
    <col min="77" max="77" width="4.42578125" style="17" customWidth="1"/>
    <col min="78" max="78" width="4.85546875" style="17" customWidth="1"/>
    <col min="79" max="79" width="4.28515625" style="17" customWidth="1"/>
    <col min="80" max="80" width="3.5703125" style="17" customWidth="1"/>
    <col min="81" max="82" width="3.42578125" style="17" customWidth="1"/>
    <col min="83" max="83" width="3.5703125" style="17" customWidth="1"/>
    <col min="84" max="84" width="3.42578125" style="17" customWidth="1"/>
    <col min="85" max="86" width="3.85546875" style="17" customWidth="1"/>
    <col min="87" max="87" width="3.5703125" style="17" customWidth="1"/>
    <col min="88" max="88" width="3.42578125" style="17" customWidth="1"/>
    <col min="89" max="89" width="3.5703125" style="17" customWidth="1"/>
    <col min="90" max="91" width="3.42578125" style="17" customWidth="1"/>
    <col min="92" max="92" width="3.28515625" style="17" customWidth="1"/>
    <col min="93" max="93" width="3.42578125" style="17" customWidth="1"/>
    <col min="94" max="95" width="3.85546875" style="17" customWidth="1"/>
    <col min="96" max="96" width="3.28515625" style="17" customWidth="1"/>
    <col min="97" max="97" width="3.7109375" style="17" customWidth="1"/>
    <col min="98" max="98" width="5.42578125" style="17" customWidth="1"/>
    <col min="99" max="99" width="4.5703125" style="17" customWidth="1"/>
    <col min="100" max="100" width="25.42578125" style="17" customWidth="1"/>
    <col min="101" max="101" width="24.140625" style="17" customWidth="1"/>
    <col min="102" max="102" width="12.140625" style="17" customWidth="1"/>
    <col min="103" max="103" width="19.140625" style="17" customWidth="1"/>
    <col min="104" max="16384" width="9.140625" style="17"/>
  </cols>
  <sheetData>
    <row r="1" spans="1:101" ht="33" customHeight="1">
      <c r="A1" s="45"/>
      <c r="B1" s="45" t="str">
        <f>"Registre de présence pour "</f>
        <v xml:space="preserve">Registre de présence pour </v>
      </c>
      <c r="C1" s="37"/>
      <c r="D1" s="37"/>
      <c r="E1" s="37"/>
      <c r="F1" s="37"/>
      <c r="G1" s="37"/>
      <c r="H1" s="37"/>
      <c r="I1" s="44"/>
      <c r="J1" s="36"/>
      <c r="K1" s="36"/>
      <c r="L1" s="36"/>
      <c r="M1" s="37"/>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5"/>
      <c r="AQ1" s="35"/>
      <c r="AR1" s="35"/>
      <c r="AS1" s="35"/>
      <c r="AT1" s="35"/>
      <c r="AU1" s="35"/>
      <c r="AV1" s="35"/>
      <c r="AW1" s="35"/>
      <c r="AX1" s="35"/>
      <c r="AY1" s="35"/>
      <c r="AZ1" s="35"/>
      <c r="BA1" s="35"/>
      <c r="BB1" s="35"/>
      <c r="BC1" s="35"/>
      <c r="BD1" s="35"/>
      <c r="BE1" s="35"/>
      <c r="BF1" s="35"/>
      <c r="BG1" s="35"/>
      <c r="BH1" s="35"/>
      <c r="BI1" s="35"/>
      <c r="BJ1" s="35"/>
    </row>
    <row r="2" spans="1:101" customFormat="1" ht="15" customHeight="1"/>
    <row r="3" spans="1:101" ht="17.25" customHeight="1">
      <c r="B3" s="61" t="s">
        <v>33</v>
      </c>
      <c r="C3" s="62"/>
      <c r="D3" s="699" t="s">
        <v>34</v>
      </c>
      <c r="E3" s="699"/>
      <c r="F3" s="699"/>
      <c r="G3" s="699"/>
      <c r="H3" s="699"/>
      <c r="I3" s="699"/>
      <c r="J3" s="699"/>
      <c r="K3" s="699"/>
      <c r="L3" s="699"/>
      <c r="M3" s="699"/>
      <c r="N3" s="699"/>
      <c r="O3" s="699"/>
      <c r="P3" s="694" t="s">
        <v>37</v>
      </c>
      <c r="Q3" s="694"/>
      <c r="R3" s="694"/>
      <c r="S3" s="694" t="s">
        <v>38</v>
      </c>
      <c r="T3" s="694"/>
      <c r="U3" s="694"/>
      <c r="V3" s="694"/>
      <c r="W3" s="694" t="s">
        <v>39</v>
      </c>
      <c r="X3" s="694"/>
      <c r="Y3" s="694"/>
      <c r="Z3" s="694"/>
      <c r="AA3" s="694"/>
      <c r="AB3" s="694"/>
      <c r="AC3" s="694"/>
      <c r="AD3" s="694"/>
      <c r="AE3" s="700" t="s">
        <v>40</v>
      </c>
      <c r="AF3" s="700"/>
      <c r="AG3" s="694" t="s">
        <v>41</v>
      </c>
      <c r="AH3" s="694"/>
      <c r="AI3" s="694"/>
      <c r="AJ3" s="694"/>
      <c r="AK3" s="694"/>
      <c r="AL3" s="69" t="s">
        <v>42</v>
      </c>
      <c r="AM3" s="73"/>
      <c r="AN3" s="239"/>
      <c r="AO3" s="73"/>
    </row>
    <row r="4" spans="1:101" ht="17.25" customHeight="1">
      <c r="B4" s="702" t="s">
        <v>478</v>
      </c>
      <c r="C4" s="702"/>
      <c r="D4" s="697" t="str">
        <f>IFERROR(VLOOKUP(RechercheÉtudiant1,ListeÉtudiants1[],18,FALSE),"")</f>
        <v>VERKEST LEA</v>
      </c>
      <c r="E4" s="697"/>
      <c r="F4" s="697"/>
      <c r="G4" s="697"/>
      <c r="H4" s="697"/>
      <c r="I4" s="697"/>
      <c r="J4" s="697"/>
      <c r="K4" s="697"/>
      <c r="L4" s="697"/>
      <c r="M4" s="697"/>
      <c r="N4" s="697"/>
      <c r="O4" s="697"/>
      <c r="P4" s="703">
        <f>IFERROR(VLOOKUP(RechercheÉtudiant1,ListeÉtudiants1[],4,FALSE),"")</f>
        <v>0</v>
      </c>
      <c r="Q4" s="703"/>
      <c r="R4" s="703"/>
      <c r="S4" s="704"/>
      <c r="T4" s="704"/>
      <c r="U4" s="704"/>
      <c r="V4" s="704"/>
      <c r="W4" s="702"/>
      <c r="X4" s="702"/>
      <c r="Y4" s="702"/>
      <c r="Z4" s="702"/>
      <c r="AA4" s="702"/>
      <c r="AB4" s="702"/>
      <c r="AC4" s="702"/>
      <c r="AD4" s="702"/>
      <c r="AE4" s="701"/>
      <c r="AF4" s="701"/>
      <c r="AG4" s="702"/>
      <c r="AH4" s="702"/>
      <c r="AI4" s="702"/>
      <c r="AJ4" s="702"/>
      <c r="AK4" s="702"/>
      <c r="AL4" s="63"/>
      <c r="AM4" s="74"/>
      <c r="AN4" s="241"/>
      <c r="AO4" s="74"/>
    </row>
    <row r="5" spans="1:101" ht="17.25" customHeight="1">
      <c r="B5" s="694" t="s">
        <v>69</v>
      </c>
      <c r="C5" s="694"/>
      <c r="D5" s="694"/>
      <c r="E5" s="694"/>
      <c r="F5" s="694"/>
      <c r="G5" s="694"/>
      <c r="H5" s="694"/>
      <c r="I5" s="694"/>
      <c r="J5" s="694"/>
      <c r="K5" s="694" t="s">
        <v>43</v>
      </c>
      <c r="L5" s="694"/>
      <c r="M5" s="694"/>
      <c r="N5" s="694"/>
      <c r="O5" s="694"/>
      <c r="P5" s="694"/>
      <c r="Q5" s="694"/>
      <c r="R5" s="694"/>
      <c r="S5" s="694"/>
      <c r="T5" s="694"/>
      <c r="U5" s="694"/>
      <c r="V5" s="694"/>
      <c r="W5" s="694" t="s">
        <v>44</v>
      </c>
      <c r="X5" s="694"/>
      <c r="Y5" s="694"/>
      <c r="Z5" s="694"/>
      <c r="AA5" s="694"/>
      <c r="AB5" s="694"/>
      <c r="AC5" s="694"/>
      <c r="AD5" s="694"/>
      <c r="AE5" s="694" t="s">
        <v>45</v>
      </c>
      <c r="AF5" s="694"/>
      <c r="AG5" s="694"/>
      <c r="AH5" s="694"/>
      <c r="AI5" s="694"/>
      <c r="AJ5" s="694"/>
      <c r="AK5" s="694"/>
      <c r="AL5" s="694"/>
      <c r="AM5" s="694"/>
      <c r="AN5" s="694"/>
      <c r="AO5" s="694"/>
      <c r="AP5" s="694"/>
      <c r="AQ5" s="106"/>
      <c r="AR5" s="106"/>
      <c r="AS5" s="106"/>
      <c r="AT5" s="106"/>
      <c r="AU5" s="106"/>
      <c r="AV5" s="106"/>
      <c r="AW5" s="106"/>
      <c r="AX5" s="106"/>
      <c r="AY5" s="106"/>
      <c r="AZ5" s="106"/>
      <c r="BA5" s="106"/>
      <c r="BB5" s="106"/>
      <c r="BC5" s="106"/>
      <c r="BD5" s="106"/>
      <c r="BE5" s="106"/>
      <c r="BF5" s="106"/>
      <c r="BG5" s="106"/>
      <c r="BH5" s="106"/>
      <c r="BI5" s="106"/>
      <c r="BJ5" s="106"/>
    </row>
    <row r="6" spans="1:101" ht="17.25" customHeight="1">
      <c r="B6" s="697">
        <f>IFERROR(VLOOKUP(RechercheÉtudiant1,ListeÉtudiants1[],6,FALSE),"")</f>
        <v>0</v>
      </c>
      <c r="C6" s="697"/>
      <c r="D6" s="697"/>
      <c r="E6" s="697"/>
      <c r="F6" s="697"/>
      <c r="G6" s="697"/>
      <c r="H6" s="697"/>
      <c r="I6" s="697"/>
      <c r="J6" s="697"/>
      <c r="K6" s="697">
        <f>IFERROR(VLOOKUP(RechercheÉtudiant1,ListeÉtudiants1[],7,FALSE),"")</f>
        <v>0</v>
      </c>
      <c r="L6" s="697"/>
      <c r="M6" s="697"/>
      <c r="N6" s="697"/>
      <c r="O6" s="697"/>
      <c r="P6" s="697"/>
      <c r="Q6" s="697"/>
      <c r="R6" s="697"/>
      <c r="S6" s="697"/>
      <c r="T6" s="697"/>
      <c r="U6" s="697"/>
      <c r="V6" s="697"/>
      <c r="W6" s="698">
        <f>IFERROR(VLOOKUP(RechercheÉtudiant1,ListeÉtudiants1[],8,FALSE),"")</f>
        <v>0</v>
      </c>
      <c r="X6" s="698"/>
      <c r="Y6" s="698"/>
      <c r="Z6" s="698"/>
      <c r="AA6" s="698"/>
      <c r="AB6" s="698"/>
      <c r="AC6" s="698"/>
      <c r="AD6" s="698"/>
      <c r="AE6" s="698">
        <f>IFERROR(VLOOKUP(RechercheÉtudiant1,ListeÉtudiants1[],9,FALSE),"")</f>
        <v>0</v>
      </c>
      <c r="AF6" s="698"/>
      <c r="AG6" s="698"/>
      <c r="AH6" s="698"/>
      <c r="AI6" s="698"/>
      <c r="AJ6" s="698"/>
      <c r="AK6" s="698"/>
      <c r="AL6" s="698"/>
      <c r="AM6" s="698"/>
      <c r="AN6" s="698"/>
      <c r="AO6" s="698"/>
      <c r="AP6" s="698"/>
      <c r="AQ6" s="107"/>
      <c r="AR6" s="107"/>
      <c r="AS6" s="107"/>
      <c r="AT6" s="107"/>
      <c r="AU6" s="107"/>
      <c r="AV6" s="107"/>
      <c r="AW6" s="107"/>
      <c r="AX6" s="107"/>
      <c r="AY6" s="107"/>
      <c r="AZ6" s="107"/>
      <c r="BA6" s="107"/>
      <c r="BB6" s="107"/>
      <c r="BC6" s="107"/>
      <c r="BD6" s="107"/>
      <c r="BE6" s="107"/>
      <c r="BF6" s="107"/>
      <c r="BG6" s="107"/>
      <c r="BH6" s="107"/>
      <c r="BI6" s="107"/>
      <c r="BJ6" s="107"/>
    </row>
    <row r="7" spans="1:101" ht="17.25" customHeight="1">
      <c r="B7" s="694" t="s">
        <v>70</v>
      </c>
      <c r="C7" s="694"/>
      <c r="D7" s="694"/>
      <c r="E7" s="694"/>
      <c r="F7" s="694"/>
      <c r="G7" s="694"/>
      <c r="H7" s="694"/>
      <c r="I7" s="694"/>
      <c r="J7" s="694"/>
      <c r="K7" s="694" t="s">
        <v>43</v>
      </c>
      <c r="L7" s="694"/>
      <c r="M7" s="694"/>
      <c r="N7" s="694"/>
      <c r="O7" s="694"/>
      <c r="P7" s="694"/>
      <c r="Q7" s="694"/>
      <c r="R7" s="694"/>
      <c r="S7" s="694"/>
      <c r="T7" s="694"/>
      <c r="U7" s="694"/>
      <c r="V7" s="694"/>
      <c r="W7" s="694" t="s">
        <v>44</v>
      </c>
      <c r="X7" s="694"/>
      <c r="Y7" s="694"/>
      <c r="Z7" s="694"/>
      <c r="AA7" s="694"/>
      <c r="AB7" s="694"/>
      <c r="AC7" s="694"/>
      <c r="AD7" s="694"/>
      <c r="AE7" s="694" t="s">
        <v>45</v>
      </c>
      <c r="AF7" s="694"/>
      <c r="AG7" s="694"/>
      <c r="AH7" s="694"/>
      <c r="AI7" s="694"/>
      <c r="AJ7" s="694"/>
      <c r="AK7" s="694"/>
      <c r="AL7" s="694"/>
      <c r="AM7" s="694"/>
      <c r="AN7" s="694"/>
      <c r="AO7" s="694"/>
      <c r="AP7" s="694"/>
      <c r="AQ7" s="106"/>
      <c r="AR7" s="106"/>
      <c r="AS7" s="106"/>
      <c r="AT7" s="106"/>
      <c r="AU7" s="106"/>
      <c r="AV7" s="106"/>
      <c r="AW7" s="106"/>
      <c r="AX7" s="106"/>
      <c r="AY7" s="106"/>
      <c r="AZ7" s="106"/>
      <c r="BA7" s="106"/>
      <c r="BB7" s="106"/>
      <c r="BC7" s="106"/>
      <c r="BD7" s="106"/>
      <c r="BE7" s="106"/>
      <c r="BF7" s="106"/>
      <c r="BG7" s="106"/>
      <c r="BH7" s="106"/>
      <c r="BI7" s="106"/>
      <c r="BJ7" s="106"/>
    </row>
    <row r="8" spans="1:101" ht="17.25" customHeight="1">
      <c r="B8" s="697">
        <f>IFERROR(VLOOKUP(RechercheÉtudiant1,ListeÉtudiants1[],10,FALSE),"")</f>
        <v>0</v>
      </c>
      <c r="C8" s="697"/>
      <c r="D8" s="697"/>
      <c r="E8" s="697"/>
      <c r="F8" s="697"/>
      <c r="G8" s="697"/>
      <c r="H8" s="697"/>
      <c r="I8" s="697"/>
      <c r="J8" s="697"/>
      <c r="K8" s="697">
        <f>IFERROR(VLOOKUP(RechercheÉtudiant1,ListeÉtudiants1[],11,FALSE),"")</f>
        <v>0</v>
      </c>
      <c r="L8" s="697"/>
      <c r="M8" s="697"/>
      <c r="N8" s="697"/>
      <c r="O8" s="697"/>
      <c r="P8" s="697"/>
      <c r="Q8" s="697"/>
      <c r="R8" s="697"/>
      <c r="S8" s="697"/>
      <c r="T8" s="697"/>
      <c r="U8" s="697"/>
      <c r="V8" s="697"/>
      <c r="W8" s="698">
        <f>IFERROR(VLOOKUP(RechercheÉtudiant1,ListeÉtudiants1[],12,FALSE),"")</f>
        <v>0</v>
      </c>
      <c r="X8" s="698"/>
      <c r="Y8" s="698"/>
      <c r="Z8" s="698"/>
      <c r="AA8" s="698"/>
      <c r="AB8" s="698"/>
      <c r="AC8" s="698"/>
      <c r="AD8" s="698"/>
      <c r="AE8" s="698">
        <f>IFERROR(VLOOKUP(RechercheÉtudiant1,ListeÉtudiants1[],13,FALSE),"")</f>
        <v>0</v>
      </c>
      <c r="AF8" s="698"/>
      <c r="AG8" s="698"/>
      <c r="AH8" s="698"/>
      <c r="AI8" s="698"/>
      <c r="AJ8" s="698"/>
      <c r="AK8" s="698"/>
      <c r="AL8" s="698"/>
      <c r="AM8" s="698"/>
      <c r="AN8" s="698"/>
      <c r="AO8" s="698"/>
      <c r="AP8" s="698"/>
      <c r="AQ8" s="107"/>
      <c r="AR8" s="107"/>
      <c r="AS8" s="107"/>
      <c r="AT8" s="107"/>
      <c r="AU8" s="107"/>
      <c r="AV8" s="107"/>
      <c r="AW8" s="107"/>
      <c r="AX8" s="107"/>
      <c r="AY8" s="107"/>
      <c r="AZ8" s="107"/>
      <c r="BA8" s="107"/>
      <c r="BB8" s="107"/>
      <c r="BC8" s="107"/>
      <c r="BD8" s="107"/>
      <c r="BE8" s="107"/>
      <c r="BF8" s="107"/>
      <c r="BG8" s="107"/>
      <c r="BH8" s="107"/>
      <c r="BI8" s="107"/>
      <c r="BJ8" s="107"/>
    </row>
    <row r="9" spans="1:101" ht="17.25" customHeight="1">
      <c r="B9" s="694" t="s">
        <v>46</v>
      </c>
      <c r="C9" s="694"/>
      <c r="D9" s="694"/>
      <c r="E9" s="694"/>
      <c r="F9" s="694"/>
      <c r="G9" s="694"/>
      <c r="H9" s="694"/>
      <c r="I9" s="694"/>
      <c r="J9" s="694"/>
      <c r="K9" s="694" t="s">
        <v>43</v>
      </c>
      <c r="L9" s="694"/>
      <c r="M9" s="694"/>
      <c r="N9" s="694"/>
      <c r="O9" s="694"/>
      <c r="P9" s="694"/>
      <c r="Q9" s="694"/>
      <c r="R9" s="694"/>
      <c r="S9" s="694"/>
      <c r="T9" s="694"/>
      <c r="U9" s="694"/>
      <c r="V9" s="694"/>
      <c r="W9" s="694" t="s">
        <v>44</v>
      </c>
      <c r="X9" s="694"/>
      <c r="Y9" s="694"/>
      <c r="Z9" s="694"/>
      <c r="AA9" s="694"/>
      <c r="AB9" s="694"/>
      <c r="AC9" s="694"/>
      <c r="AD9" s="694"/>
      <c r="AE9" s="694" t="s">
        <v>45</v>
      </c>
      <c r="AF9" s="694"/>
      <c r="AG9" s="694"/>
      <c r="AH9" s="694"/>
      <c r="AI9" s="694"/>
      <c r="AJ9" s="694"/>
      <c r="AK9" s="694"/>
      <c r="AL9" s="694"/>
      <c r="AM9" s="694"/>
      <c r="AN9" s="694"/>
      <c r="AO9" s="694"/>
      <c r="AP9" s="694"/>
      <c r="AQ9" s="106"/>
      <c r="AR9" s="106"/>
      <c r="AS9" s="106"/>
      <c r="AT9" s="106"/>
      <c r="AU9" s="106"/>
      <c r="AV9" s="106"/>
      <c r="AW9" s="106"/>
      <c r="AX9" s="106"/>
      <c r="AY9" s="106"/>
      <c r="AZ9" s="106"/>
      <c r="BA9" s="106"/>
      <c r="BB9" s="106"/>
      <c r="BC9" s="106"/>
      <c r="BD9" s="106"/>
      <c r="BE9" s="106"/>
      <c r="BF9" s="106"/>
      <c r="BG9" s="106"/>
      <c r="BH9" s="106"/>
      <c r="BI9" s="106"/>
      <c r="BJ9" s="106"/>
    </row>
    <row r="10" spans="1:101" ht="17.25" customHeight="1">
      <c r="B10" s="697">
        <f>IFERROR(VLOOKUP(RechercheÉtudiant1,ListeÉtudiants1[],14,FALSE),"")</f>
        <v>0</v>
      </c>
      <c r="C10" s="697"/>
      <c r="D10" s="697"/>
      <c r="E10" s="697"/>
      <c r="F10" s="697"/>
      <c r="G10" s="697"/>
      <c r="H10" s="697"/>
      <c r="I10" s="697"/>
      <c r="J10" s="697"/>
      <c r="K10" s="697">
        <f>IFERROR(VLOOKUP(RechercheÉtudiant1,ListeÉtudiants1[],15,FALSE),"")</f>
        <v>0</v>
      </c>
      <c r="L10" s="697"/>
      <c r="M10" s="697"/>
      <c r="N10" s="697"/>
      <c r="O10" s="697"/>
      <c r="P10" s="697"/>
      <c r="Q10" s="697"/>
      <c r="R10" s="697"/>
      <c r="S10" s="697"/>
      <c r="T10" s="697"/>
      <c r="U10" s="697"/>
      <c r="V10" s="697"/>
      <c r="W10" s="698">
        <f>IFERROR(VLOOKUP(RechercheÉtudiant1,ListeÉtudiants1[],16,FALSE),"")</f>
        <v>0</v>
      </c>
      <c r="X10" s="698"/>
      <c r="Y10" s="698"/>
      <c r="Z10" s="698"/>
      <c r="AA10" s="698"/>
      <c r="AB10" s="698"/>
      <c r="AC10" s="698"/>
      <c r="AD10" s="698"/>
      <c r="AE10" s="698">
        <f>IFERROR(VLOOKUP(RechercheÉtudiant1,ListeÉtudiants1[],17,FALSE),"")</f>
        <v>0</v>
      </c>
      <c r="AF10" s="698"/>
      <c r="AG10" s="698"/>
      <c r="AH10" s="698"/>
      <c r="AI10" s="698"/>
      <c r="AJ10" s="698"/>
      <c r="AK10" s="698"/>
      <c r="AL10" s="698"/>
      <c r="AM10" s="698"/>
      <c r="AN10" s="698"/>
      <c r="AO10" s="698"/>
      <c r="AP10" s="698"/>
      <c r="AQ10" s="107"/>
      <c r="AR10" s="107"/>
      <c r="AS10" s="107"/>
      <c r="AT10" s="107"/>
      <c r="AU10" s="107"/>
      <c r="AV10" s="107"/>
      <c r="AW10" s="107"/>
      <c r="AX10" s="107"/>
      <c r="AY10" s="107"/>
      <c r="AZ10" s="107"/>
      <c r="BA10" s="107"/>
      <c r="BB10" s="107"/>
      <c r="BC10" s="107"/>
      <c r="BD10" s="107"/>
      <c r="BE10" s="107"/>
      <c r="BF10" s="107"/>
      <c r="BG10" s="107"/>
      <c r="BH10" s="107"/>
      <c r="BI10" s="107"/>
      <c r="BJ10" s="107"/>
    </row>
    <row r="11" spans="1:101" ht="17.25" customHeight="1">
      <c r="B11" s="238"/>
      <c r="C11" s="238"/>
      <c r="D11" s="238"/>
      <c r="E11" s="238"/>
      <c r="F11" s="238"/>
      <c r="G11" s="238"/>
      <c r="H11" s="238"/>
      <c r="I11" s="238"/>
      <c r="J11" s="238"/>
      <c r="K11" s="238"/>
      <c r="L11" s="238"/>
      <c r="M11" s="238"/>
      <c r="N11" s="238"/>
      <c r="O11" s="238"/>
      <c r="P11" s="238"/>
      <c r="Q11" s="238"/>
      <c r="R11" s="238"/>
      <c r="S11" s="238"/>
      <c r="T11" s="238"/>
      <c r="U11" s="238"/>
      <c r="V11" s="238"/>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CV11" s="17">
        <f>SUM((AH11*1)+(AI11*1.5)+(AJ11*2)+(AK11*4)+(AP11*5)+(AQ11*6)+(AR11*7)+(AU11*2)+(AX11*3)+(AY11*4)+(AZ11*5)+(BB11*3)+(BA11*2)+(BG11*2)+(BC11*2)+(BD11*2))</f>
        <v>0</v>
      </c>
      <c r="CW11" s="17">
        <f>SUM((AN22*1)+(AM22*2)+(AO22*3)+(AP22*4)+(AT22*5)+(AU22*7)+(AV22*7)+(AW22*7)+(AX22*4)+(AY22*3)+(AZ22*2)+(BA22*4)+(BB22*1)+(BG22*2)+(BC22*5)+(BD22*1))</f>
        <v>0</v>
      </c>
    </row>
    <row r="12" spans="1:101" ht="17.25" customHeight="1">
      <c r="B12" s="238"/>
      <c r="C12" s="238"/>
      <c r="D12" s="31" t="s">
        <v>104</v>
      </c>
      <c r="E12" s="208" t="s">
        <v>514</v>
      </c>
      <c r="F12" s="236" t="s">
        <v>527</v>
      </c>
      <c r="G12" s="207" t="s">
        <v>528</v>
      </c>
      <c r="H12" s="209" t="s">
        <v>105</v>
      </c>
      <c r="I12" s="210" t="s">
        <v>515</v>
      </c>
      <c r="J12" s="211" t="s">
        <v>106</v>
      </c>
      <c r="K12" s="210" t="s">
        <v>516</v>
      </c>
      <c r="L12" s="212" t="s">
        <v>107</v>
      </c>
      <c r="M12" s="210" t="s">
        <v>517</v>
      </c>
      <c r="N12" s="213" t="s">
        <v>483</v>
      </c>
      <c r="O12" s="210" t="s">
        <v>518</v>
      </c>
      <c r="P12" s="214" t="s">
        <v>484</v>
      </c>
      <c r="Q12" s="207" t="s">
        <v>526</v>
      </c>
      <c r="R12" s="216" t="s">
        <v>485</v>
      </c>
      <c r="S12" s="207" t="s">
        <v>525</v>
      </c>
      <c r="T12" s="217" t="s">
        <v>489</v>
      </c>
      <c r="U12" s="207" t="s">
        <v>510</v>
      </c>
      <c r="V12" s="218" t="s">
        <v>490</v>
      </c>
      <c r="W12" s="207" t="s">
        <v>511</v>
      </c>
      <c r="X12" s="219" t="s">
        <v>491</v>
      </c>
      <c r="Y12" s="207" t="s">
        <v>512</v>
      </c>
      <c r="Z12" s="220" t="s">
        <v>492</v>
      </c>
      <c r="AA12" s="207" t="s">
        <v>513</v>
      </c>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row>
    <row r="13" spans="1:101" ht="12.75" customHeight="1" thickBot="1">
      <c r="B13" s="238" t="s">
        <v>541</v>
      </c>
      <c r="C13" s="238"/>
      <c r="D13"/>
      <c r="E13" s="43"/>
      <c r="F13" s="43"/>
      <c r="G13" s="43"/>
      <c r="H13" s="43"/>
      <c r="I13" s="43"/>
      <c r="J13" s="43"/>
      <c r="K13" s="43"/>
      <c r="L13" s="43"/>
      <c r="M13" s="43"/>
      <c r="N13" s="43"/>
      <c r="O13" s="43"/>
      <c r="P13" s="43"/>
      <c r="Q13" s="43"/>
      <c r="R13" s="43"/>
      <c r="S13" s="43"/>
      <c r="T13" s="43"/>
      <c r="U13" s="43"/>
      <c r="V13" s="43"/>
      <c r="W13" s="43"/>
      <c r="X13" s="43"/>
      <c r="Y13" s="43"/>
      <c r="Z13" s="43"/>
      <c r="AA13" s="43"/>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row>
    <row r="14" spans="1:101" ht="17.25" customHeight="1">
      <c r="B14" s="38"/>
      <c r="C14" s="38"/>
      <c r="D14" s="234" t="s">
        <v>529</v>
      </c>
      <c r="E14" s="221" t="s">
        <v>530</v>
      </c>
      <c r="F14" s="222" t="s">
        <v>35</v>
      </c>
      <c r="G14" s="210" t="s">
        <v>519</v>
      </c>
      <c r="H14" s="223" t="s">
        <v>108</v>
      </c>
      <c r="I14" s="43" t="s">
        <v>520</v>
      </c>
      <c r="J14" s="224" t="s">
        <v>109</v>
      </c>
      <c r="K14" s="207" t="s">
        <v>521</v>
      </c>
      <c r="L14" s="225" t="s">
        <v>486</v>
      </c>
      <c r="M14" s="207" t="s">
        <v>522</v>
      </c>
      <c r="N14" s="226" t="s">
        <v>487</v>
      </c>
      <c r="O14" s="207" t="s">
        <v>523</v>
      </c>
      <c r="P14" s="227" t="s">
        <v>488</v>
      </c>
      <c r="Q14" s="228" t="s">
        <v>524</v>
      </c>
      <c r="R14" s="233" t="s">
        <v>507</v>
      </c>
      <c r="S14" s="207" t="s">
        <v>508</v>
      </c>
      <c r="T14" s="229" t="s">
        <v>496</v>
      </c>
      <c r="U14" s="207" t="s">
        <v>499</v>
      </c>
      <c r="V14" s="230" t="s">
        <v>497</v>
      </c>
      <c r="W14" s="207" t="s">
        <v>500</v>
      </c>
      <c r="X14" s="231" t="s">
        <v>498</v>
      </c>
      <c r="Y14" s="207" t="s">
        <v>501</v>
      </c>
      <c r="Z14" s="235" t="s">
        <v>531</v>
      </c>
      <c r="AA14" s="43" t="s">
        <v>630</v>
      </c>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101" ht="10.5" customHeight="1">
      <c r="B15" s="38"/>
      <c r="C15" s="38"/>
      <c r="D15" s="38"/>
      <c r="E15" s="38"/>
      <c r="F15" s="38"/>
      <c r="G15" s="38"/>
      <c r="H15" s="38"/>
      <c r="I15" s="38"/>
      <c r="J15" s="38"/>
      <c r="K15" s="38"/>
      <c r="L15" s="38"/>
      <c r="M15" s="38"/>
      <c r="N15" s="38"/>
      <c r="O15" s="38"/>
      <c r="P15" s="38"/>
      <c r="Q15" s="38"/>
      <c r="R15" s="38"/>
      <c r="S15" s="38"/>
      <c r="T15" s="38"/>
      <c r="U15" s="38"/>
      <c r="V15" s="38"/>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101" ht="13.5" customHeight="1">
      <c r="B16" s="38"/>
      <c r="C16" s="38"/>
      <c r="D16" s="334" t="s">
        <v>604</v>
      </c>
      <c r="E16" s="335" t="s">
        <v>610</v>
      </c>
      <c r="F16" s="375"/>
      <c r="G16" s="375"/>
      <c r="H16" s="344" t="s">
        <v>620</v>
      </c>
      <c r="I16" s="656" t="s">
        <v>621</v>
      </c>
      <c r="J16" s="658"/>
      <c r="K16" s="374"/>
      <c r="L16" s="394" t="s">
        <v>627</v>
      </c>
      <c r="M16" s="656" t="s">
        <v>628</v>
      </c>
      <c r="N16" s="658"/>
      <c r="O16" s="418" t="s">
        <v>631</v>
      </c>
      <c r="P16" s="656" t="s">
        <v>632</v>
      </c>
      <c r="Q16" s="658"/>
      <c r="R16" s="38"/>
      <c r="S16" s="445" t="s">
        <v>634</v>
      </c>
      <c r="T16" s="43" t="s">
        <v>633</v>
      </c>
      <c r="U16" s="458" t="s">
        <v>637</v>
      </c>
      <c r="V16" s="357" t="s">
        <v>638</v>
      </c>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2:104" ht="6" customHeight="1"/>
    <row r="18" spans="2:104" ht="6" customHeight="1"/>
    <row r="19" spans="2:104" ht="16.5" customHeight="1" thickBot="1">
      <c r="B19" s="695" t="s">
        <v>506</v>
      </c>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719" t="s">
        <v>110</v>
      </c>
      <c r="AI19" s="719"/>
      <c r="AJ19" s="719"/>
      <c r="AK19" s="719"/>
      <c r="AL19" s="719"/>
      <c r="AM19" s="719"/>
      <c r="AN19" s="719"/>
      <c r="AO19" s="719"/>
      <c r="AP19" s="719"/>
      <c r="AQ19" s="99"/>
      <c r="AR19" s="99"/>
      <c r="AS19" s="99"/>
      <c r="AT19" s="99"/>
      <c r="AU19" s="99"/>
      <c r="AV19" s="99"/>
      <c r="AW19" s="99"/>
      <c r="AX19" s="99"/>
      <c r="AY19" s="99"/>
      <c r="AZ19" s="99"/>
      <c r="BA19" s="416"/>
      <c r="BB19" s="343"/>
      <c r="BC19" s="333"/>
      <c r="BD19" s="416"/>
      <c r="BE19" s="455"/>
      <c r="BF19" s="457"/>
      <c r="BG19" s="108"/>
      <c r="BH19" s="240"/>
      <c r="BI19" s="108"/>
      <c r="BJ19" s="108"/>
      <c r="BK19" s="196"/>
      <c r="BL19" s="452"/>
      <c r="BM19" s="85"/>
      <c r="BN19" s="247"/>
      <c r="BO19" s="247"/>
      <c r="BP19" s="247"/>
      <c r="BQ19" s="247"/>
      <c r="BR19" s="247"/>
      <c r="BS19" s="247"/>
      <c r="BT19" s="247"/>
      <c r="BU19" s="247"/>
      <c r="BV19" s="247"/>
      <c r="BW19" s="247"/>
      <c r="BX19" s="247"/>
      <c r="BY19" s="247"/>
      <c r="BZ19" s="247"/>
      <c r="CA19" s="247" t="s">
        <v>575</v>
      </c>
      <c r="CB19" s="247"/>
      <c r="CC19" s="247"/>
      <c r="CD19" s="247"/>
      <c r="CE19" s="247"/>
      <c r="CF19" s="247"/>
      <c r="CG19" s="247"/>
      <c r="CH19" s="247"/>
      <c r="CI19" s="247"/>
      <c r="CJ19" s="247"/>
      <c r="CK19" s="247"/>
      <c r="CL19" s="247"/>
      <c r="CM19" s="247"/>
      <c r="CN19" s="247"/>
      <c r="CO19" s="247"/>
      <c r="CP19" s="247"/>
      <c r="CQ19" s="247"/>
      <c r="CR19" s="247"/>
      <c r="CS19" s="247"/>
      <c r="CT19" s="247"/>
      <c r="CU19" s="247"/>
      <c r="CV19" s="247"/>
      <c r="CW19" s="36"/>
      <c r="CX19" s="36"/>
      <c r="CY19" s="36"/>
      <c r="CZ19" s="36"/>
    </row>
    <row r="20" spans="2:104" ht="15.75" thickTop="1" thickBot="1">
      <c r="B20" s="696"/>
      <c r="C20" s="696"/>
      <c r="D20" s="696"/>
      <c r="E20" s="696"/>
      <c r="F20" s="696"/>
      <c r="G20" s="696"/>
      <c r="H20" s="696"/>
      <c r="I20" s="696"/>
      <c r="J20" s="696"/>
      <c r="K20" s="696"/>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195" t="s">
        <v>104</v>
      </c>
      <c r="AI20" s="236" t="s">
        <v>527</v>
      </c>
      <c r="AJ20" s="70" t="s">
        <v>105</v>
      </c>
      <c r="AK20" s="272" t="s">
        <v>106</v>
      </c>
      <c r="AL20" s="79" t="s">
        <v>107</v>
      </c>
      <c r="AM20" s="80" t="s">
        <v>35</v>
      </c>
      <c r="AN20" s="234" t="s">
        <v>529</v>
      </c>
      <c r="AO20" s="273" t="s">
        <v>108</v>
      </c>
      <c r="AP20" s="78" t="s">
        <v>109</v>
      </c>
      <c r="AQ20" s="274" t="s">
        <v>483</v>
      </c>
      <c r="AR20" s="100" t="s">
        <v>484</v>
      </c>
      <c r="AS20" s="101" t="s">
        <v>485</v>
      </c>
      <c r="AT20" s="102" t="s">
        <v>486</v>
      </c>
      <c r="AU20" s="275" t="s">
        <v>487</v>
      </c>
      <c r="AV20" s="276" t="s">
        <v>489</v>
      </c>
      <c r="AW20" s="103" t="s">
        <v>488</v>
      </c>
      <c r="AX20" s="277" t="s">
        <v>490</v>
      </c>
      <c r="AY20" s="104" t="s">
        <v>491</v>
      </c>
      <c r="AZ20" s="278" t="s">
        <v>492</v>
      </c>
      <c r="BA20" s="337" t="s">
        <v>604</v>
      </c>
      <c r="BB20" s="347" t="s">
        <v>620</v>
      </c>
      <c r="BC20" s="396" t="s">
        <v>627</v>
      </c>
      <c r="BD20" s="425" t="s">
        <v>631</v>
      </c>
      <c r="BE20" s="460" t="s">
        <v>637</v>
      </c>
      <c r="BF20" s="468" t="s">
        <v>639</v>
      </c>
      <c r="BG20" s="199" t="s">
        <v>507</v>
      </c>
      <c r="BH20" s="235" t="s">
        <v>531</v>
      </c>
      <c r="BI20" s="134" t="s">
        <v>496</v>
      </c>
      <c r="BJ20" s="136" t="s">
        <v>497</v>
      </c>
      <c r="BK20" s="451" t="s">
        <v>498</v>
      </c>
      <c r="BL20" s="448" t="s">
        <v>634</v>
      </c>
      <c r="BM20" s="301" t="s">
        <v>544</v>
      </c>
      <c r="BN20" s="302" t="s">
        <v>545</v>
      </c>
      <c r="BO20" s="302" t="s">
        <v>546</v>
      </c>
      <c r="BP20" s="302" t="s">
        <v>542</v>
      </c>
      <c r="BQ20" s="302" t="s">
        <v>543</v>
      </c>
      <c r="BR20" s="302" t="s">
        <v>547</v>
      </c>
      <c r="BS20" s="302" t="s">
        <v>548</v>
      </c>
      <c r="BT20" s="302" t="s">
        <v>549</v>
      </c>
      <c r="BU20" s="302" t="s">
        <v>550</v>
      </c>
      <c r="BV20" s="302" t="s">
        <v>551</v>
      </c>
      <c r="BW20" s="302" t="s">
        <v>552</v>
      </c>
      <c r="BX20" s="302" t="s">
        <v>553</v>
      </c>
      <c r="BY20" s="302" t="s">
        <v>574</v>
      </c>
      <c r="BZ20" s="303" t="s">
        <v>554</v>
      </c>
      <c r="CA20" s="302" t="s">
        <v>555</v>
      </c>
      <c r="CB20" s="303" t="s">
        <v>556</v>
      </c>
      <c r="CC20" s="302" t="s">
        <v>558</v>
      </c>
      <c r="CD20" s="303" t="s">
        <v>557</v>
      </c>
      <c r="CE20" s="302" t="s">
        <v>559</v>
      </c>
      <c r="CF20" s="303" t="s">
        <v>560</v>
      </c>
      <c r="CG20" s="302" t="s">
        <v>561</v>
      </c>
      <c r="CH20" s="303" t="s">
        <v>562</v>
      </c>
      <c r="CI20" s="302" t="s">
        <v>563</v>
      </c>
      <c r="CJ20" s="303" t="s">
        <v>564</v>
      </c>
      <c r="CK20" s="302" t="s">
        <v>565</v>
      </c>
      <c r="CL20" s="305" t="s">
        <v>566</v>
      </c>
      <c r="CM20" s="306" t="s">
        <v>567</v>
      </c>
      <c r="CN20" s="304" t="s">
        <v>568</v>
      </c>
      <c r="CO20" s="302" t="s">
        <v>569</v>
      </c>
      <c r="CP20" s="303" t="s">
        <v>570</v>
      </c>
      <c r="CQ20" s="302" t="s">
        <v>571</v>
      </c>
      <c r="CR20" s="303" t="s">
        <v>572</v>
      </c>
      <c r="CS20" s="305" t="s">
        <v>573</v>
      </c>
      <c r="CT20" s="497">
        <v>6.2</v>
      </c>
      <c r="CU20" s="388" t="s">
        <v>611</v>
      </c>
      <c r="CV20" s="166" t="s">
        <v>482</v>
      </c>
      <c r="CW20" s="166" t="s">
        <v>481</v>
      </c>
      <c r="CX20" s="263" t="s">
        <v>540</v>
      </c>
      <c r="CY20" s="168" t="s">
        <v>502</v>
      </c>
    </row>
    <row r="21" spans="2:104" ht="15" thickTop="1">
      <c r="B21" s="708" t="s">
        <v>50</v>
      </c>
      <c r="C21" s="64">
        <v>1</v>
      </c>
      <c r="D21" s="64">
        <v>2</v>
      </c>
      <c r="E21" s="64">
        <v>3</v>
      </c>
      <c r="F21" s="64">
        <v>4</v>
      </c>
      <c r="G21" s="64">
        <v>5</v>
      </c>
      <c r="H21" s="64">
        <v>6</v>
      </c>
      <c r="I21" s="64">
        <v>7</v>
      </c>
      <c r="J21" s="64">
        <v>8</v>
      </c>
      <c r="K21" s="64">
        <v>9</v>
      </c>
      <c r="L21" s="64">
        <v>10</v>
      </c>
      <c r="M21" s="64">
        <v>11</v>
      </c>
      <c r="N21" s="64">
        <v>12</v>
      </c>
      <c r="O21" s="64">
        <v>13</v>
      </c>
      <c r="P21" s="64">
        <v>14</v>
      </c>
      <c r="Q21" s="64">
        <v>15</v>
      </c>
      <c r="R21" s="64">
        <v>16</v>
      </c>
      <c r="S21" s="64">
        <v>17</v>
      </c>
      <c r="T21" s="64">
        <v>18</v>
      </c>
      <c r="U21" s="64">
        <v>19</v>
      </c>
      <c r="V21" s="64">
        <v>20</v>
      </c>
      <c r="W21" s="64">
        <v>21</v>
      </c>
      <c r="X21" s="64">
        <v>22</v>
      </c>
      <c r="Y21" s="64">
        <v>23</v>
      </c>
      <c r="Z21" s="64">
        <v>24</v>
      </c>
      <c r="AA21" s="64">
        <v>25</v>
      </c>
      <c r="AB21" s="64">
        <v>26</v>
      </c>
      <c r="AC21" s="64">
        <v>27</v>
      </c>
      <c r="AD21" s="64">
        <v>28</v>
      </c>
      <c r="AE21" s="64">
        <v>29</v>
      </c>
      <c r="AF21" s="64">
        <v>30</v>
      </c>
      <c r="AG21" s="491">
        <v>31</v>
      </c>
      <c r="AH21" s="709">
        <f>COUNTIF($C22:$AG22,Code1)</f>
        <v>0</v>
      </c>
      <c r="AI21" s="679">
        <f>COUNTIF($C22:$AG22,code22)</f>
        <v>0</v>
      </c>
      <c r="AJ21" s="680">
        <f>COUNTIF($C22:$AG22,Code2)</f>
        <v>0</v>
      </c>
      <c r="AK21" s="718">
        <f>COUNTIF($C22:$AG22,Code3)</f>
        <v>0</v>
      </c>
      <c r="AL21" s="680">
        <f>COUNTIF($C22:$AG22,Code4)</f>
        <v>0</v>
      </c>
      <c r="AM21" s="680">
        <f>COUNTIF($C22:$AG22,Code5)</f>
        <v>0</v>
      </c>
      <c r="AN21" s="680">
        <f>COUNTIF($C22:$AG22,Code23)</f>
        <v>0</v>
      </c>
      <c r="AO21" s="662">
        <f>COUNTIF($C22:$AG22,Code6)</f>
        <v>0</v>
      </c>
      <c r="AP21" s="680">
        <f>COUNTIF($C22:$AG22,Code7)</f>
        <v>0</v>
      </c>
      <c r="AQ21" s="662">
        <f>COUNTIF($C22:$AG22,Code8)</f>
        <v>0</v>
      </c>
      <c r="AR21" s="668">
        <f>COUNTIF($C22:$AG22,Code9)</f>
        <v>0</v>
      </c>
      <c r="AS21" s="668">
        <f>COUNTIF($C22:$AG22,Code10)</f>
        <v>0</v>
      </c>
      <c r="AT21" s="668">
        <f>COUNTIF($C22:$AG22,Code11)</f>
        <v>0</v>
      </c>
      <c r="AU21" s="662">
        <f>COUNTIF($C22:$AG22,Code12)</f>
        <v>0</v>
      </c>
      <c r="AV21" s="662">
        <f>COUNTIF($C22:$AG22,Code13)</f>
        <v>0</v>
      </c>
      <c r="AW21" s="668">
        <f>COUNTIF($C22:$AG22,Code14)</f>
        <v>0</v>
      </c>
      <c r="AX21" s="662">
        <f>COUNTIF($C22:$AG22,Code15)</f>
        <v>0</v>
      </c>
      <c r="AY21" s="668">
        <f>COUNTIF($C22:$AG22,Code16)</f>
        <v>0</v>
      </c>
      <c r="AZ21" s="662">
        <f>COUNTIF($C22:$AG22,Code17)</f>
        <v>0</v>
      </c>
      <c r="BA21" s="662">
        <f>COUNTIF($C22:$AG22,Code25)</f>
        <v>0</v>
      </c>
      <c r="BB21" s="662">
        <f>COUNTIF($C22:$AG22,Code26)</f>
        <v>0</v>
      </c>
      <c r="BC21" s="662">
        <f>COUNTIF($C22:$AG22,Code27)</f>
        <v>0</v>
      </c>
      <c r="BD21" s="662">
        <f>COUNTIF($C22:$AG22,Code28)</f>
        <v>0</v>
      </c>
      <c r="BE21" s="662">
        <f>COUNTIF($C22:$AG22,code30)</f>
        <v>0</v>
      </c>
      <c r="BF21" s="662">
        <f>COUNTIF($C22:$AG22,Code31)</f>
        <v>0</v>
      </c>
      <c r="BG21" s="668">
        <f>COUNTIF($C22:$AG22,code21)</f>
        <v>0</v>
      </c>
      <c r="BH21" s="662">
        <f>COUNTIF($C22:$AG22,Code24)</f>
        <v>0</v>
      </c>
      <c r="BI21" s="668">
        <f>COUNTIF($C22:$AG22,code18)</f>
        <v>0</v>
      </c>
      <c r="BJ21" s="668">
        <f>COUNTIF($C22:$AG22,code19)</f>
        <v>0</v>
      </c>
      <c r="BK21" s="681">
        <f>COUNTIF($C22:$AG22,code20)</f>
        <v>0</v>
      </c>
      <c r="BL21" s="720">
        <f>COUNTIF($C22:$AG22,code29)</f>
        <v>0</v>
      </c>
      <c r="BM21" s="665">
        <f>COUNTIF(A11:A154,BM11-BM154)</f>
        <v>0</v>
      </c>
      <c r="BN21" s="665" t="str">
        <f>IFERROR(VLOOKUP(RechercheÉtudiant1,ParicipationAoût1,1.1,FALSE),"")</f>
        <v/>
      </c>
      <c r="BO21" s="665" t="str">
        <f>IFERROR(VLOOKUP(RechercheÉtudiant1,ParicipationAoût1,1.1,FALSE),"")</f>
        <v/>
      </c>
      <c r="BP21" s="665" t="str">
        <f>IFERROR(VLOOKUP(RechercheÉtudiant1,ParicipationAoût1,1.1,FALSE),"")</f>
        <v/>
      </c>
      <c r="BQ21" s="665" t="str">
        <f>IFERROR(VLOOKUP(RechercheÉtudiant1,ParicipationAoût1,1.1,FALSE),"")</f>
        <v/>
      </c>
      <c r="BR21" s="665" t="str">
        <f>IFERROR(VLOOKUP(RechercheÉtudiant1,ParicipationAoût1,1.1,FALSE),"")</f>
        <v/>
      </c>
      <c r="BS21" s="665" t="str">
        <f>IFERROR(VLOOKUP(RechercheÉtudiant1,ParicipationAoût1,1.1,FALSE),"")</f>
        <v/>
      </c>
      <c r="BT21" s="665" t="str">
        <f>IFERROR(VLOOKUP(RechercheÉtudiant1,ParicipationAoût1,1.1,FALSE),"")</f>
        <v/>
      </c>
      <c r="BU21" s="665" t="str">
        <f>IFERROR(VLOOKUP(RechercheÉtudiant1,ParicipationAoût1,1.1,FALSE),"")</f>
        <v/>
      </c>
      <c r="BV21" s="665" t="str">
        <f>IFERROR(VLOOKUP(RechercheÉtudiant1,ParicipationAoût1,1.1,FALSE),"")</f>
        <v/>
      </c>
      <c r="BW21" s="665" t="str">
        <f>IFERROR(VLOOKUP(RechercheÉtudiant1,ParicipationAoût1,1.1,FALSE),"")</f>
        <v/>
      </c>
      <c r="BX21" s="665" t="str">
        <f>IFERROR(VLOOKUP(RechercheÉtudiant1,ParicipationAoût1,1.1,FALSE),"")</f>
        <v/>
      </c>
      <c r="BY21" s="665" t="str">
        <f>IFERROR(VLOOKUP(RechercheÉtudiant1,ParicipationAoût1,1.1,FALSE),"")</f>
        <v/>
      </c>
      <c r="BZ21" s="665" t="str">
        <f>IFERROR(VLOOKUP(RechercheÉtudiant1,ParicipationAoût1,1.1,FALSE),"")</f>
        <v/>
      </c>
      <c r="CA21" s="665" t="str">
        <f>IFERROR(VLOOKUP(RechercheÉtudiant1,ParicipationAoût1,1.1,FALSE),"")</f>
        <v/>
      </c>
      <c r="CB21" s="665" t="str">
        <f>IFERROR(VLOOKUP(RechercheÉtudiant1,ParicipationAoût1,1.1,FALSE),"")</f>
        <v/>
      </c>
      <c r="CC21" s="665" t="str">
        <f>IFERROR(VLOOKUP(RechercheÉtudiant1,ParicipationAoût1,1.1,FALSE),"")</f>
        <v/>
      </c>
      <c r="CD21" s="665" t="str">
        <f>IFERROR(VLOOKUP(RechercheÉtudiant1,ParicipationAoût1,1.1,FALSE),"")</f>
        <v/>
      </c>
      <c r="CE21" s="665" t="str">
        <f>IFERROR(VLOOKUP(RechercheÉtudiant1,ParicipationAoût1,1.1,FALSE),"")</f>
        <v/>
      </c>
      <c r="CF21" s="665" t="str">
        <f>IFERROR(VLOOKUP(RechercheÉtudiant1,ParicipationAoût1,1.1,FALSE),"")</f>
        <v/>
      </c>
      <c r="CG21" s="665" t="str">
        <f>IFERROR(VLOOKUP(RechercheÉtudiant1,ParicipationAoût1,1.1,FALSE),"")</f>
        <v/>
      </c>
      <c r="CH21" s="665" t="str">
        <f>IFERROR(VLOOKUP(RechercheÉtudiant1,ParicipationAoût1,1.1,FALSE),"")</f>
        <v/>
      </c>
      <c r="CI21" s="665" t="str">
        <f>IFERROR(VLOOKUP(RechercheÉtudiant1,ParicipationAoût1,1.1,FALSE),"")</f>
        <v/>
      </c>
      <c r="CJ21" s="665" t="str">
        <f>IFERROR(VLOOKUP(RechercheÉtudiant1,ParicipationAoût1,1.1,FALSE),"")</f>
        <v/>
      </c>
      <c r="CK21" s="665" t="str">
        <f>IFERROR(VLOOKUP(RechercheÉtudiant1,ParicipationAoût1,1.1,FALSE),"")</f>
        <v/>
      </c>
      <c r="CL21" s="665" t="str">
        <f>IFERROR(VLOOKUP(RechercheÉtudiant1,ParicipationAoût1,1.1,FALSE),"")</f>
        <v/>
      </c>
      <c r="CM21" s="665" t="str">
        <f>IFERROR(VLOOKUP(RechercheÉtudiant1,ParicipationAoût1,1.1,FALSE),"")</f>
        <v/>
      </c>
      <c r="CN21" s="665" t="str">
        <f>IFERROR(VLOOKUP(RechercheÉtudiant1,ParicipationAoût1,1.1,FALSE),"")</f>
        <v/>
      </c>
      <c r="CO21" s="665" t="str">
        <f>IFERROR(VLOOKUP(RechercheÉtudiant1,ParicipationAoût1,1.1,FALSE),"")</f>
        <v/>
      </c>
      <c r="CP21" s="665" t="str">
        <f>IFERROR(VLOOKUP(RechercheÉtudiant1,ParicipationAoût1,1.1,FALSE),"")</f>
        <v/>
      </c>
      <c r="CQ21" s="665" t="str">
        <f>IFERROR(VLOOKUP(RechercheÉtudiant1,ParicipationAoût1,1.1,FALSE),"")</f>
        <v/>
      </c>
      <c r="CR21" s="665" t="str">
        <f>IFERROR(VLOOKUP(RechercheÉtudiant1,ParicipationAoût1,1.1,FALSE),"")</f>
        <v/>
      </c>
      <c r="CS21" s="665" t="str">
        <f>IFERROR(VLOOKUP(RechercheÉtudiant1,ParicipationAoût1,1.1,FALSE),"")</f>
        <v/>
      </c>
      <c r="CT21" s="665" t="str">
        <f>IFERROR(VLOOKUP(RechercheÉtudiant1,ParicipationAoût1,1.1,FALSE),"")</f>
        <v/>
      </c>
      <c r="CU21" s="665" t="str">
        <f>IFERROR(VLOOKUP(RechercheÉtudiant1,ParicipationAoût1,1.1,FALSE),"")</f>
        <v/>
      </c>
      <c r="CV21" s="670">
        <f>SUM((AH21*1)+(AI21*1.5)+(AJ21*2)+(AK21*3)+(AP21*5)+(AQ21*6)+(AR21*7)+(AU21*2)+(AX21*3)+(AY21*4)+(AZ21*5)+(BB21*3)+(BA21*2)+(BG21*2)+(BC21*2)+(BD21*2)+(BE21*3)+(BF21*3))</f>
        <v>0</v>
      </c>
      <c r="CW21" s="683">
        <f>SUM((AM21*2)+(AN21*1)+(AO21*3)+(AP21*4)+(AT21*5)+(AU21*6)+(AV21*5)+(AW21*7)+(AX21*4)+(AY21*3)+(AZ21*2)+(BA21*4)+(BB21*1)+(BC21*5)+(BD21*1)+(BG21*2)+(BE21*2)+(BF21*3))</f>
        <v>0</v>
      </c>
      <c r="CX21" s="674">
        <f>BH21*1+BL21*3</f>
        <v>0</v>
      </c>
      <c r="CY21" s="672">
        <f>SUM((BI21*7)+(BJ21*10)+(BK21*12))</f>
        <v>0</v>
      </c>
    </row>
    <row r="22" spans="2:104" ht="15" thickBot="1">
      <c r="B22" s="705"/>
      <c r="C22" s="65" t="str">
        <f>IFERROR(VLOOKUP(RechercheÉtudiant1,ParticipationAoût1,3,FALSE),"")</f>
        <v/>
      </c>
      <c r="D22" s="65" t="str">
        <f>IFERROR(VLOOKUP(RechercheÉtudiant1,ParticipationAoût1,4,FALSE),"")</f>
        <v/>
      </c>
      <c r="E22" s="65" t="str">
        <f>IFERROR(VLOOKUP(RechercheÉtudiant1,ParticipationAoût1,5,FALSE),"")</f>
        <v/>
      </c>
      <c r="F22" s="65" t="str">
        <f>IFERROR(VLOOKUP(RechercheÉtudiant1,ParticipationAoût1,6,FALSE),"")</f>
        <v/>
      </c>
      <c r="G22" s="65" t="str">
        <f>IFERROR(VLOOKUP(RechercheÉtudiant1,ParticipationAoût1,7,FALSE),"")</f>
        <v/>
      </c>
      <c r="H22" s="65" t="str">
        <f>IFERROR(VLOOKUP(RechercheÉtudiant1,ParticipationAoût1,8,FALSE),"")</f>
        <v/>
      </c>
      <c r="I22" s="65" t="str">
        <f>IFERROR(VLOOKUP(RechercheÉtudiant1,ParticipationAoût1,9,FALSE),"")</f>
        <v/>
      </c>
      <c r="J22" s="65" t="str">
        <f>IFERROR(VLOOKUP(RechercheÉtudiant1,ParticipationAoût1,10,FALSE),"")</f>
        <v/>
      </c>
      <c r="K22" s="65" t="str">
        <f>IFERROR(VLOOKUP(RechercheÉtudiant1,ParticipationAoût1,11,FALSE),"")</f>
        <v/>
      </c>
      <c r="L22" s="65" t="str">
        <f>IFERROR(VLOOKUP(RechercheÉtudiant1,ParticipationAoût1,12,FALSE),"")</f>
        <v/>
      </c>
      <c r="M22" s="65" t="str">
        <f>IFERROR(VLOOKUP(RechercheÉtudiant1,ParticipationAoût1,13,FALSE),"")</f>
        <v/>
      </c>
      <c r="N22" s="65" t="str">
        <f>IFERROR(VLOOKUP(RechercheÉtudiant1,ParticipationAoût1,14,FALSE),"")</f>
        <v/>
      </c>
      <c r="O22" s="65" t="str">
        <f>IFERROR(VLOOKUP(RechercheÉtudiant1,ParticipationAoût1,15,FALSE),"")</f>
        <v/>
      </c>
      <c r="P22" s="65" t="str">
        <f>IFERROR(VLOOKUP(RechercheÉtudiant1,ParticipationAoût1,16,FALSE),"")</f>
        <v/>
      </c>
      <c r="Q22" s="65" t="str">
        <f>IFERROR(VLOOKUP(RechercheÉtudiant1,ParticipationAoût1,17,FALSE),"")</f>
        <v/>
      </c>
      <c r="R22" s="65" t="str">
        <f>IFERROR(VLOOKUP(RechercheÉtudiant1,ParticipationAoût1,18,FALSE),"")</f>
        <v/>
      </c>
      <c r="S22" s="65" t="str">
        <f>IFERROR(VLOOKUP(RechercheÉtudiant1,ParticipationAoût1,19,FALSE),"")</f>
        <v/>
      </c>
      <c r="T22" s="65" t="str">
        <f>IFERROR(VLOOKUP(RechercheÉtudiant1,ParticipationAoût1,20,FALSE),"")</f>
        <v/>
      </c>
      <c r="U22" s="65" t="str">
        <f>IFERROR(VLOOKUP(RechercheÉtudiant1,ParticipationAoût1,21,FALSE),"")</f>
        <v/>
      </c>
      <c r="V22" s="65" t="str">
        <f>IFERROR(VLOOKUP(RechercheÉtudiant1,ParticipationAoût1,22,FALSE),"")</f>
        <v/>
      </c>
      <c r="W22" s="65" t="str">
        <f>IFERROR(VLOOKUP(RechercheÉtudiant1,ParticipationAoût1,23,FALSE),"")</f>
        <v/>
      </c>
      <c r="X22" s="65" t="str">
        <f>IFERROR(VLOOKUP(RechercheÉtudiant1,ParticipationAoût1,24,FALSE),"")</f>
        <v/>
      </c>
      <c r="Y22" s="65" t="str">
        <f>IFERROR(VLOOKUP(RechercheÉtudiant1,ParticipationAoût1,25,FALSE),"")</f>
        <v/>
      </c>
      <c r="Z22" s="65" t="str">
        <f>IFERROR(VLOOKUP(RechercheÉtudiant1,ParticipationAoût1,26,FALSE),"")</f>
        <v/>
      </c>
      <c r="AA22" s="65" t="str">
        <f>IFERROR(VLOOKUP(RechercheÉtudiant1,ParticipationAoût1,27,FALSE),"")</f>
        <v/>
      </c>
      <c r="AB22" s="65" t="str">
        <f>IFERROR(VLOOKUP(RechercheÉtudiant1,ParticipationAoût1,28,FALSE),"")</f>
        <v/>
      </c>
      <c r="AC22" s="65" t="str">
        <f>IFERROR(VLOOKUP(RechercheÉtudiant1,ParticipationAoût1,29,FALSE),"")</f>
        <v/>
      </c>
      <c r="AD22" s="65" t="str">
        <f>IFERROR(VLOOKUP(RechercheÉtudiant1,ParticipationAoût1,30,FALSE),"")</f>
        <v/>
      </c>
      <c r="AE22" s="65" t="str">
        <f>IFERROR(VLOOKUP(RechercheÉtudiant1,ParticipationAoût1,31,FALSE),"")</f>
        <v/>
      </c>
      <c r="AF22" s="65" t="str">
        <f>IFERROR(VLOOKUP(RechercheÉtudiant1,ParticipationAoût1,32,FALSE),"")</f>
        <v/>
      </c>
      <c r="AG22" s="288" t="str">
        <f>IFERROR(VLOOKUP(RechercheÉtudiant1,ParticipationAoût1,33,FALSE),"")</f>
        <v/>
      </c>
      <c r="AH22" s="710"/>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c r="BE22" s="663"/>
      <c r="BF22" s="663"/>
      <c r="BG22" s="663"/>
      <c r="BH22" s="663"/>
      <c r="BI22" s="663"/>
      <c r="BJ22" s="663"/>
      <c r="BK22" s="682"/>
      <c r="BL22" s="721"/>
      <c r="BM22" s="666"/>
      <c r="BN22" s="666"/>
      <c r="BO22" s="666"/>
      <c r="BP22" s="666"/>
      <c r="BQ22" s="666"/>
      <c r="BR22" s="666"/>
      <c r="BS22" s="666"/>
      <c r="BT22" s="666"/>
      <c r="BU22" s="666"/>
      <c r="BV22" s="666"/>
      <c r="BW22" s="666"/>
      <c r="BX22" s="666"/>
      <c r="BY22" s="666"/>
      <c r="BZ22" s="666"/>
      <c r="CA22" s="666"/>
      <c r="CB22" s="666"/>
      <c r="CC22" s="666"/>
      <c r="CD22" s="666"/>
      <c r="CE22" s="666"/>
      <c r="CF22" s="666"/>
      <c r="CG22" s="666"/>
      <c r="CH22" s="666"/>
      <c r="CI22" s="666"/>
      <c r="CJ22" s="666"/>
      <c r="CK22" s="666"/>
      <c r="CL22" s="666"/>
      <c r="CM22" s="666"/>
      <c r="CN22" s="666"/>
      <c r="CO22" s="666"/>
      <c r="CP22" s="666"/>
      <c r="CQ22" s="666"/>
      <c r="CR22" s="666"/>
      <c r="CS22" s="666"/>
      <c r="CT22" s="666"/>
      <c r="CU22" s="666"/>
      <c r="CV22" s="671"/>
      <c r="CW22" s="684"/>
      <c r="CX22" s="675"/>
      <c r="CY22" s="673"/>
    </row>
    <row r="23" spans="2:104" ht="15" thickTop="1">
      <c r="B23" s="705" t="s">
        <v>51</v>
      </c>
      <c r="C23" s="66">
        <v>1</v>
      </c>
      <c r="D23" s="66">
        <v>2</v>
      </c>
      <c r="E23" s="66">
        <v>3</v>
      </c>
      <c r="F23" s="66">
        <v>4</v>
      </c>
      <c r="G23" s="66">
        <v>5</v>
      </c>
      <c r="H23" s="66">
        <v>6</v>
      </c>
      <c r="I23" s="66">
        <v>7</v>
      </c>
      <c r="J23" s="66">
        <v>8</v>
      </c>
      <c r="K23" s="66">
        <v>9</v>
      </c>
      <c r="L23" s="66">
        <v>10</v>
      </c>
      <c r="M23" s="66">
        <v>11</v>
      </c>
      <c r="N23" s="66">
        <v>12</v>
      </c>
      <c r="O23" s="66">
        <v>13</v>
      </c>
      <c r="P23" s="66">
        <v>14</v>
      </c>
      <c r="Q23" s="66">
        <v>15</v>
      </c>
      <c r="R23" s="66">
        <v>16</v>
      </c>
      <c r="S23" s="66">
        <v>17</v>
      </c>
      <c r="T23" s="66">
        <v>18</v>
      </c>
      <c r="U23" s="66">
        <v>19</v>
      </c>
      <c r="V23" s="66">
        <v>20</v>
      </c>
      <c r="W23" s="66">
        <v>21</v>
      </c>
      <c r="X23" s="66">
        <v>22</v>
      </c>
      <c r="Y23" s="66">
        <v>23</v>
      </c>
      <c r="Z23" s="66">
        <v>24</v>
      </c>
      <c r="AA23" s="66">
        <v>25</v>
      </c>
      <c r="AB23" s="66">
        <v>26</v>
      </c>
      <c r="AC23" s="66">
        <v>27</v>
      </c>
      <c r="AD23" s="66">
        <v>28</v>
      </c>
      <c r="AE23" s="66">
        <v>29</v>
      </c>
      <c r="AF23" s="66">
        <v>30</v>
      </c>
      <c r="AG23" s="279"/>
      <c r="AH23" s="706">
        <f>COUNTIF($C24:$AG24,Code1)</f>
        <v>0</v>
      </c>
      <c r="AI23" s="660">
        <f>COUNTIF($C24:$AG24,code22)</f>
        <v>0</v>
      </c>
      <c r="AJ23" s="660">
        <f>COUNTIF($C24:$AG24,Code2)</f>
        <v>0</v>
      </c>
      <c r="AK23" s="660">
        <f>COUNTIF($C24:$AG24,Code3)</f>
        <v>0</v>
      </c>
      <c r="AL23" s="660">
        <f>COUNTIF($C24:$AG24,Code4)</f>
        <v>0</v>
      </c>
      <c r="AM23" s="660">
        <f>COUNTIF($C24:$AG24,Code5)</f>
        <v>0</v>
      </c>
      <c r="AN23" s="660">
        <f>COUNTIF($C24:$AG24,Code23)</f>
        <v>0</v>
      </c>
      <c r="AO23" s="660">
        <f>COUNTIF($C24:$AG24,Code6)</f>
        <v>0</v>
      </c>
      <c r="AP23" s="660">
        <f>COUNTIF($C24:$AG24,Code7)</f>
        <v>0</v>
      </c>
      <c r="AQ23" s="660">
        <f>COUNTIF($C24:$AG24,Code8)</f>
        <v>0</v>
      </c>
      <c r="AR23" s="660">
        <f>COUNTIF($C24:$AG24,Code9)</f>
        <v>0</v>
      </c>
      <c r="AS23" s="660">
        <f>COUNTIF($C24:$AG24,Code10)</f>
        <v>0</v>
      </c>
      <c r="AT23" s="669">
        <f>COUNTIF($C24:$AG24,Code11)</f>
        <v>0</v>
      </c>
      <c r="AU23" s="660">
        <f>COUNTIF($C24:$AG24,Code12)</f>
        <v>0</v>
      </c>
      <c r="AV23" s="662">
        <f>COUNTIF($C24:$AG24,Code13)</f>
        <v>0</v>
      </c>
      <c r="AW23" s="660">
        <f>COUNTIF($C24:$AG24,Code14)</f>
        <v>0</v>
      </c>
      <c r="AX23" s="660">
        <f>COUNTIF($C24:$AG24,Code15)</f>
        <v>0</v>
      </c>
      <c r="AY23" s="660">
        <f>COUNTIF($C24:$AG24,Code16)</f>
        <v>0</v>
      </c>
      <c r="AZ23" s="660">
        <f>COUNTIF($C24:$AG24,Code17)</f>
        <v>0</v>
      </c>
      <c r="BA23" s="660">
        <f>COUNTIF($C24:$AG24,Code25)</f>
        <v>0</v>
      </c>
      <c r="BB23" s="660">
        <f>COUNTIF($C24:$AG24,Code26)</f>
        <v>0</v>
      </c>
      <c r="BC23" s="498">
        <f>COUNTIF($C24:$AG24,Code27)</f>
        <v>0</v>
      </c>
      <c r="BD23" s="660">
        <f>COUNTIF($C24:$AG24,Code28)</f>
        <v>0</v>
      </c>
      <c r="BE23" s="660">
        <f>COUNTIF($C24:$AG24,code30)</f>
        <v>0</v>
      </c>
      <c r="BF23" s="660">
        <f>COUNTIF($C24:$AG24,Code31)</f>
        <v>0</v>
      </c>
      <c r="BG23" s="660">
        <f>COUNTIF($C24:$AG24,code21)</f>
        <v>0</v>
      </c>
      <c r="BH23" s="660">
        <f>COUNTIF($C24:$AG24,Code24)</f>
        <v>0</v>
      </c>
      <c r="BI23" s="660">
        <f>COUNTIF($C24:$AG24,code18)</f>
        <v>0</v>
      </c>
      <c r="BJ23" s="660">
        <f>COUNTIF($C24:$AG24,code19)</f>
        <v>0</v>
      </c>
      <c r="BK23" s="662">
        <f>COUNTIF($C24:$AG24,code20)</f>
        <v>0</v>
      </c>
      <c r="BL23" s="722">
        <f>COUNTIF($C24:$AG24,code29)</f>
        <v>0</v>
      </c>
      <c r="BM23" s="665">
        <f>COUNTIF(A11:A156,BM11-BM156)</f>
        <v>0</v>
      </c>
      <c r="BN23" s="665">
        <f>Septembre!BN12</f>
        <v>0</v>
      </c>
      <c r="BO23" s="665">
        <f>Septembre!BO12</f>
        <v>0</v>
      </c>
      <c r="BP23" s="665">
        <f>Septembre!BP12</f>
        <v>0</v>
      </c>
      <c r="BQ23" s="665">
        <f>Septembre!BQ12</f>
        <v>0</v>
      </c>
      <c r="BR23" s="665">
        <f>Septembre!BR12</f>
        <v>0</v>
      </c>
      <c r="BS23" s="665">
        <f>Septembre!BS12</f>
        <v>0</v>
      </c>
      <c r="BT23" s="665">
        <f>Septembre!BT12</f>
        <v>0</v>
      </c>
      <c r="BU23" s="665">
        <f>Septembre!BU12</f>
        <v>0</v>
      </c>
      <c r="BV23" s="665">
        <f>Septembre!BV12</f>
        <v>0</v>
      </c>
      <c r="BW23" s="665">
        <f>Septembre!BW12</f>
        <v>0</v>
      </c>
      <c r="BX23" s="665">
        <f>Septembre!BX12</f>
        <v>0</v>
      </c>
      <c r="BY23" s="665">
        <f>Septembre!BY12</f>
        <v>0</v>
      </c>
      <c r="BZ23" s="665">
        <f>Septembre!BZ12</f>
        <v>0</v>
      </c>
      <c r="CA23" s="665">
        <f>Septembre!CA12</f>
        <v>0</v>
      </c>
      <c r="CB23" s="665">
        <f>Septembre!CB12</f>
        <v>0</v>
      </c>
      <c r="CC23" s="665">
        <f>Septembre!CC12</f>
        <v>0</v>
      </c>
      <c r="CD23" s="665">
        <f>Septembre!CD12</f>
        <v>0</v>
      </c>
      <c r="CE23" s="665">
        <f>Septembre!CE12</f>
        <v>0</v>
      </c>
      <c r="CF23" s="665">
        <f>Septembre!CF12</f>
        <v>0</v>
      </c>
      <c r="CG23" s="665">
        <f>Septembre!CG12</f>
        <v>0</v>
      </c>
      <c r="CH23" s="665">
        <f>Septembre!CH12</f>
        <v>0</v>
      </c>
      <c r="CI23" s="665">
        <f>Septembre!CI12</f>
        <v>0</v>
      </c>
      <c r="CJ23" s="665">
        <f>Septembre!CJ12</f>
        <v>0</v>
      </c>
      <c r="CK23" s="665">
        <f>Septembre!CK12</f>
        <v>0</v>
      </c>
      <c r="CL23" s="665">
        <f>Septembre!CL12</f>
        <v>0</v>
      </c>
      <c r="CM23" s="665">
        <f>Septembre!CM12</f>
        <v>0</v>
      </c>
      <c r="CN23" s="665">
        <f>Septembre!CN12</f>
        <v>0</v>
      </c>
      <c r="CO23" s="665">
        <f>Septembre!CO12</f>
        <v>0</v>
      </c>
      <c r="CP23" s="665">
        <f>Septembre!CP12</f>
        <v>0</v>
      </c>
      <c r="CQ23" s="665">
        <f ca="1">Septembre!CQ12</f>
        <v>0</v>
      </c>
      <c r="CR23" s="665">
        <f ca="1">Septembre!CR12</f>
        <v>0</v>
      </c>
      <c r="CS23" s="665">
        <f ca="1">Septembre!CS12</f>
        <v>0</v>
      </c>
      <c r="CT23" s="665">
        <f ca="1">Septembre!CT12</f>
        <v>0</v>
      </c>
      <c r="CU23" s="665">
        <f>Septembre!CU12</f>
        <v>0</v>
      </c>
      <c r="CV23" s="670">
        <f t="shared" ref="CV23" si="0">SUM((AH23*1)+(AI23*1.5)+(AJ23*2)+(AK23*3)+(AP23*5)+(AQ23*6)+(AR23*7)+(AU23*2)+(AX23*3)+(AY23*4)+(AZ23*5)+(BB23*3)+(BA23*2)+(BG23*2)+(BC23*2)+(BD23*2)+(BE23*3)+(BF23*3))</f>
        <v>0</v>
      </c>
      <c r="CW23" s="683">
        <f t="shared" ref="CW23" si="1">SUM((AM23*2)+(AN23*1)+(AO23*3)+(AP23*4)+(AT23*5)+(AU23*6)+(AV23*5)+(AW23*7)+(AX23*4)+(AY23*3)+(AZ23*2)+(BA23*4)+(BB23*1)+(BC23*5)+(BD23*1)+(BG23*2)+(BE23*2)+(BF23*3))</f>
        <v>0</v>
      </c>
      <c r="CX23" s="674">
        <f t="shared" ref="CX23" si="2">BH23*1+BL23*3</f>
        <v>0</v>
      </c>
      <c r="CY23" s="672">
        <f t="shared" ref="CY23" si="3">SUM((BI23*7)+(BJ23*10)+(BK23*12))</f>
        <v>0</v>
      </c>
    </row>
    <row r="24" spans="2:104" ht="15" thickBot="1">
      <c r="B24" s="705"/>
      <c r="C24" s="65" t="str">
        <f>IFERROR(VLOOKUP(RechercheÉtudiant1,PArticipationSeptembre1[],3,FALSE),"")</f>
        <v/>
      </c>
      <c r="D24" s="65" t="str">
        <f>IFERROR(VLOOKUP(RechercheÉtudiant1,PArticipationSeptembre1[],4,FALSE),"")</f>
        <v/>
      </c>
      <c r="E24" s="65" t="str">
        <f>IFERROR(VLOOKUP(RechercheÉtudiant1,PArticipationSeptembre1[],5,FALSE),"")</f>
        <v/>
      </c>
      <c r="F24" s="65" t="str">
        <f>IFERROR(VLOOKUP(RechercheÉtudiant1,PArticipationSeptembre1[],6,FALSE),"")</f>
        <v/>
      </c>
      <c r="G24" s="65" t="str">
        <f>IFERROR(VLOOKUP(RechercheÉtudiant1,PArticipationSeptembre1[],7,FALSE),"")</f>
        <v/>
      </c>
      <c r="H24" s="65" t="str">
        <f>IFERROR(VLOOKUP(RechercheÉtudiant1,PArticipationSeptembre1[],8,FALSE),"")</f>
        <v/>
      </c>
      <c r="I24" s="65" t="str">
        <f>IFERROR(VLOOKUP(RechercheÉtudiant1,PArticipationSeptembre1[],9,FALSE),"")</f>
        <v/>
      </c>
      <c r="J24" s="65" t="str">
        <f>IFERROR(VLOOKUP(RechercheÉtudiant1,PArticipationSeptembre1[],10,FALSE),"")</f>
        <v/>
      </c>
      <c r="K24" s="65" t="str">
        <f>IFERROR(VLOOKUP(RechercheÉtudiant1,PArticipationSeptembre1[],11,FALSE),"")</f>
        <v/>
      </c>
      <c r="L24" s="65" t="str">
        <f>IFERROR(VLOOKUP(RechercheÉtudiant1,PArticipationSeptembre1[],12,FALSE),"")</f>
        <v/>
      </c>
      <c r="M24" s="65" t="str">
        <f>IFERROR(VLOOKUP(RechercheÉtudiant1,PArticipationSeptembre1[],13,FALSE),"")</f>
        <v/>
      </c>
      <c r="N24" s="65" t="str">
        <f>IFERROR(VLOOKUP(RechercheÉtudiant1,PArticipationSeptembre1[],14,FALSE),"")</f>
        <v/>
      </c>
      <c r="O24" s="65" t="str">
        <f>IFERROR(VLOOKUP(RechercheÉtudiant1,PArticipationSeptembre1[],15,FALSE),"")</f>
        <v/>
      </c>
      <c r="P24" s="65" t="str">
        <f>IFERROR(VLOOKUP(RechercheÉtudiant1,PArticipationSeptembre1[],16,FALSE),"")</f>
        <v/>
      </c>
      <c r="Q24" s="65" t="str">
        <f>IFERROR(VLOOKUP(RechercheÉtudiant1,PArticipationSeptembre1[],17,FALSE),"")</f>
        <v/>
      </c>
      <c r="R24" s="65" t="str">
        <f>IFERROR(VLOOKUP(RechercheÉtudiant1,PArticipationSeptembre1[],18,FALSE),"")</f>
        <v/>
      </c>
      <c r="S24" s="65" t="str">
        <f>IFERROR(VLOOKUP(RechercheÉtudiant1,PArticipationSeptembre1[],19,FALSE),"")</f>
        <v/>
      </c>
      <c r="T24" s="65" t="str">
        <f>IFERROR(VLOOKUP(RechercheÉtudiant1,PArticipationSeptembre1[],20,FALSE),"")</f>
        <v/>
      </c>
      <c r="U24" s="65" t="str">
        <f>IFERROR(VLOOKUP(RechercheÉtudiant1,PArticipationSeptembre1[],21,FALSE),"")</f>
        <v/>
      </c>
      <c r="V24" s="65" t="str">
        <f>IFERROR(VLOOKUP(RechercheÉtudiant1,PArticipationSeptembre1[],22,FALSE),"")</f>
        <v/>
      </c>
      <c r="W24" s="65" t="str">
        <f>IFERROR(VLOOKUP(RechercheÉtudiant1,PArticipationSeptembre1[],23,FALSE),"")</f>
        <v/>
      </c>
      <c r="X24" s="65" t="str">
        <f>IFERROR(VLOOKUP(RechercheÉtudiant1,PArticipationSeptembre1[],24,FALSE),"")</f>
        <v/>
      </c>
      <c r="Y24" s="65" t="str">
        <f>IFERROR(VLOOKUP(RechercheÉtudiant1,PArticipationSeptembre1[],25,FALSE),"")</f>
        <v/>
      </c>
      <c r="Z24" s="65" t="str">
        <f>IFERROR(VLOOKUP(RechercheÉtudiant1,PArticipationSeptembre1[],26,FALSE),"")</f>
        <v/>
      </c>
      <c r="AA24" s="65" t="str">
        <f>IFERROR(VLOOKUP(RechercheÉtudiant1,PArticipationSeptembre1[],27,FALSE),"")</f>
        <v/>
      </c>
      <c r="AB24" s="65" t="str">
        <f>IFERROR(VLOOKUP(RechercheÉtudiant1,PArticipationSeptembre1[],28,FALSE),"")</f>
        <v/>
      </c>
      <c r="AC24" s="65" t="str">
        <f>IFERROR(VLOOKUP(RechercheÉtudiant1,PArticipationSeptembre1[],29,FALSE),"")</f>
        <v/>
      </c>
      <c r="AD24" s="65" t="str">
        <f>IFERROR(VLOOKUP(RechercheÉtudiant1,PArticipationSeptembre1[],30,FALSE),"")</f>
        <v/>
      </c>
      <c r="AE24" s="65" t="str">
        <f>IFERROR(VLOOKUP(RechercheÉtudiant1,PArticipationSeptembre1[],31,FALSE),"")</f>
        <v/>
      </c>
      <c r="AF24" s="65" t="str">
        <f>IFERROR(VLOOKUP(RechercheÉtudiant1,PArticipationSeptembre1[],32,FALSE),"")</f>
        <v/>
      </c>
      <c r="AG24" s="280" t="str">
        <f>IFERROR(VLOOKUP(RechercheÉtudiant1,PArticipationSeptembre1[],3,FALSE),"")</f>
        <v/>
      </c>
      <c r="AH24" s="707"/>
      <c r="AI24" s="663"/>
      <c r="AJ24" s="663"/>
      <c r="AK24" s="663"/>
      <c r="AL24" s="663"/>
      <c r="AM24" s="663"/>
      <c r="AN24" s="663"/>
      <c r="AO24" s="663"/>
      <c r="AP24" s="663"/>
      <c r="AQ24" s="663"/>
      <c r="AR24" s="663"/>
      <c r="AS24" s="663"/>
      <c r="AT24" s="663"/>
      <c r="AU24" s="663"/>
      <c r="AV24" s="663"/>
      <c r="AW24" s="664"/>
      <c r="AX24" s="664"/>
      <c r="AY24" s="664"/>
      <c r="AZ24" s="664"/>
      <c r="BA24" s="663"/>
      <c r="BB24" s="663"/>
      <c r="BC24" s="377"/>
      <c r="BD24" s="663"/>
      <c r="BE24" s="663"/>
      <c r="BF24" s="663"/>
      <c r="BG24" s="664"/>
      <c r="BH24" s="664"/>
      <c r="BI24" s="664"/>
      <c r="BJ24" s="664"/>
      <c r="BK24" s="664"/>
      <c r="BL24" s="721"/>
      <c r="BM24" s="666"/>
      <c r="BN24" s="666"/>
      <c r="BO24" s="666"/>
      <c r="BP24" s="666"/>
      <c r="BQ24" s="666"/>
      <c r="BR24" s="666"/>
      <c r="BS24" s="666"/>
      <c r="BT24" s="666"/>
      <c r="BU24" s="666"/>
      <c r="BV24" s="666"/>
      <c r="BW24" s="666"/>
      <c r="BX24" s="666"/>
      <c r="BY24" s="666"/>
      <c r="BZ24" s="666"/>
      <c r="CA24" s="666"/>
      <c r="CB24" s="666"/>
      <c r="CC24" s="666"/>
      <c r="CD24" s="666"/>
      <c r="CE24" s="666"/>
      <c r="CF24" s="666"/>
      <c r="CG24" s="666"/>
      <c r="CH24" s="666"/>
      <c r="CI24" s="666"/>
      <c r="CJ24" s="666"/>
      <c r="CK24" s="666"/>
      <c r="CL24" s="666"/>
      <c r="CM24" s="666"/>
      <c r="CN24" s="666"/>
      <c r="CO24" s="666"/>
      <c r="CP24" s="666"/>
      <c r="CQ24" s="666"/>
      <c r="CR24" s="666"/>
      <c r="CS24" s="666"/>
      <c r="CT24" s="666"/>
      <c r="CU24" s="666"/>
      <c r="CV24" s="671"/>
      <c r="CW24" s="684"/>
      <c r="CX24" s="676"/>
      <c r="CY24" s="673"/>
    </row>
    <row r="25" spans="2:104" ht="15" thickTop="1">
      <c r="B25" s="705" t="s">
        <v>52</v>
      </c>
      <c r="C25" s="66">
        <v>1</v>
      </c>
      <c r="D25" s="66">
        <v>2</v>
      </c>
      <c r="E25" s="66">
        <v>3</v>
      </c>
      <c r="F25" s="66">
        <v>4</v>
      </c>
      <c r="G25" s="66">
        <v>5</v>
      </c>
      <c r="H25" s="66">
        <v>6</v>
      </c>
      <c r="I25" s="66">
        <v>7</v>
      </c>
      <c r="J25" s="66">
        <v>8</v>
      </c>
      <c r="K25" s="66">
        <v>9</v>
      </c>
      <c r="L25" s="66">
        <v>10</v>
      </c>
      <c r="M25" s="66">
        <v>11</v>
      </c>
      <c r="N25" s="66">
        <v>12</v>
      </c>
      <c r="O25" s="66">
        <v>13</v>
      </c>
      <c r="P25" s="66">
        <v>14</v>
      </c>
      <c r="Q25" s="66">
        <v>15</v>
      </c>
      <c r="R25" s="66">
        <v>16</v>
      </c>
      <c r="S25" s="66">
        <v>17</v>
      </c>
      <c r="T25" s="66">
        <v>18</v>
      </c>
      <c r="U25" s="66">
        <v>19</v>
      </c>
      <c r="V25" s="66">
        <v>20</v>
      </c>
      <c r="W25" s="66">
        <v>21</v>
      </c>
      <c r="X25" s="66">
        <v>22</v>
      </c>
      <c r="Y25" s="66">
        <v>23</v>
      </c>
      <c r="Z25" s="66">
        <v>24</v>
      </c>
      <c r="AA25" s="66">
        <v>25</v>
      </c>
      <c r="AB25" s="66">
        <v>26</v>
      </c>
      <c r="AC25" s="66">
        <v>27</v>
      </c>
      <c r="AD25" s="66">
        <v>28</v>
      </c>
      <c r="AE25" s="66">
        <v>29</v>
      </c>
      <c r="AF25" s="66">
        <v>30</v>
      </c>
      <c r="AG25" s="279">
        <v>31</v>
      </c>
      <c r="AH25" s="706">
        <f>COUNTIF($C26:$AG26,Code1)</f>
        <v>0</v>
      </c>
      <c r="AI25" s="660">
        <f>COUNTIF($C26:$AG26,code22)</f>
        <v>0</v>
      </c>
      <c r="AJ25" s="660">
        <f>COUNTIF($C26:$AG26,Code2)</f>
        <v>0</v>
      </c>
      <c r="AK25" s="660">
        <f>COUNTIF($C26:$AG26,Code3)</f>
        <v>0</v>
      </c>
      <c r="AL25" s="660">
        <f>COUNTIF($C26:$AG26,Code4)</f>
        <v>0</v>
      </c>
      <c r="AM25" s="660">
        <f>COUNTIF($C26:$AG26,Code5)</f>
        <v>0</v>
      </c>
      <c r="AN25" s="660">
        <f>COUNTIF($C26:$AG26,Code23)</f>
        <v>0</v>
      </c>
      <c r="AO25" s="660">
        <f>COUNTIF($C26:$AG26,Code6)</f>
        <v>0</v>
      </c>
      <c r="AP25" s="660">
        <f>COUNTIF($C26:$AG26,Code7)</f>
        <v>0</v>
      </c>
      <c r="AQ25" s="660">
        <f>COUNTIF($C26:$AG26,Code8)</f>
        <v>0</v>
      </c>
      <c r="AR25" s="660">
        <f>COUNTIF($C26:$AG26,Code9)</f>
        <v>0</v>
      </c>
      <c r="AS25" s="660">
        <f>COUNTIF($C26:$AG26,Code10)</f>
        <v>0</v>
      </c>
      <c r="AT25" s="669">
        <f>COUNTIF($C26:$AG26,Code11)</f>
        <v>0</v>
      </c>
      <c r="AU25" s="660">
        <f>COUNTIF($C26:$AG26,Code12)</f>
        <v>0</v>
      </c>
      <c r="AV25" s="662">
        <f>COUNTIF($C26:$AG26,Code13)</f>
        <v>0</v>
      </c>
      <c r="AW25" s="662">
        <f>COUNTIF($C26:$AG26,Code14)</f>
        <v>0</v>
      </c>
      <c r="AX25" s="662">
        <f>COUNTIF($C26:$AG26,Code15)</f>
        <v>0</v>
      </c>
      <c r="AY25" s="662">
        <f>COUNTIF($C26:$AG26,Code16)</f>
        <v>0</v>
      </c>
      <c r="AZ25" s="662">
        <f>COUNTIF($C26:$AG26,Code17)</f>
        <v>0</v>
      </c>
      <c r="BA25" s="660">
        <f>COUNTIF($C26:$AG26,Code25)</f>
        <v>0</v>
      </c>
      <c r="BB25" s="660">
        <f>COUNTIF($C26:$AG26,Code26)</f>
        <v>0</v>
      </c>
      <c r="BC25" s="378">
        <f>COUNTIF($C26:$AG26,Code27)</f>
        <v>0</v>
      </c>
      <c r="BD25" s="660">
        <f>COUNTIF($C26:$AG26,Code28)</f>
        <v>0</v>
      </c>
      <c r="BE25" s="660">
        <f>COUNTIF($C26:$AG26,code30)</f>
        <v>0</v>
      </c>
      <c r="BF25" s="660">
        <f>COUNTIF($C26:$AG26,Code31)</f>
        <v>0</v>
      </c>
      <c r="BG25" s="662">
        <f>COUNTIF($C26:$AG26,code21)</f>
        <v>0</v>
      </c>
      <c r="BH25" s="662">
        <f>COUNTIF($C26:$AG26,Code24)</f>
        <v>0</v>
      </c>
      <c r="BI25" s="662">
        <f>COUNTIF($C26:$AG26,code18)</f>
        <v>0</v>
      </c>
      <c r="BJ25" s="662">
        <f>COUNTIF($C26:$AG26,code19)</f>
        <v>0</v>
      </c>
      <c r="BK25" s="662">
        <f>COUNTIF($C26:$AG26,code20)</f>
        <v>0</v>
      </c>
      <c r="BL25" s="722">
        <f>COUNTIF($C26:$AG26,code29)</f>
        <v>0</v>
      </c>
      <c r="BM25" s="665">
        <f>COUNTIF(A11:A158,BM11-BM158)</f>
        <v>0</v>
      </c>
      <c r="BN25" s="665">
        <f>Octobre!BN12</f>
        <v>0</v>
      </c>
      <c r="BO25" s="665">
        <f>Octobre!BO12</f>
        <v>0</v>
      </c>
      <c r="BP25" s="665">
        <f>Octobre!BP12</f>
        <v>0</v>
      </c>
      <c r="BQ25" s="665">
        <f>Octobre!BQ12</f>
        <v>0</v>
      </c>
      <c r="BR25" s="665">
        <f>Octobre!BR12</f>
        <v>0</v>
      </c>
      <c r="BS25" s="665">
        <f>Octobre!BS12</f>
        <v>0</v>
      </c>
      <c r="BT25" s="665">
        <f>Octobre!BT12</f>
        <v>0</v>
      </c>
      <c r="BU25" s="665">
        <f>Octobre!BU12</f>
        <v>0</v>
      </c>
      <c r="BV25" s="665">
        <f>Octobre!BV12</f>
        <v>0</v>
      </c>
      <c r="BW25" s="665">
        <f>Octobre!BW12</f>
        <v>0</v>
      </c>
      <c r="BX25" s="665">
        <f>Octobre!BX12</f>
        <v>0</v>
      </c>
      <c r="BY25" s="665">
        <f>Octobre!BY12</f>
        <v>0</v>
      </c>
      <c r="BZ25" s="665">
        <f>Octobre!BZ12</f>
        <v>0</v>
      </c>
      <c r="CA25" s="665">
        <f>Octobre!CA12</f>
        <v>0</v>
      </c>
      <c r="CB25" s="665">
        <f>Octobre!CB12</f>
        <v>0</v>
      </c>
      <c r="CC25" s="665">
        <f>Octobre!CC12</f>
        <v>0</v>
      </c>
      <c r="CD25" s="665">
        <f>Octobre!CD12</f>
        <v>0</v>
      </c>
      <c r="CE25" s="665">
        <f>Octobre!CE12</f>
        <v>0</v>
      </c>
      <c r="CF25" s="665">
        <f>Octobre!CF12</f>
        <v>0</v>
      </c>
      <c r="CG25" s="665">
        <f>Octobre!CG12</f>
        <v>0</v>
      </c>
      <c r="CH25" s="665">
        <f>Octobre!CH12</f>
        <v>0</v>
      </c>
      <c r="CI25" s="665">
        <f>Octobre!CI12</f>
        <v>0</v>
      </c>
      <c r="CJ25" s="665">
        <f>Octobre!CJ12</f>
        <v>0</v>
      </c>
      <c r="CK25" s="665">
        <f>Octobre!CK12</f>
        <v>0</v>
      </c>
      <c r="CL25" s="665">
        <f>Octobre!CL12</f>
        <v>0</v>
      </c>
      <c r="CM25" s="665">
        <f>Octobre!CM12</f>
        <v>0</v>
      </c>
      <c r="CN25" s="665">
        <f>Octobre!CN12</f>
        <v>0</v>
      </c>
      <c r="CO25" s="665">
        <f>Octobre!CO12</f>
        <v>0</v>
      </c>
      <c r="CP25" s="665">
        <f>Octobre!CP12</f>
        <v>0</v>
      </c>
      <c r="CQ25" s="665">
        <f>Octobre!CQ12</f>
        <v>0</v>
      </c>
      <c r="CR25" s="665">
        <f>Octobre!CR12</f>
        <v>0</v>
      </c>
      <c r="CS25" s="665">
        <f>Octobre!CS12</f>
        <v>0</v>
      </c>
      <c r="CT25" s="665">
        <f>Octobre!CT12</f>
        <v>0</v>
      </c>
      <c r="CU25" s="665">
        <f>Octobre!CU12</f>
        <v>0</v>
      </c>
      <c r="CV25" s="670">
        <f t="shared" ref="CV25" si="4">SUM((AH25*1)+(AI25*1.5)+(AJ25*2)+(AK25*3)+(AP25*5)+(AQ25*6)+(AR25*7)+(AU25*2)+(AX25*3)+(AY25*4)+(AZ25*5)+(BB25*3)+(BA25*2)+(BG25*2)+(BC25*2)+(BD25*2)+(BE25*3)+(BF25*3))</f>
        <v>0</v>
      </c>
      <c r="CW25" s="683">
        <f t="shared" ref="CW25" si="5">SUM((AM25*2)+(AN25*1)+(AO25*3)+(AP25*4)+(AT25*5)+(AU25*6)+(AV25*5)+(AW25*7)+(AX25*4)+(AY25*3)+(AZ25*2)+(BA25*4)+(BB25*1)+(BC25*5)+(BD25*1)+(BG25*2)+(BE25*2)+(BF25*3))</f>
        <v>0</v>
      </c>
      <c r="CX25" s="674">
        <f t="shared" ref="CX25" si="6">BH25*1+BL25*3</f>
        <v>0</v>
      </c>
      <c r="CY25" s="672">
        <f t="shared" ref="CY25" si="7">SUM((BI25*7)+(BJ25*10)+(BK25*12))</f>
        <v>0</v>
      </c>
    </row>
    <row r="26" spans="2:104" ht="15" thickBot="1">
      <c r="B26" s="705"/>
      <c r="C26" s="65" t="str">
        <f>IFERROR(VLOOKUP(RechercheÉtudiant1,ParticipationOctobre1[],3,FALSE),"")</f>
        <v/>
      </c>
      <c r="D26" s="65" t="str">
        <f>IFERROR(VLOOKUP(RechercheÉtudiant1,ParticipationOctobre1[],4,FALSE),"")</f>
        <v/>
      </c>
      <c r="E26" s="65" t="str">
        <f>IFERROR(VLOOKUP(RechercheÉtudiant1,ParticipationOctobre1[],5,FALSE),"")</f>
        <v/>
      </c>
      <c r="F26" s="65" t="str">
        <f>IFERROR(VLOOKUP(RechercheÉtudiant1,ParticipationOctobre1[],6,FALSE),"")</f>
        <v/>
      </c>
      <c r="G26" s="65" t="str">
        <f>IFERROR(VLOOKUP(RechercheÉtudiant1,ParticipationOctobre1[],7,FALSE),"")</f>
        <v/>
      </c>
      <c r="H26" s="65" t="str">
        <f>IFERROR(VLOOKUP(RechercheÉtudiant1,ParticipationOctobre1[],8,FALSE),"")</f>
        <v/>
      </c>
      <c r="I26" s="65" t="str">
        <f>IFERROR(VLOOKUP(RechercheÉtudiant1,ParticipationOctobre1[],9,FALSE),"")</f>
        <v/>
      </c>
      <c r="J26" s="65" t="str">
        <f>IFERROR(VLOOKUP(RechercheÉtudiant1,ParticipationOctobre1[],10,FALSE),"")</f>
        <v/>
      </c>
      <c r="K26" s="65" t="str">
        <f>IFERROR(VLOOKUP(RechercheÉtudiant1,ParticipationOctobre1[],11,FALSE),"")</f>
        <v/>
      </c>
      <c r="L26" s="65" t="str">
        <f>IFERROR(VLOOKUP(RechercheÉtudiant1,ParticipationOctobre1[],12,FALSE),"")</f>
        <v/>
      </c>
      <c r="M26" s="65" t="str">
        <f>IFERROR(VLOOKUP(RechercheÉtudiant1,ParticipationOctobre1[],13,FALSE),"")</f>
        <v/>
      </c>
      <c r="N26" s="65" t="str">
        <f>IFERROR(VLOOKUP(RechercheÉtudiant1,ParticipationOctobre1[],14,FALSE),"")</f>
        <v/>
      </c>
      <c r="O26" s="65" t="str">
        <f>IFERROR(VLOOKUP(RechercheÉtudiant1,ParticipationOctobre1[],15,FALSE),"")</f>
        <v/>
      </c>
      <c r="P26" s="65" t="str">
        <f>IFERROR(VLOOKUP(RechercheÉtudiant1,ParticipationOctobre1[],16,FALSE),"")</f>
        <v/>
      </c>
      <c r="Q26" s="65" t="str">
        <f>IFERROR(VLOOKUP(RechercheÉtudiant1,ParticipationOctobre1[],17,FALSE),"")</f>
        <v/>
      </c>
      <c r="R26" s="65" t="str">
        <f>IFERROR(VLOOKUP(RechercheÉtudiant1,ParticipationOctobre1[],18,FALSE),"")</f>
        <v/>
      </c>
      <c r="S26" s="65" t="str">
        <f>IFERROR(VLOOKUP(RechercheÉtudiant1,ParticipationOctobre1[],19,FALSE),"")</f>
        <v/>
      </c>
      <c r="T26" s="65" t="str">
        <f>IFERROR(VLOOKUP(RechercheÉtudiant1,ParticipationOctobre1[],20,FALSE),"")</f>
        <v/>
      </c>
      <c r="U26" s="65" t="str">
        <f>IFERROR(VLOOKUP(RechercheÉtudiant1,ParticipationOctobre1[],21,FALSE),"")</f>
        <v/>
      </c>
      <c r="V26" s="65" t="str">
        <f>IFERROR(VLOOKUP(RechercheÉtudiant1,ParticipationOctobre1[],22,FALSE),"")</f>
        <v/>
      </c>
      <c r="W26" s="65" t="str">
        <f>IFERROR(VLOOKUP(RechercheÉtudiant1,ParticipationOctobre1[],23,FALSE),"")</f>
        <v/>
      </c>
      <c r="X26" s="65" t="str">
        <f>IFERROR(VLOOKUP(RechercheÉtudiant1,ParticipationOctobre1[],24,FALSE),"")</f>
        <v/>
      </c>
      <c r="Y26" s="65" t="str">
        <f>IFERROR(VLOOKUP(RechercheÉtudiant1,ParticipationOctobre1[],25,FALSE),"")</f>
        <v/>
      </c>
      <c r="Z26" s="65" t="str">
        <f>IFERROR(VLOOKUP(RechercheÉtudiant1,ParticipationOctobre1[],26,FALSE),"")</f>
        <v/>
      </c>
      <c r="AA26" s="65" t="str">
        <f>IFERROR(VLOOKUP(RechercheÉtudiant1,ParticipationOctobre1[],27,FALSE),"")</f>
        <v/>
      </c>
      <c r="AB26" s="65" t="str">
        <f>IFERROR(VLOOKUP(RechercheÉtudiant1,ParticipationOctobre1[],28,FALSE),"")</f>
        <v/>
      </c>
      <c r="AC26" s="65" t="str">
        <f>IFERROR(VLOOKUP(RechercheÉtudiant1,ParticipationOctobre1[],29,FALSE),"")</f>
        <v/>
      </c>
      <c r="AD26" s="65" t="str">
        <f>IFERROR(VLOOKUP(RechercheÉtudiant1,ParticipationOctobre1[],30,FALSE),"")</f>
        <v/>
      </c>
      <c r="AE26" s="65" t="str">
        <f>IFERROR(VLOOKUP(RechercheÉtudiant1,ParticipationOctobre1[],31,FALSE),"")</f>
        <v/>
      </c>
      <c r="AF26" s="65" t="str">
        <f>IFERROR(VLOOKUP(RechercheÉtudiant1,ParticipationOctobre1[],32,FALSE),"")</f>
        <v/>
      </c>
      <c r="AG26" s="280" t="str">
        <f>IFERROR(VLOOKUP(RechercheÉtudiant1,ParticipationOctobre1[],33,FALSE),"")</f>
        <v/>
      </c>
      <c r="AH26" s="707"/>
      <c r="AI26" s="663"/>
      <c r="AJ26" s="663"/>
      <c r="AK26" s="663"/>
      <c r="AL26" s="663"/>
      <c r="AM26" s="663"/>
      <c r="AN26" s="663"/>
      <c r="AO26" s="663"/>
      <c r="AP26" s="663"/>
      <c r="AQ26" s="663"/>
      <c r="AR26" s="663"/>
      <c r="AS26" s="664"/>
      <c r="AT26" s="664"/>
      <c r="AU26" s="664"/>
      <c r="AV26" s="663"/>
      <c r="AW26" s="664"/>
      <c r="AX26" s="664"/>
      <c r="AY26" s="664"/>
      <c r="AZ26" s="664"/>
      <c r="BA26" s="663"/>
      <c r="BB26" s="663"/>
      <c r="BC26" s="377"/>
      <c r="BD26" s="663"/>
      <c r="BE26" s="663"/>
      <c r="BF26" s="663"/>
      <c r="BG26" s="664"/>
      <c r="BH26" s="664"/>
      <c r="BI26" s="664"/>
      <c r="BJ26" s="664"/>
      <c r="BK26" s="664"/>
      <c r="BL26" s="721"/>
      <c r="BM26" s="666"/>
      <c r="BN26" s="666"/>
      <c r="BO26" s="666"/>
      <c r="BP26" s="666"/>
      <c r="BQ26" s="666"/>
      <c r="BR26" s="666"/>
      <c r="BS26" s="666"/>
      <c r="BT26" s="666"/>
      <c r="BU26" s="666"/>
      <c r="BV26" s="666"/>
      <c r="BW26" s="666"/>
      <c r="BX26" s="666"/>
      <c r="BY26" s="666"/>
      <c r="BZ26" s="666"/>
      <c r="CA26" s="666"/>
      <c r="CB26" s="666"/>
      <c r="CC26" s="666"/>
      <c r="CD26" s="666"/>
      <c r="CE26" s="666"/>
      <c r="CF26" s="666"/>
      <c r="CG26" s="666"/>
      <c r="CH26" s="666"/>
      <c r="CI26" s="666"/>
      <c r="CJ26" s="666"/>
      <c r="CK26" s="666"/>
      <c r="CL26" s="666"/>
      <c r="CM26" s="666"/>
      <c r="CN26" s="666"/>
      <c r="CO26" s="666"/>
      <c r="CP26" s="666"/>
      <c r="CQ26" s="666"/>
      <c r="CR26" s="666"/>
      <c r="CS26" s="666"/>
      <c r="CT26" s="666"/>
      <c r="CU26" s="666"/>
      <c r="CV26" s="671"/>
      <c r="CW26" s="684"/>
      <c r="CX26" s="676"/>
      <c r="CY26" s="673"/>
    </row>
    <row r="27" spans="2:104" ht="15" thickTop="1">
      <c r="B27" s="705" t="s">
        <v>53</v>
      </c>
      <c r="C27" s="66">
        <v>1</v>
      </c>
      <c r="D27" s="66">
        <v>2</v>
      </c>
      <c r="E27" s="66">
        <v>3</v>
      </c>
      <c r="F27" s="66">
        <v>4</v>
      </c>
      <c r="G27" s="66">
        <v>5</v>
      </c>
      <c r="H27" s="66">
        <v>6</v>
      </c>
      <c r="I27" s="66">
        <v>7</v>
      </c>
      <c r="J27" s="66">
        <v>8</v>
      </c>
      <c r="K27" s="66">
        <v>9</v>
      </c>
      <c r="L27" s="66">
        <v>10</v>
      </c>
      <c r="M27" s="66">
        <v>11</v>
      </c>
      <c r="N27" s="66">
        <v>12</v>
      </c>
      <c r="O27" s="66">
        <v>13</v>
      </c>
      <c r="P27" s="66">
        <v>14</v>
      </c>
      <c r="Q27" s="66">
        <v>15</v>
      </c>
      <c r="R27" s="66">
        <v>16</v>
      </c>
      <c r="S27" s="66">
        <v>17</v>
      </c>
      <c r="T27" s="66">
        <v>18</v>
      </c>
      <c r="U27" s="66">
        <v>19</v>
      </c>
      <c r="V27" s="66">
        <v>20</v>
      </c>
      <c r="W27" s="66">
        <v>21</v>
      </c>
      <c r="X27" s="66">
        <v>22</v>
      </c>
      <c r="Y27" s="66">
        <v>23</v>
      </c>
      <c r="Z27" s="66">
        <v>24</v>
      </c>
      <c r="AA27" s="66">
        <v>25</v>
      </c>
      <c r="AB27" s="66">
        <v>26</v>
      </c>
      <c r="AC27" s="66">
        <v>27</v>
      </c>
      <c r="AD27" s="66">
        <v>28</v>
      </c>
      <c r="AE27" s="66">
        <v>29</v>
      </c>
      <c r="AF27" s="66">
        <v>30</v>
      </c>
      <c r="AG27" s="279"/>
      <c r="AH27" s="711">
        <f>COUNTIF($C28:$AG28,Code1)</f>
        <v>0</v>
      </c>
      <c r="AI27" s="660">
        <f>COUNTIF($C28:$AG28,code22)</f>
        <v>0</v>
      </c>
      <c r="AJ27" s="660">
        <f>COUNTIF($C28:$AG28,Code2)</f>
        <v>0</v>
      </c>
      <c r="AK27" s="660">
        <f>COUNTIF($C28:$AG28,Code3)</f>
        <v>0</v>
      </c>
      <c r="AL27" s="660">
        <f>COUNTIF($C28:$AG28,Code4)</f>
        <v>0</v>
      </c>
      <c r="AM27" s="660">
        <f>COUNTIF($C28:$AG28,Code5)</f>
        <v>0</v>
      </c>
      <c r="AN27" s="660">
        <f>COUNTIF($C28:$AG28,Code23)</f>
        <v>0</v>
      </c>
      <c r="AO27" s="660">
        <f>COUNTIF($C28:$AG28,Code6)</f>
        <v>0</v>
      </c>
      <c r="AP27" s="660">
        <f>COUNTIF($C28:$AG28,Code7)</f>
        <v>0</v>
      </c>
      <c r="AQ27" s="660">
        <f>COUNTIF($C28:$AG28,Code8)</f>
        <v>0</v>
      </c>
      <c r="AR27" s="660">
        <f>COUNTIF($C28:$AG28,Code9)</f>
        <v>0</v>
      </c>
      <c r="AS27" s="662">
        <f>COUNTIF($C28:$AG28,Code10)</f>
        <v>0</v>
      </c>
      <c r="AT27" s="668">
        <f>COUNTIF($C28:$AG28,Code11)</f>
        <v>0</v>
      </c>
      <c r="AU27" s="662">
        <f>COUNTIF($C28:$AG28,Code12)</f>
        <v>0</v>
      </c>
      <c r="AV27" s="662">
        <f>COUNTIF($C28:$AG28,Code13)</f>
        <v>0</v>
      </c>
      <c r="AW27" s="662">
        <f>COUNTIF($C28:$AG28,Code14)</f>
        <v>0</v>
      </c>
      <c r="AX27" s="662">
        <f>COUNTIF($C28:$AG28,Code15)</f>
        <v>0</v>
      </c>
      <c r="AY27" s="662">
        <f>COUNTIF($C28:$AG28,Code16)</f>
        <v>0</v>
      </c>
      <c r="AZ27" s="662">
        <f>COUNTIF($C28:$AG28,Code17)</f>
        <v>0</v>
      </c>
      <c r="BA27" s="660">
        <f>COUNTIF($C28:$AG28,Code25)</f>
        <v>0</v>
      </c>
      <c r="BB27" s="660">
        <f>COUNTIF($C28:$AG28,Code26)</f>
        <v>0</v>
      </c>
      <c r="BC27" s="378">
        <f>COUNTIF($C28:$AG28,Code27)</f>
        <v>0</v>
      </c>
      <c r="BD27" s="660">
        <f>COUNTIF($C28:$AG28,Code28)</f>
        <v>0</v>
      </c>
      <c r="BE27" s="660">
        <f>COUNTIF($C28:$AG28,code30)</f>
        <v>0</v>
      </c>
      <c r="BF27" s="660">
        <f>COUNTIF($C28:$AG28,Code31)</f>
        <v>0</v>
      </c>
      <c r="BG27" s="662">
        <f>COUNTIF($C28:$AG28,code21)</f>
        <v>0</v>
      </c>
      <c r="BH27" s="662">
        <f>COUNTIF($C28:$AG28,Code24)</f>
        <v>0</v>
      </c>
      <c r="BI27" s="662">
        <f>COUNTIF($C28:$AG28,code18)</f>
        <v>0</v>
      </c>
      <c r="BJ27" s="662">
        <f>COUNTIF($C28:$AG28,code19)</f>
        <v>0</v>
      </c>
      <c r="BK27" s="662">
        <f>COUNTIF($C28:$AG28,code20)</f>
        <v>0</v>
      </c>
      <c r="BL27" s="722">
        <f>COUNTIF($C28:$AG28,code29)</f>
        <v>0</v>
      </c>
      <c r="BM27" s="665">
        <f>COUNTIF(A11:A160,BM11-BM160)</f>
        <v>0</v>
      </c>
      <c r="BN27" s="665">
        <f>Novembre!BN12</f>
        <v>0</v>
      </c>
      <c r="BO27" s="665">
        <f>Novembre!BO12</f>
        <v>0</v>
      </c>
      <c r="BP27" s="665">
        <f>Novembre!BP12</f>
        <v>0</v>
      </c>
      <c r="BQ27" s="665">
        <f>Novembre!BQ12</f>
        <v>0</v>
      </c>
      <c r="BR27" s="665">
        <f>Novembre!BR12</f>
        <v>0</v>
      </c>
      <c r="BS27" s="665">
        <f>Novembre!BS12</f>
        <v>0</v>
      </c>
      <c r="BT27" s="665">
        <f>Novembre!BT12</f>
        <v>0</v>
      </c>
      <c r="BU27" s="665">
        <f>Novembre!BU12</f>
        <v>0</v>
      </c>
      <c r="BV27" s="665">
        <f>Novembre!BV12</f>
        <v>0</v>
      </c>
      <c r="BW27" s="665">
        <f>Novembre!BW12</f>
        <v>0</v>
      </c>
      <c r="BX27" s="665">
        <f>Novembre!BX12</f>
        <v>0</v>
      </c>
      <c r="BY27" s="665">
        <f>Novembre!BY12</f>
        <v>0</v>
      </c>
      <c r="BZ27" s="665">
        <f>Novembre!BZ12</f>
        <v>0</v>
      </c>
      <c r="CA27" s="665">
        <f>Novembre!CA12</f>
        <v>0</v>
      </c>
      <c r="CB27" s="665">
        <f>Novembre!CB12</f>
        <v>0</v>
      </c>
      <c r="CC27" s="665">
        <f>Novembre!CC12</f>
        <v>0</v>
      </c>
      <c r="CD27" s="665">
        <f>Novembre!CD12</f>
        <v>0</v>
      </c>
      <c r="CE27" s="665">
        <f>Novembre!CE12</f>
        <v>0</v>
      </c>
      <c r="CF27" s="665">
        <f>Novembre!CF12</f>
        <v>0</v>
      </c>
      <c r="CG27" s="665">
        <f>Novembre!CG12</f>
        <v>0</v>
      </c>
      <c r="CH27" s="665">
        <f>Novembre!CH12</f>
        <v>0</v>
      </c>
      <c r="CI27" s="665">
        <f>Novembre!CI12</f>
        <v>0</v>
      </c>
      <c r="CJ27" s="665">
        <f>Novembre!CJ12</f>
        <v>0</v>
      </c>
      <c r="CK27" s="665">
        <f>Novembre!CK12</f>
        <v>0</v>
      </c>
      <c r="CL27" s="665">
        <f>Novembre!CL12</f>
        <v>0</v>
      </c>
      <c r="CM27" s="665">
        <f>Novembre!CM12</f>
        <v>0</v>
      </c>
      <c r="CN27" s="665">
        <f>Novembre!CN12</f>
        <v>0</v>
      </c>
      <c r="CO27" s="665">
        <f>Novembre!CO12</f>
        <v>0</v>
      </c>
      <c r="CP27" s="665">
        <f>Novembre!CP12</f>
        <v>0</v>
      </c>
      <c r="CQ27" s="665">
        <f ca="1">Novembre!CQ12</f>
        <v>0</v>
      </c>
      <c r="CR27" s="665">
        <f ca="1">Novembre!CR12</f>
        <v>0</v>
      </c>
      <c r="CS27" s="665">
        <f ca="1">Novembre!CS12</f>
        <v>0</v>
      </c>
      <c r="CT27" s="665">
        <f ca="1">Novembre!CT12</f>
        <v>0</v>
      </c>
      <c r="CU27" s="665">
        <f>Novembre!CU12</f>
        <v>0</v>
      </c>
      <c r="CV27" s="670">
        <f t="shared" ref="CV27" si="8">SUM((AH27*1)+(AI27*1.5)+(AJ27*2)+(AK27*3)+(AP27*5)+(AQ27*6)+(AR27*7)+(AU27*2)+(AX27*3)+(AY27*4)+(AZ27*5)+(BB27*3)+(BA27*2)+(BG27*2)+(BC27*2)+(BD27*2)+(BE27*3)+(BF27*3))</f>
        <v>0</v>
      </c>
      <c r="CW27" s="685">
        <f t="shared" ref="CW27" si="9">SUM((AM27*2)+(AN27*1)+(AO27*3)+(AP27*4)+(AT27*5)+(AU27*6)+(AV27*5)+(AW27*7)+(AX27*4)+(AY27*3)+(AZ27*2)+(BA27*4)+(BB27*1)+(BC27*5)+(BD27*1)+(BG27*2)+(BE27*2)+(BF27*3))</f>
        <v>0</v>
      </c>
      <c r="CX27" s="674">
        <f t="shared" ref="CX27" si="10">BH27*1+BL27*3</f>
        <v>0</v>
      </c>
      <c r="CY27" s="672">
        <f t="shared" ref="CY27" si="11">SUM((BI27*7)+(BJ27*10)+(BK27*12))</f>
        <v>0</v>
      </c>
    </row>
    <row r="28" spans="2:104" ht="15" thickBot="1">
      <c r="B28" s="705"/>
      <c r="C28" s="65" t="str">
        <f>IFERROR(VLOOKUP(RechercheÉtudiant1,PArticipationNovembre1[],3,FALSE),"")</f>
        <v/>
      </c>
      <c r="D28" s="65" t="str">
        <f>IFERROR(VLOOKUP(RechercheÉtudiant1,PArticipationNovembre1[],4,FALSE),"")</f>
        <v/>
      </c>
      <c r="E28" s="65" t="str">
        <f>IFERROR(VLOOKUP(RechercheÉtudiant1,PArticipationNovembre1[],5,FALSE),"")</f>
        <v/>
      </c>
      <c r="F28" s="65" t="str">
        <f>IFERROR(VLOOKUP(RechercheÉtudiant1,PArticipationNovembre1[],6,FALSE),"")</f>
        <v/>
      </c>
      <c r="G28" s="65" t="str">
        <f>IFERROR(VLOOKUP(RechercheÉtudiant1,PArticipationNovembre1[],7,FALSE),"")</f>
        <v/>
      </c>
      <c r="H28" s="65" t="str">
        <f>IFERROR(VLOOKUP(RechercheÉtudiant1,PArticipationNovembre1[],8,FALSE),"")</f>
        <v/>
      </c>
      <c r="I28" s="65" t="str">
        <f>IFERROR(VLOOKUP(RechercheÉtudiant1,PArticipationNovembre1[],9,FALSE),"")</f>
        <v/>
      </c>
      <c r="J28" s="65" t="str">
        <f>IFERROR(VLOOKUP(RechercheÉtudiant1,PArticipationNovembre1[],10,FALSE),"")</f>
        <v/>
      </c>
      <c r="K28" s="65" t="str">
        <f>IFERROR(VLOOKUP(RechercheÉtudiant1,PArticipationNovembre1[],11,FALSE),"")</f>
        <v/>
      </c>
      <c r="L28" s="65" t="str">
        <f>IFERROR(VLOOKUP(RechercheÉtudiant1,PArticipationNovembre1[],12,FALSE),"")</f>
        <v/>
      </c>
      <c r="M28" s="65" t="str">
        <f>IFERROR(VLOOKUP(RechercheÉtudiant1,PArticipationNovembre1[],13,FALSE),"")</f>
        <v/>
      </c>
      <c r="N28" s="65" t="str">
        <f>IFERROR(VLOOKUP(RechercheÉtudiant1,PArticipationNovembre1[],14,FALSE),"")</f>
        <v/>
      </c>
      <c r="O28" s="65" t="str">
        <f>IFERROR(VLOOKUP(RechercheÉtudiant1,PArticipationNovembre1[],15,FALSE),"")</f>
        <v/>
      </c>
      <c r="P28" s="65" t="str">
        <f>IFERROR(VLOOKUP(RechercheÉtudiant1,PArticipationNovembre1[],16,FALSE),"")</f>
        <v/>
      </c>
      <c r="Q28" s="65" t="str">
        <f>IFERROR(VLOOKUP(RechercheÉtudiant1,PArticipationNovembre1[],17,FALSE),"")</f>
        <v/>
      </c>
      <c r="R28" s="65" t="str">
        <f>IFERROR(VLOOKUP(RechercheÉtudiant1,PArticipationNovembre1[],18,FALSE),"")</f>
        <v/>
      </c>
      <c r="S28" s="65" t="str">
        <f>IFERROR(VLOOKUP(RechercheÉtudiant1,PArticipationNovembre1[],19,FALSE),"")</f>
        <v/>
      </c>
      <c r="T28" s="65" t="str">
        <f>IFERROR(VLOOKUP(RechercheÉtudiant1,PArticipationNovembre1[],20,FALSE),"")</f>
        <v/>
      </c>
      <c r="U28" s="65" t="str">
        <f>IFERROR(VLOOKUP(RechercheÉtudiant1,PArticipationNovembre1[],21,FALSE),"")</f>
        <v/>
      </c>
      <c r="V28" s="65" t="str">
        <f>IFERROR(VLOOKUP(RechercheÉtudiant1,PArticipationNovembre1[],22,FALSE),"")</f>
        <v/>
      </c>
      <c r="W28" s="65" t="str">
        <f>IFERROR(VLOOKUP(RechercheÉtudiant1,PArticipationNovembre1[],23,FALSE),"")</f>
        <v/>
      </c>
      <c r="X28" s="65" t="str">
        <f>IFERROR(VLOOKUP(RechercheÉtudiant1,PArticipationNovembre1[],24,FALSE),"")</f>
        <v/>
      </c>
      <c r="Y28" s="65" t="str">
        <f>IFERROR(VLOOKUP(RechercheÉtudiant1,PArticipationNovembre1[],25,FALSE),"")</f>
        <v/>
      </c>
      <c r="Z28" s="65" t="str">
        <f>IFERROR(VLOOKUP(RechercheÉtudiant1,PArticipationNovembre1[],26,FALSE),"")</f>
        <v/>
      </c>
      <c r="AA28" s="65" t="str">
        <f>IFERROR(VLOOKUP(RechercheÉtudiant1,PArticipationNovembre1[],27,FALSE),"")</f>
        <v/>
      </c>
      <c r="AB28" s="65" t="str">
        <f>IFERROR(VLOOKUP(RechercheÉtudiant1,PArticipationNovembre1[],28,FALSE),"")</f>
        <v/>
      </c>
      <c r="AC28" s="65" t="str">
        <f>IFERROR(VLOOKUP(RechercheÉtudiant1,PArticipationNovembre1[],29,FALSE),"")</f>
        <v/>
      </c>
      <c r="AD28" s="65" t="str">
        <f>IFERROR(VLOOKUP(RechercheÉtudiant1,PArticipationNovembre1[],30,FALSE),"")</f>
        <v/>
      </c>
      <c r="AE28" s="65" t="str">
        <f>IFERROR(VLOOKUP(RechercheÉtudiant1,PArticipationNovembre1[],31,FALSE),"")</f>
        <v/>
      </c>
      <c r="AF28" s="65" t="str">
        <f>IFERROR(VLOOKUP(RechercheÉtudiant1,PArticipationNovembre1[],32,FALSE),"")</f>
        <v/>
      </c>
      <c r="AG28" s="288" t="str">
        <f>IFERROR(VLOOKUP(RechercheÉtudiant1,PArticipationNovembre1[],33,FALSE),"")</f>
        <v/>
      </c>
      <c r="AH28" s="710"/>
      <c r="AI28" s="663"/>
      <c r="AJ28" s="663"/>
      <c r="AK28" s="663"/>
      <c r="AL28" s="663"/>
      <c r="AM28" s="663"/>
      <c r="AN28" s="663"/>
      <c r="AO28" s="663"/>
      <c r="AP28" s="663"/>
      <c r="AQ28" s="663"/>
      <c r="AR28" s="664"/>
      <c r="AS28" s="664"/>
      <c r="AT28" s="664"/>
      <c r="AU28" s="664"/>
      <c r="AV28" s="663"/>
      <c r="AW28" s="664"/>
      <c r="AX28" s="664"/>
      <c r="AY28" s="664"/>
      <c r="AZ28" s="664"/>
      <c r="BA28" s="663"/>
      <c r="BB28" s="663"/>
      <c r="BC28" s="377"/>
      <c r="BD28" s="663"/>
      <c r="BE28" s="663"/>
      <c r="BF28" s="663"/>
      <c r="BG28" s="664"/>
      <c r="BH28" s="664"/>
      <c r="BI28" s="664"/>
      <c r="BJ28" s="664"/>
      <c r="BK28" s="664"/>
      <c r="BL28" s="721"/>
      <c r="BM28" s="666"/>
      <c r="BN28" s="666"/>
      <c r="BO28" s="666"/>
      <c r="BP28" s="666"/>
      <c r="BQ28" s="666"/>
      <c r="BR28" s="666"/>
      <c r="BS28" s="666"/>
      <c r="BT28" s="666"/>
      <c r="BU28" s="666"/>
      <c r="BV28" s="666"/>
      <c r="BW28" s="666"/>
      <c r="BX28" s="666"/>
      <c r="BY28" s="666"/>
      <c r="BZ28" s="666"/>
      <c r="CA28" s="666"/>
      <c r="CB28" s="666"/>
      <c r="CC28" s="666"/>
      <c r="CD28" s="666"/>
      <c r="CE28" s="666"/>
      <c r="CF28" s="666"/>
      <c r="CG28" s="666"/>
      <c r="CH28" s="666"/>
      <c r="CI28" s="666"/>
      <c r="CJ28" s="666"/>
      <c r="CK28" s="666"/>
      <c r="CL28" s="666"/>
      <c r="CM28" s="666"/>
      <c r="CN28" s="666"/>
      <c r="CO28" s="666"/>
      <c r="CP28" s="666"/>
      <c r="CQ28" s="666"/>
      <c r="CR28" s="666"/>
      <c r="CS28" s="666"/>
      <c r="CT28" s="666"/>
      <c r="CU28" s="666"/>
      <c r="CV28" s="671"/>
      <c r="CW28" s="686"/>
      <c r="CX28" s="676"/>
      <c r="CY28" s="673"/>
    </row>
    <row r="29" spans="2:104" ht="15" thickTop="1">
      <c r="B29" s="705" t="s">
        <v>54</v>
      </c>
      <c r="C29" s="66">
        <v>1</v>
      </c>
      <c r="D29" s="66">
        <v>2</v>
      </c>
      <c r="E29" s="66">
        <v>3</v>
      </c>
      <c r="F29" s="66">
        <v>4</v>
      </c>
      <c r="G29" s="66">
        <v>5</v>
      </c>
      <c r="H29" s="66">
        <v>6</v>
      </c>
      <c r="I29" s="66">
        <v>7</v>
      </c>
      <c r="J29" s="66">
        <v>8</v>
      </c>
      <c r="K29" s="66">
        <v>9</v>
      </c>
      <c r="L29" s="66">
        <v>10</v>
      </c>
      <c r="M29" s="66">
        <v>11</v>
      </c>
      <c r="N29" s="66">
        <v>12</v>
      </c>
      <c r="O29" s="66">
        <v>13</v>
      </c>
      <c r="P29" s="66">
        <v>14</v>
      </c>
      <c r="Q29" s="66">
        <v>15</v>
      </c>
      <c r="R29" s="66">
        <v>16</v>
      </c>
      <c r="S29" s="66">
        <v>17</v>
      </c>
      <c r="T29" s="66">
        <v>18</v>
      </c>
      <c r="U29" s="66">
        <v>19</v>
      </c>
      <c r="V29" s="66">
        <v>20</v>
      </c>
      <c r="W29" s="66">
        <v>21</v>
      </c>
      <c r="X29" s="66">
        <v>22</v>
      </c>
      <c r="Y29" s="66">
        <v>23</v>
      </c>
      <c r="Z29" s="66">
        <v>24</v>
      </c>
      <c r="AA29" s="66">
        <v>25</v>
      </c>
      <c r="AB29" s="66">
        <v>26</v>
      </c>
      <c r="AC29" s="66">
        <v>27</v>
      </c>
      <c r="AD29" s="66">
        <v>28</v>
      </c>
      <c r="AE29" s="66">
        <v>29</v>
      </c>
      <c r="AF29" s="66">
        <v>30</v>
      </c>
      <c r="AG29" s="279">
        <v>31</v>
      </c>
      <c r="AH29" s="706">
        <f>COUNTIF($C30:$AG30,Code1)</f>
        <v>0</v>
      </c>
      <c r="AI29" s="660">
        <f>COUNTIF($C30:$AG30,code22)</f>
        <v>0</v>
      </c>
      <c r="AJ29" s="660">
        <f>COUNTIF($C30:$AG30,Code2)</f>
        <v>0</v>
      </c>
      <c r="AK29" s="660">
        <f>COUNTIF($C30:$AG30,Code3)</f>
        <v>0</v>
      </c>
      <c r="AL29" s="660">
        <f>COUNTIF($C30:$AG30,Code4)</f>
        <v>0</v>
      </c>
      <c r="AM29" s="660">
        <f>COUNTIF($C30:$AG30,Code5)</f>
        <v>0</v>
      </c>
      <c r="AN29" s="660">
        <f>COUNTIF($C30:$AG30,Code23)</f>
        <v>0</v>
      </c>
      <c r="AO29" s="660">
        <f>COUNTIF($C30:$AG30,Code6)</f>
        <v>0</v>
      </c>
      <c r="AP29" s="660">
        <f>COUNTIF($C30:$AG30,Code7)</f>
        <v>0</v>
      </c>
      <c r="AQ29" s="660">
        <f>COUNTIF($C30:$AG30,Code8)</f>
        <v>0</v>
      </c>
      <c r="AR29" s="662">
        <f>COUNTIF($C30:$AG30,Code9)</f>
        <v>0</v>
      </c>
      <c r="AS29" s="662">
        <f>COUNTIF($C30:$AG30,Code10)</f>
        <v>0</v>
      </c>
      <c r="AT29" s="668">
        <f>COUNTIF($C30:$AG30,Code11)</f>
        <v>0</v>
      </c>
      <c r="AU29" s="662">
        <f>COUNTIF($C30:$AG30,Code12)</f>
        <v>0</v>
      </c>
      <c r="AV29" s="662">
        <f>COUNTIF($C30:$AG30,Code13)</f>
        <v>0</v>
      </c>
      <c r="AW29" s="662">
        <f>COUNTIF($C30:$AG30,Code14)</f>
        <v>0</v>
      </c>
      <c r="AX29" s="662">
        <f>COUNTIF($C30:$AG30,Code15)</f>
        <v>0</v>
      </c>
      <c r="AY29" s="662">
        <f>COUNTIF($C30:$AG30,Code16)</f>
        <v>0</v>
      </c>
      <c r="AZ29" s="662">
        <f>COUNTIF($C30:$AG30,Code17)</f>
        <v>0</v>
      </c>
      <c r="BA29" s="660">
        <f>COUNTIF($C30:$AG30,Code25)</f>
        <v>0</v>
      </c>
      <c r="BB29" s="660">
        <f>COUNTIF($C30:$AG30,Code26)</f>
        <v>0</v>
      </c>
      <c r="BC29" s="378">
        <f>COUNTIF($C30:$AG30,Code27)</f>
        <v>0</v>
      </c>
      <c r="BD29" s="660">
        <f>COUNTIF($C30:$AG30,Code28)</f>
        <v>0</v>
      </c>
      <c r="BE29" s="660">
        <f>COUNTIF($C30:$AG30,code30)</f>
        <v>0</v>
      </c>
      <c r="BF29" s="660">
        <f>COUNTIF($C30:$AG30,Code31)</f>
        <v>0</v>
      </c>
      <c r="BG29" s="662">
        <f>COUNTIF($C30:$AG30,code21)</f>
        <v>0</v>
      </c>
      <c r="BH29" s="662">
        <f>COUNTIF($C30:$AG30,Code24)</f>
        <v>0</v>
      </c>
      <c r="BI29" s="662">
        <f>COUNTIF($C30:$AG30,code18)</f>
        <v>0</v>
      </c>
      <c r="BJ29" s="662">
        <f>COUNTIF($C30:$AG30,code19)</f>
        <v>0</v>
      </c>
      <c r="BK29" s="662">
        <f>COUNTIF($C30:$AG30,code20)</f>
        <v>0</v>
      </c>
      <c r="BL29" s="722">
        <f>COUNTIF($C30:$AG30,code29)</f>
        <v>0</v>
      </c>
      <c r="BM29" s="665">
        <f>COUNTIF(A11:A162,BM11-BM162)</f>
        <v>0</v>
      </c>
      <c r="BN29" s="665" t="str">
        <f>Decembre!BN11&amp;BN154</f>
        <v/>
      </c>
      <c r="BO29" s="665" t="str">
        <f>Decembre!BO11&amp;BO154</f>
        <v/>
      </c>
      <c r="BP29" s="665" t="str">
        <f>Decembre!BP11&amp;BP154</f>
        <v/>
      </c>
      <c r="BQ29" s="665" t="str">
        <f>Decembre!BQ11&amp;BQ154</f>
        <v/>
      </c>
      <c r="BR29" s="665" t="str">
        <f>Decembre!BR11&amp;BR154</f>
        <v/>
      </c>
      <c r="BS29" s="665" t="str">
        <f>Decembre!BS11&amp;BS154</f>
        <v/>
      </c>
      <c r="BT29" s="665" t="str">
        <f>Decembre!BT11&amp;BT154</f>
        <v/>
      </c>
      <c r="BU29" s="665" t="str">
        <f>Decembre!BU11&amp;BU154</f>
        <v/>
      </c>
      <c r="BV29" s="665" t="str">
        <f>Decembre!BV11&amp;BV154</f>
        <v/>
      </c>
      <c r="BW29" s="665" t="str">
        <f>Decembre!BW11&amp;BW154</f>
        <v/>
      </c>
      <c r="BX29" s="665" t="str">
        <f>Decembre!BX11&amp;BX154</f>
        <v/>
      </c>
      <c r="BY29" s="665" t="str">
        <f>Decembre!BY11&amp;BY154</f>
        <v/>
      </c>
      <c r="BZ29" s="665" t="str">
        <f>Decembre!BZ11&amp;BZ154</f>
        <v/>
      </c>
      <c r="CA29" s="665" t="str">
        <f>Decembre!CA11&amp;CA154</f>
        <v/>
      </c>
      <c r="CB29" s="665" t="str">
        <f>Decembre!CB11&amp;CB154</f>
        <v/>
      </c>
      <c r="CC29" s="665" t="str">
        <f>Decembre!CC11&amp;CC154</f>
        <v/>
      </c>
      <c r="CD29" s="665" t="str">
        <f>Decembre!CD11&amp;CD154</f>
        <v/>
      </c>
      <c r="CE29" s="665" t="str">
        <f>Decembre!CE11&amp;CE154</f>
        <v/>
      </c>
      <c r="CF29" s="665" t="str">
        <f>Decembre!CF11&amp;CF154</f>
        <v/>
      </c>
      <c r="CG29" s="665" t="str">
        <f>Decembre!CG11&amp;CG154</f>
        <v/>
      </c>
      <c r="CH29" s="665" t="str">
        <f>Decembre!CH11&amp;CH154</f>
        <v/>
      </c>
      <c r="CI29" s="665" t="str">
        <f>Decembre!CI11&amp;CI154</f>
        <v/>
      </c>
      <c r="CJ29" s="665" t="str">
        <f>Decembre!CJ11&amp;CJ154</f>
        <v/>
      </c>
      <c r="CK29" s="665" t="str">
        <f>Decembre!CK11&amp;CK154</f>
        <v/>
      </c>
      <c r="CL29" s="665" t="str">
        <f>Decembre!CL11&amp;CL154</f>
        <v/>
      </c>
      <c r="CM29" s="665" t="str">
        <f>Decembre!CM11&amp;CM154</f>
        <v/>
      </c>
      <c r="CN29" s="665" t="str">
        <f>Decembre!CN11&amp;CN154</f>
        <v/>
      </c>
      <c r="CO29" s="665" t="str">
        <f>Decembre!CO11&amp;CO154</f>
        <v/>
      </c>
      <c r="CP29" s="665" t="str">
        <f>Decembre!CP11&amp;CP154</f>
        <v/>
      </c>
      <c r="CQ29" s="665" t="str">
        <f>Decembre!CQ11&amp;CQ154</f>
        <v>0</v>
      </c>
      <c r="CR29" s="665" t="str">
        <f>Decembre!CR11&amp;CR154</f>
        <v>0</v>
      </c>
      <c r="CS29" s="665" t="str">
        <f>Decembre!CS11&amp;CS154</f>
        <v>0</v>
      </c>
      <c r="CT29" s="665" t="str">
        <f>Decembre!CT11&amp;CT154</f>
        <v>0</v>
      </c>
      <c r="CU29" s="665" t="str">
        <f>Decembre!CU11&amp;CU154</f>
        <v/>
      </c>
      <c r="CV29" s="670">
        <f t="shared" ref="CV29" si="12">SUM((AH29*1)+(AI29*1.5)+(AJ29*2)+(AK29*3)+(AP29*5)+(AQ29*6)+(AR29*7)+(AU29*2)+(AX29*3)+(AY29*4)+(AZ29*5)+(BB29*3)+(BA29*2)+(BG29*2)+(BC29*2)+(BD29*2)+(BE29*3)+(BF29*3))</f>
        <v>0</v>
      </c>
      <c r="CW29" s="683">
        <f t="shared" ref="CW29" si="13">SUM((AM29*2)+(AN29*1)+(AO29*3)+(AP29*4)+(AT29*5)+(AU29*6)+(AV29*5)+(AW29*7)+(AX29*4)+(AY29*3)+(AZ29*2)+(BA29*4)+(BB29*1)+(BC29*5)+(BD29*1)+(BG29*2)+(BE29*2)+(BF29*3))</f>
        <v>0</v>
      </c>
      <c r="CX29" s="674">
        <f t="shared" ref="CX29" si="14">BH29*1+BL29*3</f>
        <v>0</v>
      </c>
      <c r="CY29" s="672">
        <f t="shared" ref="CY29" si="15">SUM((BI29*7)+(BJ29*10)+(BK29*12))</f>
        <v>0</v>
      </c>
    </row>
    <row r="30" spans="2:104" ht="15" thickBot="1">
      <c r="B30" s="705"/>
      <c r="C30" s="65" t="str">
        <f>IFERROR(VLOOKUP(RechercheÉtudiant1,ParticipationDecembre1[],3,FALSE),"")</f>
        <v/>
      </c>
      <c r="D30" s="65" t="str">
        <f>IFERROR(VLOOKUP(RechercheÉtudiant1,ParticipationDecembre1[],4,FALSE),"")</f>
        <v/>
      </c>
      <c r="E30" s="65" t="str">
        <f>IFERROR(VLOOKUP(RechercheÉtudiant1,ParticipationDecembre1[],5,FALSE),"")</f>
        <v/>
      </c>
      <c r="F30" s="65" t="str">
        <f>IFERROR(VLOOKUP(RechercheÉtudiant1,ParticipationDecembre1[],6,FALSE),"")</f>
        <v/>
      </c>
      <c r="G30" s="65" t="str">
        <f>IFERROR(VLOOKUP(RechercheÉtudiant1,ParticipationDecembre1[],7,FALSE),"")</f>
        <v/>
      </c>
      <c r="H30" s="65" t="str">
        <f>IFERROR(VLOOKUP(RechercheÉtudiant1,ParticipationDecembre1[],8,FALSE),"")</f>
        <v/>
      </c>
      <c r="I30" s="65" t="str">
        <f>IFERROR(VLOOKUP(RechercheÉtudiant1,ParticipationDecembre1[],9,FALSE),"")</f>
        <v/>
      </c>
      <c r="J30" s="65" t="str">
        <f>IFERROR(VLOOKUP(RechercheÉtudiant1,ParticipationDecembre1[],10,FALSE),"")</f>
        <v/>
      </c>
      <c r="K30" s="65" t="str">
        <f>IFERROR(VLOOKUP(RechercheÉtudiant1,ParticipationDecembre1[],11,FALSE),"")</f>
        <v/>
      </c>
      <c r="L30" s="65" t="str">
        <f>IFERROR(VLOOKUP(RechercheÉtudiant1,ParticipationDecembre1[],12,FALSE),"")</f>
        <v/>
      </c>
      <c r="M30" s="65" t="str">
        <f>IFERROR(VLOOKUP(RechercheÉtudiant1,ParticipationDecembre1[],13,FALSE),"")</f>
        <v/>
      </c>
      <c r="N30" s="65" t="str">
        <f>IFERROR(VLOOKUP(RechercheÉtudiant1,ParticipationDecembre1[],14,FALSE),"")</f>
        <v/>
      </c>
      <c r="O30" s="65" t="str">
        <f>IFERROR(VLOOKUP(RechercheÉtudiant1,ParticipationDecembre1[],15,FALSE),"")</f>
        <v/>
      </c>
      <c r="P30" s="65" t="str">
        <f>IFERROR(VLOOKUP(RechercheÉtudiant1,ParticipationDecembre1[],16,FALSE),"")</f>
        <v/>
      </c>
      <c r="Q30" s="65" t="str">
        <f>IFERROR(VLOOKUP(RechercheÉtudiant1,ParticipationDecembre1[],17,FALSE),"")</f>
        <v/>
      </c>
      <c r="R30" s="65" t="str">
        <f>IFERROR(VLOOKUP(RechercheÉtudiant1,ParticipationDecembre1[],18,FALSE),"")</f>
        <v/>
      </c>
      <c r="S30" s="65" t="str">
        <f>IFERROR(VLOOKUP(RechercheÉtudiant1,ParticipationDecembre1[],19,FALSE),"")</f>
        <v/>
      </c>
      <c r="T30" s="65" t="str">
        <f>IFERROR(VLOOKUP(RechercheÉtudiant1,ParticipationDecembre1[],20,FALSE),"")</f>
        <v/>
      </c>
      <c r="U30" s="65" t="str">
        <f>IFERROR(VLOOKUP(RechercheÉtudiant1,ParticipationDecembre1[],21,FALSE),"")</f>
        <v/>
      </c>
      <c r="V30" s="65" t="str">
        <f>IFERROR(VLOOKUP(RechercheÉtudiant1,ParticipationDecembre1[],22,FALSE),"")</f>
        <v/>
      </c>
      <c r="W30" s="65" t="str">
        <f>IFERROR(VLOOKUP(RechercheÉtudiant1,ParticipationDecembre1[],23,FALSE),"")</f>
        <v/>
      </c>
      <c r="X30" s="65" t="str">
        <f>IFERROR(VLOOKUP(RechercheÉtudiant1,ParticipationDecembre1[],24,FALSE),"")</f>
        <v/>
      </c>
      <c r="Y30" s="65" t="str">
        <f>IFERROR(VLOOKUP(RechercheÉtudiant1,ParticipationDecembre1[],25,FALSE),"")</f>
        <v/>
      </c>
      <c r="Z30" s="65" t="str">
        <f>IFERROR(VLOOKUP(RechercheÉtudiant1,ParticipationDecembre1[],26,FALSE),"")</f>
        <v/>
      </c>
      <c r="AA30" s="65" t="str">
        <f>IFERROR(VLOOKUP(RechercheÉtudiant1,ParticipationDecembre1[],27,FALSE),"")</f>
        <v/>
      </c>
      <c r="AB30" s="65" t="str">
        <f>IFERROR(VLOOKUP(RechercheÉtudiant1,ParticipationDecembre1[],28,FALSE),"")</f>
        <v/>
      </c>
      <c r="AC30" s="65" t="str">
        <f>IFERROR(VLOOKUP(RechercheÉtudiant1,ParticipationDecembre1[],29,FALSE),"")</f>
        <v/>
      </c>
      <c r="AD30" s="65" t="str">
        <f>IFERROR(VLOOKUP(RechercheÉtudiant1,ParticipationDecembre1[],30,FALSE),"")</f>
        <v/>
      </c>
      <c r="AE30" s="65" t="str">
        <f>IFERROR(VLOOKUP(RechercheÉtudiant1,ParticipationDecembre1[],31,FALSE),"")</f>
        <v/>
      </c>
      <c r="AF30" s="65" t="str">
        <f>IFERROR(VLOOKUP(RechercheÉtudiant1,ParticipationDecembre1[],32,FALSE),"")</f>
        <v/>
      </c>
      <c r="AG30" s="280" t="str">
        <f>IFERROR(VLOOKUP(RechercheÉtudiant1,ParticipationDecembre1[],33,FALSE),"")</f>
        <v/>
      </c>
      <c r="AH30" s="707"/>
      <c r="AI30" s="663"/>
      <c r="AJ30" s="663"/>
      <c r="AK30" s="663"/>
      <c r="AL30" s="663"/>
      <c r="AM30" s="663"/>
      <c r="AN30" s="663"/>
      <c r="AO30" s="663"/>
      <c r="AP30" s="663"/>
      <c r="AQ30" s="663"/>
      <c r="AR30" s="664"/>
      <c r="AS30" s="664"/>
      <c r="AT30" s="664"/>
      <c r="AU30" s="664"/>
      <c r="AV30" s="663"/>
      <c r="AW30" s="664"/>
      <c r="AX30" s="664"/>
      <c r="AY30" s="664"/>
      <c r="AZ30" s="664"/>
      <c r="BA30" s="663"/>
      <c r="BB30" s="663"/>
      <c r="BC30" s="377"/>
      <c r="BD30" s="663"/>
      <c r="BE30" s="663"/>
      <c r="BF30" s="663"/>
      <c r="BG30" s="664"/>
      <c r="BH30" s="664"/>
      <c r="BI30" s="664"/>
      <c r="BJ30" s="664"/>
      <c r="BK30" s="664"/>
      <c r="BL30" s="721"/>
      <c r="BM30" s="666"/>
      <c r="BN30" s="666"/>
      <c r="BO30" s="666"/>
      <c r="BP30" s="666"/>
      <c r="BQ30" s="666"/>
      <c r="BR30" s="666"/>
      <c r="BS30" s="666"/>
      <c r="BT30" s="666"/>
      <c r="BU30" s="666"/>
      <c r="BV30" s="666"/>
      <c r="BW30" s="666"/>
      <c r="BX30" s="666"/>
      <c r="BY30" s="666"/>
      <c r="BZ30" s="666"/>
      <c r="CA30" s="666"/>
      <c r="CB30" s="666"/>
      <c r="CC30" s="666"/>
      <c r="CD30" s="666"/>
      <c r="CE30" s="666"/>
      <c r="CF30" s="666"/>
      <c r="CG30" s="666"/>
      <c r="CH30" s="666"/>
      <c r="CI30" s="666"/>
      <c r="CJ30" s="666"/>
      <c r="CK30" s="666"/>
      <c r="CL30" s="666"/>
      <c r="CM30" s="666"/>
      <c r="CN30" s="666"/>
      <c r="CO30" s="666"/>
      <c r="CP30" s="666"/>
      <c r="CQ30" s="666"/>
      <c r="CR30" s="666"/>
      <c r="CS30" s="666"/>
      <c r="CT30" s="666"/>
      <c r="CU30" s="666"/>
      <c r="CV30" s="671"/>
      <c r="CW30" s="684"/>
      <c r="CX30" s="676"/>
      <c r="CY30" s="673"/>
    </row>
    <row r="31" spans="2:104" ht="15" thickTop="1">
      <c r="B31" s="705" t="s">
        <v>55</v>
      </c>
      <c r="C31" s="66">
        <v>1</v>
      </c>
      <c r="D31" s="66">
        <v>2</v>
      </c>
      <c r="E31" s="66">
        <v>3</v>
      </c>
      <c r="F31" s="66">
        <v>4</v>
      </c>
      <c r="G31" s="66">
        <v>5</v>
      </c>
      <c r="H31" s="66">
        <v>6</v>
      </c>
      <c r="I31" s="66">
        <v>7</v>
      </c>
      <c r="J31" s="66">
        <v>8</v>
      </c>
      <c r="K31" s="66">
        <v>9</v>
      </c>
      <c r="L31" s="66">
        <v>10</v>
      </c>
      <c r="M31" s="66">
        <v>11</v>
      </c>
      <c r="N31" s="66">
        <v>12</v>
      </c>
      <c r="O31" s="66">
        <v>13</v>
      </c>
      <c r="P31" s="66">
        <v>14</v>
      </c>
      <c r="Q31" s="66">
        <v>15</v>
      </c>
      <c r="R31" s="66">
        <v>16</v>
      </c>
      <c r="S31" s="66">
        <v>17</v>
      </c>
      <c r="T31" s="66">
        <v>18</v>
      </c>
      <c r="U31" s="66">
        <v>19</v>
      </c>
      <c r="V31" s="66">
        <v>20</v>
      </c>
      <c r="W31" s="66">
        <v>21</v>
      </c>
      <c r="X31" s="66">
        <v>22</v>
      </c>
      <c r="Y31" s="66">
        <v>23</v>
      </c>
      <c r="Z31" s="66">
        <v>24</v>
      </c>
      <c r="AA31" s="66">
        <v>25</v>
      </c>
      <c r="AB31" s="66">
        <v>26</v>
      </c>
      <c r="AC31" s="66">
        <v>27</v>
      </c>
      <c r="AD31" s="66">
        <v>28</v>
      </c>
      <c r="AE31" s="66">
        <v>29</v>
      </c>
      <c r="AF31" s="66">
        <v>30</v>
      </c>
      <c r="AG31" s="279">
        <v>31</v>
      </c>
      <c r="AH31" s="706">
        <f>COUNTIF($C32:$AG32,Code1)</f>
        <v>0</v>
      </c>
      <c r="AI31" s="660">
        <f>COUNTIF($C32:$AG32,code22)</f>
        <v>0</v>
      </c>
      <c r="AJ31" s="660">
        <f>COUNTIF($C32:$AG32,Code2)</f>
        <v>0</v>
      </c>
      <c r="AK31" s="660">
        <f>COUNTIF($C32:$AG32,Code3)</f>
        <v>0</v>
      </c>
      <c r="AL31" s="660">
        <f>COUNTIF($C32:$AG32,Code4)</f>
        <v>0</v>
      </c>
      <c r="AM31" s="660">
        <f>COUNTIF($C32:$AG32,Code5)</f>
        <v>0</v>
      </c>
      <c r="AN31" s="660">
        <f>COUNTIF($C32:$AG32,Code23)</f>
        <v>0</v>
      </c>
      <c r="AO31" s="660">
        <f>COUNTIF($C32:$AG32,Code6)</f>
        <v>0</v>
      </c>
      <c r="AP31" s="660">
        <f>COUNTIF($C32:$AG32,Code7)</f>
        <v>0</v>
      </c>
      <c r="AQ31" s="660">
        <f>COUNTIF($C32:$AG32,Code8)</f>
        <v>0</v>
      </c>
      <c r="AR31" s="662">
        <f>COUNTIF($C32:$AG32,Code9)</f>
        <v>0</v>
      </c>
      <c r="AS31" s="662">
        <f>COUNTIF($C32:$AG32,Code10)</f>
        <v>0</v>
      </c>
      <c r="AT31" s="668">
        <f>COUNTIF($C32:$AG32,Code11)</f>
        <v>0</v>
      </c>
      <c r="AU31" s="662">
        <f>COUNTIF($C32:$AG32,Code12)</f>
        <v>0</v>
      </c>
      <c r="AV31" s="662">
        <f>COUNTIF($C32:$AG32,Code13)</f>
        <v>0</v>
      </c>
      <c r="AW31" s="662">
        <f>COUNTIF($C32:$AG32,Code14)</f>
        <v>0</v>
      </c>
      <c r="AX31" s="662">
        <f>COUNTIF($C32:$AG32,Code15)</f>
        <v>0</v>
      </c>
      <c r="AY31" s="662">
        <f>COUNTIF($C32:$AG32,Code16)</f>
        <v>0</v>
      </c>
      <c r="AZ31" s="662">
        <f>COUNTIF($C32:$AG32,Code17)</f>
        <v>0</v>
      </c>
      <c r="BA31" s="660">
        <f>COUNTIF($C32:$AG32,Code25)</f>
        <v>0</v>
      </c>
      <c r="BB31" s="660">
        <f>COUNTIF($C32:$AG32,Code26)</f>
        <v>0</v>
      </c>
      <c r="BC31" s="378">
        <f>COUNTIF($C32:$AG32,Code27)</f>
        <v>0</v>
      </c>
      <c r="BD31" s="660">
        <f>COUNTIF($C32:$AG32,Code28)</f>
        <v>0</v>
      </c>
      <c r="BE31" s="660">
        <f>COUNTIF($C32:$AG32,code30)</f>
        <v>0</v>
      </c>
      <c r="BF31" s="660">
        <f>COUNTIF($C32:$AG32,Code31)</f>
        <v>0</v>
      </c>
      <c r="BG31" s="662">
        <f>COUNTIF($C32:$AG32,code21)</f>
        <v>0</v>
      </c>
      <c r="BH31" s="662">
        <f>COUNTIF($C32:$AG32,Code24)</f>
        <v>0</v>
      </c>
      <c r="BI31" s="662">
        <f>COUNTIF($C32:$AG32,code18)</f>
        <v>0</v>
      </c>
      <c r="BJ31" s="662">
        <f>COUNTIF($C32:$AG32,code19)</f>
        <v>0</v>
      </c>
      <c r="BK31" s="662">
        <f>COUNTIF($C32:$AG32,code20)</f>
        <v>0</v>
      </c>
      <c r="BL31" s="722">
        <f>COUNTIF($C32:$AG32,code29)</f>
        <v>0</v>
      </c>
      <c r="BM31" s="665">
        <f>COUNTIF(A11:A164,BM11-BM164)</f>
        <v>0</v>
      </c>
      <c r="BN31" s="665" t="str">
        <f>Janvier!BN11&amp;BN154</f>
        <v/>
      </c>
      <c r="BO31" s="665" t="str">
        <f>Janvier!BO11&amp;BO154</f>
        <v/>
      </c>
      <c r="BP31" s="665" t="str">
        <f>Janvier!BP11&amp;BP154</f>
        <v/>
      </c>
      <c r="BQ31" s="665" t="str">
        <f>Janvier!BQ11&amp;BQ154</f>
        <v/>
      </c>
      <c r="BR31" s="665" t="str">
        <f>Janvier!BR11&amp;BR154</f>
        <v/>
      </c>
      <c r="BS31" s="665" t="str">
        <f>Janvier!BS11&amp;BS154</f>
        <v/>
      </c>
      <c r="BT31" s="665" t="str">
        <f>Janvier!BT11&amp;BT154</f>
        <v/>
      </c>
      <c r="BU31" s="665" t="str">
        <f>Janvier!BU11&amp;BU154</f>
        <v/>
      </c>
      <c r="BV31" s="665" t="str">
        <f>Janvier!BV11&amp;BV154</f>
        <v/>
      </c>
      <c r="BW31" s="665" t="str">
        <f>Janvier!BW11&amp;BW154</f>
        <v/>
      </c>
      <c r="BX31" s="665" t="str">
        <f>Janvier!BX11&amp;BX154</f>
        <v/>
      </c>
      <c r="BY31" s="665" t="str">
        <f>Janvier!BY11&amp;BY154</f>
        <v/>
      </c>
      <c r="BZ31" s="665" t="str">
        <f>Janvier!BZ11&amp;BZ154</f>
        <v/>
      </c>
      <c r="CA31" s="665" t="str">
        <f>Janvier!CA11&amp;CA154</f>
        <v/>
      </c>
      <c r="CB31" s="665" t="str">
        <f>Janvier!CB11&amp;CB154</f>
        <v/>
      </c>
      <c r="CC31" s="665" t="str">
        <f>Janvier!CC11&amp;CC154</f>
        <v/>
      </c>
      <c r="CD31" s="665" t="str">
        <f>Janvier!CD11&amp;CD154</f>
        <v/>
      </c>
      <c r="CE31" s="665" t="str">
        <f>Janvier!CE11&amp;CE154</f>
        <v/>
      </c>
      <c r="CF31" s="665" t="str">
        <f>Janvier!CF11&amp;CF154</f>
        <v/>
      </c>
      <c r="CG31" s="665" t="str">
        <f>Janvier!CG11&amp;CG154</f>
        <v>1</v>
      </c>
      <c r="CH31" s="665" t="str">
        <f>Janvier!CH11&amp;CH154</f>
        <v/>
      </c>
      <c r="CI31" s="665" t="str">
        <f>Janvier!CI11&amp;CI154</f>
        <v/>
      </c>
      <c r="CJ31" s="665" t="str">
        <f>Janvier!CJ11&amp;CJ154</f>
        <v/>
      </c>
      <c r="CK31" s="665" t="str">
        <f>Janvier!CK11&amp;CK154</f>
        <v/>
      </c>
      <c r="CL31" s="665" t="str">
        <f>Janvier!CL11&amp;CL154</f>
        <v/>
      </c>
      <c r="CM31" s="665" t="str">
        <f>Janvier!CM11&amp;CM154</f>
        <v/>
      </c>
      <c r="CN31" s="665" t="str">
        <f>Janvier!CN11&amp;CN154</f>
        <v/>
      </c>
      <c r="CO31" s="665" t="str">
        <f>Janvier!CO11&amp;CO154</f>
        <v/>
      </c>
      <c r="CP31" s="665" t="str">
        <f>Janvier!CP11&amp;CP154</f>
        <v/>
      </c>
      <c r="CQ31" s="665" t="str">
        <f>Janvier!CQ11&amp;CQ154</f>
        <v/>
      </c>
      <c r="CR31" s="665" t="str">
        <f>Janvier!CR11&amp;CR154</f>
        <v/>
      </c>
      <c r="CS31" s="665" t="str">
        <f>Janvier!CS11&amp;CS154</f>
        <v/>
      </c>
      <c r="CT31" s="665" t="str">
        <f>Janvier!CT11&amp;CT154</f>
        <v/>
      </c>
      <c r="CU31" s="665" t="str">
        <f>Janvier!CU11&amp;CU154</f>
        <v/>
      </c>
      <c r="CV31" s="670">
        <f t="shared" ref="CV31" si="16">SUM((AH31*1)+(AI31*1.5)+(AJ31*2)+(AK31*3)+(AP31*5)+(AQ31*6)+(AR31*7)+(AU31*2)+(AX31*3)+(AY31*4)+(AZ31*5)+(BB31*3)+(BA31*2)+(BG31*2)+(BC31*2)+(BD31*2)+(BE31*3)+(BF31*3))</f>
        <v>0</v>
      </c>
      <c r="CW31" s="683">
        <f t="shared" ref="CW31" si="17">SUM((AM31*2)+(AN31*1)+(AO31*3)+(AP31*4)+(AT31*5)+(AU31*6)+(AV31*5)+(AW31*7)+(AX31*4)+(AY31*3)+(AZ31*2)+(BA31*4)+(BB31*1)+(BC31*5)+(BD31*1)+(BG31*2)+(BE31*2)+(BF31*3))</f>
        <v>0</v>
      </c>
      <c r="CX31" s="674">
        <f t="shared" ref="CX31" si="18">BH31*1+BL31*3</f>
        <v>0</v>
      </c>
      <c r="CY31" s="672">
        <f t="shared" ref="CY31" si="19">SUM((BI31*7)+(BJ31*10)+(BK31*12))</f>
        <v>0</v>
      </c>
    </row>
    <row r="32" spans="2:104" ht="15" thickBot="1">
      <c r="B32" s="705"/>
      <c r="C32" s="65">
        <f>IFERROR(VLOOKUP(RechercheÉtudiant1,ParticipationJanvier1[],3,FALSE),"")</f>
        <v>0</v>
      </c>
      <c r="D32" s="65"/>
      <c r="E32" s="65">
        <f>IFERROR(VLOOKUP(RechercheÉtudiant1,ParticipationJanvier1[],5,FALSE),"")</f>
        <v>0</v>
      </c>
      <c r="F32" s="65"/>
      <c r="G32" s="65">
        <f>IFERROR(VLOOKUP(RechercheÉtudiant1,ParticipationJanvier1[],7,FALSE),"")</f>
        <v>0</v>
      </c>
      <c r="H32" s="65">
        <f>IFERROR(VLOOKUP(RechercheÉtudiant1,ParticipationJanvier1[],8,FALSE),"")</f>
        <v>0</v>
      </c>
      <c r="I32" s="65">
        <f>IFERROR(VLOOKUP(RechercheÉtudiant1,ParticipationJanvier1[],9,FALSE),"")</f>
        <v>0</v>
      </c>
      <c r="J32" s="65">
        <f>IFERROR(VLOOKUP(RechercheÉtudiant1,ParticipationJanvier1[],10,FALSE),"")</f>
        <v>0</v>
      </c>
      <c r="K32" s="65">
        <f>IFERROR(VLOOKUP(RechercheÉtudiant1,ParticipationJanvier1[],11,FALSE),"")</f>
        <v>0</v>
      </c>
      <c r="L32" s="65">
        <f>IFERROR(VLOOKUP(RechercheÉtudiant1,ParticipationJanvier1[],12,FALSE),"")</f>
        <v>0</v>
      </c>
      <c r="M32" s="65">
        <f>IFERROR(VLOOKUP(RechercheÉtudiant1,ParticipationJanvier1[],13,FALSE),"")</f>
        <v>0</v>
      </c>
      <c r="N32" s="65">
        <f>IFERROR(VLOOKUP(RechercheÉtudiant1,ParticipationJanvier1[],14,FALSE),"")</f>
        <v>0</v>
      </c>
      <c r="O32" s="65">
        <f>IFERROR(VLOOKUP(RechercheÉtudiant1,ParticipationJanvier1[],15,FALSE),"")</f>
        <v>0</v>
      </c>
      <c r="P32" s="65">
        <f>IFERROR(VLOOKUP(RechercheÉtudiant1,ParticipationJanvier1[],16,FALSE),"")</f>
        <v>0</v>
      </c>
      <c r="Q32" s="65">
        <f>IFERROR(VLOOKUP(RechercheÉtudiant1,ParticipationJanvier1[],17,FALSE),"")</f>
        <v>0</v>
      </c>
      <c r="R32" s="65">
        <f>IFERROR(VLOOKUP(RechercheÉtudiant1,ParticipationJanvier1[],18,FALSE),"")</f>
        <v>0</v>
      </c>
      <c r="S32" s="65">
        <f>IFERROR(VLOOKUP(RechercheÉtudiant1,ParticipationJanvier1[],19,FALSE),"")</f>
        <v>0</v>
      </c>
      <c r="T32" s="65">
        <f>IFERROR(VLOOKUP(RechercheÉtudiant1,ParticipationJanvier1[],20,FALSE),"")</f>
        <v>0</v>
      </c>
      <c r="U32" s="65">
        <f>IFERROR(VLOOKUP(RechercheÉtudiant1,ParticipationJanvier1[],21,FALSE),"")</f>
        <v>0</v>
      </c>
      <c r="V32" s="65">
        <f>IFERROR(VLOOKUP(RechercheÉtudiant1,ParticipationJanvier1[],22,FALSE),"")</f>
        <v>0</v>
      </c>
      <c r="W32" s="65">
        <f>IFERROR(VLOOKUP(RechercheÉtudiant1,ParticipationJanvier1[],23,FALSE),"")</f>
        <v>0</v>
      </c>
      <c r="X32" s="65">
        <f>IFERROR(VLOOKUP(RechercheÉtudiant1,ParticipationJanvier1[],24,FALSE),"")</f>
        <v>0</v>
      </c>
      <c r="Y32" s="65"/>
      <c r="Z32" s="65"/>
      <c r="AA32" s="65">
        <f>IFERROR(VLOOKUP(RechercheÉtudiant1,ParticipationJanvier1[],27,FALSE),"")</f>
        <v>0</v>
      </c>
      <c r="AB32" s="65">
        <f>IFERROR(VLOOKUP(RechercheÉtudiant1,ParticipationJanvier1[],28,FALSE),"")</f>
        <v>0</v>
      </c>
      <c r="AC32" s="65">
        <f>IFERROR(VLOOKUP(RechercheÉtudiant1,ParticipationJanvier1[],29,FALSE),"")</f>
        <v>0</v>
      </c>
      <c r="AD32" s="65">
        <f>IFERROR(VLOOKUP(RechercheÉtudiant1,ParticipationJanvier1[],30,FALSE),"")</f>
        <v>0</v>
      </c>
      <c r="AE32" s="65">
        <f>IFERROR(VLOOKUP(RechercheÉtudiant1,ParticipationJanvier1[],31,FALSE),"")</f>
        <v>0</v>
      </c>
      <c r="AF32" s="65">
        <f>IFERROR(VLOOKUP(RechercheÉtudiant1,ParticipationJanvier1[],32,FALSE),"")</f>
        <v>0</v>
      </c>
      <c r="AG32" s="280">
        <f>IFERROR(VLOOKUP(RechercheÉtudiant1,ParticipationJanvier1[],33,FALSE),"")</f>
        <v>0</v>
      </c>
      <c r="AH32" s="707"/>
      <c r="AI32" s="663"/>
      <c r="AJ32" s="663"/>
      <c r="AK32" s="663"/>
      <c r="AL32" s="663"/>
      <c r="AM32" s="663"/>
      <c r="AN32" s="663"/>
      <c r="AO32" s="663"/>
      <c r="AP32" s="663"/>
      <c r="AQ32" s="663"/>
      <c r="AR32" s="664"/>
      <c r="AS32" s="664"/>
      <c r="AT32" s="664"/>
      <c r="AU32" s="664"/>
      <c r="AV32" s="663"/>
      <c r="AW32" s="664"/>
      <c r="AX32" s="664"/>
      <c r="AY32" s="664"/>
      <c r="AZ32" s="664"/>
      <c r="BA32" s="663"/>
      <c r="BB32" s="663"/>
      <c r="BC32" s="377"/>
      <c r="BD32" s="663"/>
      <c r="BE32" s="663"/>
      <c r="BF32" s="663"/>
      <c r="BG32" s="664"/>
      <c r="BH32" s="664"/>
      <c r="BI32" s="664"/>
      <c r="BJ32" s="664"/>
      <c r="BK32" s="664"/>
      <c r="BL32" s="721"/>
      <c r="BM32" s="666"/>
      <c r="BN32" s="666"/>
      <c r="BO32" s="666"/>
      <c r="BP32" s="666"/>
      <c r="BQ32" s="666"/>
      <c r="BR32" s="666"/>
      <c r="BS32" s="666"/>
      <c r="BT32" s="666"/>
      <c r="BU32" s="666"/>
      <c r="BV32" s="666"/>
      <c r="BW32" s="666"/>
      <c r="BX32" s="666"/>
      <c r="BY32" s="666"/>
      <c r="BZ32" s="666"/>
      <c r="CA32" s="666"/>
      <c r="CB32" s="666"/>
      <c r="CC32" s="666"/>
      <c r="CD32" s="666"/>
      <c r="CE32" s="666"/>
      <c r="CF32" s="666"/>
      <c r="CG32" s="666"/>
      <c r="CH32" s="666"/>
      <c r="CI32" s="666"/>
      <c r="CJ32" s="666"/>
      <c r="CK32" s="666"/>
      <c r="CL32" s="666"/>
      <c r="CM32" s="666"/>
      <c r="CN32" s="666"/>
      <c r="CO32" s="666"/>
      <c r="CP32" s="666"/>
      <c r="CQ32" s="666"/>
      <c r="CR32" s="666"/>
      <c r="CS32" s="666"/>
      <c r="CT32" s="666"/>
      <c r="CU32" s="666"/>
      <c r="CV32" s="671"/>
      <c r="CW32" s="684"/>
      <c r="CX32" s="676"/>
      <c r="CY32" s="673"/>
    </row>
    <row r="33" spans="2:103" ht="15" thickTop="1">
      <c r="B33" s="705" t="s">
        <v>56</v>
      </c>
      <c r="C33" s="66">
        <v>1</v>
      </c>
      <c r="D33" s="66">
        <v>2</v>
      </c>
      <c r="E33" s="66">
        <v>3</v>
      </c>
      <c r="F33" s="66">
        <v>4</v>
      </c>
      <c r="G33" s="66">
        <v>5</v>
      </c>
      <c r="H33" s="66">
        <v>6</v>
      </c>
      <c r="I33" s="66">
        <v>7</v>
      </c>
      <c r="J33" s="66">
        <v>8</v>
      </c>
      <c r="K33" s="66">
        <v>9</v>
      </c>
      <c r="L33" s="66">
        <v>10</v>
      </c>
      <c r="M33" s="66">
        <v>11</v>
      </c>
      <c r="N33" s="66">
        <v>12</v>
      </c>
      <c r="O33" s="66">
        <v>13</v>
      </c>
      <c r="P33" s="66">
        <v>14</v>
      </c>
      <c r="Q33" s="66">
        <v>15</v>
      </c>
      <c r="R33" s="66">
        <v>16</v>
      </c>
      <c r="S33" s="66">
        <v>17</v>
      </c>
      <c r="T33" s="66">
        <v>18</v>
      </c>
      <c r="U33" s="66">
        <v>19</v>
      </c>
      <c r="V33" s="66">
        <v>20</v>
      </c>
      <c r="W33" s="66">
        <v>21</v>
      </c>
      <c r="X33" s="66">
        <v>22</v>
      </c>
      <c r="Y33" s="66">
        <v>23</v>
      </c>
      <c r="Z33" s="66">
        <v>24</v>
      </c>
      <c r="AA33" s="66">
        <v>25</v>
      </c>
      <c r="AB33" s="66">
        <v>26</v>
      </c>
      <c r="AC33" s="66">
        <v>27</v>
      </c>
      <c r="AD33" s="66">
        <v>28</v>
      </c>
      <c r="AE33" s="66">
        <v>29</v>
      </c>
      <c r="AF33" s="66"/>
      <c r="AG33" s="279"/>
      <c r="AH33" s="706">
        <f>COUNTIF($C34:$AG34,Code1)</f>
        <v>0</v>
      </c>
      <c r="AI33" s="660">
        <f>COUNTIF($C34:$AG34,code22)</f>
        <v>0</v>
      </c>
      <c r="AJ33" s="660">
        <f>COUNTIF($C34:$AG34,Code2)</f>
        <v>0</v>
      </c>
      <c r="AK33" s="660">
        <f>COUNTIF($C34:$AG34,Code3)</f>
        <v>0</v>
      </c>
      <c r="AL33" s="660">
        <f>COUNTIF($C34:$AG34,Code4)</f>
        <v>0</v>
      </c>
      <c r="AM33" s="660">
        <f>COUNTIF($C34:$AG34,Code5)</f>
        <v>0</v>
      </c>
      <c r="AN33" s="660">
        <f>COUNTIF($C34:$AG34,Code23)</f>
        <v>0</v>
      </c>
      <c r="AO33" s="660">
        <f>COUNTIF($C34:$AG34,Code6)</f>
        <v>0</v>
      </c>
      <c r="AP33" s="660">
        <f>COUNTIF($C34:$AG34,Code7)</f>
        <v>0</v>
      </c>
      <c r="AQ33" s="660">
        <f>COUNTIF($C34:$AG34,Code8)</f>
        <v>0</v>
      </c>
      <c r="AR33" s="662">
        <f>COUNTIF($C34:$AG34,Code9)</f>
        <v>0</v>
      </c>
      <c r="AS33" s="662">
        <f>COUNTIF($C34:$AG34,Code10)</f>
        <v>0</v>
      </c>
      <c r="AT33" s="668">
        <f>COUNTIF($C34:$AG34,Code11)</f>
        <v>0</v>
      </c>
      <c r="AU33" s="662">
        <f>COUNTIF($C34:$AG34,Code12)</f>
        <v>0</v>
      </c>
      <c r="AV33" s="662">
        <f>COUNTIF($C34:$AG34,Code13)</f>
        <v>0</v>
      </c>
      <c r="AW33" s="662">
        <f>COUNTIF($C34:$AG34,Code14)</f>
        <v>0</v>
      </c>
      <c r="AX33" s="662">
        <f>COUNTIF($C34:$AG34,Code15)</f>
        <v>0</v>
      </c>
      <c r="AY33" s="662">
        <f>COUNTIF($C34:$AG34,Code16)</f>
        <v>0</v>
      </c>
      <c r="AZ33" s="662">
        <f>COUNTIF($C34:$AG34,Code17)</f>
        <v>0</v>
      </c>
      <c r="BA33" s="660">
        <f>COUNTIF($C34:$AG34,Code25)</f>
        <v>0</v>
      </c>
      <c r="BB33" s="660">
        <f>COUNTIF($C34:$AG34,Code26)</f>
        <v>0</v>
      </c>
      <c r="BC33" s="378">
        <f>COUNTIF($C34:$AG34,Code27)</f>
        <v>0</v>
      </c>
      <c r="BD33" s="660">
        <f>COUNTIF($C34:$AG34,Code28)</f>
        <v>0</v>
      </c>
      <c r="BE33" s="660">
        <f>COUNTIF($C34:$AG34,code30)</f>
        <v>0</v>
      </c>
      <c r="BF33" s="660">
        <f>COUNTIF($C34:$AG34,Code31)</f>
        <v>0</v>
      </c>
      <c r="BG33" s="662">
        <f>COUNTIF($C34:$AG34,code21)</f>
        <v>0</v>
      </c>
      <c r="BH33" s="662">
        <f>COUNTIF($C34:$AG34,Code24)</f>
        <v>0</v>
      </c>
      <c r="BI33" s="662">
        <f>COUNTIF($C34:$AG34,code18)</f>
        <v>0</v>
      </c>
      <c r="BJ33" s="662">
        <f>COUNTIF($C34:$AG34,code19)</f>
        <v>0</v>
      </c>
      <c r="BK33" s="662">
        <f>COUNTIF($C34:$AG34,code20)</f>
        <v>0</v>
      </c>
      <c r="BL33" s="722">
        <f>COUNTIF($C34:$AG34,code29)</f>
        <v>0</v>
      </c>
      <c r="BM33" s="665">
        <f>COUNTIF(A11:A166,BM11-BM166)</f>
        <v>0</v>
      </c>
      <c r="BN33" s="665" t="str">
        <f>Fevrier!BN11&amp;BN154</f>
        <v/>
      </c>
      <c r="BO33" s="665" t="str">
        <f>Fevrier!BO11&amp;BO154</f>
        <v/>
      </c>
      <c r="BP33" s="665" t="str">
        <f>Fevrier!BP11&amp;BP154</f>
        <v/>
      </c>
      <c r="BQ33" s="665" t="str">
        <f>Fevrier!BQ11&amp;BQ154</f>
        <v/>
      </c>
      <c r="BR33" s="665" t="str">
        <f>Fevrier!BR11&amp;BR154</f>
        <v/>
      </c>
      <c r="BS33" s="665" t="str">
        <f>Fevrier!BS11&amp;BS154</f>
        <v/>
      </c>
      <c r="BT33" s="665" t="str">
        <f>Fevrier!BT11&amp;BT154</f>
        <v/>
      </c>
      <c r="BU33" s="665" t="str">
        <f>Fevrier!BU11&amp;BU154</f>
        <v/>
      </c>
      <c r="BV33" s="665" t="str">
        <f>Fevrier!BV11&amp;BV154</f>
        <v/>
      </c>
      <c r="BW33" s="665" t="str">
        <f>Fevrier!BW11&amp;BW154</f>
        <v/>
      </c>
      <c r="BX33" s="665" t="str">
        <f>Fevrier!BX11&amp;BX154</f>
        <v/>
      </c>
      <c r="BY33" s="665" t="str">
        <f>Fevrier!BY11&amp;BY154</f>
        <v/>
      </c>
      <c r="BZ33" s="665" t="str">
        <f>Fevrier!BZ11&amp;BZ154</f>
        <v/>
      </c>
      <c r="CA33" s="665" t="str">
        <f>Fevrier!CA11&amp;CA154</f>
        <v/>
      </c>
      <c r="CB33" s="665" t="str">
        <f>Fevrier!CB11&amp;CB154</f>
        <v/>
      </c>
      <c r="CC33" s="665" t="str">
        <f>Fevrier!CC11&amp;CC154</f>
        <v/>
      </c>
      <c r="CD33" s="665" t="str">
        <f>Fevrier!CD11&amp;CD154</f>
        <v/>
      </c>
      <c r="CE33" s="665" t="str">
        <f>Fevrier!CE11&amp;CE154</f>
        <v/>
      </c>
      <c r="CF33" s="665" t="str">
        <f>Fevrier!CF11&amp;CF154</f>
        <v/>
      </c>
      <c r="CG33" s="665" t="str">
        <f>Fevrier!CG11&amp;CG154</f>
        <v/>
      </c>
      <c r="CH33" s="665" t="str">
        <f>Fevrier!CH11&amp;CH154</f>
        <v/>
      </c>
      <c r="CI33" s="665" t="str">
        <f>Fevrier!CI11&amp;CI154</f>
        <v/>
      </c>
      <c r="CJ33" s="665" t="str">
        <f>Fevrier!CJ11&amp;CJ154</f>
        <v/>
      </c>
      <c r="CK33" s="665" t="str">
        <f>Fevrier!CK11&amp;CK154</f>
        <v/>
      </c>
      <c r="CL33" s="665" t="str">
        <f>Fevrier!CL11&amp;CL154</f>
        <v/>
      </c>
      <c r="CM33" s="665" t="str">
        <f>Fevrier!CM11&amp;CM154</f>
        <v/>
      </c>
      <c r="CN33" s="665" t="str">
        <f>Fevrier!CN11&amp;CN154</f>
        <v/>
      </c>
      <c r="CO33" s="665" t="str">
        <f>Fevrier!CO11&amp;CO154</f>
        <v/>
      </c>
      <c r="CP33" s="665" t="str">
        <f>Fevrier!CP11&amp;CP154</f>
        <v/>
      </c>
      <c r="CQ33" s="665" t="str">
        <f>Fevrier!CQ11&amp;CQ154</f>
        <v/>
      </c>
      <c r="CR33" s="665" t="str">
        <f>Fevrier!CR11&amp;CR154</f>
        <v/>
      </c>
      <c r="CS33" s="665" t="str">
        <f>Fevrier!CS11&amp;CS154</f>
        <v/>
      </c>
      <c r="CT33" s="665" t="str">
        <f>Fevrier!CT11&amp;CT154</f>
        <v/>
      </c>
      <c r="CU33" s="665" t="str">
        <f>Fevrier!CU11&amp;CU154</f>
        <v/>
      </c>
      <c r="CV33" s="670">
        <f t="shared" ref="CV33" si="20">SUM((AH33*1)+(AI33*1.5)+(AJ33*2)+(AK33*3)+(AP33*5)+(AQ33*6)+(AR33*7)+(AU33*2)+(AX33*3)+(AY33*4)+(AZ33*5)+(BB33*3)+(BA33*2)+(BG33*2)+(BC33*2)+(BD33*2)+(BE33*3)+(BF33*3))</f>
        <v>0</v>
      </c>
      <c r="CW33" s="687">
        <f t="shared" ref="CW33" si="21">SUM((AM33*2)+(AN33*1)+(AO33*3)+(AP33*4)+(AT33*5)+(AU33*6)+(AV33*5)+(AW33*7)+(AX33*4)+(AY33*3)+(AZ33*2)+(BA33*4)+(BB33*1)+(BC33*5)+(BD33*1)+(BG33*2)+(BE33*2)+(BF33*3))</f>
        <v>0</v>
      </c>
      <c r="CX33" s="674">
        <f t="shared" ref="CX33" si="22">BH33*1+BL33*3</f>
        <v>0</v>
      </c>
      <c r="CY33" s="672">
        <f t="shared" ref="CY33" si="23">SUM((BI33*7)+(BJ33*10)+(BK33*12))</f>
        <v>0</v>
      </c>
    </row>
    <row r="34" spans="2:103" ht="15" thickBot="1">
      <c r="B34" s="705"/>
      <c r="C34" s="65">
        <f>IFERROR(VLOOKUP(RechercheÉtudiant1,PArticipationFevrier1[],3,FALSE),"")</f>
        <v>0</v>
      </c>
      <c r="D34" s="65">
        <f>IFERROR(VLOOKUP(RechercheÉtudiant1,PArticipationFevrier1[],4,FALSE),"")</f>
        <v>0</v>
      </c>
      <c r="E34" s="65">
        <f>IFERROR(VLOOKUP(RechercheÉtudiant1,PArticipationFevrier1[],5,FALSE),"")</f>
        <v>0</v>
      </c>
      <c r="F34" s="65">
        <f>IFERROR(VLOOKUP(RechercheÉtudiant1,PArticipationFevrier1[],6,FALSE),"")</f>
        <v>0</v>
      </c>
      <c r="G34" s="65">
        <f>IFERROR(VLOOKUP(RechercheÉtudiant1,PArticipationFevrier1[],7,FALSE),"")</f>
        <v>0</v>
      </c>
      <c r="H34" s="65">
        <f>IFERROR(VLOOKUP(RechercheÉtudiant1,PArticipationFevrier1[],8,FALSE),"")</f>
        <v>0</v>
      </c>
      <c r="I34" s="65">
        <f>IFERROR(VLOOKUP(RechercheÉtudiant1,PArticipationFevrier1[],9,FALSE),"")</f>
        <v>0</v>
      </c>
      <c r="J34" s="65">
        <f>IFERROR(VLOOKUP(RechercheÉtudiant1,PArticipationFevrier1[],10,FALSE),"")</f>
        <v>0</v>
      </c>
      <c r="K34" s="65">
        <f>IFERROR(VLOOKUP(RechercheÉtudiant1,PArticipationFevrier1[],11,FALSE),"")</f>
        <v>0</v>
      </c>
      <c r="L34" s="65">
        <f>IFERROR(VLOOKUP(RechercheÉtudiant1,PArticipationFevrier1[],12,FALSE),"")</f>
        <v>0</v>
      </c>
      <c r="M34" s="65">
        <f>IFERROR(VLOOKUP(RechercheÉtudiant1,PArticipationFevrier1[],13,FALSE),"")</f>
        <v>0</v>
      </c>
      <c r="N34" s="65">
        <f>IFERROR(VLOOKUP(RechercheÉtudiant1,PArticipationFevrier1[],14,FALSE),"")</f>
        <v>0</v>
      </c>
      <c r="O34" s="65">
        <f>IFERROR(VLOOKUP(RechercheÉtudiant1,PArticipationFevrier1[],15,FALSE),"")</f>
        <v>0</v>
      </c>
      <c r="P34" s="65">
        <f>IFERROR(VLOOKUP(RechercheÉtudiant1,PArticipationFevrier1[],16,FALSE),"")</f>
        <v>0</v>
      </c>
      <c r="Q34" s="65">
        <f>IFERROR(VLOOKUP(RechercheÉtudiant1,PArticipationFevrier1[],17,FALSE),"")</f>
        <v>0</v>
      </c>
      <c r="R34" s="65">
        <f>IFERROR(VLOOKUP(RechercheÉtudiant1,PArticipationFevrier1[],18,FALSE),"")</f>
        <v>0</v>
      </c>
      <c r="S34" s="65">
        <f>IFERROR(VLOOKUP(RechercheÉtudiant1,PArticipationFevrier1[],19,FALSE),"")</f>
        <v>0</v>
      </c>
      <c r="T34" s="65">
        <f>IFERROR(VLOOKUP(RechercheÉtudiant1,PArticipationFevrier1[],20,FALSE),"")</f>
        <v>0</v>
      </c>
      <c r="U34" s="65">
        <f>IFERROR(VLOOKUP(RechercheÉtudiant1,PArticipationFevrier1[],21,FALSE),"")</f>
        <v>0</v>
      </c>
      <c r="V34" s="65">
        <f>IFERROR(VLOOKUP(RechercheÉtudiant1,PArticipationFevrier1[],22,FALSE),"")</f>
        <v>0</v>
      </c>
      <c r="W34" s="65">
        <f>IFERROR(VLOOKUP(RechercheÉtudiant1,PArticipationFevrier1[],23,FALSE),"")</f>
        <v>0</v>
      </c>
      <c r="X34" s="65">
        <f>IFERROR(VLOOKUP(RechercheÉtudiant1,PArticipationFevrier1[],24,FALSE),"")</f>
        <v>0</v>
      </c>
      <c r="Y34" s="65">
        <f>IFERROR(VLOOKUP(RechercheÉtudiant1,PArticipationFevrier1[],25,FALSE),"")</f>
        <v>0</v>
      </c>
      <c r="Z34" s="65">
        <f>IFERROR(VLOOKUP(RechercheÉtudiant1,PArticipationFevrier1[],26,FALSE),"")</f>
        <v>0</v>
      </c>
      <c r="AA34" s="65">
        <f>IFERROR(VLOOKUP(RechercheÉtudiant1,PArticipationFevrier1[],27,FALSE),"")</f>
        <v>0</v>
      </c>
      <c r="AB34" s="65">
        <f>IFERROR(VLOOKUP(RechercheÉtudiant1,PArticipationFevrier1[],28,FALSE),"")</f>
        <v>0</v>
      </c>
      <c r="AC34" s="65">
        <f>IFERROR(VLOOKUP(RechercheÉtudiant1,PArticipationFevrier1[],29,FALSE),"")</f>
        <v>0</v>
      </c>
      <c r="AD34" s="65">
        <f>IFERROR(VLOOKUP(RechercheÉtudiant1,PArticipationFevrier1[],30,FALSE),"")</f>
        <v>0</v>
      </c>
      <c r="AE34" s="65">
        <f>IFERROR(VLOOKUP(RechercheÉtudiant1,PArticipationFevrier1[],3,FALSE),"")</f>
        <v>0</v>
      </c>
      <c r="AF34" s="65">
        <f>IFERROR(VLOOKUP(RechercheÉtudiant1,PArticipationFevrier1[],3,FALSE),"")</f>
        <v>0</v>
      </c>
      <c r="AG34" s="280">
        <f>IFERROR(VLOOKUP(RechercheÉtudiant1,PArticipationFevrier1[],3,FALSE),"")</f>
        <v>0</v>
      </c>
      <c r="AH34" s="707"/>
      <c r="AI34" s="663"/>
      <c r="AJ34" s="663"/>
      <c r="AK34" s="663"/>
      <c r="AL34" s="663"/>
      <c r="AM34" s="663"/>
      <c r="AN34" s="663"/>
      <c r="AO34" s="663"/>
      <c r="AP34" s="663"/>
      <c r="AQ34" s="664"/>
      <c r="AR34" s="664"/>
      <c r="AS34" s="664"/>
      <c r="AT34" s="664"/>
      <c r="AU34" s="664"/>
      <c r="AV34" s="663"/>
      <c r="AW34" s="664"/>
      <c r="AX34" s="664"/>
      <c r="AY34" s="664"/>
      <c r="AZ34" s="664"/>
      <c r="BA34" s="663"/>
      <c r="BB34" s="663"/>
      <c r="BC34" s="377"/>
      <c r="BD34" s="663"/>
      <c r="BE34" s="663"/>
      <c r="BF34" s="663"/>
      <c r="BG34" s="664"/>
      <c r="BH34" s="664"/>
      <c r="BI34" s="664"/>
      <c r="BJ34" s="664"/>
      <c r="BK34" s="664"/>
      <c r="BL34" s="721"/>
      <c r="BM34" s="666"/>
      <c r="BN34" s="666"/>
      <c r="BO34" s="666"/>
      <c r="BP34" s="666"/>
      <c r="BQ34" s="666"/>
      <c r="BR34" s="666"/>
      <c r="BS34" s="666"/>
      <c r="BT34" s="666"/>
      <c r="BU34" s="666"/>
      <c r="BV34" s="666"/>
      <c r="BW34" s="666"/>
      <c r="BX34" s="666"/>
      <c r="BY34" s="666"/>
      <c r="BZ34" s="666"/>
      <c r="CA34" s="666"/>
      <c r="CB34" s="666"/>
      <c r="CC34" s="666"/>
      <c r="CD34" s="666"/>
      <c r="CE34" s="666"/>
      <c r="CF34" s="666"/>
      <c r="CG34" s="666"/>
      <c r="CH34" s="666"/>
      <c r="CI34" s="666"/>
      <c r="CJ34" s="666"/>
      <c r="CK34" s="666"/>
      <c r="CL34" s="666"/>
      <c r="CM34" s="666"/>
      <c r="CN34" s="666"/>
      <c r="CO34" s="666"/>
      <c r="CP34" s="666"/>
      <c r="CQ34" s="666"/>
      <c r="CR34" s="666"/>
      <c r="CS34" s="666"/>
      <c r="CT34" s="666"/>
      <c r="CU34" s="666"/>
      <c r="CV34" s="671"/>
      <c r="CW34" s="688"/>
      <c r="CX34" s="676"/>
      <c r="CY34" s="673"/>
    </row>
    <row r="35" spans="2:103" ht="15" thickTop="1">
      <c r="B35" s="705" t="s">
        <v>57</v>
      </c>
      <c r="C35" s="66">
        <v>1</v>
      </c>
      <c r="D35" s="66">
        <v>2</v>
      </c>
      <c r="E35" s="66">
        <v>3</v>
      </c>
      <c r="F35" s="66">
        <v>4</v>
      </c>
      <c r="G35" s="66">
        <v>5</v>
      </c>
      <c r="H35" s="66">
        <v>6</v>
      </c>
      <c r="I35" s="66">
        <v>7</v>
      </c>
      <c r="J35" s="66">
        <v>8</v>
      </c>
      <c r="K35" s="66">
        <v>9</v>
      </c>
      <c r="L35" s="66">
        <v>10</v>
      </c>
      <c r="M35" s="66">
        <v>11</v>
      </c>
      <c r="N35" s="66">
        <v>12</v>
      </c>
      <c r="O35" s="66">
        <v>13</v>
      </c>
      <c r="P35" s="66">
        <v>14</v>
      </c>
      <c r="Q35" s="66">
        <v>15</v>
      </c>
      <c r="R35" s="66">
        <v>16</v>
      </c>
      <c r="S35" s="66">
        <v>17</v>
      </c>
      <c r="T35" s="66">
        <v>18</v>
      </c>
      <c r="U35" s="66">
        <v>19</v>
      </c>
      <c r="V35" s="66">
        <v>20</v>
      </c>
      <c r="W35" s="66">
        <v>21</v>
      </c>
      <c r="X35" s="66">
        <v>22</v>
      </c>
      <c r="Y35" s="66">
        <v>23</v>
      </c>
      <c r="Z35" s="66">
        <v>24</v>
      </c>
      <c r="AA35" s="66">
        <v>25</v>
      </c>
      <c r="AB35" s="66">
        <v>26</v>
      </c>
      <c r="AC35" s="66">
        <v>27</v>
      </c>
      <c r="AD35" s="66">
        <v>28</v>
      </c>
      <c r="AE35" s="66">
        <v>29</v>
      </c>
      <c r="AF35" s="66">
        <v>30</v>
      </c>
      <c r="AG35" s="279">
        <v>31</v>
      </c>
      <c r="AH35" s="706">
        <f>COUNTIF($C36:$AG36,Code1)</f>
        <v>0</v>
      </c>
      <c r="AI35" s="660">
        <f>COUNTIF($C36:$AG36,code22)</f>
        <v>0</v>
      </c>
      <c r="AJ35" s="660">
        <f>COUNTIF($C36:$AG36,Code2)</f>
        <v>0</v>
      </c>
      <c r="AK35" s="660">
        <f>COUNTIF($C36:$AG36,Code3)</f>
        <v>0</v>
      </c>
      <c r="AL35" s="660">
        <f>COUNTIF($C36:$AG36,Code4)</f>
        <v>0</v>
      </c>
      <c r="AM35" s="660">
        <f>COUNTIF($C36:$AG36,Code5)</f>
        <v>0</v>
      </c>
      <c r="AN35" s="660">
        <f>COUNTIF($C36:$AG36,Code23)</f>
        <v>0</v>
      </c>
      <c r="AO35" s="660">
        <f>COUNTIF($C36:$AG36,Code6)</f>
        <v>0</v>
      </c>
      <c r="AP35" s="660">
        <f>COUNTIF($C36:$AG36,Code7)</f>
        <v>0</v>
      </c>
      <c r="AQ35" s="662">
        <f>COUNTIF($C36:$AG36,Code8)</f>
        <v>0</v>
      </c>
      <c r="AR35" s="662">
        <f>COUNTIF($C36:$AG36,Code9)</f>
        <v>0</v>
      </c>
      <c r="AS35" s="662">
        <f>COUNTIF($C36:$AG36,Code10)</f>
        <v>0</v>
      </c>
      <c r="AT35" s="668">
        <f>COUNTIF($C36:$AG36,Code11)</f>
        <v>0</v>
      </c>
      <c r="AU35" s="662">
        <f>COUNTIF($C36:$AG36,Code12)</f>
        <v>0</v>
      </c>
      <c r="AV35" s="662">
        <f>COUNTIF($C36:$AG36,Code13)</f>
        <v>0</v>
      </c>
      <c r="AW35" s="662">
        <f>COUNTIF($C36:$AG36,Code14)</f>
        <v>0</v>
      </c>
      <c r="AX35" s="662">
        <f>COUNTIF($C36:$AG36,Code15)</f>
        <v>0</v>
      </c>
      <c r="AY35" s="662">
        <f>COUNTIF($C36:$AG36,Code16)</f>
        <v>0</v>
      </c>
      <c r="AZ35" s="662">
        <f>COUNTIF($C36:$AG36,Code17)</f>
        <v>0</v>
      </c>
      <c r="BA35" s="660">
        <f>COUNTIF($C36:$AG36,Code25)</f>
        <v>0</v>
      </c>
      <c r="BB35" s="660">
        <f>COUNTIF($C36:$AG36,Code26)</f>
        <v>0</v>
      </c>
      <c r="BC35" s="378">
        <f>COUNTIF($C36:$AG36,Code27)</f>
        <v>0</v>
      </c>
      <c r="BD35" s="660">
        <f>COUNTIF($C36:$AG36,Code28)</f>
        <v>0</v>
      </c>
      <c r="BE35" s="660">
        <f>COUNTIF($C36:$AG36,code30)</f>
        <v>0</v>
      </c>
      <c r="BF35" s="660">
        <f>COUNTIF($C36:$AG36,Code31)</f>
        <v>0</v>
      </c>
      <c r="BG35" s="662">
        <f>COUNTIF($C36:$AG36,code21)</f>
        <v>0</v>
      </c>
      <c r="BH35" s="662">
        <f>COUNTIF($C36:$AG36,Code24)</f>
        <v>0</v>
      </c>
      <c r="BI35" s="662">
        <f>COUNTIF($C36:$AG36,code18)</f>
        <v>0</v>
      </c>
      <c r="BJ35" s="662">
        <f>COUNTIF($C36:$AG36,code19)</f>
        <v>0</v>
      </c>
      <c r="BK35" s="662">
        <f>COUNTIF($C36:$AG36,code20)</f>
        <v>0</v>
      </c>
      <c r="BL35" s="722">
        <f>COUNTIF($C36:$AG36,code29)</f>
        <v>0</v>
      </c>
      <c r="BM35" s="665"/>
      <c r="BN35" s="665">
        <f t="shared" ref="BN35:CU35" si="24">COUNTIF(B11:B168,BN11-BN168)</f>
        <v>0</v>
      </c>
      <c r="BO35" s="665">
        <f t="shared" si="24"/>
        <v>6</v>
      </c>
      <c r="BP35" s="665">
        <f t="shared" si="24"/>
        <v>5</v>
      </c>
      <c r="BQ35" s="665">
        <f t="shared" si="24"/>
        <v>6</v>
      </c>
      <c r="BR35" s="665">
        <f t="shared" si="24"/>
        <v>4</v>
      </c>
      <c r="BS35" s="665">
        <f t="shared" si="24"/>
        <v>6</v>
      </c>
      <c r="BT35" s="665">
        <f t="shared" si="24"/>
        <v>6</v>
      </c>
      <c r="BU35" s="665">
        <f t="shared" si="24"/>
        <v>6</v>
      </c>
      <c r="BV35" s="665">
        <f t="shared" si="24"/>
        <v>6</v>
      </c>
      <c r="BW35" s="665">
        <f t="shared" si="24"/>
        <v>6</v>
      </c>
      <c r="BX35" s="665">
        <f t="shared" si="24"/>
        <v>6</v>
      </c>
      <c r="BY35" s="665">
        <f t="shared" si="24"/>
        <v>6</v>
      </c>
      <c r="BZ35" s="665">
        <f t="shared" si="24"/>
        <v>6</v>
      </c>
      <c r="CA35" s="665">
        <f t="shared" si="24"/>
        <v>6</v>
      </c>
      <c r="CB35" s="665">
        <f t="shared" si="24"/>
        <v>6</v>
      </c>
      <c r="CC35" s="665">
        <f t="shared" si="24"/>
        <v>6</v>
      </c>
      <c r="CD35" s="665">
        <f t="shared" si="24"/>
        <v>6</v>
      </c>
      <c r="CE35" s="665">
        <f t="shared" si="24"/>
        <v>6</v>
      </c>
      <c r="CF35" s="665">
        <f t="shared" si="24"/>
        <v>6</v>
      </c>
      <c r="CG35" s="665">
        <f t="shared" si="24"/>
        <v>6</v>
      </c>
      <c r="CH35" s="665">
        <f t="shared" si="24"/>
        <v>6</v>
      </c>
      <c r="CI35" s="665">
        <f t="shared" si="24"/>
        <v>6</v>
      </c>
      <c r="CJ35" s="665">
        <f t="shared" si="24"/>
        <v>6</v>
      </c>
      <c r="CK35" s="665">
        <f t="shared" si="24"/>
        <v>5</v>
      </c>
      <c r="CL35" s="665">
        <f t="shared" si="24"/>
        <v>5</v>
      </c>
      <c r="CM35" s="665">
        <f t="shared" si="24"/>
        <v>6</v>
      </c>
      <c r="CN35" s="665">
        <f t="shared" si="24"/>
        <v>6</v>
      </c>
      <c r="CO35" s="665">
        <f t="shared" si="24"/>
        <v>6</v>
      </c>
      <c r="CP35" s="665">
        <f t="shared" si="24"/>
        <v>6</v>
      </c>
      <c r="CQ35" s="665">
        <f t="shared" si="24"/>
        <v>6</v>
      </c>
      <c r="CR35" s="665">
        <f t="shared" si="24"/>
        <v>6</v>
      </c>
      <c r="CS35" s="665">
        <f t="shared" si="24"/>
        <v>6</v>
      </c>
      <c r="CT35" s="665">
        <f t="shared" si="24"/>
        <v>13</v>
      </c>
      <c r="CU35" s="665">
        <f t="shared" si="24"/>
        <v>13</v>
      </c>
      <c r="CV35" s="670">
        <f t="shared" ref="CV35" si="25">SUM((AH35*1)+(AI35*1.5)+(AJ35*2)+(AK35*3)+(AP35*5)+(AQ35*6)+(AR35*7)+(AU35*2)+(AX35*3)+(AY35*4)+(AZ35*5)+(BB35*3)+(BA35*2)+(BG35*2)+(BC35*2)+(BD35*2)+(BE35*3)+(BF35*3))</f>
        <v>0</v>
      </c>
      <c r="CW35" s="687">
        <f t="shared" ref="CW35" si="26">SUM((AM35*2)+(AN35*1)+(AO35*3)+(AP35*4)+(AT35*5)+(AU35*6)+(AV35*5)+(AW35*7)+(AX35*4)+(AY35*3)+(AZ35*2)+(BA35*4)+(BB35*1)+(BC35*5)+(BD35*1)+(BG35*2)+(BE35*2)+(BF35*3))</f>
        <v>0</v>
      </c>
      <c r="CX35" s="674">
        <f t="shared" ref="CX35" si="27">BH35*1+BL35*3</f>
        <v>0</v>
      </c>
      <c r="CY35" s="672">
        <f t="shared" ref="CY35" si="28">SUM((BI35*7)+(BJ35*10)+(BK35*12))</f>
        <v>0</v>
      </c>
    </row>
    <row r="36" spans="2:103" ht="15" thickBot="1">
      <c r="B36" s="705"/>
      <c r="C36" s="65">
        <f>IFERROR(VLOOKUP(RechercheÉtudiant1,ParticipationMars1[],3,FALSE),"")</f>
        <v>0</v>
      </c>
      <c r="D36" s="65">
        <f>IFERROR(VLOOKUP(RechercheÉtudiant1,ParticipationMars1[],4,FALSE),"")</f>
        <v>0</v>
      </c>
      <c r="E36" s="65">
        <f>IFERROR(VLOOKUP(RechercheÉtudiant1,ParticipationMars1[],5,FALSE),"")</f>
        <v>0</v>
      </c>
      <c r="F36" s="65">
        <f>IFERROR(VLOOKUP(RechercheÉtudiant1,ParticipationMars1[],6,FALSE),"")</f>
        <v>0</v>
      </c>
      <c r="G36" s="65">
        <f>IFERROR(VLOOKUP(RechercheÉtudiant1,ParticipationMars1[],7,FALSE),"")</f>
        <v>0</v>
      </c>
      <c r="H36" s="65">
        <f>IFERROR(VLOOKUP(RechercheÉtudiant1,ParticipationMars1[],8,FALSE),"")</f>
        <v>0</v>
      </c>
      <c r="I36" s="65">
        <f>IFERROR(VLOOKUP(RechercheÉtudiant1,ParticipationMars1[],9,FALSE),"")</f>
        <v>0</v>
      </c>
      <c r="J36" s="65">
        <f>IFERROR(VLOOKUP(RechercheÉtudiant1,ParticipationMars1[],10,FALSE),"")</f>
        <v>0</v>
      </c>
      <c r="K36" s="65">
        <f>IFERROR(VLOOKUP(RechercheÉtudiant1,ParticipationMars1[],11,FALSE),"")</f>
        <v>0</v>
      </c>
      <c r="L36" s="65">
        <f>IFERROR(VLOOKUP(RechercheÉtudiant1,ParticipationMars1[],12,FALSE),"")</f>
        <v>0</v>
      </c>
      <c r="M36" s="65">
        <f>IFERROR(VLOOKUP(RechercheÉtudiant1,ParticipationMars1[],13,FALSE),"")</f>
        <v>0</v>
      </c>
      <c r="N36" s="65">
        <f>IFERROR(VLOOKUP(RechercheÉtudiant1,ParticipationMars1[],14,FALSE),"")</f>
        <v>0</v>
      </c>
      <c r="O36" s="65">
        <f>IFERROR(VLOOKUP(RechercheÉtudiant1,ParticipationMars1[],15,FALSE),"")</f>
        <v>0</v>
      </c>
      <c r="P36" s="65">
        <f>IFERROR(VLOOKUP(RechercheÉtudiant1,ParticipationMars1[],16,FALSE),"")</f>
        <v>0</v>
      </c>
      <c r="Q36" s="65">
        <f>IFERROR(VLOOKUP(RechercheÉtudiant1,ParticipationMars1[],17,FALSE),"")</f>
        <v>0</v>
      </c>
      <c r="R36" s="65">
        <f>IFERROR(VLOOKUP(RechercheÉtudiant1,ParticipationMars1[],18,FALSE),"")</f>
        <v>0</v>
      </c>
      <c r="S36" s="65">
        <f>IFERROR(VLOOKUP(RechercheÉtudiant1,ParticipationMars1[],19,FALSE),"")</f>
        <v>0</v>
      </c>
      <c r="T36" s="65">
        <f>IFERROR(VLOOKUP(RechercheÉtudiant1,ParticipationMars1[],20,FALSE),"")</f>
        <v>0</v>
      </c>
      <c r="U36" s="65">
        <f>IFERROR(VLOOKUP(RechercheÉtudiant1,ParticipationMars1[],21,FALSE),"")</f>
        <v>0</v>
      </c>
      <c r="V36" s="65">
        <f>IFERROR(VLOOKUP(RechercheÉtudiant1,ParticipationMars1[],22,FALSE),"")</f>
        <v>0</v>
      </c>
      <c r="W36" s="65">
        <f>IFERROR(VLOOKUP(RechercheÉtudiant1,ParticipationMars1[],23,FALSE),"")</f>
        <v>0</v>
      </c>
      <c r="X36" s="65">
        <f>IFERROR(VLOOKUP(RechercheÉtudiant1,ParticipationMars1[],24,FALSE),"")</f>
        <v>0</v>
      </c>
      <c r="Y36" s="65">
        <f>IFERROR(VLOOKUP(RechercheÉtudiant1,ParticipationMars1[],25,FALSE),"")</f>
        <v>0</v>
      </c>
      <c r="Z36" s="65">
        <f>IFERROR(VLOOKUP(RechercheÉtudiant1,ParticipationMars1[],26,FALSE),"")</f>
        <v>0</v>
      </c>
      <c r="AA36" s="65">
        <f>IFERROR(VLOOKUP(RechercheÉtudiant1,ParticipationMars1[],27,FALSE),"")</f>
        <v>0</v>
      </c>
      <c r="AB36" s="65">
        <f>IFERROR(VLOOKUP(RechercheÉtudiant1,ParticipationMars1[],28,FALSE),"")</f>
        <v>0</v>
      </c>
      <c r="AC36" s="65">
        <f>IFERROR(VLOOKUP(RechercheÉtudiant1,ParticipationMars1[],29,FALSE),"")</f>
        <v>0</v>
      </c>
      <c r="AD36" s="65">
        <f>IFERROR(VLOOKUP(RechercheÉtudiant1,ParticipationMars1[],30,FALSE),"")</f>
        <v>0</v>
      </c>
      <c r="AE36" s="65">
        <f>IFERROR(VLOOKUP(RechercheÉtudiant1,ParticipationMars1[],31,FALSE),"")</f>
        <v>0</v>
      </c>
      <c r="AF36" s="65">
        <f>IFERROR(VLOOKUP(RechercheÉtudiant1,ParticipationMars1[],32,FALSE),"")</f>
        <v>0</v>
      </c>
      <c r="AG36" s="280">
        <f>IFERROR(VLOOKUP(RechercheÉtudiant1,ParticipationMars1[],33,FALSE),"")</f>
        <v>0</v>
      </c>
      <c r="AH36" s="707"/>
      <c r="AI36" s="663"/>
      <c r="AJ36" s="663"/>
      <c r="AK36" s="663"/>
      <c r="AL36" s="663"/>
      <c r="AM36" s="663"/>
      <c r="AN36" s="663"/>
      <c r="AO36" s="663"/>
      <c r="AP36" s="663"/>
      <c r="AQ36" s="664"/>
      <c r="AR36" s="664"/>
      <c r="AS36" s="664"/>
      <c r="AT36" s="664"/>
      <c r="AU36" s="664"/>
      <c r="AV36" s="663"/>
      <c r="AW36" s="664"/>
      <c r="AX36" s="664"/>
      <c r="AY36" s="664"/>
      <c r="AZ36" s="664"/>
      <c r="BA36" s="663"/>
      <c r="BB36" s="663"/>
      <c r="BC36" s="377"/>
      <c r="BD36" s="663"/>
      <c r="BE36" s="663"/>
      <c r="BF36" s="663"/>
      <c r="BG36" s="664"/>
      <c r="BH36" s="664"/>
      <c r="BI36" s="664"/>
      <c r="BJ36" s="664"/>
      <c r="BK36" s="664"/>
      <c r="BL36" s="721"/>
      <c r="BM36" s="666"/>
      <c r="BN36" s="666"/>
      <c r="BO36" s="666"/>
      <c r="BP36" s="666"/>
      <c r="BQ36" s="666"/>
      <c r="BR36" s="666"/>
      <c r="BS36" s="666"/>
      <c r="BT36" s="666"/>
      <c r="BU36" s="666"/>
      <c r="BV36" s="666"/>
      <c r="BW36" s="666"/>
      <c r="BX36" s="666"/>
      <c r="BY36" s="666"/>
      <c r="BZ36" s="666"/>
      <c r="CA36" s="666"/>
      <c r="CB36" s="666"/>
      <c r="CC36" s="666"/>
      <c r="CD36" s="666"/>
      <c r="CE36" s="666"/>
      <c r="CF36" s="666"/>
      <c r="CG36" s="666"/>
      <c r="CH36" s="666"/>
      <c r="CI36" s="666"/>
      <c r="CJ36" s="666"/>
      <c r="CK36" s="666"/>
      <c r="CL36" s="666"/>
      <c r="CM36" s="666"/>
      <c r="CN36" s="666"/>
      <c r="CO36" s="666"/>
      <c r="CP36" s="666"/>
      <c r="CQ36" s="666"/>
      <c r="CR36" s="666"/>
      <c r="CS36" s="666"/>
      <c r="CT36" s="666"/>
      <c r="CU36" s="666"/>
      <c r="CV36" s="671"/>
      <c r="CW36" s="688"/>
      <c r="CX36" s="676"/>
      <c r="CY36" s="673"/>
    </row>
    <row r="37" spans="2:103" ht="15" thickTop="1">
      <c r="B37" s="705" t="s">
        <v>58</v>
      </c>
      <c r="C37" s="66">
        <v>1</v>
      </c>
      <c r="D37" s="66">
        <v>2</v>
      </c>
      <c r="E37" s="66">
        <v>3</v>
      </c>
      <c r="F37" s="66">
        <v>4</v>
      </c>
      <c r="G37" s="66">
        <v>5</v>
      </c>
      <c r="H37" s="66">
        <v>6</v>
      </c>
      <c r="I37" s="66">
        <v>7</v>
      </c>
      <c r="J37" s="66">
        <v>8</v>
      </c>
      <c r="K37" s="66">
        <v>9</v>
      </c>
      <c r="L37" s="66">
        <v>10</v>
      </c>
      <c r="M37" s="66">
        <v>11</v>
      </c>
      <c r="N37" s="66">
        <v>12</v>
      </c>
      <c r="O37" s="66">
        <v>13</v>
      </c>
      <c r="P37" s="66">
        <v>14</v>
      </c>
      <c r="Q37" s="66">
        <v>15</v>
      </c>
      <c r="R37" s="66">
        <v>16</v>
      </c>
      <c r="S37" s="66">
        <v>17</v>
      </c>
      <c r="T37" s="66">
        <v>18</v>
      </c>
      <c r="U37" s="66">
        <v>19</v>
      </c>
      <c r="V37" s="66">
        <v>20</v>
      </c>
      <c r="W37" s="66">
        <v>21</v>
      </c>
      <c r="X37" s="66">
        <v>22</v>
      </c>
      <c r="Y37" s="66">
        <v>23</v>
      </c>
      <c r="Z37" s="66">
        <v>24</v>
      </c>
      <c r="AA37" s="66">
        <v>25</v>
      </c>
      <c r="AB37" s="66">
        <v>26</v>
      </c>
      <c r="AC37" s="66">
        <v>27</v>
      </c>
      <c r="AD37" s="66">
        <v>28</v>
      </c>
      <c r="AE37" s="66">
        <v>29</v>
      </c>
      <c r="AF37" s="66">
        <v>30</v>
      </c>
      <c r="AG37" s="279"/>
      <c r="AH37" s="706">
        <f>COUNTIF($C38:$AG38,Code1)</f>
        <v>0</v>
      </c>
      <c r="AI37" s="660">
        <f>COUNTIF($C38:$AG38,code22)</f>
        <v>0</v>
      </c>
      <c r="AJ37" s="660">
        <f>COUNTIF($C38:$AG38,Code2)</f>
        <v>1</v>
      </c>
      <c r="AK37" s="660">
        <f>COUNTIF($C38:$AG38,Code3)</f>
        <v>0</v>
      </c>
      <c r="AL37" s="660">
        <f>COUNTIF($C38:$AG38,Code4)</f>
        <v>0</v>
      </c>
      <c r="AM37" s="660">
        <f>COUNTIF($C38:$AG38,Code5)</f>
        <v>0</v>
      </c>
      <c r="AN37" s="660">
        <f>COUNTIF($C38:$AG38,Code23)</f>
        <v>0</v>
      </c>
      <c r="AO37" s="660">
        <f>COUNTIF($C38:$AG38,Code6)</f>
        <v>0</v>
      </c>
      <c r="AP37" s="660">
        <f>COUNTIF($C38:$AG38,Code7)</f>
        <v>0</v>
      </c>
      <c r="AQ37" s="662">
        <f>COUNTIF($C38:$AG38,Code8)</f>
        <v>0</v>
      </c>
      <c r="AR37" s="662">
        <f>COUNTIF($C38:$AG38,Code9)</f>
        <v>0</v>
      </c>
      <c r="AS37" s="662">
        <f>COUNTIF($C38:$AG38,Code10)</f>
        <v>0</v>
      </c>
      <c r="AT37" s="668">
        <f>COUNTIF($C38:$AG38,Code11)</f>
        <v>0</v>
      </c>
      <c r="AU37" s="662">
        <f>COUNTIF($C38:$AG38,Code12)</f>
        <v>0</v>
      </c>
      <c r="AV37" s="662">
        <f>COUNTIF($C38:$AG38,Code13)</f>
        <v>0</v>
      </c>
      <c r="AW37" s="662">
        <f>COUNTIF($C38:$AG38,Code14)</f>
        <v>0</v>
      </c>
      <c r="AX37" s="662">
        <f>COUNTIF($C38:$AG38,Code15)</f>
        <v>0</v>
      </c>
      <c r="AY37" s="662">
        <f>COUNTIF($C38:$AG38,Code16)</f>
        <v>0</v>
      </c>
      <c r="AZ37" s="662">
        <f>COUNTIF($C38:$AG38,Code17)</f>
        <v>0</v>
      </c>
      <c r="BA37" s="660">
        <f>COUNTIF($C38:$AG38,Code25)</f>
        <v>0</v>
      </c>
      <c r="BB37" s="660">
        <f>COUNTIF($C38:$AG38,Code26)</f>
        <v>0</v>
      </c>
      <c r="BC37" s="378">
        <f>COUNTIF($C38:$AG38,Code27)</f>
        <v>0</v>
      </c>
      <c r="BD37" s="660">
        <f>COUNTIF($C38:$AG38,Code28)</f>
        <v>0</v>
      </c>
      <c r="BE37" s="660">
        <f>COUNTIF($C38:$AG38,code30)</f>
        <v>0</v>
      </c>
      <c r="BF37" s="660">
        <f>COUNTIF($C38:$AG38,Code31)</f>
        <v>0</v>
      </c>
      <c r="BG37" s="662">
        <f>COUNTIF($C38:$AG38,code21)</f>
        <v>0</v>
      </c>
      <c r="BH37" s="662">
        <f>COUNTIF($C38:$AG38,Code24)</f>
        <v>0</v>
      </c>
      <c r="BI37" s="662">
        <f>COUNTIF($C38:$AG38,code18)</f>
        <v>0</v>
      </c>
      <c r="BJ37" s="662">
        <f>COUNTIF($C38:$AG38,code19)</f>
        <v>0</v>
      </c>
      <c r="BK37" s="662">
        <f>COUNTIF($C38:$AG38,code20)</f>
        <v>0</v>
      </c>
      <c r="BL37" s="722">
        <f>COUNTIF($C38:$AG38,code29)</f>
        <v>0</v>
      </c>
      <c r="BM37" s="665">
        <f t="shared" ref="BM37" si="29">COUNTIF(A23:A170,BM23-BM170)</f>
        <v>0</v>
      </c>
      <c r="BN37" s="665" t="str">
        <f>Avril!BN11&amp;BN154</f>
        <v>2</v>
      </c>
      <c r="BO37" s="665" t="str">
        <f>Avril!BO11&amp;BO154</f>
        <v/>
      </c>
      <c r="BP37" s="665" t="str">
        <f>Avril!BP11&amp;BP154</f>
        <v/>
      </c>
      <c r="BQ37" s="665" t="str">
        <f>Avril!BQ11&amp;BQ154</f>
        <v/>
      </c>
      <c r="BR37" s="665" t="str">
        <f>Avril!BR11&amp;BR154</f>
        <v/>
      </c>
      <c r="BS37" s="665" t="str">
        <f>Avril!BS11&amp;BS154</f>
        <v/>
      </c>
      <c r="BT37" s="665" t="str">
        <f>Avril!BT11&amp;BT154</f>
        <v>2</v>
      </c>
      <c r="BU37" s="665" t="str">
        <f>Avril!BU11&amp;BU154</f>
        <v/>
      </c>
      <c r="BV37" s="665" t="str">
        <f>Avril!BV11&amp;BV154</f>
        <v/>
      </c>
      <c r="BW37" s="665" t="str">
        <f>Avril!BW11&amp;BW154</f>
        <v>1</v>
      </c>
      <c r="BX37" s="665" t="str">
        <f>Avril!BX11&amp;BX154</f>
        <v/>
      </c>
      <c r="BY37" s="665" t="str">
        <f>Avril!BY11&amp;BY154</f>
        <v/>
      </c>
      <c r="BZ37" s="665" t="str">
        <f>Avril!BZ11&amp;BZ154</f>
        <v/>
      </c>
      <c r="CA37" s="665" t="str">
        <f>Avril!CA11&amp;CA154</f>
        <v/>
      </c>
      <c r="CB37" s="665" t="str">
        <f>Avril!CB11&amp;CB154</f>
        <v/>
      </c>
      <c r="CC37" s="665" t="str">
        <f>Avril!CC11&amp;CC154</f>
        <v/>
      </c>
      <c r="CD37" s="665" t="str">
        <f>Avril!CD11&amp;CD154</f>
        <v/>
      </c>
      <c r="CE37" s="665" t="str">
        <f>Avril!CE11&amp;CE154</f>
        <v/>
      </c>
      <c r="CF37" s="665" t="str">
        <f>Avril!CF11&amp;CF154</f>
        <v/>
      </c>
      <c r="CG37" s="665" t="str">
        <f>Avril!CG11&amp;CG154</f>
        <v>1</v>
      </c>
      <c r="CH37" s="665" t="str">
        <f>Avril!CH11&amp;CH154</f>
        <v/>
      </c>
      <c r="CI37" s="665" t="str">
        <f>Avril!CI11&amp;CI154</f>
        <v/>
      </c>
      <c r="CJ37" s="665" t="str">
        <f>Avril!CJ11&amp;CJ154</f>
        <v/>
      </c>
      <c r="CK37" s="665" t="str">
        <f>Avril!CK11&amp;CK154</f>
        <v>1</v>
      </c>
      <c r="CL37" s="665" t="str">
        <f>Avril!CL11&amp;CL154</f>
        <v/>
      </c>
      <c r="CM37" s="665" t="str">
        <f>Avril!CM11&amp;CM154</f>
        <v/>
      </c>
      <c r="CN37" s="665" t="str">
        <f>Avril!CN11&amp;CN154</f>
        <v/>
      </c>
      <c r="CO37" s="665" t="str">
        <f>Avril!CO11&amp;CO154</f>
        <v/>
      </c>
      <c r="CP37" s="665" t="str">
        <f>Avril!CP11&amp;CP154</f>
        <v/>
      </c>
      <c r="CQ37" s="665" t="str">
        <f>Avril!CQ11&amp;CQ154</f>
        <v/>
      </c>
      <c r="CR37" s="665" t="str">
        <f>Avril!CR11&amp;CR154</f>
        <v/>
      </c>
      <c r="CS37" s="665" t="str">
        <f>Avril!CS11&amp;CS154</f>
        <v/>
      </c>
      <c r="CT37" s="665" t="str">
        <f>Avril!CT11&amp;CT154</f>
        <v/>
      </c>
      <c r="CU37" s="665" t="str">
        <f>Avril!CU11&amp;CU154</f>
        <v/>
      </c>
      <c r="CV37" s="670">
        <f t="shared" ref="CV37" si="30">SUM((AH37*1)+(AI37*1.5)+(AJ37*2)+(AK37*3)+(AP37*5)+(AQ37*6)+(AR37*7)+(AU37*2)+(AX37*3)+(AY37*4)+(AZ37*5)+(BB37*3)+(BA37*2)+(BG37*2)+(BC37*2)+(BD37*2)+(BE37*3)+(BF37*3))</f>
        <v>2</v>
      </c>
      <c r="CW37" s="687">
        <f t="shared" ref="CW37" si="31">SUM((AM37*2)+(AN37*1)+(AO37*3)+(AP37*4)+(AT37*5)+(AU37*6)+(AV37*5)+(AW37*7)+(AX37*4)+(AY37*3)+(AZ37*2)+(BA37*4)+(BB37*1)+(BC37*5)+(BD37*1)+(BG37*2)+(BE37*2)+(BF37*3))</f>
        <v>0</v>
      </c>
      <c r="CX37" s="674">
        <f t="shared" ref="CX37" si="32">BH37*1+BL37*3</f>
        <v>0</v>
      </c>
      <c r="CY37" s="672">
        <f t="shared" ref="CY37" si="33">SUM((BI37*7)+(BJ37*10)+(BK37*12))</f>
        <v>0</v>
      </c>
    </row>
    <row r="38" spans="2:103" ht="15" thickBot="1">
      <c r="B38" s="705"/>
      <c r="C38" s="65">
        <f>IFERROR(VLOOKUP(RechercheÉtudiant1,ParticipationAvril1[],3,FALSE),"")</f>
        <v>0</v>
      </c>
      <c r="D38" s="65">
        <f>IFERROR(VLOOKUP(RechercheÉtudiant1,ParticipationAvril1[],4,FALSE),"")</f>
        <v>0</v>
      </c>
      <c r="E38" s="65">
        <f>IFERROR(VLOOKUP(RechercheÉtudiant1,ParticipationAvril1[],5,FALSE),"")</f>
        <v>0</v>
      </c>
      <c r="F38" s="65" t="str">
        <f>IFERROR(VLOOKUP(RechercheÉtudiant1,ParticipationAvril1[],6,FALSE),"")</f>
        <v>B</v>
      </c>
      <c r="G38" s="65">
        <f>IFERROR(VLOOKUP(RechercheÉtudiant1,ParticipationAvril1[],7,FALSE),"")</f>
        <v>0</v>
      </c>
      <c r="H38" s="65">
        <f>IFERROR(VLOOKUP(RechercheÉtudiant1,ParticipationAvril1[],8,FALSE),"")</f>
        <v>0</v>
      </c>
      <c r="I38" s="65">
        <f>IFERROR(VLOOKUP(RechercheÉtudiant1,ParticipationAvril1[],9,FALSE),"")</f>
        <v>0</v>
      </c>
      <c r="J38" s="65">
        <f>IFERROR(VLOOKUP(RechercheÉtudiant1,ParticipationAvril1[],10,FALSE),"")</f>
        <v>0</v>
      </c>
      <c r="K38" s="65">
        <f>IFERROR(VLOOKUP(RechercheÉtudiant1,ParticipationAvril1[],11,FALSE),"")</f>
        <v>0</v>
      </c>
      <c r="L38" s="65">
        <f>IFERROR(VLOOKUP(RechercheÉtudiant1,ParticipationAvril1[],12,FALSE),"")</f>
        <v>0</v>
      </c>
      <c r="M38" s="65">
        <f>IFERROR(VLOOKUP(RechercheÉtudiant1,ParticipationAvril1[],13,FALSE),"")</f>
        <v>0</v>
      </c>
      <c r="N38" s="65">
        <f>IFERROR(VLOOKUP(RechercheÉtudiant1,ParticipationAvril1[],14,FALSE),"")</f>
        <v>0</v>
      </c>
      <c r="O38" s="65">
        <f>IFERROR(VLOOKUP(RechercheÉtudiant1,ParticipationAvril1[],15,FALSE),"")</f>
        <v>0</v>
      </c>
      <c r="P38" s="65">
        <f>IFERROR(VLOOKUP(RechercheÉtudiant1,ParticipationAvril1[],16,FALSE),"")</f>
        <v>0</v>
      </c>
      <c r="Q38" s="65">
        <f>IFERROR(VLOOKUP(RechercheÉtudiant1,ParticipationAvril1[],17,FALSE),"")</f>
        <v>0</v>
      </c>
      <c r="R38" s="65">
        <f>IFERROR(VLOOKUP(RechercheÉtudiant1,ParticipationAvril1[],18,FALSE),"")</f>
        <v>0</v>
      </c>
      <c r="S38" s="65">
        <f>IFERROR(VLOOKUP(RechercheÉtudiant1,ParticipationAvril1[],19,FALSE),"")</f>
        <v>0</v>
      </c>
      <c r="T38" s="65">
        <f>IFERROR(VLOOKUP(RechercheÉtudiant1,ParticipationAvril1[],20,FALSE),"")</f>
        <v>0</v>
      </c>
      <c r="U38" s="65">
        <f>IFERROR(VLOOKUP(RechercheÉtudiant1,ParticipationAvril1[],21,FALSE),"")</f>
        <v>0</v>
      </c>
      <c r="V38" s="65">
        <f>IFERROR(VLOOKUP(RechercheÉtudiant1,ParticipationAvril1[],22,FALSE),"")</f>
        <v>0</v>
      </c>
      <c r="W38" s="65">
        <f>IFERROR(VLOOKUP(RechercheÉtudiant1,ParticipationAvril1[],23,FALSE),"")</f>
        <v>0</v>
      </c>
      <c r="X38" s="65">
        <f>IFERROR(VLOOKUP(RechercheÉtudiant1,ParticipationAvril1[],24,FALSE),"")</f>
        <v>0</v>
      </c>
      <c r="Y38" s="65">
        <f>IFERROR(VLOOKUP(RechercheÉtudiant1,ParticipationAvril1[],25,FALSE),"")</f>
        <v>0</v>
      </c>
      <c r="Z38" s="65">
        <f>IFERROR(VLOOKUP(RechercheÉtudiant1,ParticipationAvril1[],26,FALSE),"")</f>
        <v>0</v>
      </c>
      <c r="AA38" s="65">
        <f>IFERROR(VLOOKUP(RechercheÉtudiant1,ParticipationAvril1[],27,FALSE),"")</f>
        <v>0</v>
      </c>
      <c r="AB38" s="65">
        <f>IFERROR(VLOOKUP(RechercheÉtudiant1,ParticipationAvril1[],28,FALSE),"")</f>
        <v>0</v>
      </c>
      <c r="AC38" s="65">
        <f>IFERROR(VLOOKUP(RechercheÉtudiant1,ParticipationAvril1[],29,FALSE),"")</f>
        <v>0</v>
      </c>
      <c r="AD38" s="65">
        <f>IFERROR(VLOOKUP(RechercheÉtudiant1,ParticipationAvril1[],30,FALSE),"")</f>
        <v>0</v>
      </c>
      <c r="AE38" s="65">
        <f>IFERROR(VLOOKUP(RechercheÉtudiant1,ParticipationAvril1[],31,FALSE),"")</f>
        <v>0</v>
      </c>
      <c r="AF38" s="65">
        <f>IFERROR(VLOOKUP(RechercheÉtudiant1,ParticipationAvril1[],32,FALSE),"")</f>
        <v>0</v>
      </c>
      <c r="AG38" s="280">
        <f>IFERROR(VLOOKUP(RechercheÉtudiant1,ParticipationAvril1[],3,FALSE),"")</f>
        <v>0</v>
      </c>
      <c r="AH38" s="707"/>
      <c r="AI38" s="663"/>
      <c r="AJ38" s="663"/>
      <c r="AK38" s="663"/>
      <c r="AL38" s="663"/>
      <c r="AM38" s="663"/>
      <c r="AN38" s="663"/>
      <c r="AO38" s="663"/>
      <c r="AP38" s="663"/>
      <c r="AQ38" s="664"/>
      <c r="AR38" s="664"/>
      <c r="AS38" s="664"/>
      <c r="AT38" s="664"/>
      <c r="AU38" s="664"/>
      <c r="AV38" s="663"/>
      <c r="AW38" s="664"/>
      <c r="AX38" s="664"/>
      <c r="AY38" s="664"/>
      <c r="AZ38" s="664"/>
      <c r="BA38" s="664"/>
      <c r="BB38" s="664"/>
      <c r="BC38" s="377"/>
      <c r="BD38" s="664"/>
      <c r="BE38" s="664"/>
      <c r="BF38" s="664"/>
      <c r="BG38" s="664"/>
      <c r="BH38" s="664"/>
      <c r="BI38" s="664"/>
      <c r="BJ38" s="664"/>
      <c r="BK38" s="664"/>
      <c r="BL38" s="721"/>
      <c r="BM38" s="666"/>
      <c r="BN38" s="666"/>
      <c r="BO38" s="666"/>
      <c r="BP38" s="666"/>
      <c r="BQ38" s="666"/>
      <c r="BR38" s="666"/>
      <c r="BS38" s="666"/>
      <c r="BT38" s="666"/>
      <c r="BU38" s="666"/>
      <c r="BV38" s="666"/>
      <c r="BW38" s="666"/>
      <c r="BX38" s="666"/>
      <c r="BY38" s="666"/>
      <c r="BZ38" s="666"/>
      <c r="CA38" s="666"/>
      <c r="CB38" s="666"/>
      <c r="CC38" s="666"/>
      <c r="CD38" s="666"/>
      <c r="CE38" s="666"/>
      <c r="CF38" s="666"/>
      <c r="CG38" s="666"/>
      <c r="CH38" s="666"/>
      <c r="CI38" s="666"/>
      <c r="CJ38" s="666"/>
      <c r="CK38" s="666"/>
      <c r="CL38" s="666"/>
      <c r="CM38" s="666"/>
      <c r="CN38" s="666"/>
      <c r="CO38" s="666"/>
      <c r="CP38" s="666"/>
      <c r="CQ38" s="666"/>
      <c r="CR38" s="666"/>
      <c r="CS38" s="666"/>
      <c r="CT38" s="666"/>
      <c r="CU38" s="666"/>
      <c r="CV38" s="671"/>
      <c r="CW38" s="689"/>
      <c r="CX38" s="676"/>
      <c r="CY38" s="673"/>
    </row>
    <row r="39" spans="2:103" ht="15" thickTop="1">
      <c r="B39" s="705" t="s">
        <v>59</v>
      </c>
      <c r="C39" s="66">
        <v>1</v>
      </c>
      <c r="D39" s="66">
        <v>2</v>
      </c>
      <c r="E39" s="66">
        <v>3</v>
      </c>
      <c r="F39" s="66">
        <v>4</v>
      </c>
      <c r="G39" s="66">
        <v>5</v>
      </c>
      <c r="H39" s="66">
        <v>6</v>
      </c>
      <c r="I39" s="66">
        <v>7</v>
      </c>
      <c r="J39" s="66">
        <v>8</v>
      </c>
      <c r="K39" s="66">
        <v>9</v>
      </c>
      <c r="L39" s="66">
        <v>10</v>
      </c>
      <c r="M39" s="66">
        <v>11</v>
      </c>
      <c r="N39" s="66">
        <v>12</v>
      </c>
      <c r="O39" s="66">
        <v>13</v>
      </c>
      <c r="P39" s="66">
        <v>14</v>
      </c>
      <c r="Q39" s="66">
        <v>15</v>
      </c>
      <c r="R39" s="66">
        <v>16</v>
      </c>
      <c r="S39" s="66">
        <v>17</v>
      </c>
      <c r="T39" s="66">
        <v>18</v>
      </c>
      <c r="U39" s="66">
        <v>19</v>
      </c>
      <c r="V39" s="66">
        <v>20</v>
      </c>
      <c r="W39" s="66">
        <v>21</v>
      </c>
      <c r="X39" s="66">
        <v>22</v>
      </c>
      <c r="Y39" s="66">
        <v>23</v>
      </c>
      <c r="Z39" s="66">
        <v>24</v>
      </c>
      <c r="AA39" s="66">
        <v>25</v>
      </c>
      <c r="AB39" s="66">
        <v>26</v>
      </c>
      <c r="AC39" s="66">
        <v>27</v>
      </c>
      <c r="AD39" s="66">
        <v>28</v>
      </c>
      <c r="AE39" s="66">
        <v>29</v>
      </c>
      <c r="AF39" s="66">
        <v>30</v>
      </c>
      <c r="AG39" s="279">
        <v>31</v>
      </c>
      <c r="AH39" s="706">
        <f>COUNTIF($C40:$AG40,Code1)</f>
        <v>0</v>
      </c>
      <c r="AI39" s="660">
        <f>COUNTIF($C40:$AG40,code22)</f>
        <v>0</v>
      </c>
      <c r="AJ39" s="660">
        <f>COUNTIF($C40:$AG40,Code2)</f>
        <v>0</v>
      </c>
      <c r="AK39" s="660">
        <f>COUNTIF($C40:$AG40,Code3)</f>
        <v>0</v>
      </c>
      <c r="AL39" s="660">
        <f>COUNTIF($C40:$AG40,Code4)</f>
        <v>0</v>
      </c>
      <c r="AM39" s="660">
        <f>COUNTIF($C40:$AG40,Code5)</f>
        <v>0</v>
      </c>
      <c r="AN39" s="660">
        <f>COUNTIF($C40:$AG40,Code23)</f>
        <v>0</v>
      </c>
      <c r="AO39" s="660">
        <f>COUNTIF($C40:$AG40,Code6)</f>
        <v>0</v>
      </c>
      <c r="AP39" s="660">
        <f>COUNTIF($C40:$AG40,Code7)</f>
        <v>0</v>
      </c>
      <c r="AQ39" s="662">
        <f>COUNTIF($C40:$AG40,Code8)</f>
        <v>0</v>
      </c>
      <c r="AR39" s="662">
        <f>COUNTIF($C40:$AG40,Code9)</f>
        <v>0</v>
      </c>
      <c r="AS39" s="662">
        <f>COUNTIF($C40:$AG40,Code10)</f>
        <v>0</v>
      </c>
      <c r="AT39" s="668">
        <f>COUNTIF($C40:$AG40,Code11)</f>
        <v>0</v>
      </c>
      <c r="AU39" s="662">
        <f>COUNTIF($C40:$AG40,Code12)</f>
        <v>0</v>
      </c>
      <c r="AV39" s="662">
        <f>COUNTIF($C40:$AG40,Code13)</f>
        <v>0</v>
      </c>
      <c r="AW39" s="662">
        <f>COUNTIF($C40:$AG40,Code14)</f>
        <v>0</v>
      </c>
      <c r="AX39" s="662">
        <f>COUNTIF($C40:$AG40,Code15)</f>
        <v>0</v>
      </c>
      <c r="AY39" s="662">
        <f>COUNTIF($C40:$AG40,Code16)</f>
        <v>0</v>
      </c>
      <c r="AZ39" s="662">
        <f>COUNTIF($C40:$AG40,Code17)</f>
        <v>0</v>
      </c>
      <c r="BA39" s="662">
        <f>COUNTIF($C40:$AG40,Code25)</f>
        <v>0</v>
      </c>
      <c r="BB39" s="662">
        <f>COUNTIF($C40:$AG40,Code26)</f>
        <v>0</v>
      </c>
      <c r="BC39" s="378">
        <f>COUNTIF($C40:$AG40,Code27)</f>
        <v>0</v>
      </c>
      <c r="BD39" s="662">
        <f>COUNTIF($C40:$AG40,Code28)</f>
        <v>0</v>
      </c>
      <c r="BE39" s="662">
        <f>COUNTIF($C40:$AG40,code30)</f>
        <v>0</v>
      </c>
      <c r="BF39" s="662">
        <f>COUNTIF($C40:$AG40,Code31)</f>
        <v>0</v>
      </c>
      <c r="BG39" s="662">
        <f>COUNTIF($C40:$AG40,code21)</f>
        <v>0</v>
      </c>
      <c r="BH39" s="662">
        <f>COUNTIF($C40:$AG40,Code24)</f>
        <v>0</v>
      </c>
      <c r="BI39" s="662">
        <f>COUNTIF($C40:$AG40,code18)</f>
        <v>0</v>
      </c>
      <c r="BJ39" s="662">
        <f>COUNTIF($C40:$AG40,code19)</f>
        <v>0</v>
      </c>
      <c r="BK39" s="662">
        <f>COUNTIF($C40:$AG40,code20)</f>
        <v>0</v>
      </c>
      <c r="BL39" s="722">
        <f>COUNTIF($C40:$AG40,code29)</f>
        <v>0</v>
      </c>
      <c r="BM39" s="665">
        <f t="shared" ref="BM39" si="34">COUNTIF(A25:A172,BM25-BM172)</f>
        <v>0</v>
      </c>
      <c r="BN39" s="665" t="str">
        <f>Mai!BN1&amp;BN154</f>
        <v/>
      </c>
      <c r="BO39" s="665" t="str">
        <f>Mai!BO1&amp;BO154</f>
        <v/>
      </c>
      <c r="BP39" s="665" t="str">
        <f>Mai!BP1&amp;BP154</f>
        <v/>
      </c>
      <c r="BQ39" s="665" t="str">
        <f>Mai!BQ1&amp;BQ154</f>
        <v/>
      </c>
      <c r="BR39" s="665" t="str">
        <f>Mai!BR1&amp;BR154</f>
        <v/>
      </c>
      <c r="BS39" s="665" t="str">
        <f>Mai!BS1&amp;BS154</f>
        <v/>
      </c>
      <c r="BT39" s="665" t="str">
        <f>Mai!BT1&amp;BT154</f>
        <v/>
      </c>
      <c r="BU39" s="665" t="str">
        <f>Mai!BU1&amp;BU154</f>
        <v/>
      </c>
      <c r="BV39" s="665" t="str">
        <f>Mai!BV1&amp;BV154</f>
        <v/>
      </c>
      <c r="BW39" s="665" t="str">
        <f>Mai!BW1&amp;BW154</f>
        <v/>
      </c>
      <c r="BX39" s="665" t="str">
        <f>Mai!BX1&amp;BX154</f>
        <v/>
      </c>
      <c r="BY39" s="665" t="str">
        <f>Mai!BY1&amp;BY154</f>
        <v/>
      </c>
      <c r="BZ39" s="665" t="str">
        <f>Mai!BZ1&amp;BZ154</f>
        <v/>
      </c>
      <c r="CA39" s="665" t="str">
        <f>Mai!CA1&amp;CA154</f>
        <v/>
      </c>
      <c r="CB39" s="665" t="str">
        <f>Mai!CB1&amp;CB154</f>
        <v/>
      </c>
      <c r="CC39" s="665" t="str">
        <f>Mai!CC1&amp;CC154</f>
        <v/>
      </c>
      <c r="CD39" s="665" t="str">
        <f>Mai!CD1&amp;CD154</f>
        <v/>
      </c>
      <c r="CE39" s="665" t="str">
        <f>Mai!CE1&amp;CE154</f>
        <v/>
      </c>
      <c r="CF39" s="665" t="str">
        <f>Mai!CF1&amp;CF154</f>
        <v/>
      </c>
      <c r="CG39" s="665" t="str">
        <f>Mai!CG1&amp;CG154</f>
        <v/>
      </c>
      <c r="CH39" s="665" t="str">
        <f>Mai!CH1&amp;CH154</f>
        <v/>
      </c>
      <c r="CI39" s="665" t="str">
        <f>Mai!CI1&amp;CI154</f>
        <v/>
      </c>
      <c r="CJ39" s="665" t="str">
        <f>Mai!CJ1&amp;CJ154</f>
        <v/>
      </c>
      <c r="CK39" s="665" t="str">
        <f>Mai!CK1&amp;CK154</f>
        <v/>
      </c>
      <c r="CL39" s="665" t="str">
        <f>Mai!CL1&amp;CL154</f>
        <v/>
      </c>
      <c r="CM39" s="665" t="str">
        <f>Mai!CM1&amp;CM154</f>
        <v/>
      </c>
      <c r="CN39" s="665" t="str">
        <f>Mai!CN1&amp;CN154</f>
        <v/>
      </c>
      <c r="CO39" s="665" t="str">
        <f>Mai!CO1&amp;CO154</f>
        <v/>
      </c>
      <c r="CP39" s="665" t="str">
        <f>Mai!CP1&amp;CP154</f>
        <v/>
      </c>
      <c r="CQ39" s="665" t="str">
        <f>Mai!CQ1&amp;CQ154</f>
        <v/>
      </c>
      <c r="CR39" s="665" t="str">
        <f>Mai!CR1&amp;CR154</f>
        <v/>
      </c>
      <c r="CS39" s="665" t="str">
        <f>Mai!CS1&amp;CS154</f>
        <v/>
      </c>
      <c r="CT39" s="665" t="str">
        <f>Mai!CT1&amp;CT154</f>
        <v/>
      </c>
      <c r="CU39" s="665" t="str">
        <f>Mai!CU1&amp;CU154</f>
        <v/>
      </c>
      <c r="CV39" s="670">
        <f t="shared" ref="CV39" si="35">SUM((AH39*1)+(AI39*1.5)+(AJ39*2)+(AK39*3)+(AP39*5)+(AQ39*6)+(AR39*7)+(AU39*2)+(AX39*3)+(AY39*4)+(AZ39*5)+(BB39*3)+(BA39*2)+(BG39*2)+(BC39*2)+(BD39*2)+(BE39*3)+(BF39*3))</f>
        <v>0</v>
      </c>
      <c r="CW39" s="690">
        <f t="shared" ref="CW39" si="36">SUM((AM39*2)+(AN39*1)+(AO39*3)+(AP39*4)+(AT39*5)+(AU39*6)+(AV39*5)+(AW39*7)+(AX39*4)+(AY39*3)+(AZ39*2)+(BA39*4)+(BB39*1)+(BC39*5)+(BD39*1)+(BG39*2)+(BE39*2)+(BF39*3))</f>
        <v>0</v>
      </c>
      <c r="CX39" s="677">
        <f t="shared" ref="CX39" si="37">BH39*1+BL39*3</f>
        <v>0</v>
      </c>
      <c r="CY39" s="672">
        <f t="shared" ref="CY39" si="38">SUM((BI39*7)+(BJ39*10)+(BK39*12))</f>
        <v>0</v>
      </c>
    </row>
    <row r="40" spans="2:103" ht="15" thickBot="1">
      <c r="B40" s="705"/>
      <c r="C40" s="65">
        <f>IFERROR(VLOOKUP(RechercheÉtudiant1,ParicipationMai1[],3,FALSE),"")</f>
        <v>0</v>
      </c>
      <c r="D40" s="65">
        <f>IFERROR(VLOOKUP(RechercheÉtudiant1,ParicipationMai1[],4,FALSE),"")</f>
        <v>0</v>
      </c>
      <c r="E40" s="65">
        <f>IFERROR(VLOOKUP(RechercheÉtudiant1,ParicipationMai1[],5,FALSE),"")</f>
        <v>0</v>
      </c>
      <c r="F40" s="65">
        <f>IFERROR(VLOOKUP(RechercheÉtudiant1,ParicipationMai1[],6,FALSE),"")</f>
        <v>0</v>
      </c>
      <c r="G40" s="65">
        <f>IFERROR(VLOOKUP(RechercheÉtudiant1,ParicipationMai1[],7,FALSE),"")</f>
        <v>0</v>
      </c>
      <c r="H40" s="65">
        <f>IFERROR(VLOOKUP(RechercheÉtudiant1,ParicipationMai1[],8,FALSE),"")</f>
        <v>0</v>
      </c>
      <c r="I40" s="65">
        <f>IFERROR(VLOOKUP(RechercheÉtudiant1,ParicipationMai1[],9,FALSE),"")</f>
        <v>0</v>
      </c>
      <c r="J40" s="65">
        <f>IFERROR(VLOOKUP(RechercheÉtudiant1,ParicipationMai1[],10,FALSE),"")</f>
        <v>0</v>
      </c>
      <c r="K40" s="65">
        <f>IFERROR(VLOOKUP(RechercheÉtudiant1,ParicipationMai1[],11,FALSE),"")</f>
        <v>0</v>
      </c>
      <c r="L40" s="65">
        <f>IFERROR(VLOOKUP(RechercheÉtudiant1,ParicipationMai1[],12,FALSE),"")</f>
        <v>0</v>
      </c>
      <c r="M40" s="65">
        <f>IFERROR(VLOOKUP(RechercheÉtudiant1,ParicipationMai1[],13,FALSE),"")</f>
        <v>0</v>
      </c>
      <c r="N40" s="65">
        <f>IFERROR(VLOOKUP(RechercheÉtudiant1,ParicipationMai1[],14,FALSE),"")</f>
        <v>0</v>
      </c>
      <c r="O40" s="65">
        <f>IFERROR(VLOOKUP(RechercheÉtudiant1,ParicipationMai1[],15,FALSE),"")</f>
        <v>0</v>
      </c>
      <c r="P40" s="65">
        <f>IFERROR(VLOOKUP(RechercheÉtudiant1,ParicipationMai1[],16,FALSE),"")</f>
        <v>0</v>
      </c>
      <c r="Q40" s="65">
        <f>IFERROR(VLOOKUP(RechercheÉtudiant1,ParicipationMai1[],17,FALSE),"")</f>
        <v>0</v>
      </c>
      <c r="R40" s="65">
        <f>IFERROR(VLOOKUP(RechercheÉtudiant1,ParicipationMai1[],18,FALSE),"")</f>
        <v>0</v>
      </c>
      <c r="S40" s="65">
        <f>IFERROR(VLOOKUP(RechercheÉtudiant1,ParicipationMai1[],19,FALSE),"")</f>
        <v>0</v>
      </c>
      <c r="T40" s="65">
        <f>IFERROR(VLOOKUP(RechercheÉtudiant1,ParicipationMai1[],20,FALSE),"")</f>
        <v>0</v>
      </c>
      <c r="U40" s="65">
        <f>IFERROR(VLOOKUP(RechercheÉtudiant1,ParicipationMai1[],21,FALSE),"")</f>
        <v>0</v>
      </c>
      <c r="V40" s="65">
        <f>IFERROR(VLOOKUP(RechercheÉtudiant1,ParicipationMai1[],22,FALSE),"")</f>
        <v>0</v>
      </c>
      <c r="W40" s="65">
        <f>IFERROR(VLOOKUP(RechercheÉtudiant1,ParicipationMai1[],23,FALSE),"")</f>
        <v>0</v>
      </c>
      <c r="X40" s="65">
        <f>IFERROR(VLOOKUP(RechercheÉtudiant1,ParicipationMai1[],24,FALSE),"")</f>
        <v>0</v>
      </c>
      <c r="Y40" s="65">
        <f>IFERROR(VLOOKUP(RechercheÉtudiant1,ParicipationMai1[],25,FALSE),"")</f>
        <v>0</v>
      </c>
      <c r="Z40" s="65">
        <f>IFERROR(VLOOKUP(RechercheÉtudiant1,ParicipationMai1[],26,FALSE),"")</f>
        <v>0</v>
      </c>
      <c r="AA40" s="65">
        <f>IFERROR(VLOOKUP(RechercheÉtudiant1,ParicipationMai1[],27,FALSE),"")</f>
        <v>0</v>
      </c>
      <c r="AB40" s="65">
        <f>IFERROR(VLOOKUP(RechercheÉtudiant1,ParicipationMai1[],28,FALSE),"")</f>
        <v>0</v>
      </c>
      <c r="AC40" s="65">
        <f>IFERROR(VLOOKUP(RechercheÉtudiant1,ParicipationMai1[],29,FALSE),"")</f>
        <v>0</v>
      </c>
      <c r="AD40" s="65">
        <f>IFERROR(VLOOKUP(RechercheÉtudiant1,ParicipationMai1[],30,FALSE),"")</f>
        <v>0</v>
      </c>
      <c r="AE40" s="65">
        <f>IFERROR(VLOOKUP(RechercheÉtudiant1,ParicipationMai1[],31,FALSE),"")</f>
        <v>0</v>
      </c>
      <c r="AF40" s="65">
        <f>IFERROR(VLOOKUP(RechercheÉtudiant1,ParicipationMai1[],32,FALSE),"")</f>
        <v>0</v>
      </c>
      <c r="AG40" s="280">
        <f>IFERROR(VLOOKUP(RechercheÉtudiant1,ParicipationMai1[],33,FALSE),"")</f>
        <v>0</v>
      </c>
      <c r="AH40" s="707"/>
      <c r="AI40" s="663"/>
      <c r="AJ40" s="663"/>
      <c r="AK40" s="663"/>
      <c r="AL40" s="663"/>
      <c r="AM40" s="663"/>
      <c r="AN40" s="663"/>
      <c r="AO40" s="663"/>
      <c r="AP40" s="663"/>
      <c r="AQ40" s="664"/>
      <c r="AR40" s="664"/>
      <c r="AS40" s="664"/>
      <c r="AT40" s="664"/>
      <c r="AU40" s="664"/>
      <c r="AV40" s="663"/>
      <c r="AW40" s="664"/>
      <c r="AX40" s="664"/>
      <c r="AY40" s="664"/>
      <c r="AZ40" s="664"/>
      <c r="BA40" s="663"/>
      <c r="BB40" s="663"/>
      <c r="BC40" s="377"/>
      <c r="BD40" s="663"/>
      <c r="BE40" s="663"/>
      <c r="BF40" s="663"/>
      <c r="BG40" s="664"/>
      <c r="BH40" s="664"/>
      <c r="BI40" s="664"/>
      <c r="BJ40" s="664"/>
      <c r="BK40" s="664"/>
      <c r="BL40" s="721"/>
      <c r="BM40" s="666"/>
      <c r="BN40" s="666"/>
      <c r="BO40" s="666"/>
      <c r="BP40" s="666"/>
      <c r="BQ40" s="666"/>
      <c r="BR40" s="666"/>
      <c r="BS40" s="666"/>
      <c r="BT40" s="666"/>
      <c r="BU40" s="666"/>
      <c r="BV40" s="666"/>
      <c r="BW40" s="666"/>
      <c r="BX40" s="666"/>
      <c r="BY40" s="666"/>
      <c r="BZ40" s="666"/>
      <c r="CA40" s="666"/>
      <c r="CB40" s="666"/>
      <c r="CC40" s="666"/>
      <c r="CD40" s="666"/>
      <c r="CE40" s="666"/>
      <c r="CF40" s="666"/>
      <c r="CG40" s="666"/>
      <c r="CH40" s="666"/>
      <c r="CI40" s="666"/>
      <c r="CJ40" s="666"/>
      <c r="CK40" s="666"/>
      <c r="CL40" s="666"/>
      <c r="CM40" s="666"/>
      <c r="CN40" s="666"/>
      <c r="CO40" s="666"/>
      <c r="CP40" s="666"/>
      <c r="CQ40" s="666"/>
      <c r="CR40" s="666"/>
      <c r="CS40" s="666"/>
      <c r="CT40" s="666"/>
      <c r="CU40" s="666"/>
      <c r="CV40" s="671"/>
      <c r="CW40" s="691"/>
      <c r="CX40" s="678"/>
      <c r="CY40" s="673"/>
    </row>
    <row r="41" spans="2:103" ht="15" thickTop="1">
      <c r="B41" s="714" t="s">
        <v>60</v>
      </c>
      <c r="C41" s="66">
        <v>1</v>
      </c>
      <c r="D41" s="66">
        <v>2</v>
      </c>
      <c r="E41" s="66">
        <v>3</v>
      </c>
      <c r="F41" s="66">
        <v>4</v>
      </c>
      <c r="G41" s="66">
        <v>5</v>
      </c>
      <c r="H41" s="66">
        <v>6</v>
      </c>
      <c r="I41" s="66">
        <v>7</v>
      </c>
      <c r="J41" s="66">
        <v>8</v>
      </c>
      <c r="K41" s="66">
        <v>9</v>
      </c>
      <c r="L41" s="66">
        <v>10</v>
      </c>
      <c r="M41" s="66">
        <v>11</v>
      </c>
      <c r="N41" s="66">
        <v>12</v>
      </c>
      <c r="O41" s="66">
        <v>13</v>
      </c>
      <c r="P41" s="66">
        <v>14</v>
      </c>
      <c r="Q41" s="66">
        <v>15</v>
      </c>
      <c r="R41" s="66">
        <v>16</v>
      </c>
      <c r="S41" s="66">
        <v>17</v>
      </c>
      <c r="T41" s="66">
        <v>18</v>
      </c>
      <c r="U41" s="66">
        <v>19</v>
      </c>
      <c r="V41" s="66">
        <v>20</v>
      </c>
      <c r="W41" s="66">
        <v>21</v>
      </c>
      <c r="X41" s="66">
        <v>22</v>
      </c>
      <c r="Y41" s="66">
        <v>23</v>
      </c>
      <c r="Z41" s="66">
        <v>24</v>
      </c>
      <c r="AA41" s="66">
        <v>25</v>
      </c>
      <c r="AB41" s="66">
        <v>26</v>
      </c>
      <c r="AC41" s="66">
        <v>27</v>
      </c>
      <c r="AD41" s="66">
        <v>28</v>
      </c>
      <c r="AE41" s="66">
        <v>29</v>
      </c>
      <c r="AF41" s="66">
        <v>30</v>
      </c>
      <c r="AG41" s="279"/>
      <c r="AH41" s="706">
        <f>COUNTIF($C42:$AG42,Code1)</f>
        <v>0</v>
      </c>
      <c r="AI41" s="660">
        <f>COUNTIF($C42:$AG42,code22)</f>
        <v>0</v>
      </c>
      <c r="AJ41" s="660">
        <f>COUNTIF($C42:$AG42,Code2)</f>
        <v>0</v>
      </c>
      <c r="AK41" s="660">
        <f>COUNTIF($C42:$AG42,Code3)</f>
        <v>0</v>
      </c>
      <c r="AL41" s="660">
        <f>COUNTIF($C42:$AG42,Code4)</f>
        <v>0</v>
      </c>
      <c r="AM41" s="660">
        <f>COUNTIF($C42:$AG42,Code5)</f>
        <v>0</v>
      </c>
      <c r="AN41" s="660">
        <f>COUNTIF($C42:$AG42,Code23)</f>
        <v>0</v>
      </c>
      <c r="AO41" s="660">
        <f>COUNTIF($C42:$AG42,Code6)</f>
        <v>0</v>
      </c>
      <c r="AP41" s="660">
        <f>COUNTIF($C42:$AG42,Code7)</f>
        <v>0</v>
      </c>
      <c r="AQ41" s="662">
        <f>COUNTIF($C42:$AG42,Code8)</f>
        <v>0</v>
      </c>
      <c r="AR41" s="662">
        <f>COUNTIF($C42:$AG42,Code9)</f>
        <v>0</v>
      </c>
      <c r="AS41" s="662">
        <f>COUNTIF($C42:$AG42,Code10)</f>
        <v>0</v>
      </c>
      <c r="AT41" s="668">
        <f>COUNTIF($C42:$AG42,Code11)</f>
        <v>0</v>
      </c>
      <c r="AU41" s="662">
        <f>COUNTIF($C42:$AG42,Code12)</f>
        <v>0</v>
      </c>
      <c r="AV41" s="662">
        <f>COUNTIF($C42:$AG42,Code13)</f>
        <v>0</v>
      </c>
      <c r="AW41" s="662">
        <f>COUNTIF($C42:$AG42,Code14)</f>
        <v>0</v>
      </c>
      <c r="AX41" s="662">
        <f>COUNTIF($C42:$AG42,Code15)</f>
        <v>0</v>
      </c>
      <c r="AY41" s="662">
        <f>COUNTIF($C42:$AG42,Code16)</f>
        <v>0</v>
      </c>
      <c r="AZ41" s="662">
        <f>COUNTIF($C42:$AG42,Code17)</f>
        <v>0</v>
      </c>
      <c r="BA41" s="660">
        <f>COUNTIF($C42:$AG42,Code25)</f>
        <v>0</v>
      </c>
      <c r="BB41" s="660">
        <f>COUNTIF($C42:$AG42,Code26)</f>
        <v>0</v>
      </c>
      <c r="BC41" s="378">
        <f>COUNTIF($C42:$AG42,Code27)</f>
        <v>0</v>
      </c>
      <c r="BD41" s="660">
        <f>COUNTIF($C42:$AG42,Code28)</f>
        <v>0</v>
      </c>
      <c r="BE41" s="660">
        <f>COUNTIF($C42:$AG42,code30)</f>
        <v>0</v>
      </c>
      <c r="BF41" s="660">
        <f>COUNTIF($C42:$AG42,Code31)</f>
        <v>0</v>
      </c>
      <c r="BG41" s="662">
        <f>COUNTIF($C42:$AG42,code21)</f>
        <v>0</v>
      </c>
      <c r="BH41" s="662">
        <f>COUNTIF($C42:$AG42,Code24)</f>
        <v>0</v>
      </c>
      <c r="BI41" s="662">
        <f>COUNTIF($C42:$AG42,code18)</f>
        <v>0</v>
      </c>
      <c r="BJ41" s="662">
        <f>COUNTIF($C42:$AG42,code19)</f>
        <v>0</v>
      </c>
      <c r="BK41" s="662">
        <f>COUNTIF($C42:$AG42,code20)</f>
        <v>0</v>
      </c>
      <c r="BL41" s="722">
        <f>COUNTIF($C42:$AG42,code29)</f>
        <v>0</v>
      </c>
      <c r="BM41" s="665">
        <f t="shared" ref="BM41" si="39">COUNTIF(A27:A174,BM27-BM174)</f>
        <v>0</v>
      </c>
      <c r="BN41" s="665" t="str">
        <f>Juin!BN11&amp;BN154</f>
        <v/>
      </c>
      <c r="BO41" s="665" t="str">
        <f>Juin!BO11&amp;BO154</f>
        <v/>
      </c>
      <c r="BP41" s="665" t="str">
        <f>Juin!BP11&amp;BP154</f>
        <v/>
      </c>
      <c r="BQ41" s="665" t="str">
        <f>Juin!BQ11&amp;BQ154</f>
        <v/>
      </c>
      <c r="BR41" s="665" t="str">
        <f>Juin!BR11&amp;BR154</f>
        <v/>
      </c>
      <c r="BS41" s="665" t="str">
        <f>Juin!BS11&amp;BS154</f>
        <v/>
      </c>
      <c r="BT41" s="665" t="str">
        <f>Juin!BT11&amp;BT154</f>
        <v/>
      </c>
      <c r="BU41" s="665" t="str">
        <f>Juin!BU11&amp;BU154</f>
        <v/>
      </c>
      <c r="BV41" s="665" t="str">
        <f>Juin!BV11&amp;BV154</f>
        <v/>
      </c>
      <c r="BW41" s="665" t="str">
        <f>Juin!BW11&amp;BW154</f>
        <v/>
      </c>
      <c r="BX41" s="665" t="str">
        <f>Juin!BX11&amp;BX154</f>
        <v/>
      </c>
      <c r="BY41" s="665" t="str">
        <f>Juin!BY11&amp;BY154</f>
        <v/>
      </c>
      <c r="BZ41" s="665" t="str">
        <f>Juin!BZ11&amp;BZ154</f>
        <v/>
      </c>
      <c r="CA41" s="665" t="str">
        <f>Juin!CA11&amp;CA154</f>
        <v/>
      </c>
      <c r="CB41" s="665" t="str">
        <f>Juin!CB11&amp;CB154</f>
        <v/>
      </c>
      <c r="CC41" s="665" t="str">
        <f>Juin!CC11&amp;CC154</f>
        <v/>
      </c>
      <c r="CD41" s="665" t="str">
        <f>Juin!CD11&amp;CD154</f>
        <v/>
      </c>
      <c r="CE41" s="665" t="str">
        <f>Juin!CE11&amp;CE154</f>
        <v/>
      </c>
      <c r="CF41" s="665" t="str">
        <f>Juin!CF11&amp;CF154</f>
        <v/>
      </c>
      <c r="CG41" s="665" t="str">
        <f>Juin!CG11&amp;CG154</f>
        <v/>
      </c>
      <c r="CH41" s="665" t="str">
        <f>Juin!CH11&amp;CH154</f>
        <v/>
      </c>
      <c r="CI41" s="665" t="str">
        <f>Juin!CI11&amp;CI154</f>
        <v/>
      </c>
      <c r="CJ41" s="665" t="str">
        <f>Juin!CJ11&amp;CJ154</f>
        <v/>
      </c>
      <c r="CK41" s="665" t="str">
        <f>Juin!CK11&amp;CK154</f>
        <v/>
      </c>
      <c r="CL41" s="665" t="str">
        <f>Juin!CL11&amp;CL154</f>
        <v/>
      </c>
      <c r="CM41" s="665" t="str">
        <f>Juin!CM11&amp;CM154</f>
        <v/>
      </c>
      <c r="CN41" s="665" t="str">
        <f>Juin!CN11&amp;CN154</f>
        <v/>
      </c>
      <c r="CO41" s="665" t="str">
        <f>Juin!CO11&amp;CO154</f>
        <v/>
      </c>
      <c r="CP41" s="665" t="str">
        <f>Juin!CP11&amp;CP154</f>
        <v/>
      </c>
      <c r="CQ41" s="665" t="str">
        <f>Juin!CQ11&amp;CQ154</f>
        <v/>
      </c>
      <c r="CR41" s="665" t="str">
        <f>Juin!CR11&amp;CR154</f>
        <v/>
      </c>
      <c r="CS41" s="665" t="str">
        <f>Juin!CS11&amp;CS154</f>
        <v/>
      </c>
      <c r="CT41" s="665" t="str">
        <f>Juin!CT11&amp;CT154</f>
        <v/>
      </c>
      <c r="CU41" s="665" t="str">
        <f>Juin!CU11&amp;CU154</f>
        <v/>
      </c>
      <c r="CV41" s="670">
        <f t="shared" ref="CV41" si="40">SUM((AH41*1)+(AI41*1.5)+(AJ41*2)+(AK41*3)+(AP41*5)+(AQ41*6)+(AR41*7)+(AU41*2)+(AX41*3)+(AY41*4)+(AZ41*5)+(BB41*3)+(BA41*2)+(BG41*2)+(BC41*2)+(BD41*2)+(BE41*3)+(BF41*3))</f>
        <v>0</v>
      </c>
      <c r="CW41" s="692">
        <f t="shared" ref="CW41" si="41">SUM((AM41*2)+(AN41*1)+(AO41*3)+(AP41*4)+(AT41*5)+(AU41*6)+(AV41*5)+(AW41*7)+(AX41*4)+(AY41*3)+(AZ41*2)+(BA41*4)+(BB41*1)+(BC41*5)+(BD41*1)+(BG41*2)+(BE41*2)+(BF41*3))</f>
        <v>0</v>
      </c>
      <c r="CX41" s="677">
        <f t="shared" ref="CX41" si="42">BH41*1+BL41*3</f>
        <v>0</v>
      </c>
      <c r="CY41" s="672">
        <f t="shared" ref="CY41" si="43">SUM((BI41*7)+(BJ41*10)+(BK41*12))</f>
        <v>0</v>
      </c>
    </row>
    <row r="42" spans="2:103" ht="15" thickBot="1">
      <c r="B42" s="708"/>
      <c r="C42" s="65" t="str">
        <f>IFERROR(VLOOKUP(RechercheÉtudiant1,#REF!,3,FALSE),"")</f>
        <v/>
      </c>
      <c r="D42" s="65" t="str">
        <f>IFERROR(VLOOKUP(RechercheÉtudiant1,#REF!,4,FALSE),"")</f>
        <v/>
      </c>
      <c r="E42" s="65" t="str">
        <f>IFERROR(VLOOKUP(RechercheÉtudiant1,#REF!,5,FALSE),"")</f>
        <v/>
      </c>
      <c r="F42" s="65" t="str">
        <f>IFERROR(VLOOKUP(RechercheÉtudiant1,#REF!,6,FALSE),"")</f>
        <v/>
      </c>
      <c r="G42" s="65" t="str">
        <f>IFERROR(VLOOKUP(RechercheÉtudiant1,#REF!,7,FALSE),"")</f>
        <v/>
      </c>
      <c r="H42" s="65" t="str">
        <f>IFERROR(VLOOKUP(RechercheÉtudiant1,#REF!,8,FALSE),"")</f>
        <v/>
      </c>
      <c r="I42" s="65" t="str">
        <f>IFERROR(VLOOKUP(RechercheÉtudiant1,#REF!,9,FALSE),"")</f>
        <v/>
      </c>
      <c r="J42" s="65" t="str">
        <f>IFERROR(VLOOKUP(RechercheÉtudiant1,#REF!,10,FALSE),"")</f>
        <v/>
      </c>
      <c r="K42" s="65" t="str">
        <f>IFERROR(VLOOKUP(RechercheÉtudiant1,#REF!,11,FALSE),"")</f>
        <v/>
      </c>
      <c r="L42" s="65" t="str">
        <f>IFERROR(VLOOKUP(RechercheÉtudiant1,#REF!,12,FALSE),"")</f>
        <v/>
      </c>
      <c r="M42" s="65" t="str">
        <f>IFERROR(VLOOKUP(RechercheÉtudiant1,#REF!,13,FALSE),"")</f>
        <v/>
      </c>
      <c r="N42" s="65" t="str">
        <f>IFERROR(VLOOKUP(RechercheÉtudiant1,#REF!,14,FALSE),"")</f>
        <v/>
      </c>
      <c r="O42" s="65" t="str">
        <f>IFERROR(VLOOKUP(RechercheÉtudiant1,#REF!,15,FALSE),"")</f>
        <v/>
      </c>
      <c r="P42" s="65" t="str">
        <f>IFERROR(VLOOKUP(RechercheÉtudiant1,#REF!,16,FALSE),"")</f>
        <v/>
      </c>
      <c r="Q42" s="65" t="str">
        <f>IFERROR(VLOOKUP(RechercheÉtudiant1,#REF!,17,FALSE),"")</f>
        <v/>
      </c>
      <c r="R42" s="65" t="str">
        <f>IFERROR(VLOOKUP(RechercheÉtudiant1,#REF!,18,FALSE),"")</f>
        <v/>
      </c>
      <c r="S42" s="65" t="str">
        <f>IFERROR(VLOOKUP(RechercheÉtudiant1,#REF!,19,FALSE),"")</f>
        <v/>
      </c>
      <c r="T42" s="65" t="str">
        <f>IFERROR(VLOOKUP(RechercheÉtudiant1,#REF!,20,FALSE),"")</f>
        <v/>
      </c>
      <c r="U42" s="65" t="str">
        <f>IFERROR(VLOOKUP(RechercheÉtudiant1,#REF!,21,FALSE),"")</f>
        <v/>
      </c>
      <c r="V42" s="65" t="str">
        <f>IFERROR(VLOOKUP(RechercheÉtudiant1,#REF!,22,FALSE),"")</f>
        <v/>
      </c>
      <c r="W42" s="65" t="str">
        <f>IFERROR(VLOOKUP(RechercheÉtudiant1,#REF!,23,FALSE),"")</f>
        <v/>
      </c>
      <c r="X42" s="65" t="str">
        <f>IFERROR(VLOOKUP(RechercheÉtudiant1,#REF!,24,FALSE),"")</f>
        <v/>
      </c>
      <c r="Y42" s="65" t="str">
        <f>IFERROR(VLOOKUP(RechercheÉtudiant1,#REF!,25,FALSE),"")</f>
        <v/>
      </c>
      <c r="Z42" s="65" t="str">
        <f>IFERROR(VLOOKUP(RechercheÉtudiant1,#REF!,26,FALSE),"")</f>
        <v/>
      </c>
      <c r="AA42" s="65" t="str">
        <f>IFERROR(VLOOKUP(RechercheÉtudiant1,#REF!,27,FALSE),"")</f>
        <v/>
      </c>
      <c r="AB42" s="65" t="str">
        <f>IFERROR(VLOOKUP(RechercheÉtudiant1,#REF!,28,FALSE),"")</f>
        <v/>
      </c>
      <c r="AC42" s="65" t="str">
        <f>IFERROR(VLOOKUP(RechercheÉtudiant1,#REF!,29,FALSE),"")</f>
        <v/>
      </c>
      <c r="AD42" s="65" t="str">
        <f>IFERROR(VLOOKUP(RechercheÉtudiant1,#REF!,30,FALSE),"")</f>
        <v/>
      </c>
      <c r="AE42" s="65" t="str">
        <f>IFERROR(VLOOKUP(RechercheÉtudiant1,#REF!,31,FALSE),"")</f>
        <v/>
      </c>
      <c r="AF42" s="65" t="str">
        <f>IFERROR(VLOOKUP(RechercheÉtudiant1,#REF!,32,FALSE),"")</f>
        <v/>
      </c>
      <c r="AG42" s="280" t="str">
        <f>IFERROR(VLOOKUP(RechercheÉtudiant1,#REF!,3,FALSE),"")</f>
        <v/>
      </c>
      <c r="AH42" s="707"/>
      <c r="AI42" s="663"/>
      <c r="AJ42" s="663"/>
      <c r="AK42" s="663"/>
      <c r="AL42" s="663"/>
      <c r="AM42" s="663"/>
      <c r="AN42" s="663"/>
      <c r="AO42" s="663"/>
      <c r="AP42" s="663"/>
      <c r="AQ42" s="664"/>
      <c r="AR42" s="664"/>
      <c r="AS42" s="664"/>
      <c r="AT42" s="664"/>
      <c r="AU42" s="664"/>
      <c r="AV42" s="663"/>
      <c r="AW42" s="664"/>
      <c r="AX42" s="664"/>
      <c r="AY42" s="664"/>
      <c r="AZ42" s="664"/>
      <c r="BA42" s="663"/>
      <c r="BB42" s="663"/>
      <c r="BC42" s="377"/>
      <c r="BD42" s="663"/>
      <c r="BE42" s="663"/>
      <c r="BF42" s="663"/>
      <c r="BG42" s="664"/>
      <c r="BH42" s="664"/>
      <c r="BI42" s="664"/>
      <c r="BJ42" s="664"/>
      <c r="BK42" s="664"/>
      <c r="BL42" s="721"/>
      <c r="BM42" s="666"/>
      <c r="BN42" s="666"/>
      <c r="BO42" s="666"/>
      <c r="BP42" s="666"/>
      <c r="BQ42" s="666"/>
      <c r="BR42" s="666"/>
      <c r="BS42" s="666"/>
      <c r="BT42" s="666"/>
      <c r="BU42" s="666"/>
      <c r="BV42" s="666"/>
      <c r="BW42" s="666"/>
      <c r="BX42" s="666"/>
      <c r="BY42" s="666"/>
      <c r="BZ42" s="666"/>
      <c r="CA42" s="666"/>
      <c r="CB42" s="666"/>
      <c r="CC42" s="666"/>
      <c r="CD42" s="666"/>
      <c r="CE42" s="666"/>
      <c r="CF42" s="666"/>
      <c r="CG42" s="666"/>
      <c r="CH42" s="666"/>
      <c r="CI42" s="666"/>
      <c r="CJ42" s="666"/>
      <c r="CK42" s="666"/>
      <c r="CL42" s="666"/>
      <c r="CM42" s="666"/>
      <c r="CN42" s="666"/>
      <c r="CO42" s="666"/>
      <c r="CP42" s="666"/>
      <c r="CQ42" s="666"/>
      <c r="CR42" s="666"/>
      <c r="CS42" s="666"/>
      <c r="CT42" s="666"/>
      <c r="CU42" s="666"/>
      <c r="CV42" s="671"/>
      <c r="CW42" s="691"/>
      <c r="CX42" s="678"/>
      <c r="CY42" s="673"/>
    </row>
    <row r="43" spans="2:103" ht="15" thickTop="1">
      <c r="B43" s="714" t="s">
        <v>61</v>
      </c>
      <c r="C43" s="66">
        <v>1</v>
      </c>
      <c r="D43" s="66">
        <v>2</v>
      </c>
      <c r="E43" s="66">
        <v>3</v>
      </c>
      <c r="F43" s="66">
        <v>4</v>
      </c>
      <c r="G43" s="66">
        <v>5</v>
      </c>
      <c r="H43" s="66">
        <v>6</v>
      </c>
      <c r="I43" s="66">
        <v>7</v>
      </c>
      <c r="J43" s="66">
        <v>8</v>
      </c>
      <c r="K43" s="66">
        <v>9</v>
      </c>
      <c r="L43" s="66">
        <v>10</v>
      </c>
      <c r="M43" s="66">
        <v>11</v>
      </c>
      <c r="N43" s="66">
        <v>12</v>
      </c>
      <c r="O43" s="66">
        <v>13</v>
      </c>
      <c r="P43" s="66">
        <v>14</v>
      </c>
      <c r="Q43" s="66">
        <v>15</v>
      </c>
      <c r="R43" s="66">
        <v>16</v>
      </c>
      <c r="S43" s="66">
        <v>17</v>
      </c>
      <c r="T43" s="66">
        <v>18</v>
      </c>
      <c r="U43" s="66">
        <v>19</v>
      </c>
      <c r="V43" s="66">
        <v>20</v>
      </c>
      <c r="W43" s="66">
        <v>21</v>
      </c>
      <c r="X43" s="66">
        <v>22</v>
      </c>
      <c r="Y43" s="66">
        <v>23</v>
      </c>
      <c r="Z43" s="66">
        <v>24</v>
      </c>
      <c r="AA43" s="66">
        <v>25</v>
      </c>
      <c r="AB43" s="66">
        <v>26</v>
      </c>
      <c r="AC43" s="66">
        <v>27</v>
      </c>
      <c r="AD43" s="66">
        <v>28</v>
      </c>
      <c r="AE43" s="66">
        <v>29</v>
      </c>
      <c r="AF43" s="66">
        <v>30</v>
      </c>
      <c r="AG43" s="279">
        <v>31</v>
      </c>
      <c r="AH43" s="706">
        <f>COUNTIF($C44:$AG44,Code1)</f>
        <v>0</v>
      </c>
      <c r="AI43" s="660">
        <f>COUNTIF($C44:$AG44,code22)</f>
        <v>0</v>
      </c>
      <c r="AJ43" s="660">
        <f>COUNTIF($C44:$AG44,Code2)</f>
        <v>0</v>
      </c>
      <c r="AK43" s="660">
        <f>COUNTIF($C44:$AG44,Code3)</f>
        <v>0</v>
      </c>
      <c r="AL43" s="660">
        <f>COUNTIF($C44:$AG44,Code4)</f>
        <v>0</v>
      </c>
      <c r="AM43" s="660">
        <f>COUNTIF($C44:$AG44,Code5)</f>
        <v>0</v>
      </c>
      <c r="AN43" s="660">
        <f>COUNTIF($C44:$AG44,Code23)</f>
        <v>0</v>
      </c>
      <c r="AO43" s="660">
        <f>COUNTIF($C44:$AG44,Code6)</f>
        <v>0</v>
      </c>
      <c r="AP43" s="660">
        <f>COUNTIF($C44:$AG44,Code7)</f>
        <v>0</v>
      </c>
      <c r="AQ43" s="662">
        <f>COUNTIF($C44:$AG44,Code8)</f>
        <v>0</v>
      </c>
      <c r="AR43" s="662">
        <f>COUNTIF($C44:$AG44,Code9)</f>
        <v>0</v>
      </c>
      <c r="AS43" s="662">
        <f>COUNTIF($C44:$AG44,Code10)</f>
        <v>0</v>
      </c>
      <c r="AT43" s="662">
        <f>COUNTIF($C44:$AG44,Code11)</f>
        <v>0</v>
      </c>
      <c r="AU43" s="662">
        <f>COUNTIF($C44:$AG44,Code12)</f>
        <v>0</v>
      </c>
      <c r="AV43" s="662">
        <f>COUNTIF($C44:$AG44,Code13)</f>
        <v>0</v>
      </c>
      <c r="AW43" s="662">
        <f>COUNTIF($C44:$AG44,Code14)</f>
        <v>0</v>
      </c>
      <c r="AX43" s="662">
        <f>COUNTIF($C44:$AG44,Code15)</f>
        <v>0</v>
      </c>
      <c r="AY43" s="662">
        <f>COUNTIF($C44:$AG44,Code16)</f>
        <v>0</v>
      </c>
      <c r="AZ43" s="662">
        <f>COUNTIF($C44:$AG44,Code17)</f>
        <v>0</v>
      </c>
      <c r="BA43" s="660">
        <f>COUNTIF($C44:$AG44,Code25)</f>
        <v>0</v>
      </c>
      <c r="BB43" s="716">
        <f>COUNTIF($C44:$AG44,Code26)</f>
        <v>0</v>
      </c>
      <c r="BC43" s="398">
        <f>COUNTIF($C44:$AG44,Code27)</f>
        <v>0</v>
      </c>
      <c r="BD43" s="660">
        <f>COUNTIF($C44:$AG44,Code28)</f>
        <v>0</v>
      </c>
      <c r="BE43" s="660">
        <f>COUNTIF($C44:$AG44,code30)</f>
        <v>0</v>
      </c>
      <c r="BF43" s="660">
        <f>COUNTIF($C44:$AG44,Code31)</f>
        <v>0</v>
      </c>
      <c r="BG43" s="662">
        <f>COUNTIF($C44:$AG44,code21)</f>
        <v>0</v>
      </c>
      <c r="BH43" s="662">
        <f>COUNTIF($C44:$AG44,Code24)</f>
        <v>0</v>
      </c>
      <c r="BI43" s="662">
        <f>COUNTIF($C44:$AG44,code18)</f>
        <v>0</v>
      </c>
      <c r="BJ43" s="662">
        <f>COUNTIF($C44:$AG44,code19)</f>
        <v>0</v>
      </c>
      <c r="BK43" s="662">
        <f>COUNTIF($C44:$AG44,code20)</f>
        <v>0</v>
      </c>
      <c r="BL43" s="722">
        <f>COUNTIF($C44:$AG44,code29)</f>
        <v>0</v>
      </c>
      <c r="BM43" s="665">
        <f t="shared" ref="BM43" si="44">COUNTIF(A29:A176,BM29-BM176)</f>
        <v>0</v>
      </c>
      <c r="BN43" s="665" t="str">
        <f>Juillet!BN19&amp;BN162</f>
        <v/>
      </c>
      <c r="BO43" s="665" t="str">
        <f>Juillet!BO19&amp;BO162</f>
        <v/>
      </c>
      <c r="BP43" s="665" t="str">
        <f>Juillet!BP19&amp;BP162</f>
        <v/>
      </c>
      <c r="BQ43" s="665" t="str">
        <f>Juillet!BQ19&amp;BQ162</f>
        <v/>
      </c>
      <c r="BR43" s="665" t="str">
        <f>Juillet!BR19&amp;BR162</f>
        <v/>
      </c>
      <c r="BS43" s="665" t="str">
        <f>Juillet!BS19&amp;BS162</f>
        <v/>
      </c>
      <c r="BT43" s="665" t="str">
        <f>Juillet!BT19&amp;BT162</f>
        <v/>
      </c>
      <c r="BU43" s="665" t="str">
        <f>Juillet!BU19&amp;BU162</f>
        <v/>
      </c>
      <c r="BV43" s="665" t="str">
        <f>Juillet!BV19&amp;BV162</f>
        <v/>
      </c>
      <c r="BW43" s="665" t="str">
        <f>Juillet!BW19&amp;BW162</f>
        <v/>
      </c>
      <c r="BX43" s="665" t="str">
        <f>Juillet!BX19&amp;BX162</f>
        <v/>
      </c>
      <c r="BY43" s="665" t="str">
        <f>Juillet!BY19&amp;BY162</f>
        <v/>
      </c>
      <c r="BZ43" s="665" t="str">
        <f>Juillet!BZ19&amp;BZ162</f>
        <v/>
      </c>
      <c r="CA43" s="665" t="str">
        <f>Juillet!CA19&amp;CA162</f>
        <v/>
      </c>
      <c r="CB43" s="665" t="str">
        <f>Juillet!CB19&amp;CB162</f>
        <v/>
      </c>
      <c r="CC43" s="665" t="str">
        <f>Juillet!CC19&amp;CC162</f>
        <v/>
      </c>
      <c r="CD43" s="665" t="str">
        <f>Juillet!CD19&amp;CD162</f>
        <v/>
      </c>
      <c r="CE43" s="665" t="str">
        <f>Juillet!CE19&amp;CE162</f>
        <v/>
      </c>
      <c r="CF43" s="665" t="str">
        <f>Juillet!CF19&amp;CF162</f>
        <v/>
      </c>
      <c r="CG43" s="665" t="str">
        <f>Juillet!CG19&amp;CG162</f>
        <v/>
      </c>
      <c r="CH43" s="665" t="str">
        <f>Juillet!CH19&amp;CH162</f>
        <v/>
      </c>
      <c r="CI43" s="665" t="str">
        <f>Juillet!CI19&amp;CI162</f>
        <v/>
      </c>
      <c r="CJ43" s="665" t="str">
        <f>Juillet!CJ19&amp;CJ162</f>
        <v/>
      </c>
      <c r="CK43" s="665" t="str">
        <f>Juillet!CK19&amp;CK162</f>
        <v/>
      </c>
      <c r="CL43" s="665" t="str">
        <f>Juillet!CL19&amp;CL162</f>
        <v/>
      </c>
      <c r="CM43" s="665" t="str">
        <f>Juillet!CM19&amp;CM162</f>
        <v/>
      </c>
      <c r="CN43" s="665" t="str">
        <f>Juillet!CN19&amp;CN162</f>
        <v/>
      </c>
      <c r="CO43" s="665" t="str">
        <f>Juillet!CO19&amp;CO162</f>
        <v/>
      </c>
      <c r="CP43" s="665" t="str">
        <f>Juillet!CP19&amp;CP162</f>
        <v/>
      </c>
      <c r="CQ43" s="665" t="str">
        <f>Juillet!CQ19&amp;CQ162</f>
        <v/>
      </c>
      <c r="CR43" s="665" t="str">
        <f>Juillet!CR19&amp;CR162</f>
        <v/>
      </c>
      <c r="CS43" s="665" t="str">
        <f>Juillet!CS19&amp;CS162</f>
        <v/>
      </c>
      <c r="CT43" s="665" t="str">
        <f>Juillet!CT19&amp;CT162</f>
        <v/>
      </c>
      <c r="CU43" s="665" t="str">
        <f>Juillet!CU19&amp;CU162</f>
        <v/>
      </c>
      <c r="CV43" s="670">
        <f t="shared" ref="CV43" si="45">SUM((AH43*1)+(AI43*1.5)+(AJ43*2)+(AK43*3)+(AP43*5)+(AQ43*6)+(AR43*7)+(AU43*2)+(AX43*3)+(AY43*4)+(AZ43*5)+(BB43*3)+(BA43*2)+(BG43*2)+(BC43*2)+(BD43*2)+(BE43*3)+(BF43*3))</f>
        <v>0</v>
      </c>
      <c r="CW43" s="693">
        <f t="shared" ref="CW43" si="46">SUM((AM43*2)+(AN43*1)+(AO43*3)+(AP43*4)+(AT43*5)+(AU43*6)+(AV43*5)+(AW43*7)+(AX43*4)+(AY43*3)+(AZ43*2)+(BA43*4)+(BB43*1)+(BC43*5)+(BD43*1)+(BG43*2)+(BE43*2)+(BF43*3))</f>
        <v>0</v>
      </c>
      <c r="CX43" s="674">
        <f t="shared" ref="CX43" si="47">BH43*1+BL43*3</f>
        <v>0</v>
      </c>
      <c r="CY43" s="672">
        <f t="shared" ref="CY43" si="48">SUM((BI43*7)+(BJ43*10)+(BK43*12))</f>
        <v>0</v>
      </c>
    </row>
    <row r="44" spans="2:103" ht="15" thickBot="1">
      <c r="B44" s="708"/>
      <c r="C44" s="65">
        <f>IFERROR(VLOOKUP(RechercheÉtudiant1,ParicipationJuillet1[],3,FALSE),"")</f>
        <v>0</v>
      </c>
      <c r="D44" s="65">
        <f>IFERROR(VLOOKUP(RechercheÉtudiant1,ParicipationJuillet1[],4,FALSE),"")</f>
        <v>0</v>
      </c>
      <c r="E44" s="65">
        <f>IFERROR(VLOOKUP(RechercheÉtudiant1,ParicipationJuillet1[],5,FALSE),"")</f>
        <v>0</v>
      </c>
      <c r="F44" s="65">
        <f>IFERROR(VLOOKUP(RechercheÉtudiant1,ParicipationJuillet1[],6,FALSE),"")</f>
        <v>0</v>
      </c>
      <c r="G44" s="65">
        <f>IFERROR(VLOOKUP(RechercheÉtudiant1,ParicipationJuillet1[],7,FALSE),"")</f>
        <v>0</v>
      </c>
      <c r="H44" s="65">
        <f>IFERROR(VLOOKUP(RechercheÉtudiant1,ParicipationJuillet1[],8,FALSE),"")</f>
        <v>0</v>
      </c>
      <c r="I44" s="65">
        <f>IFERROR(VLOOKUP(RechercheÉtudiant1,ParicipationJuillet1[],9,FALSE),"")</f>
        <v>0</v>
      </c>
      <c r="J44" s="65">
        <f>IFERROR(VLOOKUP(RechercheÉtudiant1,ParicipationJuillet1[],10,FALSE),"")</f>
        <v>0</v>
      </c>
      <c r="K44" s="65">
        <f>IFERROR(VLOOKUP(RechercheÉtudiant1,ParicipationJuillet1[],11,FALSE),"")</f>
        <v>0</v>
      </c>
      <c r="L44" s="65">
        <f>IFERROR(VLOOKUP(RechercheÉtudiant1,ParicipationJuillet1[],12,FALSE),"")</f>
        <v>0</v>
      </c>
      <c r="M44" s="65">
        <f>IFERROR(VLOOKUP(RechercheÉtudiant1,ParicipationJuillet1[],13,FALSE),"")</f>
        <v>0</v>
      </c>
      <c r="N44" s="65">
        <f>IFERROR(VLOOKUP(RechercheÉtudiant1,ParicipationJuillet1[],14,FALSE),"")</f>
        <v>0</v>
      </c>
      <c r="O44" s="65">
        <f>IFERROR(VLOOKUP(RechercheÉtudiant1,ParicipationJuillet1[],15,FALSE),"")</f>
        <v>0</v>
      </c>
      <c r="P44" s="65">
        <f>IFERROR(VLOOKUP(RechercheÉtudiant1,ParicipationJuillet1[],16,FALSE),"")</f>
        <v>0</v>
      </c>
      <c r="Q44" s="65">
        <f>IFERROR(VLOOKUP(RechercheÉtudiant1,ParicipationJuillet1[],17,FALSE),"")</f>
        <v>0</v>
      </c>
      <c r="R44" s="65">
        <f>IFERROR(VLOOKUP(RechercheÉtudiant1,ParicipationJuillet1[],18,FALSE),"")</f>
        <v>0</v>
      </c>
      <c r="S44" s="65">
        <f>IFERROR(VLOOKUP(RechercheÉtudiant1,ParicipationJuillet1[],19,FALSE),"")</f>
        <v>0</v>
      </c>
      <c r="T44" s="65">
        <f>IFERROR(VLOOKUP(RechercheÉtudiant1,ParicipationJuillet1[],20,FALSE),"")</f>
        <v>0</v>
      </c>
      <c r="U44" s="65">
        <f>IFERROR(VLOOKUP(RechercheÉtudiant1,ParicipationJuillet1[],21,FALSE),"")</f>
        <v>0</v>
      </c>
      <c r="V44" s="65">
        <f>IFERROR(VLOOKUP(RechercheÉtudiant1,ParicipationJuillet1[],22,FALSE),"")</f>
        <v>0</v>
      </c>
      <c r="W44" s="65">
        <f>IFERROR(VLOOKUP(RechercheÉtudiant1,ParicipationJuillet1[],23,FALSE),"")</f>
        <v>0</v>
      </c>
      <c r="X44" s="65">
        <f>IFERROR(VLOOKUP(RechercheÉtudiant1,ParicipationJuillet1[],24,FALSE),"")</f>
        <v>0</v>
      </c>
      <c r="Y44" s="65">
        <f>IFERROR(VLOOKUP(RechercheÉtudiant1,ParicipationJuillet1[],25,FALSE),"")</f>
        <v>0</v>
      </c>
      <c r="Z44" s="65">
        <f>IFERROR(VLOOKUP(RechercheÉtudiant1,ParicipationJuillet1[],26,FALSE),"")</f>
        <v>0</v>
      </c>
      <c r="AA44" s="65">
        <f>IFERROR(VLOOKUP(RechercheÉtudiant1,ParicipationJuillet1[],27,FALSE),"")</f>
        <v>0</v>
      </c>
      <c r="AB44" s="65">
        <f>IFERROR(VLOOKUP(RechercheÉtudiant1,ParicipationJuillet1[],28,FALSE),"")</f>
        <v>0</v>
      </c>
      <c r="AC44" s="65">
        <f>IFERROR(VLOOKUP(RechercheÉtudiant1,ParicipationJuillet1[],29,FALSE),"")</f>
        <v>0</v>
      </c>
      <c r="AD44" s="65">
        <f>IFERROR(VLOOKUP(RechercheÉtudiant1,ParicipationJuillet1[],30,FALSE),"")</f>
        <v>0</v>
      </c>
      <c r="AE44" s="65">
        <f>IFERROR(VLOOKUP(RechercheÉtudiant1,ParicipationJuillet1[],31,FALSE),"")</f>
        <v>0</v>
      </c>
      <c r="AF44" s="65">
        <f>IFERROR(VLOOKUP(RechercheÉtudiant1,ParicipationJuillet1[],32,FALSE),"")</f>
        <v>0</v>
      </c>
      <c r="AG44" s="280">
        <f>IFERROR(VLOOKUP(RechercheÉtudiant1,ParicipationJuillet1[],33,FALSE),"")</f>
        <v>0</v>
      </c>
      <c r="AH44" s="715"/>
      <c r="AI44" s="661"/>
      <c r="AJ44" s="661"/>
      <c r="AK44" s="661"/>
      <c r="AL44" s="661"/>
      <c r="AM44" s="661"/>
      <c r="AN44" s="661"/>
      <c r="AO44" s="661"/>
      <c r="AP44" s="661"/>
      <c r="AQ44" s="661"/>
      <c r="AR44" s="661"/>
      <c r="AS44" s="661"/>
      <c r="AT44" s="723"/>
      <c r="AU44" s="661"/>
      <c r="AV44" s="663"/>
      <c r="AW44" s="661"/>
      <c r="AX44" s="661"/>
      <c r="AY44" s="661"/>
      <c r="AZ44" s="661"/>
      <c r="BA44" s="661"/>
      <c r="BB44" s="717"/>
      <c r="BC44" s="397"/>
      <c r="BD44" s="661"/>
      <c r="BE44" s="661"/>
      <c r="BF44" s="661"/>
      <c r="BG44" s="661"/>
      <c r="BH44" s="661"/>
      <c r="BI44" s="661"/>
      <c r="BJ44" s="661"/>
      <c r="BK44" s="661"/>
      <c r="BL44" s="724"/>
      <c r="BM44" s="666"/>
      <c r="BN44" s="667"/>
      <c r="BO44" s="667"/>
      <c r="BP44" s="667"/>
      <c r="BQ44" s="667"/>
      <c r="BR44" s="667"/>
      <c r="BS44" s="667"/>
      <c r="BT44" s="667"/>
      <c r="BU44" s="667"/>
      <c r="BV44" s="667"/>
      <c r="BW44" s="667"/>
      <c r="BX44" s="667"/>
      <c r="BY44" s="667"/>
      <c r="BZ44" s="667"/>
      <c r="CA44" s="667"/>
      <c r="CB44" s="667"/>
      <c r="CC44" s="667"/>
      <c r="CD44" s="667"/>
      <c r="CE44" s="667"/>
      <c r="CF44" s="667"/>
      <c r="CG44" s="667"/>
      <c r="CH44" s="667"/>
      <c r="CI44" s="667"/>
      <c r="CJ44" s="667"/>
      <c r="CK44" s="667"/>
      <c r="CL44" s="667"/>
      <c r="CM44" s="667"/>
      <c r="CN44" s="667"/>
      <c r="CO44" s="667"/>
      <c r="CP44" s="667"/>
      <c r="CQ44" s="667"/>
      <c r="CR44" s="667"/>
      <c r="CS44" s="667"/>
      <c r="CT44" s="667"/>
      <c r="CU44" s="667"/>
      <c r="CV44" s="671"/>
      <c r="CW44" s="689"/>
      <c r="CX44" s="676"/>
      <c r="CY44" s="673"/>
    </row>
    <row r="45" spans="2:103" ht="15.75" thickTop="1" thickBot="1">
      <c r="B45" s="67"/>
      <c r="C45" s="67"/>
      <c r="D45" s="67"/>
      <c r="E45" s="67"/>
      <c r="F45" s="67"/>
      <c r="G45" s="67"/>
      <c r="H45" s="67"/>
      <c r="I45" s="67"/>
      <c r="J45" s="67"/>
      <c r="K45" s="67"/>
      <c r="L45" s="67"/>
      <c r="M45" s="67"/>
      <c r="N45" s="67"/>
      <c r="O45" s="67"/>
      <c r="P45" s="67"/>
      <c r="Q45" s="67"/>
      <c r="R45" s="67"/>
      <c r="S45" s="68"/>
      <c r="T45" s="68"/>
      <c r="U45" s="68"/>
      <c r="V45" s="68"/>
      <c r="W45" s="68"/>
      <c r="X45" s="68"/>
      <c r="Y45" s="68"/>
      <c r="Z45" s="68"/>
      <c r="AA45" s="68"/>
      <c r="AB45" s="68"/>
      <c r="AC45" s="68"/>
      <c r="AD45" s="68"/>
      <c r="AE45" s="712" t="s">
        <v>36</v>
      </c>
      <c r="AF45" s="712"/>
      <c r="AG45" s="713"/>
      <c r="AH45" s="492">
        <f>SUM(AH21:AH44)</f>
        <v>0</v>
      </c>
      <c r="AI45" s="493">
        <f>SUM(AI21:AI44)</f>
        <v>0</v>
      </c>
      <c r="AJ45" s="493">
        <f>SUM(AJ21:AJ44)</f>
        <v>1</v>
      </c>
      <c r="AK45" s="494">
        <f>SUM(AK21:AK44)</f>
        <v>0</v>
      </c>
      <c r="AL45" s="495">
        <f t="shared" ref="AL45:BL45" si="49">SUM(AL21:AL44)</f>
        <v>0</v>
      </c>
      <c r="AM45" s="494">
        <f t="shared" si="49"/>
        <v>0</v>
      </c>
      <c r="AN45" s="494">
        <f t="shared" si="49"/>
        <v>0</v>
      </c>
      <c r="AO45" s="494">
        <f t="shared" si="49"/>
        <v>0</v>
      </c>
      <c r="AP45" s="495">
        <f t="shared" si="49"/>
        <v>0</v>
      </c>
      <c r="AQ45" s="494">
        <f t="shared" si="49"/>
        <v>0</v>
      </c>
      <c r="AR45" s="494">
        <f t="shared" si="49"/>
        <v>0</v>
      </c>
      <c r="AS45" s="495">
        <f t="shared" si="49"/>
        <v>0</v>
      </c>
      <c r="AT45" s="496">
        <f t="shared" si="49"/>
        <v>0</v>
      </c>
      <c r="AU45" s="283">
        <f t="shared" si="49"/>
        <v>0</v>
      </c>
      <c r="AV45" s="284">
        <f t="shared" si="49"/>
        <v>0</v>
      </c>
      <c r="AW45" s="285">
        <f t="shared" si="49"/>
        <v>0</v>
      </c>
      <c r="AX45" s="281">
        <f t="shared" si="49"/>
        <v>0</v>
      </c>
      <c r="AY45" s="281">
        <f t="shared" si="49"/>
        <v>0</v>
      </c>
      <c r="AZ45" s="281">
        <f t="shared" si="49"/>
        <v>0</v>
      </c>
      <c r="BA45" s="281"/>
      <c r="BB45" s="281">
        <f t="shared" si="49"/>
        <v>0</v>
      </c>
      <c r="BC45" s="281">
        <f t="shared" si="49"/>
        <v>0</v>
      </c>
      <c r="BD45" s="281">
        <f t="shared" si="49"/>
        <v>0</v>
      </c>
      <c r="BE45" s="281">
        <f t="shared" si="49"/>
        <v>0</v>
      </c>
      <c r="BF45" s="281">
        <f t="shared" si="49"/>
        <v>0</v>
      </c>
      <c r="BG45" s="281">
        <f t="shared" si="49"/>
        <v>0</v>
      </c>
      <c r="BH45" s="281">
        <f t="shared" si="49"/>
        <v>0</v>
      </c>
      <c r="BI45" s="281">
        <f t="shared" si="49"/>
        <v>0</v>
      </c>
      <c r="BJ45" s="281">
        <f t="shared" si="49"/>
        <v>0</v>
      </c>
      <c r="BK45" s="282">
        <f t="shared" si="49"/>
        <v>0</v>
      </c>
      <c r="BL45" s="282">
        <f t="shared" si="49"/>
        <v>0</v>
      </c>
      <c r="BM45" s="242">
        <f>SUM(BM21:BM44)</f>
        <v>0</v>
      </c>
      <c r="BN45" s="242">
        <f t="shared" ref="BN45:CU45" si="50">SUM(BN21:BN44)</f>
        <v>0</v>
      </c>
      <c r="BO45" s="242">
        <f t="shared" si="50"/>
        <v>6</v>
      </c>
      <c r="BP45" s="242">
        <f t="shared" si="50"/>
        <v>5</v>
      </c>
      <c r="BQ45" s="242">
        <f t="shared" si="50"/>
        <v>6</v>
      </c>
      <c r="BR45" s="242">
        <f t="shared" si="50"/>
        <v>4</v>
      </c>
      <c r="BS45" s="242">
        <f t="shared" si="50"/>
        <v>6</v>
      </c>
      <c r="BT45" s="242">
        <f t="shared" si="50"/>
        <v>6</v>
      </c>
      <c r="BU45" s="242">
        <f t="shared" si="50"/>
        <v>6</v>
      </c>
      <c r="BV45" s="242">
        <f t="shared" si="50"/>
        <v>6</v>
      </c>
      <c r="BW45" s="242">
        <f t="shared" si="50"/>
        <v>6</v>
      </c>
      <c r="BX45" s="242">
        <f t="shared" si="50"/>
        <v>6</v>
      </c>
      <c r="BY45" s="242">
        <f t="shared" si="50"/>
        <v>6</v>
      </c>
      <c r="BZ45" s="242">
        <f t="shared" si="50"/>
        <v>6</v>
      </c>
      <c r="CA45" s="242">
        <f t="shared" si="50"/>
        <v>6</v>
      </c>
      <c r="CB45" s="242">
        <f t="shared" si="50"/>
        <v>6</v>
      </c>
      <c r="CC45" s="242">
        <f t="shared" si="50"/>
        <v>6</v>
      </c>
      <c r="CD45" s="242">
        <f t="shared" si="50"/>
        <v>6</v>
      </c>
      <c r="CE45" s="242">
        <f t="shared" si="50"/>
        <v>6</v>
      </c>
      <c r="CF45" s="242">
        <f t="shared" si="50"/>
        <v>6</v>
      </c>
      <c r="CG45" s="242">
        <f t="shared" si="50"/>
        <v>6</v>
      </c>
      <c r="CH45" s="242">
        <f t="shared" si="50"/>
        <v>6</v>
      </c>
      <c r="CI45" s="242">
        <f t="shared" si="50"/>
        <v>6</v>
      </c>
      <c r="CJ45" s="242">
        <f t="shared" si="50"/>
        <v>6</v>
      </c>
      <c r="CK45" s="242">
        <f t="shared" si="50"/>
        <v>5</v>
      </c>
      <c r="CL45" s="242">
        <f t="shared" si="50"/>
        <v>5</v>
      </c>
      <c r="CM45" s="242">
        <f t="shared" si="50"/>
        <v>6</v>
      </c>
      <c r="CN45" s="242">
        <f t="shared" si="50"/>
        <v>6</v>
      </c>
      <c r="CO45" s="242">
        <f t="shared" si="50"/>
        <v>6</v>
      </c>
      <c r="CP45" s="242">
        <f t="shared" si="50"/>
        <v>6</v>
      </c>
      <c r="CQ45" s="242">
        <f t="shared" ca="1" si="50"/>
        <v>0</v>
      </c>
      <c r="CR45" s="242">
        <f t="shared" ca="1" si="50"/>
        <v>0</v>
      </c>
      <c r="CS45" s="242">
        <f t="shared" ca="1" si="50"/>
        <v>0</v>
      </c>
      <c r="CT45" s="242"/>
      <c r="CU45" s="242">
        <f t="shared" si="50"/>
        <v>13</v>
      </c>
      <c r="CV45" s="243">
        <f>SUM(CV21:CV44)</f>
        <v>2</v>
      </c>
      <c r="CW45" s="243">
        <f>SUM(CW21:CW44)</f>
        <v>0</v>
      </c>
      <c r="CX45" s="193">
        <f>SUM(CX21:CX44)</f>
        <v>0</v>
      </c>
      <c r="CY45" s="194">
        <f>SUM(CY21:CY44)</f>
        <v>0</v>
      </c>
    </row>
    <row r="46" spans="2:103" ht="14.25" thickTop="1">
      <c r="BK46"/>
      <c r="BL46"/>
      <c r="BM46" s="29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297"/>
      <c r="CM46" s="297"/>
      <c r="CN46" s="297"/>
      <c r="CO46" s="297"/>
      <c r="CP46" s="297"/>
      <c r="CQ46" s="297"/>
      <c r="CR46" s="297"/>
      <c r="CS46" s="297"/>
      <c r="CT46" s="297"/>
      <c r="CU46" s="297"/>
      <c r="CV46" s="297"/>
      <c r="CW46"/>
      <c r="CX46"/>
    </row>
    <row r="47" spans="2:103">
      <c r="BM47" s="297"/>
      <c r="BN47" s="307"/>
      <c r="BO47" s="297"/>
      <c r="BP47" s="307"/>
      <c r="BQ47" s="307"/>
      <c r="BR47" s="307"/>
      <c r="BS47" s="307"/>
      <c r="BT47" s="307"/>
      <c r="BU47" s="307"/>
      <c r="BV47" s="307"/>
      <c r="BW47" s="307"/>
      <c r="BX47" s="307"/>
      <c r="BY47" s="307"/>
      <c r="BZ47" s="307"/>
      <c r="CA47" s="307"/>
      <c r="CB47" s="307"/>
      <c r="CC47" s="307"/>
      <c r="CD47" s="307"/>
      <c r="CE47" s="297"/>
      <c r="CF47" s="307"/>
      <c r="CG47" s="297"/>
      <c r="CH47" s="307"/>
      <c r="CI47" s="297"/>
      <c r="CJ47" s="307"/>
      <c r="CK47" s="297"/>
      <c r="CL47" s="297"/>
      <c r="CM47" s="297"/>
      <c r="CN47" s="297"/>
      <c r="CO47" s="297"/>
      <c r="CP47" s="297"/>
      <c r="CQ47" s="297"/>
      <c r="CR47" s="297"/>
      <c r="CS47" s="297"/>
      <c r="CT47" s="297"/>
      <c r="CU47" s="297"/>
      <c r="CV47" s="297"/>
    </row>
    <row r="48" spans="2:103">
      <c r="BM48" s="297"/>
      <c r="BN48" s="297"/>
      <c r="BO48" s="297"/>
      <c r="BP48" s="307"/>
      <c r="BQ48" s="297"/>
      <c r="BR48" s="297"/>
      <c r="BS48" s="307"/>
      <c r="BT48" s="307"/>
      <c r="BU48" s="297"/>
      <c r="BV48" s="307"/>
      <c r="BW48" s="307"/>
      <c r="BX48" s="307"/>
      <c r="BY48" s="307"/>
      <c r="BZ48" s="307"/>
      <c r="CA48" s="307"/>
      <c r="CB48" s="307"/>
      <c r="CC48" s="297"/>
      <c r="CD48" s="307"/>
      <c r="CE48" s="297"/>
      <c r="CF48" s="297"/>
      <c r="CG48" s="297"/>
      <c r="CH48" s="297"/>
      <c r="CI48" s="297"/>
      <c r="CJ48" s="297"/>
      <c r="CK48" s="297"/>
      <c r="CL48" s="297"/>
      <c r="CM48" s="297"/>
      <c r="CN48" s="297"/>
      <c r="CO48" s="297"/>
      <c r="CP48" s="297"/>
      <c r="CQ48" s="297"/>
      <c r="CR48" s="297"/>
      <c r="CS48" s="297"/>
      <c r="CT48" s="297"/>
      <c r="CU48" s="297"/>
      <c r="CV48" s="297"/>
    </row>
    <row r="49" spans="65:100">
      <c r="BM49" s="297"/>
      <c r="BN49" s="297"/>
      <c r="BO49" s="297"/>
      <c r="BP49" s="297"/>
      <c r="BQ49" s="297"/>
      <c r="BR49" s="297"/>
      <c r="BS49" s="297"/>
      <c r="BT49" s="297"/>
      <c r="BU49" s="297"/>
      <c r="BV49" s="297"/>
      <c r="BW49" s="297"/>
      <c r="BX49" s="297"/>
      <c r="BY49" s="297"/>
      <c r="BZ49" s="297"/>
      <c r="CA49" s="297"/>
      <c r="CB49" s="297"/>
      <c r="CC49" s="297"/>
      <c r="CD49" s="297"/>
      <c r="CE49" s="297"/>
      <c r="CF49" s="297"/>
      <c r="CG49" s="297"/>
      <c r="CH49" s="297"/>
      <c r="CI49" s="297"/>
      <c r="CJ49" s="297"/>
      <c r="CK49" s="297"/>
      <c r="CL49" s="297"/>
      <c r="CM49" s="297"/>
      <c r="CN49" s="297"/>
      <c r="CO49" s="297"/>
      <c r="CP49" s="297"/>
      <c r="CQ49" s="297"/>
      <c r="CR49" s="297"/>
      <c r="CS49" s="297"/>
      <c r="CT49" s="297"/>
      <c r="CU49" s="297"/>
      <c r="CV49" s="297"/>
    </row>
    <row r="50" spans="65:100">
      <c r="BM50" s="139">
        <f>SUM((AH50*1)+(AI51*1.5)+(AJ50*2)+(AK50*3)+(AL50*4)+(AQ50*5)+(AR50*6)+(AS50*7)+(AW50*2)+(AX50*3)+(AY50*4)+(AZ50*5)+(BG50*2))</f>
        <v>0</v>
      </c>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row>
  </sheetData>
  <sheetProtection formatColumns="0" formatRows="0" selectLockedCells="1"/>
  <mergeCells count="884">
    <mergeCell ref="BH43:BH44"/>
    <mergeCell ref="AT43:AT44"/>
    <mergeCell ref="AU43:AU44"/>
    <mergeCell ref="AW43:AW44"/>
    <mergeCell ref="AY43:AY44"/>
    <mergeCell ref="CT39:CT40"/>
    <mergeCell ref="CT41:CT42"/>
    <mergeCell ref="CT43:CT44"/>
    <mergeCell ref="BE39:BE40"/>
    <mergeCell ref="BE41:BE42"/>
    <mergeCell ref="BE43:BE44"/>
    <mergeCell ref="BL39:BL40"/>
    <mergeCell ref="BL41:BL42"/>
    <mergeCell ref="BL43:BL44"/>
    <mergeCell ref="BD39:BD40"/>
    <mergeCell ref="BD41:BD42"/>
    <mergeCell ref="BD43:BD44"/>
    <mergeCell ref="CG39:CG40"/>
    <mergeCell ref="CH39:CH40"/>
    <mergeCell ref="CI39:CI40"/>
    <mergeCell ref="CJ39:CJ40"/>
    <mergeCell ref="CK39:CK40"/>
    <mergeCell ref="CL39:CL40"/>
    <mergeCell ref="CM39:CM40"/>
    <mergeCell ref="BE21:BE22"/>
    <mergeCell ref="BE23:BE24"/>
    <mergeCell ref="BE25:BE26"/>
    <mergeCell ref="BE27:BE28"/>
    <mergeCell ref="BE29:BE30"/>
    <mergeCell ref="BE31:BE32"/>
    <mergeCell ref="BE33:BE34"/>
    <mergeCell ref="BE35:BE36"/>
    <mergeCell ref="BE37:BE38"/>
    <mergeCell ref="BL21:BL22"/>
    <mergeCell ref="BL23:BL24"/>
    <mergeCell ref="BL25:BL26"/>
    <mergeCell ref="BL27:BL28"/>
    <mergeCell ref="BL29:BL30"/>
    <mergeCell ref="BL31:BL32"/>
    <mergeCell ref="BL33:BL34"/>
    <mergeCell ref="BL35:BL36"/>
    <mergeCell ref="BL37:BL38"/>
    <mergeCell ref="P16:Q16"/>
    <mergeCell ref="BD21:BD22"/>
    <mergeCell ref="BD23:BD24"/>
    <mergeCell ref="BD25:BD26"/>
    <mergeCell ref="BD27:BD28"/>
    <mergeCell ref="BD29:BD30"/>
    <mergeCell ref="BD31:BD32"/>
    <mergeCell ref="BD33:BD34"/>
    <mergeCell ref="BD35:BD36"/>
    <mergeCell ref="AJ21:AJ22"/>
    <mergeCell ref="AK21:AK22"/>
    <mergeCell ref="AP21:AP22"/>
    <mergeCell ref="AL21:AL22"/>
    <mergeCell ref="AM21:AM22"/>
    <mergeCell ref="AO21:AO22"/>
    <mergeCell ref="AH19:AP19"/>
    <mergeCell ref="AT33:AT34"/>
    <mergeCell ref="AT35:AT36"/>
    <mergeCell ref="AV33:AV34"/>
    <mergeCell ref="AV35:AV36"/>
    <mergeCell ref="AX33:AX34"/>
    <mergeCell ref="AX35:AX36"/>
    <mergeCell ref="AZ31:AZ32"/>
    <mergeCell ref="AZ33:AZ34"/>
    <mergeCell ref="BD37:BD38"/>
    <mergeCell ref="BB39:BB40"/>
    <mergeCell ref="BB41:BB42"/>
    <mergeCell ref="BB43:BB44"/>
    <mergeCell ref="BB21:BB22"/>
    <mergeCell ref="BB23:BB24"/>
    <mergeCell ref="BB25:BB26"/>
    <mergeCell ref="BB27:BB28"/>
    <mergeCell ref="BB29:BB30"/>
    <mergeCell ref="BB31:BB32"/>
    <mergeCell ref="BB33:BB34"/>
    <mergeCell ref="BB35:BB36"/>
    <mergeCell ref="BB37:BB38"/>
    <mergeCell ref="I16:J16"/>
    <mergeCell ref="BG21:BG22"/>
    <mergeCell ref="AP43:AP44"/>
    <mergeCell ref="AE45:AG45"/>
    <mergeCell ref="B39:B40"/>
    <mergeCell ref="AH39:AH40"/>
    <mergeCell ref="AJ39:AJ40"/>
    <mergeCell ref="AK39:AK40"/>
    <mergeCell ref="B43:B44"/>
    <mergeCell ref="AH43:AH44"/>
    <mergeCell ref="AJ43:AJ44"/>
    <mergeCell ref="AK43:AK44"/>
    <mergeCell ref="AP39:AP40"/>
    <mergeCell ref="B41:B42"/>
    <mergeCell ref="AH41:AH42"/>
    <mergeCell ref="AJ41:AJ42"/>
    <mergeCell ref="AK41:AK42"/>
    <mergeCell ref="AP41:AP42"/>
    <mergeCell ref="AI39:AI40"/>
    <mergeCell ref="AI41:AI42"/>
    <mergeCell ref="AI43:AI44"/>
    <mergeCell ref="AN39:AN40"/>
    <mergeCell ref="AN41:AN42"/>
    <mergeCell ref="AN43:AN44"/>
    <mergeCell ref="B37:B38"/>
    <mergeCell ref="AH37:AH38"/>
    <mergeCell ref="AJ37:AJ38"/>
    <mergeCell ref="AK37:AK38"/>
    <mergeCell ref="AP37:AP38"/>
    <mergeCell ref="AL37:AL38"/>
    <mergeCell ref="AM37:AM38"/>
    <mergeCell ref="AO37:AO38"/>
    <mergeCell ref="B35:B36"/>
    <mergeCell ref="AH35:AH36"/>
    <mergeCell ref="AJ35:AJ36"/>
    <mergeCell ref="AK35:AK36"/>
    <mergeCell ref="AP35:AP36"/>
    <mergeCell ref="AL35:AL36"/>
    <mergeCell ref="AM35:AM36"/>
    <mergeCell ref="AO35:AO36"/>
    <mergeCell ref="AI37:AI38"/>
    <mergeCell ref="AN37:AN38"/>
    <mergeCell ref="B33:B34"/>
    <mergeCell ref="AH33:AH34"/>
    <mergeCell ref="AJ33:AJ34"/>
    <mergeCell ref="AK33:AK34"/>
    <mergeCell ref="AP33:AP34"/>
    <mergeCell ref="AL33:AL34"/>
    <mergeCell ref="AM33:AM34"/>
    <mergeCell ref="AO33:AO34"/>
    <mergeCell ref="B31:B32"/>
    <mergeCell ref="AH31:AH32"/>
    <mergeCell ref="AJ31:AJ32"/>
    <mergeCell ref="AK31:AK32"/>
    <mergeCell ref="AP31:AP32"/>
    <mergeCell ref="AL31:AL32"/>
    <mergeCell ref="AM31:AM32"/>
    <mergeCell ref="AO31:AO32"/>
    <mergeCell ref="B29:B30"/>
    <mergeCell ref="AH29:AH30"/>
    <mergeCell ref="AJ29:AJ30"/>
    <mergeCell ref="AK29:AK30"/>
    <mergeCell ref="AP29:AP30"/>
    <mergeCell ref="AL29:AL30"/>
    <mergeCell ref="AM29:AM30"/>
    <mergeCell ref="AO29:AO30"/>
    <mergeCell ref="B27:B28"/>
    <mergeCell ref="AH27:AH28"/>
    <mergeCell ref="AJ27:AJ28"/>
    <mergeCell ref="AK27:AK28"/>
    <mergeCell ref="AP27:AP28"/>
    <mergeCell ref="AL27:AL28"/>
    <mergeCell ref="AM27:AM28"/>
    <mergeCell ref="AO27:AO28"/>
    <mergeCell ref="B8:J8"/>
    <mergeCell ref="B4:C4"/>
    <mergeCell ref="D4:O4"/>
    <mergeCell ref="K8:V8"/>
    <mergeCell ref="W8:AD8"/>
    <mergeCell ref="AE8:AP8"/>
    <mergeCell ref="B25:B26"/>
    <mergeCell ref="AH25:AH26"/>
    <mergeCell ref="AJ25:AJ26"/>
    <mergeCell ref="AK25:AK26"/>
    <mergeCell ref="AP25:AP26"/>
    <mergeCell ref="AL25:AL26"/>
    <mergeCell ref="AM25:AM26"/>
    <mergeCell ref="AO25:AO26"/>
    <mergeCell ref="B23:B24"/>
    <mergeCell ref="AH23:AH24"/>
    <mergeCell ref="AJ23:AJ24"/>
    <mergeCell ref="AK23:AK24"/>
    <mergeCell ref="AP23:AP24"/>
    <mergeCell ref="AL23:AL24"/>
    <mergeCell ref="AM23:AM24"/>
    <mergeCell ref="AO23:AO24"/>
    <mergeCell ref="B21:B22"/>
    <mergeCell ref="AH21:AH22"/>
    <mergeCell ref="D3:O3"/>
    <mergeCell ref="AE5:AP5"/>
    <mergeCell ref="B6:J6"/>
    <mergeCell ref="K6:V6"/>
    <mergeCell ref="W6:AD6"/>
    <mergeCell ref="AE6:AP6"/>
    <mergeCell ref="B5:J5"/>
    <mergeCell ref="K5:V5"/>
    <mergeCell ref="AE3:AF3"/>
    <mergeCell ref="AE4:AF4"/>
    <mergeCell ref="AG3:AK3"/>
    <mergeCell ref="AG4:AK4"/>
    <mergeCell ref="P3:R3"/>
    <mergeCell ref="S3:V3"/>
    <mergeCell ref="W3:AD3"/>
    <mergeCell ref="W5:AD5"/>
    <mergeCell ref="P4:R4"/>
    <mergeCell ref="S4:V4"/>
    <mergeCell ref="W4:AD4"/>
    <mergeCell ref="CS29:CS30"/>
    <mergeCell ref="CS31:CS32"/>
    <mergeCell ref="B7:J7"/>
    <mergeCell ref="K7:V7"/>
    <mergeCell ref="W7:AD7"/>
    <mergeCell ref="AE7:AP7"/>
    <mergeCell ref="AL43:AL44"/>
    <mergeCell ref="AM43:AM44"/>
    <mergeCell ref="AO43:AO44"/>
    <mergeCell ref="AL39:AL40"/>
    <mergeCell ref="AM39:AM40"/>
    <mergeCell ref="AO39:AO40"/>
    <mergeCell ref="AL41:AL42"/>
    <mergeCell ref="AM41:AM42"/>
    <mergeCell ref="AO41:AO42"/>
    <mergeCell ref="B19:AG20"/>
    <mergeCell ref="B9:J9"/>
    <mergeCell ref="K9:V9"/>
    <mergeCell ref="W9:AD9"/>
    <mergeCell ref="AE9:AP9"/>
    <mergeCell ref="B10:J10"/>
    <mergeCell ref="K10:V10"/>
    <mergeCell ref="W10:AD10"/>
    <mergeCell ref="AE10:AP10"/>
    <mergeCell ref="BJ21:BJ22"/>
    <mergeCell ref="BI21:BI22"/>
    <mergeCell ref="CS33:CS34"/>
    <mergeCell ref="CS35:CS36"/>
    <mergeCell ref="CS37:CS38"/>
    <mergeCell ref="CS39:CS40"/>
    <mergeCell ref="CS41:CS42"/>
    <mergeCell ref="CS21:CS22"/>
    <mergeCell ref="BM21:BM22"/>
    <mergeCell ref="BN21:BN22"/>
    <mergeCell ref="BO21:BO22"/>
    <mergeCell ref="BP21:BP22"/>
    <mergeCell ref="BQ21:BQ22"/>
    <mergeCell ref="BR21:BR22"/>
    <mergeCell ref="BS21:BS22"/>
    <mergeCell ref="BT21:BT22"/>
    <mergeCell ref="BU21:BU22"/>
    <mergeCell ref="BV21:BV22"/>
    <mergeCell ref="BW21:BW22"/>
    <mergeCell ref="BX21:BX22"/>
    <mergeCell ref="BY21:BY22"/>
    <mergeCell ref="BZ21:BZ22"/>
    <mergeCell ref="CA21:CA22"/>
    <mergeCell ref="CB21:CB22"/>
    <mergeCell ref="CW27:CW28"/>
    <mergeCell ref="CW29:CW30"/>
    <mergeCell ref="CW31:CW32"/>
    <mergeCell ref="CW33:CW34"/>
    <mergeCell ref="CW35:CW36"/>
    <mergeCell ref="CW37:CW38"/>
    <mergeCell ref="CW39:CW40"/>
    <mergeCell ref="CW41:CW42"/>
    <mergeCell ref="CW43:CW44"/>
    <mergeCell ref="CW21:CW22"/>
    <mergeCell ref="CS23:CS24"/>
    <mergeCell ref="CW23:CW24"/>
    <mergeCell ref="CS25:CS26"/>
    <mergeCell ref="CW25:CW26"/>
    <mergeCell ref="CS27:CS28"/>
    <mergeCell ref="AQ37:AQ38"/>
    <mergeCell ref="AQ35:AQ36"/>
    <mergeCell ref="AQ33:AQ34"/>
    <mergeCell ref="AQ31:AQ32"/>
    <mergeCell ref="AQ29:AQ30"/>
    <mergeCell ref="AQ27:AQ28"/>
    <mergeCell ref="AQ25:AQ26"/>
    <mergeCell ref="AZ21:AZ22"/>
    <mergeCell ref="AQ23:AQ24"/>
    <mergeCell ref="AQ21:AQ22"/>
    <mergeCell ref="AR21:AR22"/>
    <mergeCell ref="AS21:AS22"/>
    <mergeCell ref="AT21:AT22"/>
    <mergeCell ref="AU21:AU22"/>
    <mergeCell ref="AV21:AV22"/>
    <mergeCell ref="AW21:AW22"/>
    <mergeCell ref="AX21:AX22"/>
    <mergeCell ref="AY21:AY22"/>
    <mergeCell ref="CX39:CX40"/>
    <mergeCell ref="CX41:CX42"/>
    <mergeCell ref="CX43:CX44"/>
    <mergeCell ref="BH21:BH22"/>
    <mergeCell ref="AI21:AI22"/>
    <mergeCell ref="AN21:AN22"/>
    <mergeCell ref="AI23:AI24"/>
    <mergeCell ref="AI25:AI26"/>
    <mergeCell ref="AI27:AI28"/>
    <mergeCell ref="AI29:AI30"/>
    <mergeCell ref="AI31:AI32"/>
    <mergeCell ref="AI33:AI34"/>
    <mergeCell ref="AI35:AI36"/>
    <mergeCell ref="AN23:AN24"/>
    <mergeCell ref="AN25:AN26"/>
    <mergeCell ref="AN27:AN28"/>
    <mergeCell ref="AN29:AN30"/>
    <mergeCell ref="AN31:AN32"/>
    <mergeCell ref="AN33:AN34"/>
    <mergeCell ref="AN35:AN36"/>
    <mergeCell ref="BK21:BK22"/>
    <mergeCell ref="AQ43:AQ44"/>
    <mergeCell ref="AQ41:AQ42"/>
    <mergeCell ref="AQ39:AQ40"/>
    <mergeCell ref="CX21:CX22"/>
    <mergeCell ref="CX23:CX24"/>
    <mergeCell ref="CX25:CX26"/>
    <mergeCell ref="CX27:CX28"/>
    <mergeCell ref="CX29:CX30"/>
    <mergeCell ref="CX31:CX32"/>
    <mergeCell ref="CX33:CX34"/>
    <mergeCell ref="CX35:CX36"/>
    <mergeCell ref="CX37:CX38"/>
    <mergeCell ref="CY39:CY40"/>
    <mergeCell ref="CY41:CY42"/>
    <mergeCell ref="CY43:CY44"/>
    <mergeCell ref="CY21:CY22"/>
    <mergeCell ref="CY23:CY24"/>
    <mergeCell ref="CY25:CY26"/>
    <mergeCell ref="CY27:CY28"/>
    <mergeCell ref="CY29:CY30"/>
    <mergeCell ref="CY31:CY32"/>
    <mergeCell ref="CY33:CY34"/>
    <mergeCell ref="CY35:CY36"/>
    <mergeCell ref="CY37:CY38"/>
    <mergeCell ref="CC21:CC22"/>
    <mergeCell ref="CD21:CD22"/>
    <mergeCell ref="CE21:CE22"/>
    <mergeCell ref="CF21:CF22"/>
    <mergeCell ref="CG21:CG22"/>
    <mergeCell ref="CH21:CH22"/>
    <mergeCell ref="CI21:CI22"/>
    <mergeCell ref="CJ21:CJ22"/>
    <mergeCell ref="CK21:CK22"/>
    <mergeCell ref="CL21:CL22"/>
    <mergeCell ref="CM21:CM22"/>
    <mergeCell ref="CN21:CN22"/>
    <mergeCell ref="CO21:CO22"/>
    <mergeCell ref="CP21:CP22"/>
    <mergeCell ref="CQ21:CQ22"/>
    <mergeCell ref="CR21:CR22"/>
    <mergeCell ref="BM23:BM24"/>
    <mergeCell ref="BN23:BN24"/>
    <mergeCell ref="BO23:BO24"/>
    <mergeCell ref="BP23:BP24"/>
    <mergeCell ref="BQ23:BQ24"/>
    <mergeCell ref="BR23:BR24"/>
    <mergeCell ref="BS23:BS24"/>
    <mergeCell ref="BT23:BT24"/>
    <mergeCell ref="BU23:BU24"/>
    <mergeCell ref="BV23:BV24"/>
    <mergeCell ref="BW23:BW24"/>
    <mergeCell ref="BX23:BX24"/>
    <mergeCell ref="BY23:BY24"/>
    <mergeCell ref="BZ23:BZ24"/>
    <mergeCell ref="CA23:CA24"/>
    <mergeCell ref="CB23:CB24"/>
    <mergeCell ref="CC23:CC24"/>
    <mergeCell ref="CD23:CD24"/>
    <mergeCell ref="CE23:CE24"/>
    <mergeCell ref="CF23:CF24"/>
    <mergeCell ref="CG23:CG24"/>
    <mergeCell ref="CH23:CH24"/>
    <mergeCell ref="CI23:CI24"/>
    <mergeCell ref="CJ23:CJ24"/>
    <mergeCell ref="CK23:CK24"/>
    <mergeCell ref="CL23:CL24"/>
    <mergeCell ref="CM23:CM24"/>
    <mergeCell ref="CN23:CN24"/>
    <mergeCell ref="CO23:CO24"/>
    <mergeCell ref="CP23:CP24"/>
    <mergeCell ref="CQ23:CQ24"/>
    <mergeCell ref="CR23:CR24"/>
    <mergeCell ref="BM25:BM26"/>
    <mergeCell ref="BN25:BN26"/>
    <mergeCell ref="BO25:BO26"/>
    <mergeCell ref="BP25:BP26"/>
    <mergeCell ref="BQ25:BQ26"/>
    <mergeCell ref="BR25:BR26"/>
    <mergeCell ref="BS25:BS26"/>
    <mergeCell ref="BT25:BT26"/>
    <mergeCell ref="BU25:BU26"/>
    <mergeCell ref="BV25:BV26"/>
    <mergeCell ref="BW25:BW26"/>
    <mergeCell ref="BX25:BX26"/>
    <mergeCell ref="BY25:BY26"/>
    <mergeCell ref="BZ25:BZ26"/>
    <mergeCell ref="CA25:CA26"/>
    <mergeCell ref="CB25:CB26"/>
    <mergeCell ref="CC25:CC26"/>
    <mergeCell ref="CD25:CD26"/>
    <mergeCell ref="CN25:CN26"/>
    <mergeCell ref="BV27:BV28"/>
    <mergeCell ref="BW27:BW28"/>
    <mergeCell ref="BX27:BX28"/>
    <mergeCell ref="BY27:BY28"/>
    <mergeCell ref="BZ27:BZ28"/>
    <mergeCell ref="CA27:CA28"/>
    <mergeCell ref="CB27:CB28"/>
    <mergeCell ref="CC27:CC28"/>
    <mergeCell ref="CD27:CD28"/>
    <mergeCell ref="CK27:CK28"/>
    <mergeCell ref="CL27:CL28"/>
    <mergeCell ref="CM27:CM28"/>
    <mergeCell ref="CN27:CN28"/>
    <mergeCell ref="CE25:CE26"/>
    <mergeCell ref="CF25:CF26"/>
    <mergeCell ref="CG25:CG26"/>
    <mergeCell ref="CH25:CH26"/>
    <mergeCell ref="CI25:CI26"/>
    <mergeCell ref="CJ25:CJ26"/>
    <mergeCell ref="CK25:CK26"/>
    <mergeCell ref="CL25:CL26"/>
    <mergeCell ref="CM25:CM26"/>
    <mergeCell ref="BM27:BM28"/>
    <mergeCell ref="BN27:BN28"/>
    <mergeCell ref="BO27:BO28"/>
    <mergeCell ref="BP27:BP28"/>
    <mergeCell ref="BQ27:BQ28"/>
    <mergeCell ref="BR27:BR28"/>
    <mergeCell ref="BS27:BS28"/>
    <mergeCell ref="BT27:BT28"/>
    <mergeCell ref="BU27:BU28"/>
    <mergeCell ref="CO27:CO28"/>
    <mergeCell ref="CO25:CO26"/>
    <mergeCell ref="CP25:CP26"/>
    <mergeCell ref="CQ25:CQ26"/>
    <mergeCell ref="CR25:CR26"/>
    <mergeCell ref="CC29:CC30"/>
    <mergeCell ref="CD29:CD30"/>
    <mergeCell ref="CE29:CE30"/>
    <mergeCell ref="CF29:CF30"/>
    <mergeCell ref="CG29:CG30"/>
    <mergeCell ref="CG27:CG28"/>
    <mergeCell ref="CH27:CH28"/>
    <mergeCell ref="CI27:CI28"/>
    <mergeCell ref="CJ27:CJ28"/>
    <mergeCell ref="CE27:CE28"/>
    <mergeCell ref="CF27:CF28"/>
    <mergeCell ref="CL29:CL30"/>
    <mergeCell ref="CM29:CM30"/>
    <mergeCell ref="CN29:CN30"/>
    <mergeCell ref="CO29:CO30"/>
    <mergeCell ref="CP29:CP30"/>
    <mergeCell ref="CP27:CP28"/>
    <mergeCell ref="CQ27:CQ28"/>
    <mergeCell ref="CR27:CR28"/>
    <mergeCell ref="BM29:BM30"/>
    <mergeCell ref="BN29:BN30"/>
    <mergeCell ref="BO29:BO30"/>
    <mergeCell ref="BP29:BP30"/>
    <mergeCell ref="BQ29:BQ30"/>
    <mergeCell ref="BR29:BR30"/>
    <mergeCell ref="BS29:BS30"/>
    <mergeCell ref="BT29:BT30"/>
    <mergeCell ref="BU29:BU30"/>
    <mergeCell ref="CH29:CH30"/>
    <mergeCell ref="CI29:CI30"/>
    <mergeCell ref="CJ29:CJ30"/>
    <mergeCell ref="CK29:CK30"/>
    <mergeCell ref="CM31:CM32"/>
    <mergeCell ref="CN31:CN32"/>
    <mergeCell ref="BV29:BV30"/>
    <mergeCell ref="BW29:BW30"/>
    <mergeCell ref="BX29:BX30"/>
    <mergeCell ref="BY29:BY30"/>
    <mergeCell ref="BZ29:BZ30"/>
    <mergeCell ref="CA29:CA30"/>
    <mergeCell ref="CB29:CB30"/>
    <mergeCell ref="CD31:CD32"/>
    <mergeCell ref="CE31:CE32"/>
    <mergeCell ref="CO31:CO32"/>
    <mergeCell ref="CP31:CP32"/>
    <mergeCell ref="CQ31:CQ32"/>
    <mergeCell ref="CQ29:CQ30"/>
    <mergeCell ref="CR29:CR30"/>
    <mergeCell ref="BM31:BM32"/>
    <mergeCell ref="BN31:BN32"/>
    <mergeCell ref="BO31:BO32"/>
    <mergeCell ref="BP31:BP32"/>
    <mergeCell ref="BQ31:BQ32"/>
    <mergeCell ref="BR31:BR32"/>
    <mergeCell ref="BS31:BS32"/>
    <mergeCell ref="BT31:BT32"/>
    <mergeCell ref="BU31:BU32"/>
    <mergeCell ref="BV31:BV32"/>
    <mergeCell ref="BW31:BW32"/>
    <mergeCell ref="BX31:BX32"/>
    <mergeCell ref="BY31:BY32"/>
    <mergeCell ref="BZ31:BZ32"/>
    <mergeCell ref="CA31:CA32"/>
    <mergeCell ref="CB31:CB32"/>
    <mergeCell ref="CC31:CC32"/>
    <mergeCell ref="CF31:CF32"/>
    <mergeCell ref="CG31:CG32"/>
    <mergeCell ref="CE33:CE34"/>
    <mergeCell ref="CF33:CF34"/>
    <mergeCell ref="CG33:CG34"/>
    <mergeCell ref="CH33:CH34"/>
    <mergeCell ref="CI33:CI34"/>
    <mergeCell ref="CI31:CI32"/>
    <mergeCell ref="CJ31:CJ32"/>
    <mergeCell ref="CK31:CK32"/>
    <mergeCell ref="CL31:CL32"/>
    <mergeCell ref="CJ33:CJ34"/>
    <mergeCell ref="CK33:CK34"/>
    <mergeCell ref="CL33:CL34"/>
    <mergeCell ref="CH31:CH32"/>
    <mergeCell ref="BV33:BV34"/>
    <mergeCell ref="BW33:BW34"/>
    <mergeCell ref="BX33:BX34"/>
    <mergeCell ref="BY33:BY34"/>
    <mergeCell ref="BZ33:BZ34"/>
    <mergeCell ref="CA33:CA34"/>
    <mergeCell ref="CB33:CB34"/>
    <mergeCell ref="CC33:CC34"/>
    <mergeCell ref="CD33:CD34"/>
    <mergeCell ref="BM33:BM34"/>
    <mergeCell ref="BN33:BN34"/>
    <mergeCell ref="BO33:BO34"/>
    <mergeCell ref="BP33:BP34"/>
    <mergeCell ref="BQ33:BQ34"/>
    <mergeCell ref="BR33:BR34"/>
    <mergeCell ref="BS33:BS34"/>
    <mergeCell ref="BT33:BT34"/>
    <mergeCell ref="BU33:BU34"/>
    <mergeCell ref="CM33:CM34"/>
    <mergeCell ref="CN33:CN34"/>
    <mergeCell ref="CO33:CO34"/>
    <mergeCell ref="CP33:CP34"/>
    <mergeCell ref="CQ33:CQ34"/>
    <mergeCell ref="CR33:CR34"/>
    <mergeCell ref="BM35:BM36"/>
    <mergeCell ref="BN35:BN36"/>
    <mergeCell ref="BO35:BO36"/>
    <mergeCell ref="BP35:BP36"/>
    <mergeCell ref="BQ35:BQ36"/>
    <mergeCell ref="BR35:BR36"/>
    <mergeCell ref="BS35:BS36"/>
    <mergeCell ref="BT35:BT36"/>
    <mergeCell ref="BU35:BU36"/>
    <mergeCell ref="BV35:BV36"/>
    <mergeCell ref="BW35:BW36"/>
    <mergeCell ref="BX35:BX36"/>
    <mergeCell ref="BY35:BY36"/>
    <mergeCell ref="BZ35:BZ36"/>
    <mergeCell ref="CA35:CA36"/>
    <mergeCell ref="CB35:CB36"/>
    <mergeCell ref="CC35:CC36"/>
    <mergeCell ref="CD35:CD36"/>
    <mergeCell ref="CE35:CE36"/>
    <mergeCell ref="CF35:CF36"/>
    <mergeCell ref="CG35:CG36"/>
    <mergeCell ref="CH35:CH36"/>
    <mergeCell ref="CI35:CI36"/>
    <mergeCell ref="CJ35:CJ36"/>
    <mergeCell ref="CK35:CK36"/>
    <mergeCell ref="CL35:CL36"/>
    <mergeCell ref="CM35:CM36"/>
    <mergeCell ref="CN35:CN36"/>
    <mergeCell ref="CO35:CO36"/>
    <mergeCell ref="CP35:CP36"/>
    <mergeCell ref="CQ35:CQ36"/>
    <mergeCell ref="CR35:CR36"/>
    <mergeCell ref="BM37:BM38"/>
    <mergeCell ref="BN37:BN38"/>
    <mergeCell ref="BO37:BO38"/>
    <mergeCell ref="BP37:BP38"/>
    <mergeCell ref="BQ37:BQ38"/>
    <mergeCell ref="BR37:BR38"/>
    <mergeCell ref="BS37:BS38"/>
    <mergeCell ref="BT37:BT38"/>
    <mergeCell ref="BU37:BU38"/>
    <mergeCell ref="BV37:BV38"/>
    <mergeCell ref="BW37:BW38"/>
    <mergeCell ref="BX37:BX38"/>
    <mergeCell ref="BY37:BY38"/>
    <mergeCell ref="BZ37:BZ38"/>
    <mergeCell ref="CA37:CA38"/>
    <mergeCell ref="CB37:CB38"/>
    <mergeCell ref="CC37:CC38"/>
    <mergeCell ref="CD37:CD38"/>
    <mergeCell ref="CE37:CE38"/>
    <mergeCell ref="CF37:CF38"/>
    <mergeCell ref="CG37:CG38"/>
    <mergeCell ref="CH37:CH38"/>
    <mergeCell ref="CI37:CI38"/>
    <mergeCell ref="CJ37:CJ38"/>
    <mergeCell ref="CK37:CK38"/>
    <mergeCell ref="CL37:CL38"/>
    <mergeCell ref="CM37:CM38"/>
    <mergeCell ref="CN37:CN38"/>
    <mergeCell ref="CO37:CO38"/>
    <mergeCell ref="CP37:CP38"/>
    <mergeCell ref="CQ37:CQ38"/>
    <mergeCell ref="CR37:CR38"/>
    <mergeCell ref="BM39:BM40"/>
    <mergeCell ref="BN39:BN40"/>
    <mergeCell ref="BO39:BO40"/>
    <mergeCell ref="BP39:BP40"/>
    <mergeCell ref="BQ39:BQ40"/>
    <mergeCell ref="BR39:BR40"/>
    <mergeCell ref="BS39:BS40"/>
    <mergeCell ref="BT39:BT40"/>
    <mergeCell ref="BU39:BU40"/>
    <mergeCell ref="BV39:BV40"/>
    <mergeCell ref="BW39:BW40"/>
    <mergeCell ref="BX39:BX40"/>
    <mergeCell ref="BY39:BY40"/>
    <mergeCell ref="BZ39:BZ40"/>
    <mergeCell ref="CA39:CA40"/>
    <mergeCell ref="CB39:CB40"/>
    <mergeCell ref="CC39:CC40"/>
    <mergeCell ref="CD39:CD40"/>
    <mergeCell ref="CE39:CE40"/>
    <mergeCell ref="CF39:CF40"/>
    <mergeCell ref="CN39:CN40"/>
    <mergeCell ref="CO39:CO40"/>
    <mergeCell ref="CP39:CP40"/>
    <mergeCell ref="CQ39:CQ40"/>
    <mergeCell ref="CR39:CR40"/>
    <mergeCell ref="BM41:BM42"/>
    <mergeCell ref="BN41:BN42"/>
    <mergeCell ref="BO41:BO42"/>
    <mergeCell ref="BP41:BP42"/>
    <mergeCell ref="BQ41:BQ42"/>
    <mergeCell ref="BR41:BR42"/>
    <mergeCell ref="BS41:BS42"/>
    <mergeCell ref="BT41:BT42"/>
    <mergeCell ref="BU41:BU42"/>
    <mergeCell ref="BV41:BV42"/>
    <mergeCell ref="BW41:BW42"/>
    <mergeCell ref="BX41:BX42"/>
    <mergeCell ref="BY41:BY42"/>
    <mergeCell ref="BZ41:BZ42"/>
    <mergeCell ref="CA41:CA42"/>
    <mergeCell ref="CB41:CB42"/>
    <mergeCell ref="CC41:CC42"/>
    <mergeCell ref="CD41:CD42"/>
    <mergeCell ref="CE41:CE42"/>
    <mergeCell ref="CF41:CF42"/>
    <mergeCell ref="CG41:CG42"/>
    <mergeCell ref="CH41:CH42"/>
    <mergeCell ref="CI41:CI42"/>
    <mergeCell ref="CJ41:CJ42"/>
    <mergeCell ref="CK41:CK42"/>
    <mergeCell ref="CL41:CL42"/>
    <mergeCell ref="CM41:CM42"/>
    <mergeCell ref="CN41:CN42"/>
    <mergeCell ref="CO41:CO42"/>
    <mergeCell ref="CP41:CP42"/>
    <mergeCell ref="CQ41:CQ42"/>
    <mergeCell ref="CR41:CR42"/>
    <mergeCell ref="BM43:BM44"/>
    <mergeCell ref="BN43:BN44"/>
    <mergeCell ref="BO43:BO44"/>
    <mergeCell ref="BP43:BP44"/>
    <mergeCell ref="BQ43:BQ44"/>
    <mergeCell ref="BR43:BR44"/>
    <mergeCell ref="BS43:BS44"/>
    <mergeCell ref="BT43:BT44"/>
    <mergeCell ref="BU43:BU44"/>
    <mergeCell ref="BV43:BV44"/>
    <mergeCell ref="BW43:BW44"/>
    <mergeCell ref="BX43:BX44"/>
    <mergeCell ref="BY43:BY44"/>
    <mergeCell ref="BZ43:BZ44"/>
    <mergeCell ref="CA43:CA44"/>
    <mergeCell ref="CB43:CB44"/>
    <mergeCell ref="CC43:CC44"/>
    <mergeCell ref="CD43:CD44"/>
    <mergeCell ref="CE43:CE44"/>
    <mergeCell ref="CF43:CF44"/>
    <mergeCell ref="CG43:CG44"/>
    <mergeCell ref="CH43:CH44"/>
    <mergeCell ref="CI43:CI44"/>
    <mergeCell ref="CJ43:CJ44"/>
    <mergeCell ref="CK43:CK44"/>
    <mergeCell ref="CL43:CL44"/>
    <mergeCell ref="CM43:CM44"/>
    <mergeCell ref="CN43:CN44"/>
    <mergeCell ref="CO43:CO44"/>
    <mergeCell ref="CP43:CP44"/>
    <mergeCell ref="CQ43:CQ44"/>
    <mergeCell ref="CR43:CR44"/>
    <mergeCell ref="CV21:CV22"/>
    <mergeCell ref="CV23:CV24"/>
    <mergeCell ref="CV25:CV26"/>
    <mergeCell ref="CV27:CV28"/>
    <mergeCell ref="CV29:CV30"/>
    <mergeCell ref="CV31:CV32"/>
    <mergeCell ref="CV33:CV34"/>
    <mergeCell ref="CV35:CV36"/>
    <mergeCell ref="CV37:CV38"/>
    <mergeCell ref="CV39:CV40"/>
    <mergeCell ref="CV41:CV42"/>
    <mergeCell ref="CV43:CV44"/>
    <mergeCell ref="CR31:CR32"/>
    <mergeCell ref="CS43:CS44"/>
    <mergeCell ref="CT21:CT22"/>
    <mergeCell ref="CT23:CT24"/>
    <mergeCell ref="CT25:CT26"/>
    <mergeCell ref="CT27:CT28"/>
    <mergeCell ref="CT29:CT30"/>
    <mergeCell ref="CT31:CT32"/>
    <mergeCell ref="CT33:CT34"/>
    <mergeCell ref="CT35:CT36"/>
    <mergeCell ref="CT37:CT38"/>
    <mergeCell ref="AR33:AR34"/>
    <mergeCell ref="AR35:AR36"/>
    <mergeCell ref="AR37:AR38"/>
    <mergeCell ref="AR39:AR40"/>
    <mergeCell ref="AR41:AR42"/>
    <mergeCell ref="AR43:AR44"/>
    <mergeCell ref="AS23:AS24"/>
    <mergeCell ref="AS25:AS26"/>
    <mergeCell ref="AS29:AS30"/>
    <mergeCell ref="AS31:AS32"/>
    <mergeCell ref="AS33:AS34"/>
    <mergeCell ref="AS35:AS36"/>
    <mergeCell ref="AS37:AS38"/>
    <mergeCell ref="AS39:AS40"/>
    <mergeCell ref="AS41:AS42"/>
    <mergeCell ref="AS43:AS44"/>
    <mergeCell ref="AR23:AR24"/>
    <mergeCell ref="AR25:AR26"/>
    <mergeCell ref="AR29:AR30"/>
    <mergeCell ref="AR31:AR32"/>
    <mergeCell ref="AR27:AR28"/>
    <mergeCell ref="AS27:AS28"/>
    <mergeCell ref="AT37:AT38"/>
    <mergeCell ref="AT39:AT40"/>
    <mergeCell ref="AT41:AT42"/>
    <mergeCell ref="AU23:AU24"/>
    <mergeCell ref="AU25:AU26"/>
    <mergeCell ref="AU29:AU30"/>
    <mergeCell ref="AU31:AU32"/>
    <mergeCell ref="AU33:AU34"/>
    <mergeCell ref="AU35:AU36"/>
    <mergeCell ref="AU37:AU38"/>
    <mergeCell ref="AU39:AU40"/>
    <mergeCell ref="AU41:AU42"/>
    <mergeCell ref="AT23:AT24"/>
    <mergeCell ref="AT25:AT26"/>
    <mergeCell ref="AT29:AT30"/>
    <mergeCell ref="AT31:AT32"/>
    <mergeCell ref="AT27:AT28"/>
    <mergeCell ref="AU27:AU28"/>
    <mergeCell ref="AV37:AV38"/>
    <mergeCell ref="AV39:AV40"/>
    <mergeCell ref="AV41:AV42"/>
    <mergeCell ref="AV43:AV44"/>
    <mergeCell ref="AW23:AW24"/>
    <mergeCell ref="AW25:AW26"/>
    <mergeCell ref="AW29:AW30"/>
    <mergeCell ref="AW31:AW32"/>
    <mergeCell ref="AW33:AW34"/>
    <mergeCell ref="AW35:AW36"/>
    <mergeCell ref="AW37:AW38"/>
    <mergeCell ref="AW39:AW40"/>
    <mergeCell ref="AW41:AW42"/>
    <mergeCell ref="AV23:AV24"/>
    <mergeCell ref="AV25:AV26"/>
    <mergeCell ref="AV29:AV30"/>
    <mergeCell ref="AV31:AV32"/>
    <mergeCell ref="AV27:AV28"/>
    <mergeCell ref="AW27:AW28"/>
    <mergeCell ref="AX37:AX38"/>
    <mergeCell ref="AX39:AX40"/>
    <mergeCell ref="AX41:AX42"/>
    <mergeCell ref="AX43:AX44"/>
    <mergeCell ref="AY23:AY24"/>
    <mergeCell ref="AY25:AY26"/>
    <mergeCell ref="AY29:AY30"/>
    <mergeCell ref="AY31:AY32"/>
    <mergeCell ref="AY33:AY34"/>
    <mergeCell ref="AY35:AY36"/>
    <mergeCell ref="AY37:AY38"/>
    <mergeCell ref="AY39:AY40"/>
    <mergeCell ref="AY41:AY42"/>
    <mergeCell ref="AX23:AX24"/>
    <mergeCell ref="AX25:AX26"/>
    <mergeCell ref="AX29:AX30"/>
    <mergeCell ref="AX31:AX32"/>
    <mergeCell ref="AX27:AX28"/>
    <mergeCell ref="AY27:AY28"/>
    <mergeCell ref="AZ35:AZ36"/>
    <mergeCell ref="AZ37:AZ38"/>
    <mergeCell ref="AZ39:AZ40"/>
    <mergeCell ref="AZ41:AZ42"/>
    <mergeCell ref="AZ43:AZ44"/>
    <mergeCell ref="BG23:BG24"/>
    <mergeCell ref="BG25:BG26"/>
    <mergeCell ref="BG29:BG30"/>
    <mergeCell ref="BG31:BG32"/>
    <mergeCell ref="BG33:BG34"/>
    <mergeCell ref="BG35:BG36"/>
    <mergeCell ref="BG37:BG38"/>
    <mergeCell ref="BG39:BG40"/>
    <mergeCell ref="BG41:BG42"/>
    <mergeCell ref="BG43:BG44"/>
    <mergeCell ref="BG27:BG28"/>
    <mergeCell ref="AZ23:AZ24"/>
    <mergeCell ref="AZ25:AZ26"/>
    <mergeCell ref="AZ29:AZ30"/>
    <mergeCell ref="AZ27:AZ28"/>
    <mergeCell ref="BA39:BA40"/>
    <mergeCell ref="BA41:BA42"/>
    <mergeCell ref="BF39:BF40"/>
    <mergeCell ref="BF41:BF42"/>
    <mergeCell ref="BH23:BH24"/>
    <mergeCell ref="BH25:BH26"/>
    <mergeCell ref="BH29:BH30"/>
    <mergeCell ref="BH31:BH32"/>
    <mergeCell ref="BH33:BH34"/>
    <mergeCell ref="BH35:BH36"/>
    <mergeCell ref="BH37:BH38"/>
    <mergeCell ref="BH39:BH40"/>
    <mergeCell ref="BH41:BH42"/>
    <mergeCell ref="BH27:BH28"/>
    <mergeCell ref="BI43:BI44"/>
    <mergeCell ref="BJ23:BJ24"/>
    <mergeCell ref="BJ25:BJ26"/>
    <mergeCell ref="BJ29:BJ30"/>
    <mergeCell ref="BJ31:BJ32"/>
    <mergeCell ref="BJ33:BJ34"/>
    <mergeCell ref="BJ35:BJ36"/>
    <mergeCell ref="BJ37:BJ38"/>
    <mergeCell ref="BJ39:BJ40"/>
    <mergeCell ref="BJ41:BJ42"/>
    <mergeCell ref="BJ43:BJ44"/>
    <mergeCell ref="BI23:BI24"/>
    <mergeCell ref="BI25:BI26"/>
    <mergeCell ref="BI29:BI30"/>
    <mergeCell ref="BI31:BI32"/>
    <mergeCell ref="BI33:BI34"/>
    <mergeCell ref="BI35:BI36"/>
    <mergeCell ref="BI37:BI38"/>
    <mergeCell ref="BI39:BI40"/>
    <mergeCell ref="BI41:BI42"/>
    <mergeCell ref="BI27:BI28"/>
    <mergeCell ref="BJ27:BJ28"/>
    <mergeCell ref="BK43:BK44"/>
    <mergeCell ref="BK23:BK24"/>
    <mergeCell ref="BK25:BK26"/>
    <mergeCell ref="BK29:BK30"/>
    <mergeCell ref="BK31:BK32"/>
    <mergeCell ref="BK33:BK34"/>
    <mergeCell ref="BK35:BK36"/>
    <mergeCell ref="BK37:BK38"/>
    <mergeCell ref="BK39:BK40"/>
    <mergeCell ref="BK41:BK42"/>
    <mergeCell ref="BK27:BK28"/>
    <mergeCell ref="M16:N16"/>
    <mergeCell ref="BC21:BC22"/>
    <mergeCell ref="BA43:BA44"/>
    <mergeCell ref="CU21:CU22"/>
    <mergeCell ref="CU23:CU24"/>
    <mergeCell ref="CU25:CU26"/>
    <mergeCell ref="CU27:CU28"/>
    <mergeCell ref="CU29:CU30"/>
    <mergeCell ref="CU31:CU32"/>
    <mergeCell ref="CU33:CU34"/>
    <mergeCell ref="CU35:CU36"/>
    <mergeCell ref="CU37:CU38"/>
    <mergeCell ref="CU39:CU40"/>
    <mergeCell ref="CU41:CU42"/>
    <mergeCell ref="CU43:CU44"/>
    <mergeCell ref="BA21:BA22"/>
    <mergeCell ref="BA23:BA24"/>
    <mergeCell ref="BA25:BA26"/>
    <mergeCell ref="BA27:BA28"/>
    <mergeCell ref="BA29:BA30"/>
    <mergeCell ref="BA31:BA32"/>
    <mergeCell ref="BA33:BA34"/>
    <mergeCell ref="BA35:BA36"/>
    <mergeCell ref="BA37:BA38"/>
    <mergeCell ref="BF43:BF44"/>
    <mergeCell ref="BF21:BF22"/>
    <mergeCell ref="BF23:BF24"/>
    <mergeCell ref="BF25:BF26"/>
    <mergeCell ref="BF27:BF28"/>
    <mergeCell ref="BF29:BF30"/>
    <mergeCell ref="BF31:BF32"/>
    <mergeCell ref="BF33:BF34"/>
    <mergeCell ref="BF35:BF36"/>
    <mergeCell ref="BF37:BF38"/>
  </mergeCells>
  <phoneticPr fontId="42" type="noConversion"/>
  <conditionalFormatting sqref="C24:AG24 C30:AG30 C34:AG34 C36:AG36 C42:AG42 C26:AG26 C40:AG40 C44:AG44 C32:AG32 C22:AG22">
    <cfRule type="expression" dxfId="156" priority="6">
      <formula>C22=code29</formula>
    </cfRule>
    <cfRule type="expression" dxfId="155" priority="9">
      <formula>C22=Code28</formula>
    </cfRule>
    <cfRule type="expression" dxfId="154" priority="13">
      <formula>C22=Code27</formula>
    </cfRule>
    <cfRule type="expression" dxfId="153" priority="14">
      <formula>C22=Code25</formula>
    </cfRule>
    <cfRule type="expression" dxfId="152" priority="16">
      <formula>C22=Code26</formula>
    </cfRule>
    <cfRule type="expression" dxfId="151" priority="28">
      <formula>C22=Code23</formula>
    </cfRule>
    <cfRule type="expression" dxfId="150" priority="43">
      <formula>C22=Code24</formula>
    </cfRule>
    <cfRule type="expression" dxfId="149" priority="45">
      <formula>C22=code22</formula>
    </cfRule>
    <cfRule type="expression" dxfId="148" priority="46">
      <formula>C22=code21</formula>
    </cfRule>
    <cfRule type="expression" dxfId="147" priority="48" stopIfTrue="1">
      <formula>C22=code20</formula>
    </cfRule>
    <cfRule type="expression" dxfId="146" priority="49" stopIfTrue="1">
      <formula>C22=code19</formula>
    </cfRule>
    <cfRule type="expression" dxfId="145" priority="50" stopIfTrue="1">
      <formula>C22=code18</formula>
    </cfRule>
    <cfRule type="expression" dxfId="144" priority="83" stopIfTrue="1">
      <formula>C22=Code17</formula>
    </cfRule>
    <cfRule type="expression" dxfId="143" priority="84" stopIfTrue="1">
      <formula>C22=Code16</formula>
    </cfRule>
    <cfRule type="expression" dxfId="142" priority="85" stopIfTrue="1">
      <formula>C22=Code15</formula>
    </cfRule>
    <cfRule type="expression" dxfId="141" priority="86" stopIfTrue="1">
      <formula>C22=Code13</formula>
    </cfRule>
    <cfRule type="expression" dxfId="140" priority="87" stopIfTrue="1">
      <formula>C22=Code14</formula>
    </cfRule>
    <cfRule type="expression" dxfId="139" priority="88" stopIfTrue="1">
      <formula>"C22=code12"</formula>
    </cfRule>
    <cfRule type="expression" dxfId="138" priority="89" stopIfTrue="1">
      <formula>C22=Code11</formula>
    </cfRule>
    <cfRule type="expression" dxfId="137" priority="90" stopIfTrue="1">
      <formula>C22=Code10</formula>
    </cfRule>
    <cfRule type="expression" dxfId="136" priority="91" stopIfTrue="1">
      <formula>C22=Code9</formula>
    </cfRule>
    <cfRule type="expression" dxfId="135" priority="92" stopIfTrue="1">
      <formula>C22=Code8</formula>
    </cfRule>
    <cfRule type="expression" dxfId="134" priority="119" stopIfTrue="1">
      <formula>C22=Code7</formula>
    </cfRule>
    <cfRule type="expression" dxfId="133" priority="120" stopIfTrue="1">
      <formula>C22=Code6</formula>
    </cfRule>
    <cfRule type="expression" dxfId="132" priority="270" stopIfTrue="1">
      <formula>C22=Code1</formula>
    </cfRule>
  </conditionalFormatting>
  <conditionalFormatting sqref="C24:AG24 C30:AG30 C34:AG34 C36:AG36 C42:AG42 C26:AG26 C40:AG40 C44:AG44 C32:AG32 C28:AG28 C38:AG38 C22:AG22">
    <cfRule type="expression" dxfId="131" priority="282" stopIfTrue="1">
      <formula>C22=Code2</formula>
    </cfRule>
  </conditionalFormatting>
  <conditionalFormatting sqref="C24:AG24 C30:AG30 C34:AG34 C36:AG36 C42:AG42 C26:AG26 C40:AG40 C44:AG44 C32:AG32 C28:AG28 C38:AG38 C22:AG22">
    <cfRule type="expression" dxfId="130" priority="294" stopIfTrue="1">
      <formula>C22=Code3</formula>
    </cfRule>
  </conditionalFormatting>
  <conditionalFormatting sqref="C24:AG24 C30:AG30 C34:AG34 C36:AG36 C42:AG42 C26:AG26 C40:AG40 C44:AG44 C32:AG32 C28:AG28 C38:AG38 C22:AG22">
    <cfRule type="expression" dxfId="129" priority="306" stopIfTrue="1">
      <formula>C22=Code4</formula>
    </cfRule>
  </conditionalFormatting>
  <conditionalFormatting sqref="C24:AG24 C30:AG30 C34:AG34 C36:AG36 C42:AG42 C26:AG26 C40:AG40 C44:AG44 C32:AG32 C28:AG28 C38:AG38 C22:AG22">
    <cfRule type="expression" dxfId="128" priority="319" stopIfTrue="1">
      <formula>C22=Code5</formula>
    </cfRule>
  </conditionalFormatting>
  <conditionalFormatting sqref="AE33">
    <cfRule type="expression" dxfId="127" priority="320" stopIfTrue="1">
      <formula>DATE(AnnéeCivile+1,2,AE33)&gt;EOMONTH(DATE(AnnéeCivile+1,1,1),1)</formula>
    </cfRule>
  </conditionalFormatting>
  <conditionalFormatting sqref="C28:AG28">
    <cfRule type="expression" dxfId="126" priority="5">
      <formula>C28=code29</formula>
    </cfRule>
    <cfRule type="expression" dxfId="125" priority="8">
      <formula>C28=Code28</formula>
    </cfRule>
    <cfRule type="expression" dxfId="124" priority="10">
      <formula>C28=Code27</formula>
    </cfRule>
    <cfRule type="expression" dxfId="123" priority="11">
      <formula>C28=Code26</formula>
    </cfRule>
    <cfRule type="expression" dxfId="122" priority="17">
      <formula>C28=code18</formula>
    </cfRule>
    <cfRule type="expression" dxfId="121" priority="20">
      <formula>C28=code19</formula>
    </cfRule>
    <cfRule type="expression" dxfId="120" priority="22">
      <formula>C28=code20</formula>
    </cfRule>
    <cfRule type="expression" dxfId="119" priority="24">
      <formula>C28=code21</formula>
    </cfRule>
    <cfRule type="expression" dxfId="118" priority="32">
      <formula>C28=Code25</formula>
    </cfRule>
    <cfRule type="expression" dxfId="117" priority="73" stopIfTrue="1">
      <formula>C28=Code17</formula>
    </cfRule>
    <cfRule type="expression" dxfId="116" priority="74" stopIfTrue="1">
      <formula>C28=Code16</formula>
    </cfRule>
    <cfRule type="expression" dxfId="115" priority="75" stopIfTrue="1">
      <formula>C28=Code15</formula>
    </cfRule>
    <cfRule type="expression" dxfId="114" priority="76" stopIfTrue="1">
      <formula>C28=Code13</formula>
    </cfRule>
    <cfRule type="expression" dxfId="113" priority="77" stopIfTrue="1">
      <formula>C28=Code14</formula>
    </cfRule>
    <cfRule type="expression" dxfId="112" priority="78" stopIfTrue="1">
      <formula>C28=Code12</formula>
    </cfRule>
    <cfRule type="expression" dxfId="111" priority="79" stopIfTrue="1">
      <formula>C28=Code11</formula>
    </cfRule>
    <cfRule type="expression" dxfId="110" priority="80" stopIfTrue="1">
      <formula>C28=Code10</formula>
    </cfRule>
    <cfRule type="expression" dxfId="109" priority="81" stopIfTrue="1">
      <formula>C28=Code9</formula>
    </cfRule>
    <cfRule type="expression" dxfId="108" priority="82" stopIfTrue="1">
      <formula>C28=Code8</formula>
    </cfRule>
    <cfRule type="expression" dxfId="107" priority="112" stopIfTrue="1">
      <formula>C28=Code7</formula>
    </cfRule>
    <cfRule type="expression" dxfId="106" priority="113" stopIfTrue="1">
      <formula>C28=Code6</formula>
    </cfRule>
    <cfRule type="expression" dxfId="105" priority="114" stopIfTrue="1">
      <formula>C28=Code1</formula>
    </cfRule>
  </conditionalFormatting>
  <conditionalFormatting sqref="C38:AG38">
    <cfRule type="expression" dxfId="104" priority="4">
      <formula>C38=code29</formula>
    </cfRule>
    <cfRule type="expression" dxfId="103" priority="7">
      <formula>C38=Code28</formula>
    </cfRule>
    <cfRule type="expression" dxfId="102" priority="12">
      <formula>C38=Code27</formula>
    </cfRule>
    <cfRule type="expression" dxfId="101" priority="15">
      <formula>C38=Code26</formula>
    </cfRule>
    <cfRule type="expression" dxfId="100" priority="18">
      <formula>C38=code18</formula>
    </cfRule>
    <cfRule type="expression" dxfId="99" priority="19">
      <formula>C38=code19</formula>
    </cfRule>
    <cfRule type="expression" dxfId="98" priority="21">
      <formula>C38=code20</formula>
    </cfRule>
    <cfRule type="expression" dxfId="97" priority="23">
      <formula>C38=code21</formula>
    </cfRule>
    <cfRule type="expression" dxfId="96" priority="25">
      <formula>C38=code22</formula>
    </cfRule>
    <cfRule type="expression" dxfId="95" priority="27">
      <formula>C38=Code23</formula>
    </cfRule>
    <cfRule type="expression" dxfId="94" priority="30">
      <formula>C38=Code24</formula>
    </cfRule>
    <cfRule type="expression" dxfId="93" priority="33">
      <formula>C38=Code25</formula>
    </cfRule>
    <cfRule type="expression" dxfId="92" priority="63" stopIfTrue="1">
      <formula>C38=Code17</formula>
    </cfRule>
    <cfRule type="expression" dxfId="91" priority="64" stopIfTrue="1">
      <formula>C38=Code16</formula>
    </cfRule>
    <cfRule type="expression" dxfId="90" priority="65" stopIfTrue="1">
      <formula>C38=Code15</formula>
    </cfRule>
    <cfRule type="expression" dxfId="89" priority="66" stopIfTrue="1">
      <formula>C38=Code13</formula>
    </cfRule>
    <cfRule type="expression" dxfId="88" priority="67" stopIfTrue="1">
      <formula>C38=Code14</formula>
    </cfRule>
    <cfRule type="expression" dxfId="87" priority="68" stopIfTrue="1">
      <formula>C38=Code12</formula>
    </cfRule>
    <cfRule type="expression" dxfId="86" priority="69" stopIfTrue="1">
      <formula>C38=Code11</formula>
    </cfRule>
    <cfRule type="expression" dxfId="85" priority="70" stopIfTrue="1">
      <formula>C38=Code10</formula>
    </cfRule>
    <cfRule type="expression" dxfId="84" priority="71" stopIfTrue="1">
      <formula>C38=Code9</formula>
    </cfRule>
    <cfRule type="expression" dxfId="83" priority="72" stopIfTrue="1">
      <formula>C38=Code8</formula>
    </cfRule>
    <cfRule type="expression" dxfId="82" priority="105" stopIfTrue="1">
      <formula>C38=Code7</formula>
    </cfRule>
    <cfRule type="expression" dxfId="81" priority="106" stopIfTrue="1">
      <formula>C38=Code6</formula>
    </cfRule>
    <cfRule type="expression" dxfId="80" priority="107" stopIfTrue="1">
      <formula>C38=Code1</formula>
    </cfRule>
  </conditionalFormatting>
  <conditionalFormatting sqref="BM45:CX45">
    <cfRule type="dataBar" priority="100">
      <dataBar>
        <cfvo type="min"/>
        <cfvo type="num" val="31"/>
        <color theme="4"/>
      </dataBar>
      <extLst>
        <ext xmlns:x14="http://schemas.microsoft.com/office/spreadsheetml/2009/9/main" uri="{B025F937-C7B1-47D3-B67F-A62EFF666E3E}">
          <x14:id>{61FD8968-6AEA-4F61-AAA7-940C183079B5}</x14:id>
        </ext>
      </extLst>
    </cfRule>
  </conditionalFormatting>
  <conditionalFormatting sqref="CW21:CX21 CW23:CX23 CW25:CX25 CW27:CX27 CW29:CX29 CW31:CX31 CW33:CX33 CW35:CX35 CW37:CX37 CW39:CX39 CW41:CX41 CW43:CX43">
    <cfRule type="dataBar" priority="94">
      <dataBar>
        <cfvo type="min"/>
        <cfvo type="num" val="31"/>
        <color theme="4"/>
      </dataBar>
      <extLst>
        <ext xmlns:x14="http://schemas.microsoft.com/office/spreadsheetml/2009/9/main" uri="{B025F937-C7B1-47D3-B67F-A62EFF666E3E}">
          <x14:id>{687C7B87-54ED-42E9-80D6-E79031B1E1E0}</x14:id>
        </ext>
      </extLst>
    </cfRule>
  </conditionalFormatting>
  <conditionalFormatting sqref="CY45">
    <cfRule type="dataBar" priority="62">
      <dataBar>
        <cfvo type="min"/>
        <cfvo type="num" val="31"/>
        <color theme="4"/>
      </dataBar>
      <extLst>
        <ext xmlns:x14="http://schemas.microsoft.com/office/spreadsheetml/2009/9/main" uri="{B025F937-C7B1-47D3-B67F-A62EFF666E3E}">
          <x14:id>{A4CFC8C2-621A-4A1A-BFAB-1A62A94997DE}</x14:id>
        </ext>
      </extLst>
    </cfRule>
  </conditionalFormatting>
  <conditionalFormatting sqref="CY21 CY23 CY25 CY27 CY29 CY31 CY33 CY35 CY37 CY39 CY41 CY43">
    <cfRule type="dataBar" priority="58">
      <dataBar>
        <cfvo type="min"/>
        <cfvo type="num" val="31"/>
        <color theme="4"/>
      </dataBar>
      <extLst>
        <ext xmlns:x14="http://schemas.microsoft.com/office/spreadsheetml/2009/9/main" uri="{B025F937-C7B1-47D3-B67F-A62EFF666E3E}">
          <x14:id>{7EC58540-4F29-4E5B-965A-238C43D2E91D}</x14:id>
        </ext>
      </extLst>
    </cfRule>
  </conditionalFormatting>
  <conditionalFormatting sqref="Z12">
    <cfRule type="cellIs" priority="47" operator="equal">
      <formula>"V"</formula>
    </cfRule>
  </conditionalFormatting>
  <conditionalFormatting sqref="V16">
    <cfRule type="cellIs" dxfId="79" priority="3" operator="equal">
      <formula>"St2"</formula>
    </cfRule>
  </conditionalFormatting>
  <conditionalFormatting sqref="CV21 CV23 CV25 CV27 CV29 CV31 CV33 CV35 CV37 CV39 CV41 CV43">
    <cfRule type="dataBar" priority="1">
      <dataBar>
        <cfvo type="min"/>
        <cfvo type="max"/>
        <color rgb="FF638EC6"/>
      </dataBar>
      <extLst>
        <ext xmlns:x14="http://schemas.microsoft.com/office/spreadsheetml/2009/9/main" uri="{B025F937-C7B1-47D3-B67F-A62EFF666E3E}">
          <x14:id>{02F5DC3C-F473-480C-B773-4408209E6DB2}</x14:id>
        </ext>
      </extLst>
    </cfRule>
  </conditionalFormatting>
  <dataValidations count="2">
    <dataValidation type="list" errorStyle="warning" allowBlank="1" showInputMessage="1" showErrorMessage="1" errorTitle="Whoops!" error="In order to see attendance details for a specific student you need to select a Student ID# from the drop down list. You can click Yes to use your entry but the most of student details and attendance will be blank. " sqref="B4:C4">
      <formula1>IDÉtudiant1</formula1>
    </dataValidation>
    <dataValidation allowBlank="1" showInputMessage="1" showErrorMessage="1" errorTitle="Unknown Student Name" error="Please select student from list. You can add or remove names from this list on the Student List worksheet." sqref="D4"/>
  </dataValidations>
  <printOptions horizontalCentered="1"/>
  <pageMargins left="0.25" right="0.25" top="0.75" bottom="0.75" header="0.3" footer="0.3"/>
  <pageSetup scale="84" orientation="landscape" r:id="rId1"/>
  <ignoredErrors>
    <ignoredError sqref="BM20:CS20" numberStoredAsText="1"/>
  </ignoredErrors>
  <extLst>
    <ext xmlns:x14="http://schemas.microsoft.com/office/spreadsheetml/2009/9/main" uri="{78C0D931-6437-407d-A8EE-F0AAD7539E65}">
      <x14:conditionalFormattings>
        <x14:conditionalFormatting xmlns:xm="http://schemas.microsoft.com/office/excel/2006/main">
          <x14:cfRule type="dataBar" id="{61FD8968-6AEA-4F61-AAA7-940C183079B5}">
            <x14:dataBar minLength="0" maxLength="100" border="1" negativeBarBorderColorSameAsPositive="0">
              <x14:cfvo type="autoMin"/>
              <x14:cfvo type="num">
                <xm:f>31</xm:f>
              </x14:cfvo>
              <x14:borderColor theme="4"/>
              <x14:negativeFillColor rgb="FFFF0000"/>
              <x14:negativeBorderColor rgb="FFFF0000"/>
              <x14:axisColor rgb="FF000000"/>
            </x14:dataBar>
          </x14:cfRule>
          <xm:sqref>BM45:CX45</xm:sqref>
        </x14:conditionalFormatting>
        <x14:conditionalFormatting xmlns:xm="http://schemas.microsoft.com/office/excel/2006/main">
          <x14:cfRule type="dataBar" id="{687C7B87-54ED-42E9-80D6-E79031B1E1E0}">
            <x14:dataBar minLength="0" maxLength="100" border="1" negativeBarBorderColorSameAsPositive="0">
              <x14:cfvo type="autoMin"/>
              <x14:cfvo type="num">
                <xm:f>31</xm:f>
              </x14:cfvo>
              <x14:borderColor theme="4"/>
              <x14:negativeFillColor rgb="FFFF0000"/>
              <x14:negativeBorderColor rgb="FFFF0000"/>
              <x14:axisColor rgb="FF000000"/>
            </x14:dataBar>
          </x14:cfRule>
          <xm:sqref>CW21:CX21 CW23:CX23 CW25:CX25 CW27:CX27 CW29:CX29 CW31:CX31 CW33:CX33 CW35:CX35 CW37:CX37 CW39:CX39 CW41:CX41 CW43:CX43</xm:sqref>
        </x14:conditionalFormatting>
        <x14:conditionalFormatting xmlns:xm="http://schemas.microsoft.com/office/excel/2006/main">
          <x14:cfRule type="dataBar" id="{A4CFC8C2-621A-4A1A-BFAB-1A62A94997DE}">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CY45</xm:sqref>
        </x14:conditionalFormatting>
        <x14:conditionalFormatting xmlns:xm="http://schemas.microsoft.com/office/excel/2006/main">
          <x14:cfRule type="dataBar" id="{7EC58540-4F29-4E5B-965A-238C43D2E91D}">
            <x14:dataBar minLength="0" maxLength="100" border="1" negativeBarBorderColorSameAsPositive="0">
              <x14:cfvo type="autoMin"/>
              <x14:cfvo type="num">
                <xm:f>31</xm:f>
              </x14:cfvo>
              <x14:borderColor theme="4"/>
              <x14:negativeFillColor rgb="FFFF0000"/>
              <x14:negativeBorderColor rgb="FFFF0000"/>
              <x14:axisColor rgb="FF000000"/>
            </x14:dataBar>
          </x14:cfRule>
          <xm:sqref>CY21 CY23 CY25 CY27 CY29 CY31 CY33 CY35 CY37 CY39 CY41 CY43</xm:sqref>
        </x14:conditionalFormatting>
        <x14:conditionalFormatting xmlns:xm="http://schemas.microsoft.com/office/excel/2006/main">
          <x14:cfRule type="dataBar" id="{02F5DC3C-F473-480C-B773-4408209E6DB2}">
            <x14:dataBar minLength="0" maxLength="100">
              <x14:cfvo type="autoMin"/>
              <x14:cfvo type="autoMax"/>
              <x14:negativeFillColor rgb="FFFF0000"/>
              <x14:axisColor rgb="FF000000"/>
            </x14:dataBar>
          </x14:cfRule>
          <xm:sqref>CV21 CV23 CV25 CV27 CV29 CV31 CV33 CV35 CV37 CV39 CV41 CV43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90"/>
  <sheetViews>
    <sheetView topLeftCell="P1" workbookViewId="0">
      <selection activeCell="AB16" sqref="AB16"/>
    </sheetView>
  </sheetViews>
  <sheetFormatPr baseColWidth="10" defaultRowHeight="13.5"/>
  <cols>
    <col min="2" max="2" width="23.42578125" customWidth="1"/>
  </cols>
  <sheetData>
    <row r="1" spans="1:97" ht="28.5">
      <c r="A1" s="654" t="s">
        <v>505</v>
      </c>
      <c r="B1" s="655"/>
      <c r="C1" s="655"/>
      <c r="D1" s="22"/>
      <c r="E1" s="22"/>
      <c r="F1" s="22"/>
      <c r="G1" s="22"/>
      <c r="H1" s="22"/>
      <c r="I1" s="22"/>
      <c r="J1" s="22"/>
      <c r="K1" s="22"/>
      <c r="L1" s="22"/>
      <c r="M1" s="22"/>
      <c r="N1" s="22"/>
      <c r="O1" s="22"/>
      <c r="P1" s="22"/>
      <c r="Q1" s="22"/>
      <c r="R1" s="22"/>
      <c r="S1" s="22"/>
      <c r="T1" s="22"/>
      <c r="U1" s="22"/>
      <c r="V1" s="22"/>
      <c r="W1" s="22"/>
      <c r="X1" s="22"/>
      <c r="Y1" s="22"/>
      <c r="Z1" s="22"/>
      <c r="AA1" s="22"/>
      <c r="AB1" s="21"/>
      <c r="AC1" s="21"/>
      <c r="AD1" s="21"/>
      <c r="AE1" s="21"/>
      <c r="AF1" s="23"/>
      <c r="AG1" s="21"/>
      <c r="AH1" s="21"/>
      <c r="AI1" s="24"/>
      <c r="AJ1" s="21"/>
      <c r="AK1" s="32"/>
      <c r="AL1" s="32"/>
      <c r="AM1" s="32"/>
      <c r="AN1" s="32"/>
      <c r="AO1" s="32"/>
      <c r="AP1" s="32"/>
      <c r="AQ1" s="32"/>
      <c r="AR1" s="32"/>
      <c r="AS1" s="32"/>
      <c r="AT1" s="32"/>
      <c r="AU1" s="32"/>
      <c r="AV1" s="32"/>
      <c r="AW1" s="32"/>
      <c r="AX1" s="32"/>
      <c r="AY1" s="32"/>
      <c r="AZ1" s="32"/>
      <c r="BA1" s="32"/>
      <c r="BB1" s="32"/>
      <c r="BC1" s="32"/>
      <c r="BD1" s="32"/>
      <c r="BE1" s="33"/>
      <c r="BF1" s="33"/>
      <c r="BG1" s="33"/>
      <c r="BH1" s="32"/>
      <c r="BI1" s="32"/>
      <c r="BJ1" s="32"/>
      <c r="BK1" s="32"/>
      <c r="BL1" s="32"/>
      <c r="BM1" s="32"/>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2"/>
      <c r="CQ1" s="32"/>
      <c r="CR1" s="32"/>
      <c r="CS1" s="32"/>
    </row>
    <row r="2" spans="1:97">
      <c r="BF2" s="88"/>
      <c r="BG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row>
    <row r="3" spans="1:97" ht="14.25">
      <c r="C3" s="31" t="s">
        <v>104</v>
      </c>
      <c r="D3" s="208" t="s">
        <v>514</v>
      </c>
      <c r="E3" s="236" t="s">
        <v>527</v>
      </c>
      <c r="F3" s="207" t="s">
        <v>528</v>
      </c>
      <c r="G3" s="209" t="s">
        <v>105</v>
      </c>
      <c r="H3" s="210" t="s">
        <v>515</v>
      </c>
      <c r="I3" s="211" t="s">
        <v>106</v>
      </c>
      <c r="J3" s="210" t="s">
        <v>516</v>
      </c>
      <c r="K3" s="212" t="s">
        <v>107</v>
      </c>
      <c r="L3" s="210" t="s">
        <v>517</v>
      </c>
      <c r="M3" s="207"/>
      <c r="N3" s="213" t="s">
        <v>483</v>
      </c>
      <c r="O3" s="210" t="s">
        <v>518</v>
      </c>
      <c r="P3" s="214" t="s">
        <v>484</v>
      </c>
      <c r="Q3" s="207" t="s">
        <v>526</v>
      </c>
      <c r="R3" s="216" t="s">
        <v>485</v>
      </c>
      <c r="S3" s="207" t="s">
        <v>525</v>
      </c>
      <c r="T3" s="217" t="s">
        <v>489</v>
      </c>
      <c r="U3" s="207" t="s">
        <v>510</v>
      </c>
      <c r="V3" s="218" t="s">
        <v>490</v>
      </c>
      <c r="W3" s="207" t="s">
        <v>511</v>
      </c>
      <c r="X3" s="219" t="s">
        <v>491</v>
      </c>
      <c r="Y3" s="207" t="s">
        <v>512</v>
      </c>
      <c r="Z3" s="220" t="s">
        <v>492</v>
      </c>
      <c r="AA3" s="207" t="s">
        <v>513</v>
      </c>
      <c r="AF3" s="207"/>
      <c r="BF3" s="88"/>
      <c r="BG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row>
    <row r="4" spans="1:97" ht="15" thickBot="1">
      <c r="B4" t="s">
        <v>535</v>
      </c>
      <c r="D4" s="43"/>
      <c r="E4" s="43"/>
      <c r="F4" s="43"/>
      <c r="G4" s="43"/>
      <c r="H4" s="43"/>
      <c r="I4" s="43"/>
      <c r="J4" s="43"/>
      <c r="K4" s="43"/>
      <c r="L4" s="43"/>
      <c r="M4" s="43"/>
      <c r="N4" s="43"/>
      <c r="O4" s="43"/>
      <c r="P4" s="43"/>
      <c r="Q4" s="43"/>
      <c r="S4" s="43"/>
      <c r="T4" s="43"/>
      <c r="U4" s="43"/>
      <c r="V4" s="43"/>
      <c r="W4" s="43"/>
      <c r="X4" s="43"/>
      <c r="Y4" s="43"/>
      <c r="Z4" s="43"/>
      <c r="AA4" s="43"/>
      <c r="AF4" s="43"/>
      <c r="BF4" s="88"/>
      <c r="BG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row>
    <row r="5" spans="1:97" ht="14.25">
      <c r="C5" s="234" t="s">
        <v>529</v>
      </c>
      <c r="D5" s="266" t="s">
        <v>530</v>
      </c>
      <c r="E5" s="222" t="s">
        <v>35</v>
      </c>
      <c r="F5" s="210" t="s">
        <v>519</v>
      </c>
      <c r="G5" s="223" t="s">
        <v>108</v>
      </c>
      <c r="H5" s="43" t="s">
        <v>520</v>
      </c>
      <c r="I5" s="224" t="s">
        <v>109</v>
      </c>
      <c r="J5" s="207" t="s">
        <v>521</v>
      </c>
      <c r="K5" s="225" t="s">
        <v>486</v>
      </c>
      <c r="L5" s="207" t="s">
        <v>522</v>
      </c>
      <c r="M5" s="207"/>
      <c r="N5" s="226" t="s">
        <v>487</v>
      </c>
      <c r="O5" s="207" t="s">
        <v>523</v>
      </c>
      <c r="P5" s="227" t="s">
        <v>488</v>
      </c>
      <c r="Q5" s="228" t="s">
        <v>524</v>
      </c>
      <c r="R5" s="233" t="s">
        <v>507</v>
      </c>
      <c r="S5" s="207" t="s">
        <v>508</v>
      </c>
      <c r="T5" s="229" t="s">
        <v>496</v>
      </c>
      <c r="U5" s="207" t="s">
        <v>499</v>
      </c>
      <c r="V5" s="230" t="s">
        <v>497</v>
      </c>
      <c r="W5" s="207" t="s">
        <v>500</v>
      </c>
      <c r="X5" s="231" t="s">
        <v>498</v>
      </c>
      <c r="Y5" s="207" t="s">
        <v>501</v>
      </c>
      <c r="Z5" s="235" t="s">
        <v>531</v>
      </c>
      <c r="AA5" s="43" t="s">
        <v>532</v>
      </c>
      <c r="AF5" s="43"/>
      <c r="BF5" s="88"/>
      <c r="BG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row>
    <row r="6" spans="1:97">
      <c r="C6" s="364"/>
      <c r="D6" s="364"/>
      <c r="E6" s="20"/>
      <c r="F6" s="364"/>
      <c r="G6" s="364"/>
      <c r="H6" s="364"/>
      <c r="I6" s="364"/>
      <c r="J6" s="364"/>
      <c r="K6" s="364"/>
      <c r="L6" s="364"/>
      <c r="M6" s="364"/>
      <c r="N6" s="364"/>
      <c r="O6" s="364"/>
      <c r="P6" s="364"/>
      <c r="Q6" s="364"/>
      <c r="R6" s="364"/>
      <c r="T6" s="364"/>
      <c r="U6" s="364"/>
      <c r="V6" s="364"/>
      <c r="W6" s="364"/>
      <c r="X6" s="364"/>
      <c r="Y6" s="364"/>
      <c r="AA6" s="364"/>
      <c r="AB6" s="364"/>
      <c r="AC6" s="364"/>
      <c r="AD6" s="364"/>
      <c r="AE6" s="364"/>
      <c r="AF6" s="364"/>
      <c r="BF6" s="88"/>
      <c r="BG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row>
    <row r="7" spans="1:97">
      <c r="C7" s="334" t="s">
        <v>604</v>
      </c>
      <c r="D7" s="335" t="s">
        <v>610</v>
      </c>
      <c r="E7" s="365"/>
      <c r="F7" s="365"/>
      <c r="G7" s="344" t="s">
        <v>620</v>
      </c>
      <c r="H7" s="656" t="s">
        <v>621</v>
      </c>
      <c r="I7" s="658"/>
      <c r="J7" s="364"/>
      <c r="K7" s="364"/>
      <c r="L7" s="364"/>
      <c r="M7" s="364"/>
      <c r="N7" s="364"/>
      <c r="O7" s="364"/>
      <c r="P7" s="364"/>
      <c r="Q7" s="364"/>
      <c r="R7" s="364"/>
      <c r="T7" s="364"/>
      <c r="U7" s="364"/>
      <c r="V7" s="364"/>
      <c r="W7" s="364"/>
      <c r="X7" s="364"/>
      <c r="Y7" s="364"/>
      <c r="AA7" s="364"/>
      <c r="AB7" s="364"/>
      <c r="AC7" s="364"/>
      <c r="AD7" s="364"/>
      <c r="AE7" s="364"/>
      <c r="AF7" s="364"/>
      <c r="BF7" s="88"/>
      <c r="BG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row>
    <row r="8" spans="1:97">
      <c r="C8" s="364"/>
      <c r="D8" s="364"/>
      <c r="E8" s="20"/>
      <c r="F8" s="364"/>
      <c r="G8" s="364"/>
      <c r="H8" s="364"/>
      <c r="I8" s="364"/>
      <c r="J8" s="364"/>
      <c r="K8" s="364"/>
      <c r="L8" s="364"/>
      <c r="M8" s="364"/>
      <c r="N8" s="364"/>
      <c r="O8" s="364"/>
      <c r="P8" s="364"/>
      <c r="Q8" s="364"/>
      <c r="R8" s="364"/>
      <c r="T8" s="364"/>
      <c r="U8" s="364"/>
      <c r="V8" s="364"/>
      <c r="W8" s="364"/>
      <c r="X8" s="364" t="s">
        <v>623</v>
      </c>
      <c r="Y8" s="364"/>
      <c r="AA8" s="364"/>
      <c r="AB8" s="364"/>
      <c r="AC8" s="364"/>
      <c r="AD8" s="364"/>
      <c r="AE8" s="364"/>
      <c r="AF8" s="364"/>
      <c r="BF8" s="88"/>
      <c r="BG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row>
    <row r="9" spans="1:97" ht="15" thickBot="1">
      <c r="A9" s="72">
        <f>DATE(2018,3,1)</f>
        <v>43160</v>
      </c>
      <c r="B9" s="153"/>
      <c r="C9" s="151" t="str">
        <f>TEXT(WEEKDAY(DATE(2018,2,1),1),"[$-40c]aaa")</f>
        <v>1900</v>
      </c>
      <c r="D9" s="25" t="str">
        <f>TEXT(WEEKDAY(DATE(2018,2,2),1),"[$-40c]aaa")</f>
        <v>1900</v>
      </c>
      <c r="E9" s="25" t="str">
        <f>TEXT(WEEKDAY(DATE(2018,2,3),1),"[$-40c]aaa")</f>
        <v>1900</v>
      </c>
      <c r="F9" s="25" t="str">
        <f>TEXT(WEEKDAY(DATE(2018,2,4),1),"[$-40c]aaa")</f>
        <v>1900</v>
      </c>
      <c r="G9" s="25" t="str">
        <f>TEXT(WEEKDAY(DATE(2018,2,5),1),"[$-40c]aaa")</f>
        <v>1900</v>
      </c>
      <c r="H9" s="25" t="str">
        <f>TEXT(WEEKDAY(DATE(2018,2,6),1),"[$-40c]aaa")</f>
        <v>1900</v>
      </c>
      <c r="I9" s="25" t="str">
        <f>TEXT(WEEKDAY(DATE(2018,2,7),1),"[$-40c]aaa")</f>
        <v>1900</v>
      </c>
      <c r="J9" s="25" t="str">
        <f>TEXT(WEEKDAY(DATE(2018,2,8),1),"[$-40c]aaa")</f>
        <v>1900</v>
      </c>
      <c r="K9" s="25" t="str">
        <f>TEXT(WEEKDAY(DATE(2018,2,9),1),"[$-40c]aaa")</f>
        <v>1900</v>
      </c>
      <c r="L9" s="25" t="str">
        <f>TEXT(WEEKDAY(DATE(2018,2,10),1),"[$-40c]aaa")</f>
        <v>1900</v>
      </c>
      <c r="M9" s="25" t="str">
        <f>TEXT(WEEKDAY(DATE(2018,2,11),1),"[$-40c]aaa")</f>
        <v>1900</v>
      </c>
      <c r="N9" s="25" t="str">
        <f>TEXT(WEEKDAY(DATE(2018,2,12),1),"[$-40c]aaa")</f>
        <v>1900</v>
      </c>
      <c r="O9" s="25" t="str">
        <f>TEXT(WEEKDAY(DATE(2018,2,13),1),"[$-40c]aaa")</f>
        <v>1900</v>
      </c>
      <c r="P9" s="25" t="str">
        <f>TEXT(WEEKDAY(DATE(2018,2,14),1),"[$-40c]aaa")</f>
        <v>1900</v>
      </c>
      <c r="Q9" s="25" t="str">
        <f>TEXT(WEEKDAY(DATE(2018,2,15),1),"[$-40c]aaa")</f>
        <v>1900</v>
      </c>
      <c r="R9" s="25" t="str">
        <f>TEXT(WEEKDAY(DATE(2018,2,16),1),"[$-40c]aaa")</f>
        <v>1900</v>
      </c>
      <c r="S9" s="25" t="str">
        <f>TEXT(WEEKDAY(DATE(2018,2,17),1),"[$-40c]aaa")</f>
        <v>1900</v>
      </c>
      <c r="T9" s="25" t="str">
        <f>TEXT(WEEKDAY(DATE(2018,2,18),1),"[$-40c]aaa")</f>
        <v>1900</v>
      </c>
      <c r="U9" s="25" t="str">
        <f>TEXT(WEEKDAY(DATE(2018,2,19),1),"[$-40c]aaa")</f>
        <v>1900</v>
      </c>
      <c r="V9" s="25" t="str">
        <f>TEXT(WEEKDAY(DATE(2018,2,20),1),"[$-40c]aaa")</f>
        <v>1900</v>
      </c>
      <c r="W9" s="25" t="str">
        <f>TEXT(WEEKDAY(DATE(2018,2,21),1),"[$-40c]aaa")</f>
        <v>1900</v>
      </c>
      <c r="X9" s="25" t="str">
        <f>TEXT(WEEKDAY(DATE(2018,2,22),1),"[$-40c]aaa")</f>
        <v>1900</v>
      </c>
      <c r="Y9" s="25" t="str">
        <f>TEXT(WEEKDAY(DATE(2018,2,23),1),"[$-40c]aaa")</f>
        <v>1900</v>
      </c>
      <c r="Z9" s="25" t="str">
        <f>TEXT(WEEKDAY(DATE(2018,2,24),1),"[$-40c]aaa")</f>
        <v>1900</v>
      </c>
      <c r="AA9" s="25" t="str">
        <f>TEXT(WEEKDAY(DATE(2018,2,25),1),"[$-40c]aaa")</f>
        <v>1900</v>
      </c>
      <c r="AB9" s="25" t="str">
        <f>TEXT(WEEKDAY(DATE(2018,2,26),1),"[$-40c]aaa")</f>
        <v>1900</v>
      </c>
      <c r="AC9" s="25" t="str">
        <f>TEXT(WEEKDAY(DATE(2018,2,27),1),"[$-40c]aaa")</f>
        <v>1900</v>
      </c>
      <c r="AD9" s="25" t="str">
        <f>TEXT(WEEKDAY(DATE(2018,2,28),1),"[$-40c]aaa")</f>
        <v>1900</v>
      </c>
      <c r="AE9" s="25" t="str">
        <f>TEXT(WEEKDAY(DATE(2018,2,29),1),"[$-40c]aaa")</f>
        <v>1900</v>
      </c>
      <c r="AF9" s="25" t="str">
        <f>TEXT(WEEKDAY(DATE(2018,2,30),1),"[$-40c]aaa")</f>
        <v>1900</v>
      </c>
      <c r="AG9" s="142" t="str">
        <f>TEXT(WEEKDAY(DATE(2018,2,31),1),"[$-40c]aaa")</f>
        <v>1900</v>
      </c>
      <c r="AH9" s="652" t="s">
        <v>36</v>
      </c>
      <c r="AI9" s="652"/>
      <c r="AJ9" s="652"/>
      <c r="AK9" s="652"/>
      <c r="AL9" s="652"/>
      <c r="AM9" s="652"/>
      <c r="AN9" s="652"/>
      <c r="AO9" s="652"/>
      <c r="AP9" s="652"/>
      <c r="AQ9" s="652"/>
      <c r="AR9" s="652"/>
      <c r="AS9" s="652"/>
      <c r="AT9" s="652"/>
      <c r="AU9" s="652"/>
      <c r="AV9" s="652"/>
      <c r="AW9" s="652"/>
      <c r="AX9" s="652"/>
      <c r="AY9" s="140"/>
      <c r="AZ9" s="140"/>
      <c r="BA9" s="140"/>
      <c r="BB9" s="140"/>
      <c r="BC9" s="140"/>
      <c r="BD9" s="140"/>
      <c r="BE9" s="85"/>
      <c r="BF9" s="247"/>
      <c r="BG9" s="247"/>
      <c r="BH9" s="290"/>
      <c r="BI9" s="247"/>
      <c r="BJ9" s="247"/>
      <c r="BK9" s="298"/>
      <c r="BL9" s="247"/>
      <c r="BM9" s="247"/>
      <c r="BN9" s="247"/>
      <c r="BO9" s="247"/>
      <c r="BP9" s="247"/>
      <c r="BQ9" s="247"/>
      <c r="BR9" s="247"/>
      <c r="BS9" s="247"/>
      <c r="BT9" s="247"/>
      <c r="BU9" s="247"/>
      <c r="BV9" s="247" t="s">
        <v>575</v>
      </c>
      <c r="BW9" s="247"/>
      <c r="BX9" s="247"/>
      <c r="BY9" s="247"/>
      <c r="BZ9" s="247"/>
      <c r="CA9" s="247"/>
      <c r="CB9" s="247"/>
      <c r="CC9" s="247"/>
      <c r="CD9" s="247"/>
      <c r="CE9" s="247"/>
      <c r="CF9" s="247"/>
      <c r="CG9" s="247"/>
      <c r="CH9" s="247"/>
      <c r="CI9" s="247"/>
      <c r="CJ9" s="247"/>
      <c r="CK9" s="247"/>
      <c r="CL9" s="247"/>
      <c r="CM9" s="247"/>
      <c r="CN9" s="247"/>
      <c r="CO9" s="247"/>
      <c r="CP9" s="251"/>
      <c r="CQ9" s="85"/>
      <c r="CR9" s="85"/>
      <c r="CS9" s="85"/>
    </row>
    <row r="10" spans="1:97" ht="15.75" thickTop="1" thickBot="1">
      <c r="A10" s="28" t="s">
        <v>33</v>
      </c>
      <c r="B10" s="154" t="s">
        <v>32</v>
      </c>
      <c r="C10" s="3" t="s">
        <v>0</v>
      </c>
      <c r="D10" s="3" t="s">
        <v>1</v>
      </c>
      <c r="E10" s="3" t="s">
        <v>2</v>
      </c>
      <c r="F10" s="3" t="s">
        <v>3</v>
      </c>
      <c r="G10" s="3" t="s">
        <v>4</v>
      </c>
      <c r="H10" s="3" t="s">
        <v>5</v>
      </c>
      <c r="I10" s="3" t="s">
        <v>6</v>
      </c>
      <c r="J10" s="3" t="s">
        <v>7</v>
      </c>
      <c r="K10" s="3" t="s">
        <v>8</v>
      </c>
      <c r="L10" s="3" t="s">
        <v>9</v>
      </c>
      <c r="M10" s="3" t="s">
        <v>10</v>
      </c>
      <c r="N10" s="3" t="s">
        <v>11</v>
      </c>
      <c r="O10" s="3" t="s">
        <v>12</v>
      </c>
      <c r="P10" s="3" t="s">
        <v>13</v>
      </c>
      <c r="Q10" s="3" t="s">
        <v>14</v>
      </c>
      <c r="R10" s="3" t="s">
        <v>15</v>
      </c>
      <c r="S10" s="3" t="s">
        <v>16</v>
      </c>
      <c r="T10" s="3" t="s">
        <v>17</v>
      </c>
      <c r="U10" s="3" t="s">
        <v>18</v>
      </c>
      <c r="V10" s="3" t="s">
        <v>19</v>
      </c>
      <c r="W10" s="3" t="s">
        <v>20</v>
      </c>
      <c r="X10" s="3" t="s">
        <v>21</v>
      </c>
      <c r="Y10" s="3" t="s">
        <v>22</v>
      </c>
      <c r="Z10" s="3" t="s">
        <v>23</v>
      </c>
      <c r="AA10" s="3" t="s">
        <v>24</v>
      </c>
      <c r="AB10" s="3" t="s">
        <v>25</v>
      </c>
      <c r="AC10" s="3" t="s">
        <v>26</v>
      </c>
      <c r="AD10" s="3" t="s">
        <v>27</v>
      </c>
      <c r="AE10" s="3" t="s">
        <v>28</v>
      </c>
      <c r="AF10" s="3" t="s">
        <v>29</v>
      </c>
      <c r="AG10" s="143" t="s">
        <v>30</v>
      </c>
      <c r="AH10" s="55" t="s">
        <v>104</v>
      </c>
      <c r="AI10" s="236" t="s">
        <v>527</v>
      </c>
      <c r="AJ10" s="40" t="s">
        <v>105</v>
      </c>
      <c r="AK10" s="41" t="s">
        <v>106</v>
      </c>
      <c r="AL10" s="42" t="s">
        <v>107</v>
      </c>
      <c r="AM10" s="75" t="s">
        <v>35</v>
      </c>
      <c r="AN10" s="234" t="s">
        <v>529</v>
      </c>
      <c r="AO10" s="76" t="s">
        <v>108</v>
      </c>
      <c r="AP10" s="77" t="s">
        <v>109</v>
      </c>
      <c r="AQ10" s="97" t="s">
        <v>483</v>
      </c>
      <c r="AR10" s="90" t="s">
        <v>484</v>
      </c>
      <c r="AS10" s="95" t="s">
        <v>485</v>
      </c>
      <c r="AT10" s="96" t="s">
        <v>486</v>
      </c>
      <c r="AU10" s="91" t="s">
        <v>487</v>
      </c>
      <c r="AV10" s="129" t="s">
        <v>489</v>
      </c>
      <c r="AW10" s="92" t="s">
        <v>488</v>
      </c>
      <c r="AX10" s="93" t="s">
        <v>490</v>
      </c>
      <c r="AY10" s="94" t="s">
        <v>491</v>
      </c>
      <c r="AZ10" s="111" t="s">
        <v>492</v>
      </c>
      <c r="BA10" s="346" t="s">
        <v>620</v>
      </c>
      <c r="BB10" s="96" t="s">
        <v>604</v>
      </c>
      <c r="BC10" s="198" t="s">
        <v>509</v>
      </c>
      <c r="BD10" s="235" t="s">
        <v>531</v>
      </c>
      <c r="BE10" s="133" t="s">
        <v>496</v>
      </c>
      <c r="BF10" s="135" t="s">
        <v>497</v>
      </c>
      <c r="BG10" s="163" t="s">
        <v>498</v>
      </c>
      <c r="BH10" s="88" t="s">
        <v>544</v>
      </c>
      <c r="BI10" t="s">
        <v>545</v>
      </c>
      <c r="BJ10" t="s">
        <v>546</v>
      </c>
      <c r="BK10" t="s">
        <v>542</v>
      </c>
      <c r="BL10" t="s">
        <v>543</v>
      </c>
      <c r="BM10" t="s">
        <v>547</v>
      </c>
      <c r="BN10" t="s">
        <v>548</v>
      </c>
      <c r="BO10" t="s">
        <v>549</v>
      </c>
      <c r="BP10" t="s">
        <v>550</v>
      </c>
      <c r="BQ10" t="s">
        <v>551</v>
      </c>
      <c r="BR10" t="s">
        <v>552</v>
      </c>
      <c r="BS10" t="s">
        <v>553</v>
      </c>
      <c r="BT10" t="s">
        <v>574</v>
      </c>
      <c r="BU10" t="s">
        <v>554</v>
      </c>
      <c r="BV10" t="s">
        <v>555</v>
      </c>
      <c r="BW10" t="s">
        <v>556</v>
      </c>
      <c r="BX10" t="s">
        <v>558</v>
      </c>
      <c r="BY10" t="s">
        <v>557</v>
      </c>
      <c r="BZ10" t="s">
        <v>559</v>
      </c>
      <c r="CA10" t="s">
        <v>560</v>
      </c>
      <c r="CB10" t="s">
        <v>561</v>
      </c>
      <c r="CC10" t="s">
        <v>562</v>
      </c>
      <c r="CD10" t="s">
        <v>563</v>
      </c>
      <c r="CE10" t="s">
        <v>564</v>
      </c>
      <c r="CF10" t="s">
        <v>565</v>
      </c>
      <c r="CG10" t="s">
        <v>566</v>
      </c>
      <c r="CH10" t="s">
        <v>567</v>
      </c>
      <c r="CI10" t="s">
        <v>568</v>
      </c>
      <c r="CJ10" t="s">
        <v>569</v>
      </c>
      <c r="CK10" t="s">
        <v>570</v>
      </c>
      <c r="CL10" t="s">
        <v>571</v>
      </c>
      <c r="CM10" t="s">
        <v>572</v>
      </c>
      <c r="CN10" s="88" t="s">
        <v>573</v>
      </c>
      <c r="CO10" s="152" t="s">
        <v>611</v>
      </c>
      <c r="CP10" s="166" t="s">
        <v>494</v>
      </c>
      <c r="CQ10" s="166" t="s">
        <v>495</v>
      </c>
      <c r="CR10" s="265" t="s">
        <v>540</v>
      </c>
      <c r="CS10" s="161" t="s">
        <v>502</v>
      </c>
    </row>
    <row r="11" spans="1:97" ht="14.25" thickTop="1">
      <c r="A11" s="29" t="s">
        <v>71</v>
      </c>
      <c r="B11" s="162" t="str">
        <f>IFERROR(VLOOKUP(ParticipationMars1[[#This Row],[Référence]],ListeÉtudiants1[],18,FALSE),"")</f>
        <v>ABDESSEMED MOUNIA</v>
      </c>
      <c r="C11" s="19"/>
      <c r="D11" s="19"/>
      <c r="E11" s="19"/>
      <c r="F11" s="19"/>
      <c r="G11" s="19"/>
      <c r="H11" s="19"/>
      <c r="I11" s="19"/>
      <c r="J11" s="19"/>
      <c r="K11" s="19"/>
      <c r="L11" s="19"/>
      <c r="M11" s="19"/>
      <c r="N11" s="19"/>
      <c r="O11" s="19"/>
      <c r="P11" s="19" t="s">
        <v>35</v>
      </c>
      <c r="Q11" s="19" t="s">
        <v>109</v>
      </c>
      <c r="R11" s="19"/>
      <c r="S11" s="19"/>
      <c r="T11" s="19"/>
      <c r="U11" s="19"/>
      <c r="V11" s="19" t="s">
        <v>529</v>
      </c>
      <c r="W11" s="19" t="s">
        <v>488</v>
      </c>
      <c r="X11" s="19" t="s">
        <v>109</v>
      </c>
      <c r="Y11" s="19"/>
      <c r="Z11" s="19"/>
      <c r="AA11" s="19"/>
      <c r="AB11" s="19"/>
      <c r="AC11" s="19"/>
      <c r="AD11" s="19"/>
      <c r="AE11" s="19"/>
      <c r="AF11" s="19"/>
      <c r="AG11" s="144"/>
      <c r="AH11" s="6">
        <f>COUNTIF(ParticipationMars1[[#This Row],[1]:[31]],Code1)</f>
        <v>0</v>
      </c>
      <c r="AI11" s="331">
        <f>COUNTIF(ParticipationMars1[[#This Row],[1]:[31]],code22)</f>
        <v>0</v>
      </c>
      <c r="AJ11" s="30">
        <f>COUNTIF(ParticipationMars1[[#This Row],[1]:[31]],Code2)</f>
        <v>0</v>
      </c>
      <c r="AK11" s="30">
        <f>COUNTIF(ParticipationMars1[[#This Row],[1]:[31]],Code3)</f>
        <v>0</v>
      </c>
      <c r="AL11" s="30">
        <f>COUNTIF(ParticipationMars1[[#This Row],[1]:[31]],Code4)</f>
        <v>0</v>
      </c>
      <c r="AM11" s="307">
        <f>COUNTIF(ParticipationMars1[[#This Row],[1]:[31]],Code5)</f>
        <v>2</v>
      </c>
      <c r="AN11" s="307">
        <f>COUNTIF(ParticipationMars1[[#This Row],[1]:[31]],Code23)</f>
        <v>2</v>
      </c>
      <c r="AO11" s="307">
        <f>COUNTIF(ParticipationMars1[[#This Row],[1]:[31]],Code6)</f>
        <v>0</v>
      </c>
      <c r="AP11" s="307">
        <f>COUNTIF(ParticipationMars1[[#This Row],[1]:[31]],Code7)</f>
        <v>2</v>
      </c>
      <c r="AQ11" s="307">
        <f>COUNTIF(ParticipationMars1[[#This Row],[1]:[31]],Code8)</f>
        <v>0</v>
      </c>
      <c r="AR11" s="307">
        <f>COUNTIF(ParticipationMars1[[#This Row],[1]:[31]],Code9)</f>
        <v>0</v>
      </c>
      <c r="AS11" s="307">
        <f>COUNTIF(ParticipationMars1[[#This Row],[1]:[31]],Code10)</f>
        <v>0</v>
      </c>
      <c r="AT11" s="307">
        <f>COUNTIF(ParticipationMars1[[#This Row],[1]:[31]],Code11)</f>
        <v>0</v>
      </c>
      <c r="AU11" s="307">
        <f>COUNTIF(ParticipationMars1[[#This Row],[1]:[31]],Code12)</f>
        <v>0</v>
      </c>
      <c r="AV11" s="307">
        <f>COUNTIF(ParticipationMars1[[#This Row],[1]:[31]],Code13)</f>
        <v>0</v>
      </c>
      <c r="AW11" s="307">
        <f>COUNTIF(ParticipationMars1[[#This Row],[1]:[31]],Code14)</f>
        <v>1</v>
      </c>
      <c r="AX11" s="307">
        <f>COUNTIF(ParticipationMars1[[#This Row],[1]:[31]],Code15)</f>
        <v>0</v>
      </c>
      <c r="AY11" s="307">
        <f>COUNTIF(ParticipationMars1[[#This Row],[1]:[31]],Code16)</f>
        <v>0</v>
      </c>
      <c r="AZ11" s="307">
        <f>COUNTIF(ParticipationMars1[[#This Row],[1]:[31]],Code17)</f>
        <v>0</v>
      </c>
      <c r="BA11" s="307">
        <f>COUNTIF(ParticipationMars1[[#This Row],[1]:[31]],Code26)</f>
        <v>0</v>
      </c>
      <c r="BB11" s="30">
        <f>COUNTIF(ParticipationMars1[[#This Row],[1]:[31]],Code25)</f>
        <v>0</v>
      </c>
      <c r="BC11" s="307">
        <f>COUNTIF(ParticipationMars1[[#This Row],[1]:[31]],code21)</f>
        <v>1</v>
      </c>
      <c r="BD11" s="307">
        <f>COUNTIF(ParticipationMars1[[#This Row],[1]:[31]],Code24)</f>
        <v>0</v>
      </c>
      <c r="BE11" s="307">
        <f>COUNTIF(ParticipationMars1[[#This Row],[1]:[31]],code18)</f>
        <v>0</v>
      </c>
      <c r="BF11" s="307">
        <f>COUNTIF(ParticipationMars1[[#This Row],[1]:[31]],code19)</f>
        <v>0</v>
      </c>
      <c r="BG11" s="300">
        <f>COUNTIF(ParticipationMars1[[#This Row],[1]:[31]],code20)</f>
        <v>0</v>
      </c>
      <c r="BH11" s="297"/>
      <c r="BI11" s="297">
        <v>1</v>
      </c>
      <c r="BJ11" s="297"/>
      <c r="BK11" s="297"/>
      <c r="BL11" s="297"/>
      <c r="BM11" s="297"/>
      <c r="BN11" s="297"/>
      <c r="BO11" s="297">
        <v>2</v>
      </c>
      <c r="BP11" s="297"/>
      <c r="BQ11" s="297"/>
      <c r="BR11" s="297">
        <v>3</v>
      </c>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307"/>
      <c r="CO11" s="300"/>
      <c r="CP11" s="165">
        <f t="shared" ref="CP11:CP74" si="0">SUM((AH11*1)+(AI11*1.5)+(AJ11*2)+(AK11*4)+(AP11*5)+(AQ11*6)+(AR11*7)+(AU11*2)+(AX11*3)+(AY11*4)+(AZ11*5)+(BA11*3)+(BB11*2)+(BC11*2))</f>
        <v>12</v>
      </c>
      <c r="CQ11" s="165">
        <f t="shared" ref="CQ11:CQ74" si="1">SUM((AN11*1)+(AM11*2)+(AO11*3)+(AP11*4)+(AT11*5)+(AU11*7)+(AV11*7)+(AW11*7)+(AX11*4)+(AY11*3)+(AZ11*2)+(BB11*4)+(BA11*1)+(BC11*2))</f>
        <v>23</v>
      </c>
      <c r="CR11" s="249">
        <f t="shared" ref="CR11:CR74" si="2">BD11*2</f>
        <v>0</v>
      </c>
      <c r="CS11" s="342"/>
    </row>
    <row r="12" spans="1:97">
      <c r="A12" s="29" t="s">
        <v>72</v>
      </c>
      <c r="B12" s="162" t="str">
        <f>IFERROR(VLOOKUP(ParticipationMars1[[#This Row],[Référence]],ListeÉtudiants1[],18,FALSE),"")</f>
        <v>ABOSI MAIWENN</v>
      </c>
      <c r="C12" s="19"/>
      <c r="D12" s="19"/>
      <c r="E12" s="19"/>
      <c r="F12" s="19"/>
      <c r="G12" s="19"/>
      <c r="H12" s="19"/>
      <c r="I12" s="19"/>
      <c r="J12" s="19"/>
      <c r="K12" s="19"/>
      <c r="L12" s="19"/>
      <c r="M12" s="19"/>
      <c r="N12" s="19"/>
      <c r="O12" s="19"/>
      <c r="P12" s="19"/>
      <c r="Q12" s="19"/>
      <c r="R12" s="19"/>
      <c r="S12" s="19"/>
      <c r="T12" s="19"/>
      <c r="U12" s="19"/>
      <c r="V12" s="19"/>
      <c r="W12" s="19"/>
      <c r="X12" s="19" t="s">
        <v>488</v>
      </c>
      <c r="Y12" s="19"/>
      <c r="Z12" s="19"/>
      <c r="AA12" s="19"/>
      <c r="AB12" s="19"/>
      <c r="AC12" s="19"/>
      <c r="AD12" s="19"/>
      <c r="AE12" s="19"/>
      <c r="AF12" s="19"/>
      <c r="AG12" s="144"/>
      <c r="AH12" s="6">
        <f>COUNTIF(ParticipationMars1[[#This Row],[1]:[31]],Code1)</f>
        <v>0</v>
      </c>
      <c r="AI12" s="331">
        <f>COUNTIF(ParticipationMars1[[#This Row],[1]:[31]],code22)</f>
        <v>0</v>
      </c>
      <c r="AJ12" s="30">
        <f>COUNTIF(ParticipationMars1[[#This Row],[1]:[31]],Code2)</f>
        <v>0</v>
      </c>
      <c r="AK12" s="30">
        <f>COUNTIF(ParticipationMars1[[#This Row],[1]:[31]],Code3)</f>
        <v>0</v>
      </c>
      <c r="AL12" s="30">
        <f>COUNTIF(ParticipationMars1[[#This Row],[1]:[31]],Code4)</f>
        <v>0</v>
      </c>
      <c r="AM12" s="307">
        <f>COUNTIF(ParticipationMars1[[#This Row],[1]:[31]],Code5)</f>
        <v>0</v>
      </c>
      <c r="AN12" s="307">
        <f>COUNTIF(ParticipationMars1[[#This Row],[1]:[31]],Code23)</f>
        <v>1</v>
      </c>
      <c r="AO12" s="307">
        <f>COUNTIF(ParticipationMars1[[#This Row],[1]:[31]],Code6)</f>
        <v>0</v>
      </c>
      <c r="AP12" s="307">
        <f>COUNTIF(ParticipationMars1[[#This Row],[1]:[31]],Code7)</f>
        <v>0</v>
      </c>
      <c r="AQ12" s="307">
        <f>COUNTIF(ParticipationMars1[[#This Row],[1]:[31]],Code8)</f>
        <v>0</v>
      </c>
      <c r="AR12" s="307">
        <f>COUNTIF(ParticipationMars1[[#This Row],[1]:[31]],Code9)</f>
        <v>0</v>
      </c>
      <c r="AS12" s="307">
        <f>COUNTIF(ParticipationMars1[[#This Row],[1]:[31]],Code10)</f>
        <v>0</v>
      </c>
      <c r="AT12" s="307">
        <f>COUNTIF(ParticipationMars1[[#This Row],[1]:[31]],Code11)</f>
        <v>0</v>
      </c>
      <c r="AU12" s="307">
        <f>COUNTIF(ParticipationMars1[[#This Row],[1]:[31]],Code12)</f>
        <v>0</v>
      </c>
      <c r="AV12" s="307">
        <f>COUNTIF(ParticipationMars1[[#This Row],[1]:[31]],Code13)</f>
        <v>0</v>
      </c>
      <c r="AW12" s="307">
        <f>COUNTIF(ParticipationMars1[[#This Row],[1]:[31]],Code14)</f>
        <v>1</v>
      </c>
      <c r="AX12" s="307">
        <f>COUNTIF(ParticipationMars1[[#This Row],[1]:[31]],Code15)</f>
        <v>0</v>
      </c>
      <c r="AY12" s="307">
        <f>COUNTIF(ParticipationMars1[[#This Row],[1]:[31]],Code16)</f>
        <v>0</v>
      </c>
      <c r="AZ12" s="307">
        <f>COUNTIF(ParticipationMars1[[#This Row],[1]:[31]],Code17)</f>
        <v>0</v>
      </c>
      <c r="BA12" s="307">
        <f>COUNTIF(ParticipationMars1[[#This Row],[1]:[31]],Code26)</f>
        <v>0</v>
      </c>
      <c r="BB12" s="307">
        <f>COUNTIF(ParticipationMars1[[#This Row],[1]:[31]],Code25)</f>
        <v>0</v>
      </c>
      <c r="BC12" s="307">
        <f>COUNTIF(ParticipationMars1[[#This Row],[1]:[31]],code21)</f>
        <v>0</v>
      </c>
      <c r="BD12" s="307">
        <f>COUNTIF(ParticipationMars1[[#This Row],[1]:[31]],Code24)</f>
        <v>0</v>
      </c>
      <c r="BE12" s="307">
        <f>COUNTIF(ParticipationMars1[[#This Row],[1]:[31]],code18)</f>
        <v>0</v>
      </c>
      <c r="BF12" s="307">
        <f>COUNTIF(ParticipationMars1[[#This Row],[1]:[31]],code19)</f>
        <v>0</v>
      </c>
      <c r="BG12" s="300">
        <f>COUNTIF(ParticipationMars1[[#This Row],[1]:[31]],code20)</f>
        <v>0</v>
      </c>
      <c r="BH12" s="297"/>
      <c r="BI12" s="297">
        <v>1</v>
      </c>
      <c r="BJ12" s="297"/>
      <c r="BK12" s="297"/>
      <c r="BL12" s="297"/>
      <c r="BM12" s="297"/>
      <c r="BN12" s="297"/>
      <c r="BO12" s="297"/>
      <c r="BP12" s="297"/>
      <c r="BQ12" s="297"/>
      <c r="BR12" s="297"/>
      <c r="BS12" s="297"/>
      <c r="BT12" s="297"/>
      <c r="BU12" s="297"/>
      <c r="BV12" s="297"/>
      <c r="BW12" s="297"/>
      <c r="BX12" s="297"/>
      <c r="BY12" s="297"/>
      <c r="BZ12" s="297"/>
      <c r="CA12" s="297"/>
      <c r="CB12" s="297">
        <v>1</v>
      </c>
      <c r="CC12" s="297"/>
      <c r="CD12" s="297"/>
      <c r="CE12" s="297"/>
      <c r="CF12" s="297"/>
      <c r="CG12" s="297"/>
      <c r="CH12" s="297"/>
      <c r="CI12" s="297"/>
      <c r="CJ12" s="297"/>
      <c r="CK12" s="297"/>
      <c r="CL12" s="297"/>
      <c r="CM12" s="297"/>
      <c r="CN12" s="307"/>
      <c r="CO12" s="300"/>
      <c r="CP12" s="165">
        <f t="shared" si="0"/>
        <v>0</v>
      </c>
      <c r="CQ12" s="165">
        <f t="shared" si="1"/>
        <v>8</v>
      </c>
      <c r="CR12" s="341">
        <f t="shared" si="2"/>
        <v>0</v>
      </c>
      <c r="CS12" s="327"/>
    </row>
    <row r="13" spans="1:97">
      <c r="A13" s="29" t="s">
        <v>357</v>
      </c>
      <c r="B13" s="162" t="str">
        <f>IFERROR(VLOOKUP(ParticipationMars1[[#This Row],[Référence]],ListeÉtudiants1[],18,FALSE),"")</f>
        <v>AFKIR SOUMIA</v>
      </c>
      <c r="C13" s="19"/>
      <c r="D13" s="19"/>
      <c r="E13" s="19"/>
      <c r="F13" s="19"/>
      <c r="G13" s="19"/>
      <c r="H13" s="19"/>
      <c r="I13" s="19"/>
      <c r="J13" s="19"/>
      <c r="K13" s="19"/>
      <c r="L13" s="19"/>
      <c r="M13" s="19"/>
      <c r="N13" s="19"/>
      <c r="O13" s="19"/>
      <c r="P13" s="19" t="s">
        <v>35</v>
      </c>
      <c r="Q13" s="19" t="s">
        <v>529</v>
      </c>
      <c r="R13" s="19"/>
      <c r="S13" s="19"/>
      <c r="T13" s="19"/>
      <c r="U13" s="19"/>
      <c r="V13" s="19" t="s">
        <v>529</v>
      </c>
      <c r="W13" s="19" t="s">
        <v>529</v>
      </c>
      <c r="X13" s="19" t="s">
        <v>109</v>
      </c>
      <c r="Y13" s="19"/>
      <c r="Z13" s="19"/>
      <c r="AA13" s="19"/>
      <c r="AB13" s="19"/>
      <c r="AC13" s="19"/>
      <c r="AD13" s="19"/>
      <c r="AE13" s="19"/>
      <c r="AF13" s="19"/>
      <c r="AG13" s="144"/>
      <c r="AH13" s="6">
        <f>COUNTIF(ParticipationMars1[[#This Row],[1]:[31]],Code1)</f>
        <v>0</v>
      </c>
      <c r="AI13" s="331">
        <f>COUNTIF(ParticipationMars1[[#This Row],[1]:[31]],code22)</f>
        <v>0</v>
      </c>
      <c r="AJ13" s="30">
        <f>COUNTIF(ParticipationMars1[[#This Row],[1]:[31]],Code2)</f>
        <v>0</v>
      </c>
      <c r="AK13" s="30">
        <f>COUNTIF(ParticipationMars1[[#This Row],[1]:[31]],Code3)</f>
        <v>0</v>
      </c>
      <c r="AL13" s="30">
        <f>COUNTIF(ParticipationMars1[[#This Row],[1]:[31]],Code4)</f>
        <v>0</v>
      </c>
      <c r="AM13" s="307">
        <f>COUNTIF(ParticipationMars1[[#This Row],[1]:[31]],Code5)</f>
        <v>0</v>
      </c>
      <c r="AN13" s="307">
        <f>COUNTIF(ParticipationMars1[[#This Row],[1]:[31]],Code23)</f>
        <v>0</v>
      </c>
      <c r="AO13" s="307">
        <f>COUNTIF(ParticipationMars1[[#This Row],[1]:[31]],Code6)</f>
        <v>0</v>
      </c>
      <c r="AP13" s="307">
        <f>COUNTIF(ParticipationMars1[[#This Row],[1]:[31]],Code7)</f>
        <v>0</v>
      </c>
      <c r="AQ13" s="307">
        <f>COUNTIF(ParticipationMars1[[#This Row],[1]:[31]],Code8)</f>
        <v>0</v>
      </c>
      <c r="AR13" s="307">
        <f>COUNTIF(ParticipationMars1[[#This Row],[1]:[31]],Code9)</f>
        <v>0</v>
      </c>
      <c r="AS13" s="307">
        <f>COUNTIF(ParticipationMars1[[#This Row],[1]:[31]],Code10)</f>
        <v>0</v>
      </c>
      <c r="AT13" s="307">
        <f>COUNTIF(ParticipationMars1[[#This Row],[1]:[31]],Code11)</f>
        <v>0</v>
      </c>
      <c r="AU13" s="307">
        <f>COUNTIF(ParticipationMars1[[#This Row],[1]:[31]],Code12)</f>
        <v>0</v>
      </c>
      <c r="AV13" s="307">
        <f>COUNTIF(ParticipationMars1[[#This Row],[1]:[31]],Code13)</f>
        <v>0</v>
      </c>
      <c r="AW13" s="307">
        <f>COUNTIF(ParticipationMars1[[#This Row],[1]:[31]],Code14)</f>
        <v>0</v>
      </c>
      <c r="AX13" s="307">
        <f>COUNTIF(ParticipationMars1[[#This Row],[1]:[31]],Code15)</f>
        <v>0</v>
      </c>
      <c r="AY13" s="307">
        <f>COUNTIF(ParticipationMars1[[#This Row],[1]:[31]],Code16)</f>
        <v>0</v>
      </c>
      <c r="AZ13" s="307">
        <f>COUNTIF(ParticipationMars1[[#This Row],[1]:[31]],Code17)</f>
        <v>0</v>
      </c>
      <c r="BA13" s="307">
        <f>COUNTIF(ParticipationMars1[[#This Row],[1]:[31]],Code26)</f>
        <v>0</v>
      </c>
      <c r="BB13" s="30">
        <f>COUNTIF(ParticipationMars1[[#This Row],[1]:[31]],Code25)</f>
        <v>0</v>
      </c>
      <c r="BC13" s="307">
        <f>COUNTIF(ParticipationMars1[[#This Row],[1]:[31]],code21)</f>
        <v>0</v>
      </c>
      <c r="BD13" s="307">
        <f>COUNTIF(ParticipationMars1[[#This Row],[1]:[31]],Code24)</f>
        <v>0</v>
      </c>
      <c r="BE13" s="307">
        <f>COUNTIF(ParticipationMars1[[#This Row],[1]:[31]],code18)</f>
        <v>0</v>
      </c>
      <c r="BF13" s="307">
        <f>COUNTIF(ParticipationMars1[[#This Row],[1]:[31]],code19)</f>
        <v>0</v>
      </c>
      <c r="BG13" s="300">
        <f>COUNTIF(ParticipationMars1[[#This Row],[1]:[31]],code20)</f>
        <v>0</v>
      </c>
      <c r="BH13" s="297"/>
      <c r="BI13" s="297">
        <v>1</v>
      </c>
      <c r="BJ13" s="297"/>
      <c r="BK13" s="297"/>
      <c r="BL13" s="297"/>
      <c r="BM13" s="297"/>
      <c r="BN13" s="297"/>
      <c r="BO13" s="297"/>
      <c r="BP13" s="297"/>
      <c r="BQ13" s="297"/>
      <c r="BR13" s="297">
        <v>2</v>
      </c>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307"/>
      <c r="CO13" s="300"/>
      <c r="CP13" s="165">
        <f t="shared" si="0"/>
        <v>0</v>
      </c>
      <c r="CQ13" s="165">
        <f t="shared" si="1"/>
        <v>0</v>
      </c>
      <c r="CR13" s="249">
        <f t="shared" si="2"/>
        <v>0</v>
      </c>
      <c r="CS13" s="327"/>
    </row>
    <row r="14" spans="1:97">
      <c r="A14" s="29" t="s">
        <v>358</v>
      </c>
      <c r="B14" s="162" t="str">
        <f>IFERROR(VLOOKUP(ParticipationMars1[[#This Row],[Référence]],ListeÉtudiants1[],18,FALSE),"")</f>
        <v>AFRICA NADINE</v>
      </c>
      <c r="C14" s="19"/>
      <c r="D14" s="19"/>
      <c r="E14" s="19"/>
      <c r="F14" s="19"/>
      <c r="G14" s="19"/>
      <c r="H14" s="19"/>
      <c r="I14" s="19"/>
      <c r="J14" s="19"/>
      <c r="K14" s="19"/>
      <c r="L14" s="19"/>
      <c r="M14" s="19"/>
      <c r="N14" s="19"/>
      <c r="O14" s="19"/>
      <c r="P14" s="19"/>
      <c r="Q14" s="19"/>
      <c r="R14" s="19"/>
      <c r="S14" s="19"/>
      <c r="T14" s="19"/>
      <c r="U14" s="19"/>
      <c r="V14" s="19"/>
      <c r="W14" s="19" t="s">
        <v>529</v>
      </c>
      <c r="X14" s="19"/>
      <c r="Y14" s="19"/>
      <c r="Z14" s="19"/>
      <c r="AA14" s="19"/>
      <c r="AB14" s="19"/>
      <c r="AC14" s="19"/>
      <c r="AD14" s="19"/>
      <c r="AE14" s="19"/>
      <c r="AF14" s="19"/>
      <c r="AG14" s="144"/>
      <c r="AH14" s="6">
        <f>COUNTIF(ParticipationMars1[[#This Row],[1]:[31]],Code1)</f>
        <v>0</v>
      </c>
      <c r="AI14" s="331">
        <f>COUNTIF(ParticipationMars1[[#This Row],[1]:[31]],code22)</f>
        <v>0</v>
      </c>
      <c r="AJ14" s="30">
        <f>COUNTIF(ParticipationMars1[[#This Row],[1]:[31]],Code2)</f>
        <v>0</v>
      </c>
      <c r="AK14" s="30">
        <f>COUNTIF(ParticipationMars1[[#This Row],[1]:[31]],Code3)</f>
        <v>0</v>
      </c>
      <c r="AL14" s="30">
        <f>COUNTIF(ParticipationMars1[[#This Row],[1]:[31]],Code4)</f>
        <v>0</v>
      </c>
      <c r="AM14" s="307">
        <f>COUNTIF(ParticipationMars1[[#This Row],[1]:[31]],Code5)</f>
        <v>0</v>
      </c>
      <c r="AN14" s="307">
        <f>COUNTIF(ParticipationMars1[[#This Row],[1]:[31]],Code23)</f>
        <v>0</v>
      </c>
      <c r="AO14" s="307">
        <f>COUNTIF(ParticipationMars1[[#This Row],[1]:[31]],Code6)</f>
        <v>0</v>
      </c>
      <c r="AP14" s="307">
        <f>COUNTIF(ParticipationMars1[[#This Row],[1]:[31]],Code7)</f>
        <v>0</v>
      </c>
      <c r="AQ14" s="307">
        <f>COUNTIF(ParticipationMars1[[#This Row],[1]:[31]],Code8)</f>
        <v>0</v>
      </c>
      <c r="AR14" s="307">
        <f>COUNTIF(ParticipationMars1[[#This Row],[1]:[31]],Code9)</f>
        <v>0</v>
      </c>
      <c r="AS14" s="307">
        <f>COUNTIF(ParticipationMars1[[#This Row],[1]:[31]],Code10)</f>
        <v>0</v>
      </c>
      <c r="AT14" s="307">
        <f>COUNTIF(ParticipationMars1[[#This Row],[1]:[31]],Code11)</f>
        <v>0</v>
      </c>
      <c r="AU14" s="307">
        <f>COUNTIF(ParticipationMars1[[#This Row],[1]:[31]],Code12)</f>
        <v>0</v>
      </c>
      <c r="AV14" s="307">
        <f>COUNTIF(ParticipationMars1[[#This Row],[1]:[31]],Code13)</f>
        <v>0</v>
      </c>
      <c r="AW14" s="307">
        <f>COUNTIF(ParticipationMars1[[#This Row],[1]:[31]],Code14)</f>
        <v>0</v>
      </c>
      <c r="AX14" s="307">
        <f>COUNTIF(ParticipationMars1[[#This Row],[1]:[31]],Code15)</f>
        <v>0</v>
      </c>
      <c r="AY14" s="307">
        <f>COUNTIF(ParticipationMars1[[#This Row],[1]:[31]],Code16)</f>
        <v>0</v>
      </c>
      <c r="AZ14" s="307">
        <f>COUNTIF(ParticipationMars1[[#This Row],[1]:[31]],Code17)</f>
        <v>0</v>
      </c>
      <c r="BA14" s="307">
        <f>COUNTIF(ParticipationMars1[[#This Row],[1]:[31]],Code26)</f>
        <v>0</v>
      </c>
      <c r="BB14" s="307">
        <f>COUNTIF(ParticipationMars1[[#This Row],[1]:[31]],Code25)</f>
        <v>0</v>
      </c>
      <c r="BC14" s="307">
        <f>COUNTIF(ParticipationMars1[[#This Row],[1]:[31]],code21)</f>
        <v>0</v>
      </c>
      <c r="BD14" s="307">
        <f>COUNTIF(ParticipationMars1[[#This Row],[1]:[31]],Code24)</f>
        <v>0</v>
      </c>
      <c r="BE14" s="307">
        <f>COUNTIF(ParticipationMars1[[#This Row],[1]:[31]],code18)</f>
        <v>0</v>
      </c>
      <c r="BF14" s="307">
        <f>COUNTIF(ParticipationMars1[[#This Row],[1]:[31]],code19)</f>
        <v>0</v>
      </c>
      <c r="BG14" s="300">
        <f>COUNTIF(ParticipationMars1[[#This Row],[1]:[31]],code20)</f>
        <v>0</v>
      </c>
      <c r="BH14" s="297"/>
      <c r="BI14" s="297"/>
      <c r="BJ14" s="297"/>
      <c r="BK14" s="297"/>
      <c r="BL14" s="297"/>
      <c r="BM14" s="297"/>
      <c r="BN14" s="297"/>
      <c r="BO14" s="297"/>
      <c r="BP14" s="297"/>
      <c r="BQ14" s="297"/>
      <c r="BR14" s="297">
        <v>1</v>
      </c>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307"/>
      <c r="CO14" s="300"/>
      <c r="CP14" s="165">
        <f t="shared" si="0"/>
        <v>0</v>
      </c>
      <c r="CQ14" s="165">
        <f t="shared" si="1"/>
        <v>0</v>
      </c>
      <c r="CR14" s="341">
        <f t="shared" si="2"/>
        <v>0</v>
      </c>
      <c r="CS14" s="327"/>
    </row>
    <row r="15" spans="1:97">
      <c r="A15" s="29" t="s">
        <v>360</v>
      </c>
      <c r="B15" s="162" t="str">
        <f>IFERROR(VLOOKUP(ParticipationMars1[[#This Row],[Référence]],ListeÉtudiants1[],18,FALSE),"")</f>
        <v>AINAUD  MATHILDE</v>
      </c>
      <c r="C15" s="19"/>
      <c r="D15" s="19"/>
      <c r="E15" s="19"/>
      <c r="F15" s="19"/>
      <c r="G15" s="19"/>
      <c r="H15" s="19"/>
      <c r="I15" s="19"/>
      <c r="J15" s="19"/>
      <c r="K15" s="19"/>
      <c r="L15" s="19"/>
      <c r="M15" s="19"/>
      <c r="N15" s="19"/>
      <c r="O15" s="19"/>
      <c r="P15" s="19"/>
      <c r="Q15" s="19" t="s">
        <v>529</v>
      </c>
      <c r="R15" s="19"/>
      <c r="S15" s="19"/>
      <c r="T15" s="19"/>
      <c r="U15" s="19"/>
      <c r="V15" s="19" t="s">
        <v>529</v>
      </c>
      <c r="W15" s="19" t="s">
        <v>529</v>
      </c>
      <c r="X15" s="19" t="s">
        <v>109</v>
      </c>
      <c r="Y15" s="19"/>
      <c r="Z15" s="19"/>
      <c r="AA15" s="19"/>
      <c r="AB15" s="19"/>
      <c r="AC15" s="19"/>
      <c r="AD15" s="19"/>
      <c r="AE15" s="19"/>
      <c r="AF15" s="19"/>
      <c r="AG15" s="144"/>
      <c r="AH15" s="6">
        <f>COUNTIF(ParticipationMars1[[#This Row],[1]:[31]],Code1)</f>
        <v>0</v>
      </c>
      <c r="AI15" s="331">
        <f>COUNTIF(ParticipationMars1[[#This Row],[1]:[31]],code22)</f>
        <v>0</v>
      </c>
      <c r="AJ15" s="30">
        <f>COUNTIF(ParticipationMars1[[#This Row],[1]:[31]],Code2)</f>
        <v>0</v>
      </c>
      <c r="AK15" s="30">
        <f>COUNTIF(ParticipationMars1[[#This Row],[1]:[31]],Code3)</f>
        <v>0</v>
      </c>
      <c r="AL15" s="30">
        <f>COUNTIF(ParticipationMars1[[#This Row],[1]:[31]],Code4)</f>
        <v>0</v>
      </c>
      <c r="AM15" s="307">
        <f>COUNTIF(ParticipationMars1[[#This Row],[1]:[31]],Code5)</f>
        <v>0</v>
      </c>
      <c r="AN15" s="307">
        <f>COUNTIF(ParticipationMars1[[#This Row],[1]:[31]],Code23)</f>
        <v>1</v>
      </c>
      <c r="AO15" s="307">
        <f>COUNTIF(ParticipationMars1[[#This Row],[1]:[31]],Code6)</f>
        <v>0</v>
      </c>
      <c r="AP15" s="307">
        <f>COUNTIF(ParticipationMars1[[#This Row],[1]:[31]],Code7)</f>
        <v>0</v>
      </c>
      <c r="AQ15" s="307">
        <f>COUNTIF(ParticipationMars1[[#This Row],[1]:[31]],Code8)</f>
        <v>0</v>
      </c>
      <c r="AR15" s="307">
        <f>COUNTIF(ParticipationMars1[[#This Row],[1]:[31]],Code9)</f>
        <v>0</v>
      </c>
      <c r="AS15" s="307">
        <f>COUNTIF(ParticipationMars1[[#This Row],[1]:[31]],Code10)</f>
        <v>0</v>
      </c>
      <c r="AT15" s="307">
        <f>COUNTIF(ParticipationMars1[[#This Row],[1]:[31]],Code11)</f>
        <v>0</v>
      </c>
      <c r="AU15" s="307">
        <f>COUNTIF(ParticipationMars1[[#This Row],[1]:[31]],Code12)</f>
        <v>0</v>
      </c>
      <c r="AV15" s="307">
        <f>COUNTIF(ParticipationMars1[[#This Row],[1]:[31]],Code13)</f>
        <v>0</v>
      </c>
      <c r="AW15" s="307">
        <f>COUNTIF(ParticipationMars1[[#This Row],[1]:[31]],Code14)</f>
        <v>1</v>
      </c>
      <c r="AX15" s="307">
        <f>COUNTIF(ParticipationMars1[[#This Row],[1]:[31]],Code15)</f>
        <v>0</v>
      </c>
      <c r="AY15" s="307">
        <f>COUNTIF(ParticipationMars1[[#This Row],[1]:[31]],Code16)</f>
        <v>0</v>
      </c>
      <c r="AZ15" s="307">
        <f>COUNTIF(ParticipationMars1[[#This Row],[1]:[31]],Code17)</f>
        <v>0</v>
      </c>
      <c r="BA15" s="307">
        <f>COUNTIF(ParticipationMars1[[#This Row],[1]:[31]],Code26)</f>
        <v>0</v>
      </c>
      <c r="BB15" s="307">
        <f>COUNTIF(ParticipationMars1[[#This Row],[1]:[31]],Code25)</f>
        <v>0</v>
      </c>
      <c r="BC15" s="307">
        <f>COUNTIF(ParticipationMars1[[#This Row],[1]:[31]],code21)</f>
        <v>0</v>
      </c>
      <c r="BD15" s="307">
        <f>COUNTIF(ParticipationMars1[[#This Row],[1]:[31]],Code24)</f>
        <v>0</v>
      </c>
      <c r="BE15" s="307">
        <f>COUNTIF(ParticipationMars1[[#This Row],[1]:[31]],code18)</f>
        <v>0</v>
      </c>
      <c r="BF15" s="307">
        <f>COUNTIF(ParticipationMars1[[#This Row],[1]:[31]],code19)</f>
        <v>0</v>
      </c>
      <c r="BG15" s="300">
        <f>COUNTIF(ParticipationMars1[[#This Row],[1]:[31]],code20)</f>
        <v>0</v>
      </c>
      <c r="BH15" s="297"/>
      <c r="BI15" s="297">
        <v>1</v>
      </c>
      <c r="BJ15" s="297"/>
      <c r="BK15" s="297"/>
      <c r="BL15" s="297"/>
      <c r="BM15" s="297"/>
      <c r="BN15" s="297"/>
      <c r="BO15" s="297"/>
      <c r="BP15" s="297"/>
      <c r="BQ15" s="297"/>
      <c r="BR15" s="297">
        <v>2</v>
      </c>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307"/>
      <c r="CO15" s="300"/>
      <c r="CP15" s="165">
        <f t="shared" si="0"/>
        <v>0</v>
      </c>
      <c r="CQ15" s="165">
        <f t="shared" si="1"/>
        <v>8</v>
      </c>
      <c r="CR15" s="341">
        <f t="shared" si="2"/>
        <v>0</v>
      </c>
      <c r="CS15" s="327"/>
    </row>
    <row r="16" spans="1:97">
      <c r="A16" s="29" t="s">
        <v>362</v>
      </c>
      <c r="B16" s="162" t="str">
        <f>IFERROR(VLOOKUP(ParticipationMars1[[#This Row],[Référence]],ListeÉtudiants1[],18,FALSE),"")</f>
        <v>AIT CHALALET SELENA</v>
      </c>
      <c r="C16" s="19"/>
      <c r="D16" s="19"/>
      <c r="E16" s="19"/>
      <c r="F16" s="19"/>
      <c r="G16" s="19"/>
      <c r="H16" s="19"/>
      <c r="I16" s="19" t="s">
        <v>496</v>
      </c>
      <c r="J16" s="19"/>
      <c r="K16" s="19"/>
      <c r="L16" s="19"/>
      <c r="M16" s="19"/>
      <c r="N16" s="19"/>
      <c r="O16" s="19"/>
      <c r="P16" s="19"/>
      <c r="Q16" s="19"/>
      <c r="R16" s="19"/>
      <c r="S16" s="19"/>
      <c r="T16" s="19"/>
      <c r="U16" s="19"/>
      <c r="V16" s="19"/>
      <c r="W16" s="19"/>
      <c r="X16" s="19" t="s">
        <v>488</v>
      </c>
      <c r="Y16" s="19"/>
      <c r="Z16" s="19"/>
      <c r="AA16" s="19"/>
      <c r="AB16" s="19"/>
      <c r="AC16" s="19"/>
      <c r="AD16" s="19"/>
      <c r="AE16" s="19"/>
      <c r="AF16" s="19"/>
      <c r="AG16" s="144"/>
      <c r="AH16" s="6">
        <f>COUNTIF(ParticipationMars1[[#This Row],[1]:[31]],Code1)</f>
        <v>0</v>
      </c>
      <c r="AI16" s="6">
        <f>COUNTIF(ParticipationMars1[[#This Row],[1]:[31]],code22)</f>
        <v>0</v>
      </c>
      <c r="AJ16" s="30">
        <f>COUNTIF(ParticipationMars1[[#This Row],[1]:[31]],Code2)</f>
        <v>1</v>
      </c>
      <c r="AK16" s="30">
        <f>COUNTIF(ParticipationMars1[[#This Row],[1]:[31]],Code3)</f>
        <v>0</v>
      </c>
      <c r="AL16" s="30">
        <f>COUNTIF(ParticipationMars1[[#This Row],[1]:[31]],Code4)</f>
        <v>0</v>
      </c>
      <c r="AM16" s="30">
        <f>COUNTIF(ParticipationMars1[[#This Row],[1]:[31]],Code5)</f>
        <v>2</v>
      </c>
      <c r="AN16" s="30">
        <f>COUNTIF(ParticipationMars1[[#This Row],[1]:[31]],Code23)</f>
        <v>4</v>
      </c>
      <c r="AO16" s="30">
        <f>COUNTIF(ParticipationMars1[[#This Row],[1]:[31]],Code6)</f>
        <v>0</v>
      </c>
      <c r="AP16" s="30">
        <f>COUNTIF(ParticipationMars1[[#This Row],[1]:[31]],Code7)</f>
        <v>1</v>
      </c>
      <c r="AQ16" s="30">
        <f>COUNTIF(ParticipationMars1[[#This Row],[1]:[31]],Code8)</f>
        <v>0</v>
      </c>
      <c r="AR16" s="30">
        <f>COUNTIF(ParticipationMars1[[#This Row],[1]:[31]],Code9)</f>
        <v>0</v>
      </c>
      <c r="AS16" s="30">
        <f>COUNTIF(ParticipationMars1[[#This Row],[1]:[31]],Code10)</f>
        <v>0</v>
      </c>
      <c r="AT16" s="30">
        <f>COUNTIF(ParticipationMars1[[#This Row],[1]:[31]],Code11)</f>
        <v>1</v>
      </c>
      <c r="AU16" s="30">
        <f>COUNTIF(ParticipationMars1[[#This Row],[1]:[31]],Code12)</f>
        <v>1</v>
      </c>
      <c r="AV16" s="30">
        <f>COUNTIF(ParticipationMars1[[#This Row],[1]:[31]],Code13)</f>
        <v>0</v>
      </c>
      <c r="AW16" s="30">
        <f>COUNTIF(ParticipationMars1[[#This Row],[1]:[31]],Code14)</f>
        <v>0</v>
      </c>
      <c r="AX16" s="30">
        <f>COUNTIF(ParticipationMars1[[#This Row],[1]:[31]],Code15)</f>
        <v>0</v>
      </c>
      <c r="AY16" s="30">
        <f>COUNTIF(ParticipationMars1[[#This Row],[1]:[31]],Code16)</f>
        <v>0</v>
      </c>
      <c r="AZ16" s="30">
        <f>COUNTIF(ParticipationMars1[[#This Row],[1]:[31]],Code17)</f>
        <v>0</v>
      </c>
      <c r="BA16" s="307">
        <f>COUNTIF(ParticipationMars1[[#This Row],[1]:[31]],Code26)</f>
        <v>0</v>
      </c>
      <c r="BB16" s="30">
        <f>COUNTIF(ParticipationMars1[[#This Row],[1]:[31]],Code25)</f>
        <v>0</v>
      </c>
      <c r="BC16" s="30">
        <f>COUNTIF(ParticipationMars1[[#This Row],[1]:[31]],code21)</f>
        <v>0</v>
      </c>
      <c r="BD16" s="30">
        <f>COUNTIF(ParticipationMars1[[#This Row],[1]:[31]],Code24)</f>
        <v>1</v>
      </c>
      <c r="BE16" s="30">
        <f>COUNTIF(ParticipationMars1[[#This Row],[1]:[31]],code18)</f>
        <v>0</v>
      </c>
      <c r="BF16" s="30">
        <f>COUNTIF(ParticipationMars1[[#This Row],[1]:[31]],code19)</f>
        <v>0</v>
      </c>
      <c r="BG16" s="164">
        <f>COUNTIF(ParticipationMars1[[#This Row],[1]:[31]],code20)</f>
        <v>0</v>
      </c>
      <c r="BH16" s="297"/>
      <c r="BI16" s="297">
        <v>1</v>
      </c>
      <c r="BJ16" s="297"/>
      <c r="BK16" s="297"/>
      <c r="BL16" s="297"/>
      <c r="BM16" s="297"/>
      <c r="BN16" s="297"/>
      <c r="BO16" s="297"/>
      <c r="BP16" s="297"/>
      <c r="BQ16" s="297"/>
      <c r="BR16" s="297"/>
      <c r="BS16" s="297"/>
      <c r="BT16" s="297"/>
      <c r="BU16" s="297"/>
      <c r="BV16" s="297"/>
      <c r="BW16" s="297"/>
      <c r="BX16" s="297"/>
      <c r="BY16" s="297"/>
      <c r="BZ16" s="297"/>
      <c r="CA16" s="297"/>
      <c r="CB16" s="297">
        <v>1</v>
      </c>
      <c r="CC16" s="297"/>
      <c r="CD16" s="297"/>
      <c r="CE16" s="297"/>
      <c r="CF16" s="297"/>
      <c r="CG16" s="297"/>
      <c r="CH16" s="297"/>
      <c r="CI16" s="297"/>
      <c r="CJ16" s="297"/>
      <c r="CK16" s="297"/>
      <c r="CL16" s="297"/>
      <c r="CM16" s="297"/>
      <c r="CN16" s="307"/>
      <c r="CO16" s="300"/>
      <c r="CP16" s="165">
        <f t="shared" si="0"/>
        <v>9</v>
      </c>
      <c r="CQ16" s="165">
        <f t="shared" si="1"/>
        <v>24</v>
      </c>
      <c r="CR16" s="249">
        <f t="shared" si="2"/>
        <v>2</v>
      </c>
      <c r="CS16" s="170">
        <f>SUM((BE16*7)+(BF16*10)+(BG16*12))</f>
        <v>0</v>
      </c>
    </row>
    <row r="17" spans="1:97">
      <c r="A17" s="29" t="s">
        <v>364</v>
      </c>
      <c r="B17" s="162" t="str">
        <f>IFERROR(VLOOKUP(ParticipationMars1[[#This Row],[Référence]],ListeÉtudiants1[],18,FALSE),"")</f>
        <v>AJINCA NATHAN</v>
      </c>
      <c r="C17" s="19"/>
      <c r="D17" s="19"/>
      <c r="E17" s="19"/>
      <c r="F17" s="19"/>
      <c r="G17" s="19"/>
      <c r="H17" s="19"/>
      <c r="I17" s="19"/>
      <c r="J17" s="19"/>
      <c r="K17" s="19"/>
      <c r="L17" s="19"/>
      <c r="M17" s="19"/>
      <c r="N17" s="19"/>
      <c r="O17" s="19"/>
      <c r="P17" s="19"/>
      <c r="Q17" s="19" t="s">
        <v>529</v>
      </c>
      <c r="R17" s="19"/>
      <c r="S17" s="19"/>
      <c r="T17" s="19"/>
      <c r="U17" s="19"/>
      <c r="V17" s="19"/>
      <c r="W17" s="19"/>
      <c r="X17" s="19"/>
      <c r="Y17" s="19"/>
      <c r="Z17" s="19"/>
      <c r="AA17" s="19"/>
      <c r="AB17" s="19"/>
      <c r="AC17" s="19"/>
      <c r="AD17" s="19"/>
      <c r="AE17" s="19"/>
      <c r="AF17" s="19"/>
      <c r="AG17" s="144"/>
      <c r="AH17" s="6">
        <f>COUNTIF(ParticipationMars1[[#This Row],[1]:[31]],Code1)</f>
        <v>0</v>
      </c>
      <c r="AI17" s="331">
        <f>COUNTIF(ParticipationMars1[[#This Row],[1]:[31]],code22)</f>
        <v>0</v>
      </c>
      <c r="AJ17" s="30">
        <f>COUNTIF(ParticipationMars1[[#This Row],[1]:[31]],Code2)</f>
        <v>0</v>
      </c>
      <c r="AK17" s="30">
        <f>COUNTIF(ParticipationMars1[[#This Row],[1]:[31]],Code3)</f>
        <v>0</v>
      </c>
      <c r="AL17" s="30">
        <f>COUNTIF(ParticipationMars1[[#This Row],[1]:[31]],Code4)</f>
        <v>0</v>
      </c>
      <c r="AM17" s="307">
        <f>COUNTIF(ParticipationMars1[[#This Row],[1]:[31]],Code5)</f>
        <v>0</v>
      </c>
      <c r="AN17" s="307">
        <f>COUNTIF(ParticipationMars1[[#This Row],[1]:[31]],Code23)</f>
        <v>1</v>
      </c>
      <c r="AO17" s="307">
        <f>COUNTIF(ParticipationMars1[[#This Row],[1]:[31]],Code6)</f>
        <v>0</v>
      </c>
      <c r="AP17" s="307">
        <f>COUNTIF(ParticipationMars1[[#This Row],[1]:[31]],Code7)</f>
        <v>0</v>
      </c>
      <c r="AQ17" s="307">
        <f>COUNTIF(ParticipationMars1[[#This Row],[1]:[31]],Code8)</f>
        <v>0</v>
      </c>
      <c r="AR17" s="307">
        <f>COUNTIF(ParticipationMars1[[#This Row],[1]:[31]],Code9)</f>
        <v>0</v>
      </c>
      <c r="AS17" s="307">
        <f>COUNTIF(ParticipationMars1[[#This Row],[1]:[31]],Code10)</f>
        <v>0</v>
      </c>
      <c r="AT17" s="307">
        <f>COUNTIF(ParticipationMars1[[#This Row],[1]:[31]],Code11)</f>
        <v>0</v>
      </c>
      <c r="AU17" s="307">
        <f>COUNTIF(ParticipationMars1[[#This Row],[1]:[31]],Code12)</f>
        <v>0</v>
      </c>
      <c r="AV17" s="307">
        <f>COUNTIF(ParticipationMars1[[#This Row],[1]:[31]],Code13)</f>
        <v>0</v>
      </c>
      <c r="AW17" s="307">
        <f>COUNTIF(ParticipationMars1[[#This Row],[1]:[31]],Code14)</f>
        <v>0</v>
      </c>
      <c r="AX17" s="307">
        <f>COUNTIF(ParticipationMars1[[#This Row],[1]:[31]],Code15)</f>
        <v>0</v>
      </c>
      <c r="AY17" s="307">
        <f>COUNTIF(ParticipationMars1[[#This Row],[1]:[31]],Code16)</f>
        <v>0</v>
      </c>
      <c r="AZ17" s="307">
        <f>COUNTIF(ParticipationMars1[[#This Row],[1]:[31]],Code17)</f>
        <v>0</v>
      </c>
      <c r="BA17" s="307">
        <f>COUNTIF(ParticipationMars1[[#This Row],[1]:[31]],Code26)</f>
        <v>0</v>
      </c>
      <c r="BB17" s="307">
        <f>COUNTIF(ParticipationMars1[[#This Row],[1]:[31]],Code25)</f>
        <v>0</v>
      </c>
      <c r="BC17" s="307">
        <f>COUNTIF(ParticipationMars1[[#This Row],[1]:[31]],code21)</f>
        <v>0</v>
      </c>
      <c r="BD17" s="307">
        <f>COUNTIF(ParticipationMars1[[#This Row],[1]:[31]],Code24)</f>
        <v>0</v>
      </c>
      <c r="BE17" s="307">
        <f>COUNTIF(ParticipationMars1[[#This Row],[1]:[31]],code18)</f>
        <v>0</v>
      </c>
      <c r="BF17" s="307">
        <f>COUNTIF(ParticipationMars1[[#This Row],[1]:[31]],code19)</f>
        <v>0</v>
      </c>
      <c r="BG17" s="300">
        <f>COUNTIF(ParticipationMars1[[#This Row],[1]:[31]],code20)</f>
        <v>0</v>
      </c>
      <c r="BH17" s="297"/>
      <c r="BI17" s="297"/>
      <c r="BJ17" s="297"/>
      <c r="BK17" s="297"/>
      <c r="BL17" s="297"/>
      <c r="BM17" s="297"/>
      <c r="BN17" s="297"/>
      <c r="BO17" s="297"/>
      <c r="BP17" s="297"/>
      <c r="BQ17" s="297"/>
      <c r="BR17" s="297">
        <v>1</v>
      </c>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307"/>
      <c r="CO17" s="300"/>
      <c r="CP17" s="165">
        <f t="shared" si="0"/>
        <v>0</v>
      </c>
      <c r="CQ17" s="165">
        <f t="shared" si="1"/>
        <v>1</v>
      </c>
      <c r="CR17" s="341">
        <f t="shared" si="2"/>
        <v>0</v>
      </c>
      <c r="CS17" s="327"/>
    </row>
    <row r="18" spans="1:97">
      <c r="A18" s="29" t="s">
        <v>365</v>
      </c>
      <c r="B18" s="162" t="str">
        <f>IFERROR(VLOOKUP(ParticipationMars1[[#This Row],[Référence]],ListeÉtudiants1[],18,FALSE),"")</f>
        <v>ALBINA IONA</v>
      </c>
      <c r="C18" s="19"/>
      <c r="D18" s="19"/>
      <c r="E18" s="19"/>
      <c r="F18" s="19"/>
      <c r="G18" s="19"/>
      <c r="H18" s="19"/>
      <c r="I18" s="19"/>
      <c r="J18" s="19"/>
      <c r="K18" s="19"/>
      <c r="L18" s="19"/>
      <c r="M18" s="19"/>
      <c r="N18" s="19"/>
      <c r="O18" s="19"/>
      <c r="P18" s="19"/>
      <c r="Q18" s="19" t="s">
        <v>529</v>
      </c>
      <c r="R18" s="19"/>
      <c r="S18" s="19"/>
      <c r="T18" s="19"/>
      <c r="U18" s="19"/>
      <c r="V18" s="19"/>
      <c r="W18" s="19"/>
      <c r="X18" s="19"/>
      <c r="Y18" s="19"/>
      <c r="Z18" s="19"/>
      <c r="AA18" s="19"/>
      <c r="AB18" s="19"/>
      <c r="AC18" s="19"/>
      <c r="AD18" s="19"/>
      <c r="AE18" s="19"/>
      <c r="AF18" s="19"/>
      <c r="AG18" s="144"/>
      <c r="AH18" s="6">
        <f>COUNTIF(ParticipationMars1[[#This Row],[1]:[31]],Code1)</f>
        <v>0</v>
      </c>
      <c r="AI18" s="331">
        <f>COUNTIF(ParticipationMars1[[#This Row],[1]:[31]],code22)</f>
        <v>0</v>
      </c>
      <c r="AJ18" s="30">
        <f>COUNTIF(ParticipationMars1[[#This Row],[1]:[31]],Code2)</f>
        <v>0</v>
      </c>
      <c r="AK18" s="30">
        <f>COUNTIF(ParticipationMars1[[#This Row],[1]:[31]],Code3)</f>
        <v>0</v>
      </c>
      <c r="AL18" s="30">
        <f>COUNTIF(ParticipationMars1[[#This Row],[1]:[31]],Code4)</f>
        <v>0</v>
      </c>
      <c r="AM18" s="307">
        <f>COUNTIF(ParticipationMars1[[#This Row],[1]:[31]],Code5)</f>
        <v>0</v>
      </c>
      <c r="AN18" s="307">
        <f>COUNTIF(ParticipationMars1[[#This Row],[1]:[31]],Code23)</f>
        <v>2</v>
      </c>
      <c r="AO18" s="307">
        <f>COUNTIF(ParticipationMars1[[#This Row],[1]:[31]],Code6)</f>
        <v>0</v>
      </c>
      <c r="AP18" s="307">
        <f>COUNTIF(ParticipationMars1[[#This Row],[1]:[31]],Code7)</f>
        <v>0</v>
      </c>
      <c r="AQ18" s="307">
        <f>COUNTIF(ParticipationMars1[[#This Row],[1]:[31]],Code8)</f>
        <v>0</v>
      </c>
      <c r="AR18" s="307">
        <f>COUNTIF(ParticipationMars1[[#This Row],[1]:[31]],Code9)</f>
        <v>0</v>
      </c>
      <c r="AS18" s="307">
        <f>COUNTIF(ParticipationMars1[[#This Row],[1]:[31]],Code10)</f>
        <v>0</v>
      </c>
      <c r="AT18" s="307">
        <f>COUNTIF(ParticipationMars1[[#This Row],[1]:[31]],Code11)</f>
        <v>0</v>
      </c>
      <c r="AU18" s="307">
        <f>COUNTIF(ParticipationMars1[[#This Row],[1]:[31]],Code12)</f>
        <v>0</v>
      </c>
      <c r="AV18" s="307">
        <f>COUNTIF(ParticipationMars1[[#This Row],[1]:[31]],Code13)</f>
        <v>0</v>
      </c>
      <c r="AW18" s="307">
        <f>COUNTIF(ParticipationMars1[[#This Row],[1]:[31]],Code14)</f>
        <v>0</v>
      </c>
      <c r="AX18" s="307">
        <f>COUNTIF(ParticipationMars1[[#This Row],[1]:[31]],Code15)</f>
        <v>0</v>
      </c>
      <c r="AY18" s="307">
        <f>COUNTIF(ParticipationMars1[[#This Row],[1]:[31]],Code16)</f>
        <v>0</v>
      </c>
      <c r="AZ18" s="307">
        <f>COUNTIF(ParticipationMars1[[#This Row],[1]:[31]],Code17)</f>
        <v>0</v>
      </c>
      <c r="BA18" s="307">
        <f>COUNTIF(ParticipationMars1[[#This Row],[1]:[31]],Code26)</f>
        <v>0</v>
      </c>
      <c r="BB18" s="307">
        <f>COUNTIF(ParticipationMars1[[#This Row],[1]:[31]],Code25)</f>
        <v>0</v>
      </c>
      <c r="BC18" s="307">
        <f>COUNTIF(ParticipationMars1[[#This Row],[1]:[31]],code21)</f>
        <v>0</v>
      </c>
      <c r="BD18" s="307">
        <f>COUNTIF(ParticipationMars1[[#This Row],[1]:[31]],Code24)</f>
        <v>0</v>
      </c>
      <c r="BE18" s="307">
        <f>COUNTIF(ParticipationMars1[[#This Row],[1]:[31]],code18)</f>
        <v>0</v>
      </c>
      <c r="BF18" s="307">
        <f>COUNTIF(ParticipationMars1[[#This Row],[1]:[31]],code19)</f>
        <v>0</v>
      </c>
      <c r="BG18" s="300">
        <f>COUNTIF(ParticipationMars1[[#This Row],[1]:[31]],code20)</f>
        <v>0</v>
      </c>
      <c r="BH18" s="297"/>
      <c r="BI18" s="297"/>
      <c r="BJ18" s="297"/>
      <c r="BK18" s="297"/>
      <c r="BL18" s="297"/>
      <c r="BM18" s="297"/>
      <c r="BN18" s="297"/>
      <c r="BO18" s="297"/>
      <c r="BP18" s="297"/>
      <c r="BQ18" s="297"/>
      <c r="BR18" s="297">
        <v>1</v>
      </c>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307"/>
      <c r="CO18" s="300"/>
      <c r="CP18" s="165">
        <f t="shared" si="0"/>
        <v>0</v>
      </c>
      <c r="CQ18" s="165">
        <f t="shared" si="1"/>
        <v>2</v>
      </c>
      <c r="CR18" s="341">
        <f t="shared" si="2"/>
        <v>0</v>
      </c>
      <c r="CS18" s="327"/>
    </row>
    <row r="19" spans="1:97">
      <c r="A19" s="29" t="s">
        <v>366</v>
      </c>
      <c r="B19" s="162" t="str">
        <f>IFERROR(VLOOKUP(ParticipationMars1[[#This Row],[Référence]],ListeÉtudiants1[],18,FALSE),"")</f>
        <v>ALCHEK MONA</v>
      </c>
      <c r="C19" s="19"/>
      <c r="D19" s="19"/>
      <c r="E19" s="19"/>
      <c r="F19" s="19"/>
      <c r="G19" s="19"/>
      <c r="H19" s="19"/>
      <c r="I19" s="19"/>
      <c r="J19" s="19"/>
      <c r="K19" s="19"/>
      <c r="L19" s="19"/>
      <c r="M19" s="19"/>
      <c r="N19" s="19"/>
      <c r="O19" s="19"/>
      <c r="P19" s="19" t="s">
        <v>35</v>
      </c>
      <c r="Q19" s="19" t="s">
        <v>109</v>
      </c>
      <c r="R19" s="19"/>
      <c r="S19" s="19"/>
      <c r="T19" s="19"/>
      <c r="U19" s="19"/>
      <c r="V19" s="19"/>
      <c r="W19" s="19"/>
      <c r="X19" s="19" t="s">
        <v>109</v>
      </c>
      <c r="Y19" s="19"/>
      <c r="Z19" s="19"/>
      <c r="AA19" s="19"/>
      <c r="AB19" s="19"/>
      <c r="AC19" s="19"/>
      <c r="AD19" s="19"/>
      <c r="AE19" s="19"/>
      <c r="AF19" s="19"/>
      <c r="AG19" s="144"/>
      <c r="AH19" s="6">
        <f>COUNTIF(ParticipationMars1[[#This Row],[1]:[31]],Code1)</f>
        <v>0</v>
      </c>
      <c r="AI19" s="331">
        <f>COUNTIF(ParticipationMars1[[#This Row],[1]:[31]],code22)</f>
        <v>0</v>
      </c>
      <c r="AJ19" s="30">
        <f>COUNTIF(ParticipationMars1[[#This Row],[1]:[31]],Code2)</f>
        <v>0</v>
      </c>
      <c r="AK19" s="30">
        <f>COUNTIF(ParticipationMars1[[#This Row],[1]:[31]],Code3)</f>
        <v>0</v>
      </c>
      <c r="AL19" s="30">
        <f>COUNTIF(ParticipationMars1[[#This Row],[1]:[31]],Code4)</f>
        <v>0</v>
      </c>
      <c r="AM19" s="307">
        <f>COUNTIF(ParticipationMars1[[#This Row],[1]:[31]],Code5)</f>
        <v>1</v>
      </c>
      <c r="AN19" s="307">
        <f>COUNTIF(ParticipationMars1[[#This Row],[1]:[31]],Code23)</f>
        <v>5</v>
      </c>
      <c r="AO19" s="307">
        <f>COUNTIF(ParticipationMars1[[#This Row],[1]:[31]],Code6)</f>
        <v>0</v>
      </c>
      <c r="AP19" s="307">
        <f>COUNTIF(ParticipationMars1[[#This Row],[1]:[31]],Code7)</f>
        <v>1</v>
      </c>
      <c r="AQ19" s="307">
        <f>COUNTIF(ParticipationMars1[[#This Row],[1]:[31]],Code8)</f>
        <v>0</v>
      </c>
      <c r="AR19" s="307">
        <f>COUNTIF(ParticipationMars1[[#This Row],[1]:[31]],Code9)</f>
        <v>0</v>
      </c>
      <c r="AS19" s="307">
        <f>COUNTIF(ParticipationMars1[[#This Row],[1]:[31]],Code10)</f>
        <v>0</v>
      </c>
      <c r="AT19" s="307">
        <f>COUNTIF(ParticipationMars1[[#This Row],[1]:[31]],Code11)</f>
        <v>0</v>
      </c>
      <c r="AU19" s="307">
        <f>COUNTIF(ParticipationMars1[[#This Row],[1]:[31]],Code12)</f>
        <v>1</v>
      </c>
      <c r="AV19" s="307">
        <f>COUNTIF(ParticipationMars1[[#This Row],[1]:[31]],Code13)</f>
        <v>0</v>
      </c>
      <c r="AW19" s="307">
        <f>COUNTIF(ParticipationMars1[[#This Row],[1]:[31]],Code14)</f>
        <v>0</v>
      </c>
      <c r="AX19" s="307">
        <f>COUNTIF(ParticipationMars1[[#This Row],[1]:[31]],Code15)</f>
        <v>0</v>
      </c>
      <c r="AY19" s="307">
        <f>COUNTIF(ParticipationMars1[[#This Row],[1]:[31]],Code16)</f>
        <v>0</v>
      </c>
      <c r="AZ19" s="307">
        <f>COUNTIF(ParticipationMars1[[#This Row],[1]:[31]],Code17)</f>
        <v>0</v>
      </c>
      <c r="BA19" s="307">
        <f>COUNTIF(ParticipationMars1[[#This Row],[1]:[31]],Code26)</f>
        <v>0</v>
      </c>
      <c r="BB19" s="30">
        <f>COUNTIF(ParticipationMars1[[#This Row],[1]:[31]],Code25)</f>
        <v>0</v>
      </c>
      <c r="BC19" s="307">
        <f>COUNTIF(ParticipationMars1[[#This Row],[1]:[31]],code21)</f>
        <v>0</v>
      </c>
      <c r="BD19" s="307">
        <f>COUNTIF(ParticipationMars1[[#This Row],[1]:[31]],Code24)</f>
        <v>0</v>
      </c>
      <c r="BE19" s="307">
        <f>COUNTIF(ParticipationMars1[[#This Row],[1]:[31]],code18)</f>
        <v>0</v>
      </c>
      <c r="BF19" s="307">
        <f>COUNTIF(ParticipationMars1[[#This Row],[1]:[31]],code19)</f>
        <v>0</v>
      </c>
      <c r="BG19" s="300">
        <f>COUNTIF(ParticipationMars1[[#This Row],[1]:[31]],code20)</f>
        <v>0</v>
      </c>
      <c r="BH19" s="297"/>
      <c r="BI19" s="297">
        <v>1</v>
      </c>
      <c r="BJ19" s="297"/>
      <c r="BK19" s="297"/>
      <c r="BL19" s="297"/>
      <c r="BM19" s="297"/>
      <c r="BN19" s="297"/>
      <c r="BO19" s="297">
        <v>1</v>
      </c>
      <c r="BP19" s="297"/>
      <c r="BQ19" s="297"/>
      <c r="BR19" s="297">
        <v>1</v>
      </c>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307"/>
      <c r="CO19" s="300"/>
      <c r="CP19" s="165">
        <f t="shared" si="0"/>
        <v>7</v>
      </c>
      <c r="CQ19" s="165">
        <f t="shared" si="1"/>
        <v>18</v>
      </c>
      <c r="CR19" s="249">
        <f t="shared" si="2"/>
        <v>0</v>
      </c>
      <c r="CS19" s="327"/>
    </row>
    <row r="20" spans="1:97">
      <c r="A20" s="29" t="s">
        <v>367</v>
      </c>
      <c r="B20" s="162" t="str">
        <f>IFERROR(VLOOKUP(ParticipationMars1[[#This Row],[Référence]],ListeÉtudiants1[],18,FALSE),"")</f>
        <v>ALLOUCH EINAT</v>
      </c>
      <c r="C20" s="19"/>
      <c r="D20" s="19"/>
      <c r="E20" s="19"/>
      <c r="F20" s="19"/>
      <c r="G20" s="19"/>
      <c r="H20" s="19"/>
      <c r="I20" s="19"/>
      <c r="J20" s="19"/>
      <c r="K20" s="19"/>
      <c r="L20" s="19"/>
      <c r="M20" s="19"/>
      <c r="N20" s="19"/>
      <c r="O20" s="19"/>
      <c r="P20" s="19" t="s">
        <v>507</v>
      </c>
      <c r="Q20" s="19" t="s">
        <v>529</v>
      </c>
      <c r="R20" s="19"/>
      <c r="S20" s="19"/>
      <c r="T20" s="19"/>
      <c r="U20" s="19"/>
      <c r="V20" s="19"/>
      <c r="W20" s="19"/>
      <c r="X20" s="19"/>
      <c r="Y20" s="19"/>
      <c r="Z20" s="19"/>
      <c r="AA20" s="19"/>
      <c r="AB20" s="19"/>
      <c r="AC20" s="19"/>
      <c r="AD20" s="19"/>
      <c r="AE20" s="19"/>
      <c r="AF20" s="19"/>
      <c r="AG20" s="144"/>
      <c r="AH20" s="6">
        <f>COUNTIF(ParticipationMars1[[#This Row],[1]:[31]],Code1)</f>
        <v>0</v>
      </c>
      <c r="AI20" s="331">
        <f>COUNTIF(ParticipationMars1[[#This Row],[1]:[31]],code22)</f>
        <v>0</v>
      </c>
      <c r="AJ20" s="30">
        <f>COUNTIF(ParticipationMars1[[#This Row],[1]:[31]],Code2)</f>
        <v>0</v>
      </c>
      <c r="AK20" s="30">
        <f>COUNTIF(ParticipationMars1[[#This Row],[1]:[31]],Code3)</f>
        <v>0</v>
      </c>
      <c r="AL20" s="30">
        <f>COUNTIF(ParticipationMars1[[#This Row],[1]:[31]],Code4)</f>
        <v>0</v>
      </c>
      <c r="AM20" s="307">
        <f>COUNTIF(ParticipationMars1[[#This Row],[1]:[31]],Code5)</f>
        <v>0</v>
      </c>
      <c r="AN20" s="307">
        <f>COUNTIF(ParticipationMars1[[#This Row],[1]:[31]],Code23)</f>
        <v>0</v>
      </c>
      <c r="AO20" s="307">
        <f>COUNTIF(ParticipationMars1[[#This Row],[1]:[31]],Code6)</f>
        <v>0</v>
      </c>
      <c r="AP20" s="307">
        <f>COUNTIF(ParticipationMars1[[#This Row],[1]:[31]],Code7)</f>
        <v>0</v>
      </c>
      <c r="AQ20" s="307">
        <f>COUNTIF(ParticipationMars1[[#This Row],[1]:[31]],Code8)</f>
        <v>0</v>
      </c>
      <c r="AR20" s="307">
        <f>COUNTIF(ParticipationMars1[[#This Row],[1]:[31]],Code9)</f>
        <v>0</v>
      </c>
      <c r="AS20" s="307">
        <f>COUNTIF(ParticipationMars1[[#This Row],[1]:[31]],Code10)</f>
        <v>0</v>
      </c>
      <c r="AT20" s="307">
        <f>COUNTIF(ParticipationMars1[[#This Row],[1]:[31]],Code11)</f>
        <v>0</v>
      </c>
      <c r="AU20" s="307">
        <f>COUNTIF(ParticipationMars1[[#This Row],[1]:[31]],Code12)</f>
        <v>0</v>
      </c>
      <c r="AV20" s="307">
        <f>COUNTIF(ParticipationMars1[[#This Row],[1]:[31]],Code13)</f>
        <v>0</v>
      </c>
      <c r="AW20" s="307">
        <f>COUNTIF(ParticipationMars1[[#This Row],[1]:[31]],Code14)</f>
        <v>0</v>
      </c>
      <c r="AX20" s="307">
        <f>COUNTIF(ParticipationMars1[[#This Row],[1]:[31]],Code15)</f>
        <v>0</v>
      </c>
      <c r="AY20" s="307">
        <f>COUNTIF(ParticipationMars1[[#This Row],[1]:[31]],Code16)</f>
        <v>0</v>
      </c>
      <c r="AZ20" s="307">
        <f>COUNTIF(ParticipationMars1[[#This Row],[1]:[31]],Code17)</f>
        <v>0</v>
      </c>
      <c r="BA20" s="307">
        <f>COUNTIF(ParticipationMars1[[#This Row],[1]:[31]],Code26)</f>
        <v>0</v>
      </c>
      <c r="BB20" s="30">
        <f>COUNTIF(ParticipationMars1[[#This Row],[1]:[31]],Code25)</f>
        <v>0</v>
      </c>
      <c r="BC20" s="307">
        <f>COUNTIF(ParticipationMars1[[#This Row],[1]:[31]],code21)</f>
        <v>0</v>
      </c>
      <c r="BD20" s="307">
        <f>COUNTIF(ParticipationMars1[[#This Row],[1]:[31]],Code24)</f>
        <v>0</v>
      </c>
      <c r="BE20" s="307">
        <f>COUNTIF(ParticipationMars1[[#This Row],[1]:[31]],code18)</f>
        <v>0</v>
      </c>
      <c r="BF20" s="307">
        <f>COUNTIF(ParticipationMars1[[#This Row],[1]:[31]],code19)</f>
        <v>0</v>
      </c>
      <c r="BG20" s="300">
        <f>COUNTIF(ParticipationMars1[[#This Row],[1]:[31]],code20)</f>
        <v>0</v>
      </c>
      <c r="BH20" s="297"/>
      <c r="BI20" s="297"/>
      <c r="BJ20" s="297"/>
      <c r="BK20" s="297"/>
      <c r="BL20" s="297"/>
      <c r="BM20" s="297"/>
      <c r="BN20" s="297"/>
      <c r="BO20" s="297"/>
      <c r="BP20" s="297"/>
      <c r="BQ20" s="297"/>
      <c r="BR20" s="297">
        <v>1</v>
      </c>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307"/>
      <c r="CO20" s="300"/>
      <c r="CP20" s="165">
        <f t="shared" si="0"/>
        <v>0</v>
      </c>
      <c r="CQ20" s="165">
        <f t="shared" si="1"/>
        <v>0</v>
      </c>
      <c r="CR20" s="249">
        <f t="shared" si="2"/>
        <v>0</v>
      </c>
      <c r="CS20" s="327"/>
    </row>
    <row r="21" spans="1:97">
      <c r="A21" s="29" t="s">
        <v>368</v>
      </c>
      <c r="B21" s="162" t="str">
        <f>IFERROR(VLOOKUP(ParticipationMars1[[#This Row],[Référence]],ListeÉtudiants1[],18,FALSE),"")</f>
        <v>ANCELE-VALCIN KATIANA</v>
      </c>
      <c r="C21" s="19"/>
      <c r="D21" s="19"/>
      <c r="E21" s="19"/>
      <c r="F21" s="19"/>
      <c r="G21" s="19"/>
      <c r="H21" s="19"/>
      <c r="I21" s="19"/>
      <c r="J21" s="19"/>
      <c r="K21" s="19"/>
      <c r="L21" s="19"/>
      <c r="M21" s="19"/>
      <c r="N21" s="19"/>
      <c r="O21" s="19"/>
      <c r="P21" s="19"/>
      <c r="Q21" s="19"/>
      <c r="R21" s="19"/>
      <c r="S21" s="19"/>
      <c r="T21" s="19"/>
      <c r="U21" s="19"/>
      <c r="V21" s="19"/>
      <c r="W21" s="19" t="s">
        <v>529</v>
      </c>
      <c r="X21" s="19" t="s">
        <v>109</v>
      </c>
      <c r="Y21" s="19"/>
      <c r="Z21" s="19"/>
      <c r="AA21" s="19"/>
      <c r="AB21" s="19"/>
      <c r="AC21" s="19"/>
      <c r="AD21" s="19"/>
      <c r="AE21" s="19"/>
      <c r="AF21" s="19"/>
      <c r="AG21" s="144"/>
      <c r="AH21" s="6">
        <f>COUNTIF(ParticipationMars1[[#This Row],[1]:[31]],Code1)</f>
        <v>0</v>
      </c>
      <c r="AI21" s="331">
        <f>COUNTIF(ParticipationMars1[[#This Row],[1]:[31]],code22)</f>
        <v>0</v>
      </c>
      <c r="AJ21" s="30">
        <f>COUNTIF(ParticipationMars1[[#This Row],[1]:[31]],Code2)</f>
        <v>0</v>
      </c>
      <c r="AK21" s="30">
        <f>COUNTIF(ParticipationMars1[[#This Row],[1]:[31]],Code3)</f>
        <v>0</v>
      </c>
      <c r="AL21" s="30">
        <f>COUNTIF(ParticipationMars1[[#This Row],[1]:[31]],Code4)</f>
        <v>0</v>
      </c>
      <c r="AM21" s="307">
        <f>COUNTIF(ParticipationMars1[[#This Row],[1]:[31]],Code5)</f>
        <v>0</v>
      </c>
      <c r="AN21" s="307">
        <f>COUNTIF(ParticipationMars1[[#This Row],[1]:[31]],Code23)</f>
        <v>0</v>
      </c>
      <c r="AO21" s="307">
        <f>COUNTIF(ParticipationMars1[[#This Row],[1]:[31]],Code6)</f>
        <v>0</v>
      </c>
      <c r="AP21" s="307">
        <f>COUNTIF(ParticipationMars1[[#This Row],[1]:[31]],Code7)</f>
        <v>0</v>
      </c>
      <c r="AQ21" s="307">
        <f>COUNTIF(ParticipationMars1[[#This Row],[1]:[31]],Code8)</f>
        <v>0</v>
      </c>
      <c r="AR21" s="307">
        <f>COUNTIF(ParticipationMars1[[#This Row],[1]:[31]],Code9)</f>
        <v>0</v>
      </c>
      <c r="AS21" s="307">
        <f>COUNTIF(ParticipationMars1[[#This Row],[1]:[31]],Code10)</f>
        <v>0</v>
      </c>
      <c r="AT21" s="307">
        <f>COUNTIF(ParticipationMars1[[#This Row],[1]:[31]],Code11)</f>
        <v>0</v>
      </c>
      <c r="AU21" s="307">
        <f>COUNTIF(ParticipationMars1[[#This Row],[1]:[31]],Code12)</f>
        <v>0</v>
      </c>
      <c r="AV21" s="307">
        <f>COUNTIF(ParticipationMars1[[#This Row],[1]:[31]],Code13)</f>
        <v>0</v>
      </c>
      <c r="AW21" s="307">
        <f>COUNTIF(ParticipationMars1[[#This Row],[1]:[31]],Code14)</f>
        <v>1</v>
      </c>
      <c r="AX21" s="307">
        <f>COUNTIF(ParticipationMars1[[#This Row],[1]:[31]],Code15)</f>
        <v>0</v>
      </c>
      <c r="AY21" s="307">
        <f>COUNTIF(ParticipationMars1[[#This Row],[1]:[31]],Code16)</f>
        <v>0</v>
      </c>
      <c r="AZ21" s="307">
        <f>COUNTIF(ParticipationMars1[[#This Row],[1]:[31]],Code17)</f>
        <v>0</v>
      </c>
      <c r="BA21" s="307">
        <f>COUNTIF(ParticipationMars1[[#This Row],[1]:[31]],Code26)</f>
        <v>0</v>
      </c>
      <c r="BB21" s="307">
        <f>COUNTIF(ParticipationMars1[[#This Row],[1]:[31]],Code25)</f>
        <v>0</v>
      </c>
      <c r="BC21" s="307">
        <f>COUNTIF(ParticipationMars1[[#This Row],[1]:[31]],code21)</f>
        <v>0</v>
      </c>
      <c r="BD21" s="307">
        <f>COUNTIF(ParticipationMars1[[#This Row],[1]:[31]],Code24)</f>
        <v>0</v>
      </c>
      <c r="BE21" s="307">
        <f>COUNTIF(ParticipationMars1[[#This Row],[1]:[31]],code18)</f>
        <v>1</v>
      </c>
      <c r="BF21" s="307">
        <f>COUNTIF(ParticipationMars1[[#This Row],[1]:[31]],code19)</f>
        <v>0</v>
      </c>
      <c r="BG21" s="300">
        <f>COUNTIF(ParticipationMars1[[#This Row],[1]:[31]],code20)</f>
        <v>0</v>
      </c>
      <c r="BH21" s="297"/>
      <c r="BI21" s="297">
        <v>1</v>
      </c>
      <c r="BJ21" s="297"/>
      <c r="BK21" s="297"/>
      <c r="BL21" s="297"/>
      <c r="BM21" s="297"/>
      <c r="BN21" s="297"/>
      <c r="BO21" s="297"/>
      <c r="BP21" s="297"/>
      <c r="BQ21" s="297"/>
      <c r="BR21" s="297">
        <v>1</v>
      </c>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307"/>
      <c r="CO21" s="300"/>
      <c r="CP21" s="165">
        <f t="shared" si="0"/>
        <v>0</v>
      </c>
      <c r="CQ21" s="165">
        <f t="shared" si="1"/>
        <v>7</v>
      </c>
      <c r="CR21" s="341">
        <f t="shared" si="2"/>
        <v>0</v>
      </c>
      <c r="CS21" s="327"/>
    </row>
    <row r="22" spans="1:97">
      <c r="A22" s="29" t="s">
        <v>370</v>
      </c>
      <c r="B22" s="162" t="str">
        <f>IFERROR(VLOOKUP(ParticipationMars1[[#This Row],[Référence]],ListeÉtudiants1[],18,FALSE),"")</f>
        <v>ANDRE ORNELLA</v>
      </c>
      <c r="C22" s="19"/>
      <c r="D22" s="19"/>
      <c r="E22" s="19"/>
      <c r="F22" s="19"/>
      <c r="G22" s="19"/>
      <c r="H22" s="19"/>
      <c r="I22" s="19"/>
      <c r="J22" s="19"/>
      <c r="K22" s="19"/>
      <c r="L22" s="19"/>
      <c r="M22" s="19"/>
      <c r="N22" s="19"/>
      <c r="O22" s="19" t="s">
        <v>108</v>
      </c>
      <c r="P22" s="19"/>
      <c r="Q22" s="19" t="s">
        <v>529</v>
      </c>
      <c r="R22" s="19"/>
      <c r="S22" s="19"/>
      <c r="T22" s="19"/>
      <c r="U22" s="19"/>
      <c r="V22" s="19"/>
      <c r="W22" s="19" t="s">
        <v>108</v>
      </c>
      <c r="X22" s="19" t="s">
        <v>109</v>
      </c>
      <c r="Y22" s="19"/>
      <c r="Z22" s="19"/>
      <c r="AA22" s="19"/>
      <c r="AB22" s="19"/>
      <c r="AC22" s="19"/>
      <c r="AD22" s="19"/>
      <c r="AE22" s="19"/>
      <c r="AF22" s="19"/>
      <c r="AG22" s="144"/>
      <c r="AH22" s="6">
        <f>COUNTIF(ParticipationMars1[[#This Row],[1]:[31]],Code1)</f>
        <v>0</v>
      </c>
      <c r="AI22" s="6">
        <f>COUNTIF(ParticipationMars1[[#This Row],[1]:[31]],code22)</f>
        <v>0</v>
      </c>
      <c r="AJ22" s="30">
        <f>COUNTIF(ParticipationMars1[[#This Row],[1]:[31]],Code2)</f>
        <v>0</v>
      </c>
      <c r="AK22" s="30">
        <f>COUNTIF(ParticipationMars1[[#This Row],[1]:[31]],Code3)</f>
        <v>0</v>
      </c>
      <c r="AL22" s="30">
        <f>COUNTIF(ParticipationMars1[[#This Row],[1]:[31]],Code4)</f>
        <v>0</v>
      </c>
      <c r="AM22" s="30">
        <f>COUNTIF(ParticipationMars1[[#This Row],[1]:[31]],Code5)</f>
        <v>0</v>
      </c>
      <c r="AN22" s="30">
        <f>COUNTIF(ParticipationMars1[[#This Row],[1]:[31]],Code23)</f>
        <v>1</v>
      </c>
      <c r="AO22" s="30">
        <f>COUNTIF(ParticipationMars1[[#This Row],[1]:[31]],Code6)</f>
        <v>0</v>
      </c>
      <c r="AP22" s="30">
        <f>COUNTIF(ParticipationMars1[[#This Row],[1]:[31]],Code7)</f>
        <v>1</v>
      </c>
      <c r="AQ22" s="30">
        <f>COUNTIF(ParticipationMars1[[#This Row],[1]:[31]],Code8)</f>
        <v>0</v>
      </c>
      <c r="AR22" s="30">
        <f>COUNTIF(ParticipationMars1[[#This Row],[1]:[31]],Code9)</f>
        <v>0</v>
      </c>
      <c r="AS22" s="30">
        <f>COUNTIF(ParticipationMars1[[#This Row],[1]:[31]],Code10)</f>
        <v>0</v>
      </c>
      <c r="AT22" s="30">
        <f>COUNTIF(ParticipationMars1[[#This Row],[1]:[31]],Code11)</f>
        <v>0</v>
      </c>
      <c r="AU22" s="30">
        <f>COUNTIF(ParticipationMars1[[#This Row],[1]:[31]],Code12)</f>
        <v>0</v>
      </c>
      <c r="AV22" s="30">
        <f>COUNTIF(ParticipationMars1[[#This Row],[1]:[31]],Code13)</f>
        <v>0</v>
      </c>
      <c r="AW22" s="30">
        <f>COUNTIF(ParticipationMars1[[#This Row],[1]:[31]],Code14)</f>
        <v>0</v>
      </c>
      <c r="AX22" s="30">
        <f>COUNTIF(ParticipationMars1[[#This Row],[1]:[31]],Code15)</f>
        <v>0</v>
      </c>
      <c r="AY22" s="30">
        <f>COUNTIF(ParticipationMars1[[#This Row],[1]:[31]],Code16)</f>
        <v>0</v>
      </c>
      <c r="AZ22" s="30">
        <f>COUNTIF(ParticipationMars1[[#This Row],[1]:[31]],Code17)</f>
        <v>0</v>
      </c>
      <c r="BA22" s="307">
        <f>COUNTIF(ParticipationMars1[[#This Row],[1]:[31]],Code26)</f>
        <v>0</v>
      </c>
      <c r="BB22" s="30">
        <f>COUNTIF(ParticipationMars1[[#This Row],[1]:[31]],Code25)</f>
        <v>0</v>
      </c>
      <c r="BC22" s="30">
        <f>COUNTIF(ParticipationMars1[[#This Row],[1]:[31]],code21)</f>
        <v>0</v>
      </c>
      <c r="BD22" s="30">
        <f>COUNTIF(ParticipationMars1[[#This Row],[1]:[31]],Code24)</f>
        <v>0</v>
      </c>
      <c r="BE22" s="30">
        <f>COUNTIF(ParticipationMars1[[#This Row],[1]:[31]],code18)</f>
        <v>0</v>
      </c>
      <c r="BF22" s="30">
        <f>COUNTIF(ParticipationMars1[[#This Row],[1]:[31]],code19)</f>
        <v>0</v>
      </c>
      <c r="BG22" s="164">
        <f>COUNTIF(ParticipationMars1[[#This Row],[1]:[31]],code20)</f>
        <v>0</v>
      </c>
      <c r="BH22" s="297"/>
      <c r="BI22" s="297">
        <v>1</v>
      </c>
      <c r="BJ22" s="297"/>
      <c r="BK22" s="297"/>
      <c r="BL22" s="297"/>
      <c r="BM22" s="297"/>
      <c r="BN22" s="297"/>
      <c r="BO22" s="297">
        <v>2</v>
      </c>
      <c r="BP22" s="297"/>
      <c r="BQ22" s="297"/>
      <c r="BR22" s="297">
        <v>2</v>
      </c>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307"/>
      <c r="CO22" s="300"/>
      <c r="CP22" s="165">
        <f t="shared" si="0"/>
        <v>5</v>
      </c>
      <c r="CQ22" s="165">
        <f t="shared" si="1"/>
        <v>5</v>
      </c>
      <c r="CR22" s="249">
        <f t="shared" si="2"/>
        <v>0</v>
      </c>
      <c r="CS22" s="170">
        <f>SUM((BE22*7)+(BF22*10)+(BG22*12))</f>
        <v>0</v>
      </c>
    </row>
    <row r="23" spans="1:97">
      <c r="A23" s="29" t="s">
        <v>372</v>
      </c>
      <c r="B23" s="162" t="str">
        <f>IFERROR(VLOOKUP(ParticipationMars1[[#This Row],[Référence]],ListeÉtudiants1[],18,FALSE),"")</f>
        <v>ANGRE GRACE</v>
      </c>
      <c r="C23" s="19"/>
      <c r="D23" s="19"/>
      <c r="E23" s="19"/>
      <c r="F23" s="19"/>
      <c r="G23" s="19"/>
      <c r="H23" s="19"/>
      <c r="I23" s="19"/>
      <c r="J23" s="19"/>
      <c r="K23" s="19"/>
      <c r="L23" s="19"/>
      <c r="M23" s="19"/>
      <c r="N23" s="19" t="s">
        <v>531</v>
      </c>
      <c r="O23" s="19"/>
      <c r="P23" s="19"/>
      <c r="Q23" s="19"/>
      <c r="R23" s="19"/>
      <c r="S23" s="19"/>
      <c r="T23" s="19"/>
      <c r="U23" s="19" t="s">
        <v>604</v>
      </c>
      <c r="V23" s="19" t="s">
        <v>620</v>
      </c>
      <c r="W23" s="19"/>
      <c r="X23" s="19"/>
      <c r="Y23" s="19"/>
      <c r="Z23" s="19"/>
      <c r="AA23" s="19"/>
      <c r="AB23" s="19"/>
      <c r="AC23" s="19"/>
      <c r="AD23" s="19"/>
      <c r="AE23" s="19"/>
      <c r="AF23" s="19"/>
      <c r="AG23" s="144"/>
      <c r="AH23" s="6">
        <f>COUNTIF(ParticipationMars1[[#This Row],[1]:[31]],Code1)</f>
        <v>0</v>
      </c>
      <c r="AI23" s="6">
        <f>COUNTIF(ParticipationMars1[[#This Row],[1]:[31]],code22)</f>
        <v>0</v>
      </c>
      <c r="AJ23" s="30">
        <f>COUNTIF(ParticipationMars1[[#This Row],[1]:[31]],Code2)</f>
        <v>0</v>
      </c>
      <c r="AK23" s="30">
        <f>COUNTIF(ParticipationMars1[[#This Row],[1]:[31]],Code3)</f>
        <v>0</v>
      </c>
      <c r="AL23" s="30">
        <f>COUNTIF(ParticipationMars1[[#This Row],[1]:[31]],Code4)</f>
        <v>0</v>
      </c>
      <c r="AM23" s="30">
        <f>COUNTIF(ParticipationMars1[[#This Row],[1]:[31]],Code5)</f>
        <v>0</v>
      </c>
      <c r="AN23" s="30">
        <f>COUNTIF(ParticipationMars1[[#This Row],[1]:[31]],Code23)</f>
        <v>2</v>
      </c>
      <c r="AO23" s="30">
        <f>COUNTIF(ParticipationMars1[[#This Row],[1]:[31]],Code6)</f>
        <v>0</v>
      </c>
      <c r="AP23" s="30">
        <f>COUNTIF(ParticipationMars1[[#This Row],[1]:[31]],Code7)</f>
        <v>0</v>
      </c>
      <c r="AQ23" s="30">
        <f>COUNTIF(ParticipationMars1[[#This Row],[1]:[31]],Code8)</f>
        <v>0</v>
      </c>
      <c r="AR23" s="30">
        <f>COUNTIF(ParticipationMars1[[#This Row],[1]:[31]],Code9)</f>
        <v>0</v>
      </c>
      <c r="AS23" s="30">
        <f>COUNTIF(ParticipationMars1[[#This Row],[1]:[31]],Code10)</f>
        <v>0</v>
      </c>
      <c r="AT23" s="30">
        <f>COUNTIF(ParticipationMars1[[#This Row],[1]:[31]],Code11)</f>
        <v>0</v>
      </c>
      <c r="AU23" s="30">
        <f>COUNTIF(ParticipationMars1[[#This Row],[1]:[31]],Code12)</f>
        <v>0</v>
      </c>
      <c r="AV23" s="30">
        <f>COUNTIF(ParticipationMars1[[#This Row],[1]:[31]],Code13)</f>
        <v>0</v>
      </c>
      <c r="AW23" s="30">
        <f>COUNTIF(ParticipationMars1[[#This Row],[1]:[31]],Code14)</f>
        <v>0</v>
      </c>
      <c r="AX23" s="30">
        <f>COUNTIF(ParticipationMars1[[#This Row],[1]:[31]],Code15)</f>
        <v>0</v>
      </c>
      <c r="AY23" s="30">
        <f>COUNTIF(ParticipationMars1[[#This Row],[1]:[31]],Code16)</f>
        <v>0</v>
      </c>
      <c r="AZ23" s="30">
        <f>COUNTIF(ParticipationMars1[[#This Row],[1]:[31]],Code17)</f>
        <v>0</v>
      </c>
      <c r="BA23" s="307">
        <f>COUNTIF(ParticipationMars1[[#This Row],[1]:[31]],Code26)</f>
        <v>0</v>
      </c>
      <c r="BB23" s="30">
        <f>COUNTIF(ParticipationMars1[[#This Row],[1]:[31]],Code25)</f>
        <v>0</v>
      </c>
      <c r="BC23" s="30">
        <f>COUNTIF(ParticipationMars1[[#This Row],[1]:[31]],code21)</f>
        <v>0</v>
      </c>
      <c r="BD23" s="30">
        <f>COUNTIF(ParticipationMars1[[#This Row],[1]:[31]],Code24)</f>
        <v>0</v>
      </c>
      <c r="BE23" s="30">
        <f>COUNTIF(ParticipationMars1[[#This Row],[1]:[31]],code18)</f>
        <v>0</v>
      </c>
      <c r="BF23" s="30">
        <f>COUNTIF(ParticipationMars1[[#This Row],[1]:[31]],code19)</f>
        <v>0</v>
      </c>
      <c r="BG23" s="164">
        <f>COUNTIF(ParticipationMars1[[#This Row],[1]:[31]],code20)</f>
        <v>0</v>
      </c>
      <c r="BH23" s="297"/>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307"/>
      <c r="CO23" s="300"/>
      <c r="CP23" s="165">
        <f t="shared" si="0"/>
        <v>0</v>
      </c>
      <c r="CQ23" s="165">
        <f t="shared" si="1"/>
        <v>2</v>
      </c>
      <c r="CR23" s="249">
        <f t="shared" si="2"/>
        <v>0</v>
      </c>
      <c r="CS23" s="170">
        <f>SUM((BE23*7)+(BF23*10)+(BG23*12))</f>
        <v>0</v>
      </c>
    </row>
    <row r="24" spans="1:97">
      <c r="A24" s="29" t="s">
        <v>373</v>
      </c>
      <c r="B24" s="162" t="str">
        <f>IFERROR(VLOOKUP(ParticipationMars1[[#This Row],[Référence]],ListeÉtudiants1[],18,FALSE),"")</f>
        <v>BAESSA ELISA</v>
      </c>
      <c r="C24" s="19"/>
      <c r="D24" s="19"/>
      <c r="E24" s="19"/>
      <c r="F24" s="19"/>
      <c r="G24" s="19"/>
      <c r="H24" s="19"/>
      <c r="I24" s="19"/>
      <c r="J24" s="19"/>
      <c r="K24" s="19"/>
      <c r="L24" s="19"/>
      <c r="M24" s="19"/>
      <c r="N24" s="19"/>
      <c r="O24" s="19"/>
      <c r="P24" s="19"/>
      <c r="Q24" s="19" t="s">
        <v>529</v>
      </c>
      <c r="R24" s="19"/>
      <c r="S24" s="19"/>
      <c r="T24" s="19"/>
      <c r="U24" s="19"/>
      <c r="V24" s="19"/>
      <c r="W24" s="19" t="s">
        <v>488</v>
      </c>
      <c r="X24" s="19" t="s">
        <v>488</v>
      </c>
      <c r="Y24" s="19"/>
      <c r="Z24" s="19"/>
      <c r="AA24" s="19"/>
      <c r="AB24" s="19"/>
      <c r="AC24" s="19"/>
      <c r="AD24" s="19"/>
      <c r="AE24" s="19"/>
      <c r="AF24" s="19"/>
      <c r="AG24" s="144"/>
      <c r="AH24" s="6">
        <f>COUNTIF(ParticipationMars1[[#This Row],[1]:[31]],Code1)</f>
        <v>0</v>
      </c>
      <c r="AI24" s="331">
        <f>COUNTIF(ParticipationMars1[[#This Row],[1]:[31]],code22)</f>
        <v>0</v>
      </c>
      <c r="AJ24" s="30">
        <f>COUNTIF(ParticipationMars1[[#This Row],[1]:[31]],Code2)</f>
        <v>0</v>
      </c>
      <c r="AK24" s="30">
        <f>COUNTIF(ParticipationMars1[[#This Row],[1]:[31]],Code3)</f>
        <v>0</v>
      </c>
      <c r="AL24" s="30">
        <f>COUNTIF(ParticipationMars1[[#This Row],[1]:[31]],Code4)</f>
        <v>0</v>
      </c>
      <c r="AM24" s="307">
        <f>COUNTIF(ParticipationMars1[[#This Row],[1]:[31]],Code5)</f>
        <v>0</v>
      </c>
      <c r="AN24" s="307">
        <f>COUNTIF(ParticipationMars1[[#This Row],[1]:[31]],Code23)</f>
        <v>2</v>
      </c>
      <c r="AO24" s="307">
        <f>COUNTIF(ParticipationMars1[[#This Row],[1]:[31]],Code6)</f>
        <v>0</v>
      </c>
      <c r="AP24" s="307">
        <f>COUNTIF(ParticipationMars1[[#This Row],[1]:[31]],Code7)</f>
        <v>0</v>
      </c>
      <c r="AQ24" s="307">
        <f>COUNTIF(ParticipationMars1[[#This Row],[1]:[31]],Code8)</f>
        <v>0</v>
      </c>
      <c r="AR24" s="307">
        <f>COUNTIF(ParticipationMars1[[#This Row],[1]:[31]],Code9)</f>
        <v>0</v>
      </c>
      <c r="AS24" s="307">
        <f>COUNTIF(ParticipationMars1[[#This Row],[1]:[31]],Code10)</f>
        <v>0</v>
      </c>
      <c r="AT24" s="307">
        <f>COUNTIF(ParticipationMars1[[#This Row],[1]:[31]],Code11)</f>
        <v>0</v>
      </c>
      <c r="AU24" s="307">
        <f>COUNTIF(ParticipationMars1[[#This Row],[1]:[31]],Code12)</f>
        <v>0</v>
      </c>
      <c r="AV24" s="307">
        <f>COUNTIF(ParticipationMars1[[#This Row],[1]:[31]],Code13)</f>
        <v>0</v>
      </c>
      <c r="AW24" s="307">
        <f>COUNTIF(ParticipationMars1[[#This Row],[1]:[31]],Code14)</f>
        <v>0</v>
      </c>
      <c r="AX24" s="307">
        <f>COUNTIF(ParticipationMars1[[#This Row],[1]:[31]],Code15)</f>
        <v>0</v>
      </c>
      <c r="AY24" s="307">
        <f>COUNTIF(ParticipationMars1[[#This Row],[1]:[31]],Code16)</f>
        <v>0</v>
      </c>
      <c r="AZ24" s="307">
        <f>COUNTIF(ParticipationMars1[[#This Row],[1]:[31]],Code17)</f>
        <v>0</v>
      </c>
      <c r="BA24" s="307">
        <f>COUNTIF(ParticipationMars1[[#This Row],[1]:[31]],Code26)</f>
        <v>0</v>
      </c>
      <c r="BB24" s="307">
        <f>COUNTIF(ParticipationMars1[[#This Row],[1]:[31]],Code25)</f>
        <v>0</v>
      </c>
      <c r="BC24" s="307">
        <f>COUNTIF(ParticipationMars1[[#This Row],[1]:[31]],code21)</f>
        <v>0</v>
      </c>
      <c r="BD24" s="307">
        <f>COUNTIF(ParticipationMars1[[#This Row],[1]:[31]],Code24)</f>
        <v>0</v>
      </c>
      <c r="BE24" s="307">
        <f>COUNTIF(ParticipationMars1[[#This Row],[1]:[31]],code18)</f>
        <v>0</v>
      </c>
      <c r="BF24" s="307">
        <f>COUNTIF(ParticipationMars1[[#This Row],[1]:[31]],code19)</f>
        <v>0</v>
      </c>
      <c r="BG24" s="300">
        <f>COUNTIF(ParticipationMars1[[#This Row],[1]:[31]],code20)</f>
        <v>0</v>
      </c>
      <c r="BH24" s="297"/>
      <c r="BI24" s="297">
        <v>1</v>
      </c>
      <c r="BJ24" s="297"/>
      <c r="BK24" s="297"/>
      <c r="BL24" s="297"/>
      <c r="BM24" s="297"/>
      <c r="BN24" s="297"/>
      <c r="BO24" s="297">
        <v>1</v>
      </c>
      <c r="BP24" s="297"/>
      <c r="BQ24" s="297"/>
      <c r="BR24" s="297">
        <v>3</v>
      </c>
      <c r="BS24" s="297"/>
      <c r="BT24" s="297"/>
      <c r="BU24" s="297"/>
      <c r="BV24" s="297"/>
      <c r="BW24" s="297"/>
      <c r="BX24" s="297"/>
      <c r="BY24" s="297"/>
      <c r="BZ24" s="297"/>
      <c r="CA24" s="297"/>
      <c r="CB24" s="297">
        <v>1</v>
      </c>
      <c r="CC24" s="297"/>
      <c r="CD24" s="297"/>
      <c r="CE24" s="297"/>
      <c r="CF24" s="297"/>
      <c r="CG24" s="297"/>
      <c r="CH24" s="297"/>
      <c r="CI24" s="297"/>
      <c r="CJ24" s="297"/>
      <c r="CK24" s="297"/>
      <c r="CL24" s="297"/>
      <c r="CM24" s="297"/>
      <c r="CN24" s="307"/>
      <c r="CO24" s="300"/>
      <c r="CP24" s="165">
        <f t="shared" si="0"/>
        <v>0</v>
      </c>
      <c r="CQ24" s="165">
        <f t="shared" si="1"/>
        <v>2</v>
      </c>
      <c r="CR24" s="341">
        <f t="shared" si="2"/>
        <v>0</v>
      </c>
      <c r="CS24" s="327"/>
    </row>
    <row r="25" spans="1:97">
      <c r="A25" s="29" t="s">
        <v>374</v>
      </c>
      <c r="B25" s="162" t="str">
        <f>IFERROR(VLOOKUP(ParticipationMars1[[#This Row],[Référence]],ListeÉtudiants1[],18,FALSE),"")</f>
        <v>BARREIROS  KATIE</v>
      </c>
      <c r="C25" s="19"/>
      <c r="D25" s="19"/>
      <c r="E25" s="19"/>
      <c r="F25" s="19"/>
      <c r="G25" s="19"/>
      <c r="H25" s="19"/>
      <c r="I25" s="19"/>
      <c r="J25" s="19"/>
      <c r="K25" s="19"/>
      <c r="L25" s="19"/>
      <c r="M25" s="19"/>
      <c r="N25" s="19"/>
      <c r="O25" s="19"/>
      <c r="P25" s="19"/>
      <c r="Q25" s="19" t="s">
        <v>109</v>
      </c>
      <c r="R25" s="19"/>
      <c r="S25" s="19"/>
      <c r="T25" s="19"/>
      <c r="U25" s="19" t="s">
        <v>604</v>
      </c>
      <c r="V25" s="19" t="s">
        <v>620</v>
      </c>
      <c r="W25" s="19" t="s">
        <v>488</v>
      </c>
      <c r="X25" s="19" t="s">
        <v>488</v>
      </c>
      <c r="Y25" s="19" t="s">
        <v>507</v>
      </c>
      <c r="Z25" s="19"/>
      <c r="AA25" s="19"/>
      <c r="AB25" s="19"/>
      <c r="AC25" s="19"/>
      <c r="AD25" s="19"/>
      <c r="AE25" s="19"/>
      <c r="AF25" s="19"/>
      <c r="AG25" s="144"/>
      <c r="AH25" s="6">
        <f>COUNTIF(ParticipationMars1[[#This Row],[1]:[31]],Code1)</f>
        <v>0</v>
      </c>
      <c r="AI25" s="331">
        <f>COUNTIF(ParticipationMars1[[#This Row],[1]:[31]],code22)</f>
        <v>0</v>
      </c>
      <c r="AJ25" s="30">
        <f>COUNTIF(ParticipationMars1[[#This Row],[1]:[31]],Code2)</f>
        <v>0</v>
      </c>
      <c r="AK25" s="30">
        <f>COUNTIF(ParticipationMars1[[#This Row],[1]:[31]],Code3)</f>
        <v>0</v>
      </c>
      <c r="AL25" s="30">
        <f>COUNTIF(ParticipationMars1[[#This Row],[1]:[31]],Code4)</f>
        <v>0</v>
      </c>
      <c r="AM25" s="307">
        <f>COUNTIF(ParticipationMars1[[#This Row],[1]:[31]],Code5)</f>
        <v>1</v>
      </c>
      <c r="AN25" s="307">
        <f>COUNTIF(ParticipationMars1[[#This Row],[1]:[31]],Code23)</f>
        <v>0</v>
      </c>
      <c r="AO25" s="307">
        <f>COUNTIF(ParticipationMars1[[#This Row],[1]:[31]],Code6)</f>
        <v>1</v>
      </c>
      <c r="AP25" s="307">
        <f>COUNTIF(ParticipationMars1[[#This Row],[1]:[31]],Code7)</f>
        <v>2</v>
      </c>
      <c r="AQ25" s="307">
        <f>COUNTIF(ParticipationMars1[[#This Row],[1]:[31]],Code8)</f>
        <v>0</v>
      </c>
      <c r="AR25" s="307">
        <f>COUNTIF(ParticipationMars1[[#This Row],[1]:[31]],Code9)</f>
        <v>0</v>
      </c>
      <c r="AS25" s="307">
        <f>COUNTIF(ParticipationMars1[[#This Row],[1]:[31]],Code10)</f>
        <v>0</v>
      </c>
      <c r="AT25" s="307">
        <f>COUNTIF(ParticipationMars1[[#This Row],[1]:[31]],Code11)</f>
        <v>0</v>
      </c>
      <c r="AU25" s="307">
        <f>COUNTIF(ParticipationMars1[[#This Row],[1]:[31]],Code12)</f>
        <v>0</v>
      </c>
      <c r="AV25" s="307">
        <f>COUNTIF(ParticipationMars1[[#This Row],[1]:[31]],Code13)</f>
        <v>0</v>
      </c>
      <c r="AW25" s="307">
        <f>COUNTIF(ParticipationMars1[[#This Row],[1]:[31]],Code14)</f>
        <v>0</v>
      </c>
      <c r="AX25" s="307">
        <f>COUNTIF(ParticipationMars1[[#This Row],[1]:[31]],Code15)</f>
        <v>0</v>
      </c>
      <c r="AY25" s="307">
        <f>COUNTIF(ParticipationMars1[[#This Row],[1]:[31]],Code16)</f>
        <v>0</v>
      </c>
      <c r="AZ25" s="307">
        <f>COUNTIF(ParticipationMars1[[#This Row],[1]:[31]],Code17)</f>
        <v>0</v>
      </c>
      <c r="BA25" s="307">
        <f>COUNTIF(ParticipationMars1[[#This Row],[1]:[31]],Code26)</f>
        <v>0</v>
      </c>
      <c r="BB25" s="307">
        <f>COUNTIF(ParticipationMars1[[#This Row],[1]:[31]],Code25)</f>
        <v>0</v>
      </c>
      <c r="BC25" s="307">
        <f>COUNTIF(ParticipationMars1[[#This Row],[1]:[31]],code21)</f>
        <v>0</v>
      </c>
      <c r="BD25" s="307">
        <f>COUNTIF(ParticipationMars1[[#This Row],[1]:[31]],Code24)</f>
        <v>0</v>
      </c>
      <c r="BE25" s="307">
        <f>COUNTIF(ParticipationMars1[[#This Row],[1]:[31]],code18)</f>
        <v>0</v>
      </c>
      <c r="BF25" s="307">
        <f>COUNTIF(ParticipationMars1[[#This Row],[1]:[31]],code19)</f>
        <v>0</v>
      </c>
      <c r="BG25" s="300">
        <f>COUNTIF(ParticipationMars1[[#This Row],[1]:[31]],code20)</f>
        <v>0</v>
      </c>
      <c r="BH25" s="297"/>
      <c r="BI25" s="297">
        <v>1</v>
      </c>
      <c r="BJ25" s="297"/>
      <c r="BK25" s="297"/>
      <c r="BL25" s="297"/>
      <c r="BM25" s="297"/>
      <c r="BN25" s="297"/>
      <c r="BO25" s="297">
        <v>2</v>
      </c>
      <c r="BP25" s="297"/>
      <c r="BQ25" s="297"/>
      <c r="BR25" s="297">
        <v>4</v>
      </c>
      <c r="BS25" s="297"/>
      <c r="BT25" s="297"/>
      <c r="BU25" s="297"/>
      <c r="BV25" s="297"/>
      <c r="BW25" s="297"/>
      <c r="BX25" s="297"/>
      <c r="BY25" s="297"/>
      <c r="BZ25" s="297"/>
      <c r="CA25" s="297"/>
      <c r="CB25" s="297">
        <v>2</v>
      </c>
      <c r="CC25" s="297"/>
      <c r="CD25" s="297"/>
      <c r="CE25" s="297"/>
      <c r="CF25" s="297"/>
      <c r="CG25" s="297"/>
      <c r="CH25" s="297"/>
      <c r="CI25" s="297"/>
      <c r="CJ25" s="297"/>
      <c r="CK25" s="297"/>
      <c r="CL25" s="297"/>
      <c r="CM25" s="297"/>
      <c r="CN25" s="307"/>
      <c r="CO25" s="300"/>
      <c r="CP25" s="165">
        <f t="shared" si="0"/>
        <v>10</v>
      </c>
      <c r="CQ25" s="165">
        <f t="shared" si="1"/>
        <v>13</v>
      </c>
      <c r="CR25" s="341">
        <f t="shared" si="2"/>
        <v>0</v>
      </c>
      <c r="CS25" s="327"/>
    </row>
    <row r="26" spans="1:97">
      <c r="A26" s="29" t="s">
        <v>378</v>
      </c>
      <c r="B26" s="162" t="str">
        <f>IFERROR(VLOOKUP(ParticipationMars1[[#This Row],[Référence]],ListeÉtudiants1[],18,FALSE),"")</f>
        <v>BASTARDIE JULIEN</v>
      </c>
      <c r="C26" s="19"/>
      <c r="D26" s="19"/>
      <c r="E26" s="19"/>
      <c r="F26" s="19"/>
      <c r="G26" s="19"/>
      <c r="H26" s="19"/>
      <c r="I26" s="19"/>
      <c r="J26" s="19"/>
      <c r="K26" s="19"/>
      <c r="L26" s="19"/>
      <c r="M26" s="19"/>
      <c r="N26" s="19"/>
      <c r="O26" s="19"/>
      <c r="P26" s="19"/>
      <c r="Q26" s="19" t="s">
        <v>109</v>
      </c>
      <c r="R26" s="19"/>
      <c r="S26" s="19"/>
      <c r="T26" s="19"/>
      <c r="U26" s="19"/>
      <c r="V26" s="19"/>
      <c r="W26" s="19"/>
      <c r="X26" s="19"/>
      <c r="Y26" s="19"/>
      <c r="Z26" s="19"/>
      <c r="AA26" s="19"/>
      <c r="AB26" s="19"/>
      <c r="AC26" s="19"/>
      <c r="AD26" s="19"/>
      <c r="AE26" s="19"/>
      <c r="AF26" s="19"/>
      <c r="AG26" s="144"/>
      <c r="AH26" s="6">
        <f>COUNTIF(ParticipationMars1[[#This Row],[1]:[31]],Code1)</f>
        <v>0</v>
      </c>
      <c r="AI26" s="331">
        <f>COUNTIF(ParticipationMars1[[#This Row],[1]:[31]],code22)</f>
        <v>0</v>
      </c>
      <c r="AJ26" s="30">
        <f>COUNTIF(ParticipationMars1[[#This Row],[1]:[31]],Code2)</f>
        <v>0</v>
      </c>
      <c r="AK26" s="30">
        <f>COUNTIF(ParticipationMars1[[#This Row],[1]:[31]],Code3)</f>
        <v>0</v>
      </c>
      <c r="AL26" s="30">
        <f>COUNTIF(ParticipationMars1[[#This Row],[1]:[31]],Code4)</f>
        <v>0</v>
      </c>
      <c r="AM26" s="307">
        <f>COUNTIF(ParticipationMars1[[#This Row],[1]:[31]],Code5)</f>
        <v>0</v>
      </c>
      <c r="AN26" s="307">
        <f>COUNTIF(ParticipationMars1[[#This Row],[1]:[31]],Code23)</f>
        <v>4</v>
      </c>
      <c r="AO26" s="307">
        <f>COUNTIF(ParticipationMars1[[#This Row],[1]:[31]],Code6)</f>
        <v>0</v>
      </c>
      <c r="AP26" s="307">
        <f>COUNTIF(ParticipationMars1[[#This Row],[1]:[31]],Code7)</f>
        <v>0</v>
      </c>
      <c r="AQ26" s="307">
        <f>COUNTIF(ParticipationMars1[[#This Row],[1]:[31]],Code8)</f>
        <v>0</v>
      </c>
      <c r="AR26" s="307">
        <f>COUNTIF(ParticipationMars1[[#This Row],[1]:[31]],Code9)</f>
        <v>0</v>
      </c>
      <c r="AS26" s="307">
        <f>COUNTIF(ParticipationMars1[[#This Row],[1]:[31]],Code10)</f>
        <v>0</v>
      </c>
      <c r="AT26" s="307">
        <f>COUNTIF(ParticipationMars1[[#This Row],[1]:[31]],Code11)</f>
        <v>0</v>
      </c>
      <c r="AU26" s="307">
        <f>COUNTIF(ParticipationMars1[[#This Row],[1]:[31]],Code12)</f>
        <v>0</v>
      </c>
      <c r="AV26" s="307">
        <f>COUNTIF(ParticipationMars1[[#This Row],[1]:[31]],Code13)</f>
        <v>0</v>
      </c>
      <c r="AW26" s="307">
        <f>COUNTIF(ParticipationMars1[[#This Row],[1]:[31]],Code14)</f>
        <v>0</v>
      </c>
      <c r="AX26" s="307">
        <f>COUNTIF(ParticipationMars1[[#This Row],[1]:[31]],Code15)</f>
        <v>0</v>
      </c>
      <c r="AY26" s="307">
        <f>COUNTIF(ParticipationMars1[[#This Row],[1]:[31]],Code16)</f>
        <v>0</v>
      </c>
      <c r="AZ26" s="307">
        <f>COUNTIF(ParticipationMars1[[#This Row],[1]:[31]],Code17)</f>
        <v>0</v>
      </c>
      <c r="BA26" s="307">
        <f>COUNTIF(ParticipationMars1[[#This Row],[1]:[31]],Code26)</f>
        <v>0</v>
      </c>
      <c r="BB26" s="307">
        <f>COUNTIF(ParticipationMars1[[#This Row],[1]:[31]],Code25)</f>
        <v>0</v>
      </c>
      <c r="BC26" s="307">
        <f>COUNTIF(ParticipationMars1[[#This Row],[1]:[31]],code21)</f>
        <v>1</v>
      </c>
      <c r="BD26" s="307">
        <f>COUNTIF(ParticipationMars1[[#This Row],[1]:[31]],Code24)</f>
        <v>0</v>
      </c>
      <c r="BE26" s="307">
        <f>COUNTIF(ParticipationMars1[[#This Row],[1]:[31]],code18)</f>
        <v>0</v>
      </c>
      <c r="BF26" s="307">
        <f>COUNTIF(ParticipationMars1[[#This Row],[1]:[31]],code19)</f>
        <v>0</v>
      </c>
      <c r="BG26" s="300">
        <f>COUNTIF(ParticipationMars1[[#This Row],[1]:[31]],code20)</f>
        <v>0</v>
      </c>
      <c r="BH26" s="297"/>
      <c r="BI26" s="297"/>
      <c r="BJ26" s="297"/>
      <c r="BK26" s="297"/>
      <c r="BL26" s="297"/>
      <c r="BM26" s="297"/>
      <c r="BN26" s="297"/>
      <c r="BO26" s="297">
        <v>1</v>
      </c>
      <c r="BP26" s="297"/>
      <c r="BQ26" s="297"/>
      <c r="BR26" s="297">
        <v>1</v>
      </c>
      <c r="BS26" s="297"/>
      <c r="BT26" s="297"/>
      <c r="BU26" s="297"/>
      <c r="BV26" s="297"/>
      <c r="BW26" s="297"/>
      <c r="BX26" s="297"/>
      <c r="BY26" s="297"/>
      <c r="BZ26" s="297"/>
      <c r="CA26" s="297"/>
      <c r="CB26" s="297"/>
      <c r="CC26" s="297"/>
      <c r="CD26" s="297"/>
      <c r="CE26" s="297"/>
      <c r="CF26" s="297"/>
      <c r="CG26" s="297"/>
      <c r="CH26" s="297"/>
      <c r="CI26" s="297"/>
      <c r="CJ26" s="297"/>
      <c r="CK26" s="297"/>
      <c r="CL26" s="297"/>
      <c r="CM26" s="297"/>
      <c r="CN26" s="307"/>
      <c r="CO26" s="300"/>
      <c r="CP26" s="165">
        <f t="shared" si="0"/>
        <v>2</v>
      </c>
      <c r="CQ26" s="165">
        <f t="shared" si="1"/>
        <v>6</v>
      </c>
      <c r="CR26" s="341">
        <f t="shared" si="2"/>
        <v>0</v>
      </c>
      <c r="CS26" s="327"/>
    </row>
    <row r="27" spans="1:97">
      <c r="A27" s="29" t="s">
        <v>381</v>
      </c>
      <c r="B27" s="162" t="str">
        <f>IFERROR(VLOOKUP(ParticipationMars1[[#This Row],[Référence]],ListeÉtudiants1[],18,FALSE),"")</f>
        <v>BAUDET M0RGANE</v>
      </c>
      <c r="C27" s="19"/>
      <c r="D27" s="19"/>
      <c r="E27" s="19"/>
      <c r="F27" s="19"/>
      <c r="G27" s="19"/>
      <c r="H27" s="19"/>
      <c r="I27" s="19"/>
      <c r="J27" s="19"/>
      <c r="K27" s="19"/>
      <c r="L27" s="19"/>
      <c r="M27" s="19"/>
      <c r="N27" s="19" t="s">
        <v>107</v>
      </c>
      <c r="O27" s="19" t="s">
        <v>604</v>
      </c>
      <c r="P27" s="19" t="s">
        <v>507</v>
      </c>
      <c r="Q27" s="19" t="s">
        <v>109</v>
      </c>
      <c r="R27" s="19"/>
      <c r="S27" s="19"/>
      <c r="T27" s="19"/>
      <c r="U27" s="19"/>
      <c r="V27" s="19" t="s">
        <v>529</v>
      </c>
      <c r="W27" s="19" t="s">
        <v>488</v>
      </c>
      <c r="X27" s="19" t="s">
        <v>109</v>
      </c>
      <c r="Y27" s="19"/>
      <c r="Z27" s="81"/>
      <c r="AA27" s="19"/>
      <c r="AB27" s="19"/>
      <c r="AC27" s="19"/>
      <c r="AD27" s="19"/>
      <c r="AE27" s="19"/>
      <c r="AF27" s="19"/>
      <c r="AG27" s="144"/>
      <c r="AH27" s="6">
        <f>COUNTIF(ParticipationMars1[[#This Row],[1]:[31]],Code1)</f>
        <v>0</v>
      </c>
      <c r="AI27" s="6">
        <f>COUNTIF(ParticipationMars1[[#This Row],[1]:[31]],code22)</f>
        <v>0</v>
      </c>
      <c r="AJ27" s="30">
        <f>COUNTIF(ParticipationMars1[[#This Row],[1]:[31]],Code2)</f>
        <v>0</v>
      </c>
      <c r="AK27" s="30">
        <f>COUNTIF(ParticipationMars1[[#This Row],[1]:[31]],Code3)</f>
        <v>0</v>
      </c>
      <c r="AL27" s="30">
        <f>COUNTIF(ParticipationMars1[[#This Row],[1]:[31]],Code4)</f>
        <v>0</v>
      </c>
      <c r="AM27" s="30">
        <f>COUNTIF(ParticipationMars1[[#This Row],[1]:[31]],Code5)</f>
        <v>0</v>
      </c>
      <c r="AN27" s="30">
        <f>COUNTIF(ParticipationMars1[[#This Row],[1]:[31]],Code23)</f>
        <v>3</v>
      </c>
      <c r="AO27" s="30">
        <f>COUNTIF(ParticipationMars1[[#This Row],[1]:[31]],Code6)</f>
        <v>0</v>
      </c>
      <c r="AP27" s="30">
        <f>COUNTIF(ParticipationMars1[[#This Row],[1]:[31]],Code7)</f>
        <v>1</v>
      </c>
      <c r="AQ27" s="30">
        <f>COUNTIF(ParticipationMars1[[#This Row],[1]:[31]],Code8)</f>
        <v>0</v>
      </c>
      <c r="AR27" s="30">
        <f>COUNTIF(ParticipationMars1[[#This Row],[1]:[31]],Code9)</f>
        <v>0</v>
      </c>
      <c r="AS27" s="30">
        <f>COUNTIF(ParticipationMars1[[#This Row],[1]:[31]],Code10)</f>
        <v>0</v>
      </c>
      <c r="AT27" s="30">
        <f>COUNTIF(ParticipationMars1[[#This Row],[1]:[31]],Code11)</f>
        <v>0</v>
      </c>
      <c r="AU27" s="30">
        <f>COUNTIF(ParticipationMars1[[#This Row],[1]:[31]],Code12)</f>
        <v>0</v>
      </c>
      <c r="AV27" s="30">
        <f>COUNTIF(ParticipationMars1[[#This Row],[1]:[31]],Code13)</f>
        <v>0</v>
      </c>
      <c r="AW27" s="30">
        <f>COUNTIF(ParticipationMars1[[#This Row],[1]:[31]],Code14)</f>
        <v>0</v>
      </c>
      <c r="AX27" s="30">
        <f>COUNTIF(ParticipationMars1[[#This Row],[1]:[31]],Code15)</f>
        <v>0</v>
      </c>
      <c r="AY27" s="30">
        <f>COUNTIF(ParticipationMars1[[#This Row],[1]:[31]],Code16)</f>
        <v>0</v>
      </c>
      <c r="AZ27" s="30">
        <f>COUNTIF(ParticipationMars1[[#This Row],[1]:[31]],Code17)</f>
        <v>0</v>
      </c>
      <c r="BA27" s="307">
        <f>COUNTIF(ParticipationMars1[[#This Row],[1]:[31]],Code26)</f>
        <v>0</v>
      </c>
      <c r="BB27" s="30">
        <f>COUNTIF(ParticipationMars1[[#This Row],[1]:[31]],Code25)</f>
        <v>0</v>
      </c>
      <c r="BC27" s="30">
        <f>COUNTIF(ParticipationMars1[[#This Row],[1]:[31]],code21)</f>
        <v>0</v>
      </c>
      <c r="BD27" s="30">
        <f>COUNTIF(ParticipationMars1[[#This Row],[1]:[31]],Code24)</f>
        <v>0</v>
      </c>
      <c r="BE27" s="30">
        <f>COUNTIF(ParticipationMars1[[#This Row],[1]:[31]],code18)</f>
        <v>0</v>
      </c>
      <c r="BF27" s="30">
        <f>COUNTIF(ParticipationMars1[[#This Row],[1]:[31]],code19)</f>
        <v>0</v>
      </c>
      <c r="BG27" s="164">
        <f>COUNTIF(ParticipationMars1[[#This Row],[1]:[31]],code20)</f>
        <v>0</v>
      </c>
      <c r="BH27" s="297"/>
      <c r="BI27" s="297">
        <v>1</v>
      </c>
      <c r="BJ27" s="297"/>
      <c r="BK27" s="297"/>
      <c r="BL27" s="297"/>
      <c r="BM27" s="297"/>
      <c r="BN27" s="297"/>
      <c r="BO27" s="297">
        <v>3</v>
      </c>
      <c r="BP27" s="297"/>
      <c r="BQ27" s="297"/>
      <c r="BR27" s="297">
        <v>3</v>
      </c>
      <c r="BS27" s="297"/>
      <c r="BT27" s="297"/>
      <c r="BU27" s="297"/>
      <c r="BV27" s="297"/>
      <c r="BW27" s="297"/>
      <c r="BX27" s="297"/>
      <c r="BY27" s="297"/>
      <c r="BZ27" s="297"/>
      <c r="CA27" s="297"/>
      <c r="CB27" s="297"/>
      <c r="CC27" s="297"/>
      <c r="CD27" s="297"/>
      <c r="CE27" s="297"/>
      <c r="CF27" s="297"/>
      <c r="CG27" s="297"/>
      <c r="CH27" s="297"/>
      <c r="CI27" s="297"/>
      <c r="CJ27" s="297"/>
      <c r="CK27" s="297"/>
      <c r="CL27" s="297"/>
      <c r="CM27" s="297"/>
      <c r="CN27" s="307"/>
      <c r="CO27" s="300"/>
      <c r="CP27" s="165">
        <f t="shared" si="0"/>
        <v>5</v>
      </c>
      <c r="CQ27" s="165">
        <f t="shared" si="1"/>
        <v>7</v>
      </c>
      <c r="CR27" s="249">
        <f t="shared" si="2"/>
        <v>0</v>
      </c>
      <c r="CS27" s="170">
        <f>SUM((BE27*7)+(BF27*10)+(BG27*12))</f>
        <v>0</v>
      </c>
    </row>
    <row r="28" spans="1:97">
      <c r="A28" s="29" t="s">
        <v>387</v>
      </c>
      <c r="B28" s="162" t="str">
        <f>IFERROR(VLOOKUP(ParticipationMars1[[#This Row],[Référence]],ListeÉtudiants1[],18,FALSE),"")</f>
        <v>BENOIST SANDY</v>
      </c>
      <c r="C28" s="19"/>
      <c r="D28" s="19"/>
      <c r="E28" s="19"/>
      <c r="F28" s="19"/>
      <c r="G28" s="19"/>
      <c r="H28" s="19"/>
      <c r="I28" s="19"/>
      <c r="J28" s="19"/>
      <c r="K28" s="19"/>
      <c r="L28" s="19"/>
      <c r="M28" s="19"/>
      <c r="N28" s="19"/>
      <c r="O28" s="19"/>
      <c r="P28" s="19"/>
      <c r="Q28" s="19"/>
      <c r="R28" s="19"/>
      <c r="S28" s="19"/>
      <c r="T28" s="19"/>
      <c r="U28" s="19"/>
      <c r="V28" s="19"/>
      <c r="W28" s="19" t="s">
        <v>488</v>
      </c>
      <c r="X28" s="19" t="s">
        <v>109</v>
      </c>
      <c r="Y28" s="19"/>
      <c r="Z28" s="19"/>
      <c r="AA28" s="19"/>
      <c r="AB28" s="19"/>
      <c r="AC28" s="19"/>
      <c r="AD28" s="19"/>
      <c r="AE28" s="19"/>
      <c r="AF28" s="19"/>
      <c r="AG28" s="144"/>
      <c r="AH28" s="6">
        <f>COUNTIF(ParticipationMars1[[#This Row],[1]:[31]],Code1)</f>
        <v>0</v>
      </c>
      <c r="AI28" s="331">
        <f>COUNTIF(ParticipationMars1[[#This Row],[1]:[31]],code22)</f>
        <v>0</v>
      </c>
      <c r="AJ28" s="30">
        <f>COUNTIF(ParticipationMars1[[#This Row],[1]:[31]],Code2)</f>
        <v>0</v>
      </c>
      <c r="AK28" s="30">
        <f>COUNTIF(ParticipationMars1[[#This Row],[1]:[31]],Code3)</f>
        <v>0</v>
      </c>
      <c r="AL28" s="30">
        <f>COUNTIF(ParticipationMars1[[#This Row],[1]:[31]],Code4)</f>
        <v>0</v>
      </c>
      <c r="AM28" s="307">
        <f>COUNTIF(ParticipationMars1[[#This Row],[1]:[31]],Code5)</f>
        <v>0</v>
      </c>
      <c r="AN28" s="307">
        <f>COUNTIF(ParticipationMars1[[#This Row],[1]:[31]],Code23)</f>
        <v>0</v>
      </c>
      <c r="AO28" s="307">
        <f>COUNTIF(ParticipationMars1[[#This Row],[1]:[31]],Code6)</f>
        <v>0</v>
      </c>
      <c r="AP28" s="307">
        <f>COUNTIF(ParticipationMars1[[#This Row],[1]:[31]],Code7)</f>
        <v>0</v>
      </c>
      <c r="AQ28" s="307">
        <f>COUNTIF(ParticipationMars1[[#This Row],[1]:[31]],Code8)</f>
        <v>0</v>
      </c>
      <c r="AR28" s="307">
        <f>COUNTIF(ParticipationMars1[[#This Row],[1]:[31]],Code9)</f>
        <v>0</v>
      </c>
      <c r="AS28" s="307">
        <f>COUNTIF(ParticipationMars1[[#This Row],[1]:[31]],Code10)</f>
        <v>0</v>
      </c>
      <c r="AT28" s="307">
        <f>COUNTIF(ParticipationMars1[[#This Row],[1]:[31]],Code11)</f>
        <v>0</v>
      </c>
      <c r="AU28" s="307">
        <f>COUNTIF(ParticipationMars1[[#This Row],[1]:[31]],Code12)</f>
        <v>0</v>
      </c>
      <c r="AV28" s="307">
        <f>COUNTIF(ParticipationMars1[[#This Row],[1]:[31]],Code13)</f>
        <v>0</v>
      </c>
      <c r="AW28" s="307">
        <f>COUNTIF(ParticipationMars1[[#This Row],[1]:[31]],Code14)</f>
        <v>0</v>
      </c>
      <c r="AX28" s="307">
        <f>COUNTIF(ParticipationMars1[[#This Row],[1]:[31]],Code15)</f>
        <v>0</v>
      </c>
      <c r="AY28" s="307">
        <f>COUNTIF(ParticipationMars1[[#This Row],[1]:[31]],Code16)</f>
        <v>0</v>
      </c>
      <c r="AZ28" s="307">
        <f>COUNTIF(ParticipationMars1[[#This Row],[1]:[31]],Code17)</f>
        <v>0</v>
      </c>
      <c r="BA28" s="307">
        <f>COUNTIF(ParticipationMars1[[#This Row],[1]:[31]],Code26)</f>
        <v>0</v>
      </c>
      <c r="BB28" s="307">
        <f>COUNTIF(ParticipationMars1[[#This Row],[1]:[31]],Code25)</f>
        <v>0</v>
      </c>
      <c r="BC28" s="307">
        <f>COUNTIF(ParticipationMars1[[#This Row],[1]:[31]],code21)</f>
        <v>0</v>
      </c>
      <c r="BD28" s="307">
        <f>COUNTIF(ParticipationMars1[[#This Row],[1]:[31]],Code24)</f>
        <v>0</v>
      </c>
      <c r="BE28" s="307">
        <f>COUNTIF(ParticipationMars1[[#This Row],[1]:[31]],code18)</f>
        <v>0</v>
      </c>
      <c r="BF28" s="307">
        <f>COUNTIF(ParticipationMars1[[#This Row],[1]:[31]],code19)</f>
        <v>0</v>
      </c>
      <c r="BG28" s="300">
        <f>COUNTIF(ParticipationMars1[[#This Row],[1]:[31]],code20)</f>
        <v>0</v>
      </c>
      <c r="BH28" s="297"/>
      <c r="BI28" s="297">
        <v>1</v>
      </c>
      <c r="BJ28" s="297"/>
      <c r="BK28" s="297"/>
      <c r="BL28" s="297"/>
      <c r="BM28" s="297"/>
      <c r="BN28" s="297"/>
      <c r="BO28" s="297"/>
      <c r="BP28" s="297"/>
      <c r="BQ28" s="297"/>
      <c r="BR28" s="297">
        <v>3</v>
      </c>
      <c r="BS28" s="297"/>
      <c r="BT28" s="297"/>
      <c r="BU28" s="297"/>
      <c r="BV28" s="297"/>
      <c r="BW28" s="297"/>
      <c r="BX28" s="297"/>
      <c r="BY28" s="297"/>
      <c r="BZ28" s="297"/>
      <c r="CA28" s="297"/>
      <c r="CB28" s="297"/>
      <c r="CC28" s="297"/>
      <c r="CD28" s="297"/>
      <c r="CE28" s="297"/>
      <c r="CF28" s="297"/>
      <c r="CG28" s="297"/>
      <c r="CH28" s="297"/>
      <c r="CI28" s="297"/>
      <c r="CJ28" s="297"/>
      <c r="CK28" s="297"/>
      <c r="CL28" s="297"/>
      <c r="CM28" s="297"/>
      <c r="CN28" s="307"/>
      <c r="CO28" s="300"/>
      <c r="CP28" s="165">
        <f t="shared" si="0"/>
        <v>0</v>
      </c>
      <c r="CQ28" s="165">
        <f t="shared" si="1"/>
        <v>0</v>
      </c>
      <c r="CR28" s="341">
        <f t="shared" si="2"/>
        <v>0</v>
      </c>
      <c r="CS28" s="362"/>
    </row>
    <row r="29" spans="1:97">
      <c r="A29" s="29" t="s">
        <v>392</v>
      </c>
      <c r="B29" s="162" t="str">
        <f>IFERROR(VLOOKUP(ParticipationMars1[[#This Row],[Référence]],ListeÉtudiants1[],18,FALSE),"")</f>
        <v>BENOUARETH NAWEL</v>
      </c>
      <c r="C29" s="19"/>
      <c r="D29" s="19"/>
      <c r="E29" s="19"/>
      <c r="F29" s="19"/>
      <c r="G29" s="19"/>
      <c r="H29" s="19"/>
      <c r="I29" s="19"/>
      <c r="J29" s="19"/>
      <c r="K29" s="19"/>
      <c r="L29" s="19"/>
      <c r="M29" s="19"/>
      <c r="N29" s="19"/>
      <c r="O29" s="19" t="s">
        <v>529</v>
      </c>
      <c r="P29" s="19"/>
      <c r="Q29" s="19"/>
      <c r="R29" s="19"/>
      <c r="S29" s="19"/>
      <c r="T29" s="19"/>
      <c r="U29" s="19"/>
      <c r="V29" s="19"/>
      <c r="W29" s="19"/>
      <c r="X29" s="19"/>
      <c r="Y29" s="19"/>
      <c r="Z29" s="19"/>
      <c r="AA29" s="19"/>
      <c r="AB29" s="19"/>
      <c r="AC29" s="19"/>
      <c r="AD29" s="19"/>
      <c r="AE29" s="19"/>
      <c r="AF29" s="19"/>
      <c r="AG29" s="144"/>
      <c r="AH29" s="6">
        <f>COUNTIF(ParticipationMars1[[#This Row],[1]:[31]],Code1)</f>
        <v>0</v>
      </c>
      <c r="AI29" s="331">
        <f>COUNTIF(ParticipationMars1[[#This Row],[1]:[31]],code22)</f>
        <v>0</v>
      </c>
      <c r="AJ29" s="30">
        <f>COUNTIF(ParticipationMars1[[#This Row],[1]:[31]],Code2)</f>
        <v>0</v>
      </c>
      <c r="AK29" s="30">
        <f>COUNTIF(ParticipationMars1[[#This Row],[1]:[31]],Code3)</f>
        <v>0</v>
      </c>
      <c r="AL29" s="30">
        <f>COUNTIF(ParticipationMars1[[#This Row],[1]:[31]],Code4)</f>
        <v>0</v>
      </c>
      <c r="AM29" s="307">
        <f>COUNTIF(ParticipationMars1[[#This Row],[1]:[31]],Code5)</f>
        <v>1</v>
      </c>
      <c r="AN29" s="307">
        <f>COUNTIF(ParticipationMars1[[#This Row],[1]:[31]],Code23)</f>
        <v>1</v>
      </c>
      <c r="AO29" s="307">
        <f>COUNTIF(ParticipationMars1[[#This Row],[1]:[31]],Code6)</f>
        <v>2</v>
      </c>
      <c r="AP29" s="307">
        <f>COUNTIF(ParticipationMars1[[#This Row],[1]:[31]],Code7)</f>
        <v>2</v>
      </c>
      <c r="AQ29" s="307">
        <f>COUNTIF(ParticipationMars1[[#This Row],[1]:[31]],Code8)</f>
        <v>0</v>
      </c>
      <c r="AR29" s="307">
        <f>COUNTIF(ParticipationMars1[[#This Row],[1]:[31]],Code9)</f>
        <v>0</v>
      </c>
      <c r="AS29" s="307">
        <f>COUNTIF(ParticipationMars1[[#This Row],[1]:[31]],Code10)</f>
        <v>0</v>
      </c>
      <c r="AT29" s="307">
        <f>COUNTIF(ParticipationMars1[[#This Row],[1]:[31]],Code11)</f>
        <v>0</v>
      </c>
      <c r="AU29" s="307">
        <f>COUNTIF(ParticipationMars1[[#This Row],[1]:[31]],Code12)</f>
        <v>0</v>
      </c>
      <c r="AV29" s="307">
        <f>COUNTIF(ParticipationMars1[[#This Row],[1]:[31]],Code13)</f>
        <v>0</v>
      </c>
      <c r="AW29" s="307">
        <f>COUNTIF(ParticipationMars1[[#This Row],[1]:[31]],Code14)</f>
        <v>0</v>
      </c>
      <c r="AX29" s="307">
        <f>COUNTIF(ParticipationMars1[[#This Row],[1]:[31]],Code15)</f>
        <v>0</v>
      </c>
      <c r="AY29" s="307">
        <f>COUNTIF(ParticipationMars1[[#This Row],[1]:[31]],Code16)</f>
        <v>0</v>
      </c>
      <c r="AZ29" s="307">
        <f>COUNTIF(ParticipationMars1[[#This Row],[1]:[31]],Code17)</f>
        <v>0</v>
      </c>
      <c r="BA29" s="307">
        <f>COUNTIF(ParticipationMars1[[#This Row],[1]:[31]],Code26)</f>
        <v>0</v>
      </c>
      <c r="BB29" s="30">
        <f>COUNTIF(ParticipationMars1[[#This Row],[1]:[31]],Code25)</f>
        <v>0</v>
      </c>
      <c r="BC29" s="307">
        <f>COUNTIF(ParticipationMars1[[#This Row],[1]:[31]],code21)</f>
        <v>0</v>
      </c>
      <c r="BD29" s="307">
        <f>COUNTIF(ParticipationMars1[[#This Row],[1]:[31]],Code24)</f>
        <v>0</v>
      </c>
      <c r="BE29" s="307">
        <f>COUNTIF(ParticipationMars1[[#This Row],[1]:[31]],code18)</f>
        <v>0</v>
      </c>
      <c r="BF29" s="307">
        <f>COUNTIF(ParticipationMars1[[#This Row],[1]:[31]],code19)</f>
        <v>0</v>
      </c>
      <c r="BG29" s="300">
        <f>COUNTIF(ParticipationMars1[[#This Row],[1]:[31]],code20)</f>
        <v>0</v>
      </c>
      <c r="BH29" s="297"/>
      <c r="BI29" s="297"/>
      <c r="BJ29" s="297"/>
      <c r="BK29" s="297"/>
      <c r="BL29" s="297"/>
      <c r="BM29" s="297"/>
      <c r="BN29" s="297"/>
      <c r="BO29" s="297"/>
      <c r="BP29" s="297"/>
      <c r="BQ29" s="297"/>
      <c r="BR29" s="297"/>
      <c r="BS29" s="297"/>
      <c r="BT29" s="297"/>
      <c r="BU29" s="297"/>
      <c r="BV29" s="297"/>
      <c r="BW29" s="297"/>
      <c r="BX29" s="297"/>
      <c r="BY29" s="297"/>
      <c r="BZ29" s="297"/>
      <c r="CA29" s="297"/>
      <c r="CB29" s="297"/>
      <c r="CC29" s="297"/>
      <c r="CD29" s="297"/>
      <c r="CE29" s="297"/>
      <c r="CF29" s="297"/>
      <c r="CG29" s="297"/>
      <c r="CH29" s="297"/>
      <c r="CI29" s="297"/>
      <c r="CJ29" s="297"/>
      <c r="CK29" s="297"/>
      <c r="CL29" s="297"/>
      <c r="CM29" s="297"/>
      <c r="CN29" s="307"/>
      <c r="CO29" s="300"/>
      <c r="CP29" s="165">
        <f t="shared" si="0"/>
        <v>10</v>
      </c>
      <c r="CQ29" s="165">
        <f t="shared" si="1"/>
        <v>17</v>
      </c>
      <c r="CR29" s="249">
        <f t="shared" si="2"/>
        <v>0</v>
      </c>
      <c r="CS29" s="362"/>
    </row>
    <row r="30" spans="1:97">
      <c r="A30" s="29" t="s">
        <v>395</v>
      </c>
      <c r="B30" s="162" t="str">
        <f>IFERROR(VLOOKUP(ParticipationMars1[[#This Row],[Référence]],ListeÉtudiants1[],18,FALSE),"")</f>
        <v>BERNARD LUDOVIC</v>
      </c>
      <c r="C30" s="19"/>
      <c r="D30" s="19"/>
      <c r="E30" s="19"/>
      <c r="F30" s="19"/>
      <c r="G30" s="19"/>
      <c r="H30" s="19"/>
      <c r="I30" s="19"/>
      <c r="J30" s="19"/>
      <c r="K30" s="19"/>
      <c r="L30" s="19"/>
      <c r="M30" s="19"/>
      <c r="N30" s="19"/>
      <c r="O30" s="19"/>
      <c r="P30" s="19"/>
      <c r="Q30" s="19" t="s">
        <v>529</v>
      </c>
      <c r="R30" s="19"/>
      <c r="S30" s="19"/>
      <c r="T30" s="19"/>
      <c r="U30" s="19" t="s">
        <v>529</v>
      </c>
      <c r="V30" s="19"/>
      <c r="W30" s="19"/>
      <c r="X30" s="19"/>
      <c r="Y30" s="19"/>
      <c r="Z30" s="19"/>
      <c r="AA30" s="19"/>
      <c r="AB30" s="19"/>
      <c r="AC30" s="19"/>
      <c r="AD30" s="19"/>
      <c r="AE30" s="19"/>
      <c r="AF30" s="19"/>
      <c r="AG30" s="144"/>
      <c r="AH30" s="6">
        <f>COUNTIF(ParticipationMars1[[#This Row],[1]:[31]],Code1)</f>
        <v>0</v>
      </c>
      <c r="AI30" s="331">
        <f>COUNTIF(ParticipationMars1[[#This Row],[1]:[31]],code22)</f>
        <v>0</v>
      </c>
      <c r="AJ30" s="30">
        <f>COUNTIF(ParticipationMars1[[#This Row],[1]:[31]],Code2)</f>
        <v>0</v>
      </c>
      <c r="AK30" s="30">
        <f>COUNTIF(ParticipationMars1[[#This Row],[1]:[31]],Code3)</f>
        <v>0</v>
      </c>
      <c r="AL30" s="30">
        <f>COUNTIF(ParticipationMars1[[#This Row],[1]:[31]],Code4)</f>
        <v>0</v>
      </c>
      <c r="AM30" s="307">
        <f>COUNTIF(ParticipationMars1[[#This Row],[1]:[31]],Code5)</f>
        <v>0</v>
      </c>
      <c r="AN30" s="307">
        <f>COUNTIF(ParticipationMars1[[#This Row],[1]:[31]],Code23)</f>
        <v>0</v>
      </c>
      <c r="AO30" s="307">
        <f>COUNTIF(ParticipationMars1[[#This Row],[1]:[31]],Code6)</f>
        <v>0</v>
      </c>
      <c r="AP30" s="307">
        <f>COUNTIF(ParticipationMars1[[#This Row],[1]:[31]],Code7)</f>
        <v>0</v>
      </c>
      <c r="AQ30" s="307">
        <f>COUNTIF(ParticipationMars1[[#This Row],[1]:[31]],Code8)</f>
        <v>0</v>
      </c>
      <c r="AR30" s="307">
        <f>COUNTIF(ParticipationMars1[[#This Row],[1]:[31]],Code9)</f>
        <v>0</v>
      </c>
      <c r="AS30" s="307">
        <f>COUNTIF(ParticipationMars1[[#This Row],[1]:[31]],Code10)</f>
        <v>0</v>
      </c>
      <c r="AT30" s="307">
        <f>COUNTIF(ParticipationMars1[[#This Row],[1]:[31]],Code11)</f>
        <v>0</v>
      </c>
      <c r="AU30" s="307">
        <f>COUNTIF(ParticipationMars1[[#This Row],[1]:[31]],Code12)</f>
        <v>0</v>
      </c>
      <c r="AV30" s="307">
        <f>COUNTIF(ParticipationMars1[[#This Row],[1]:[31]],Code13)</f>
        <v>0</v>
      </c>
      <c r="AW30" s="307">
        <f>COUNTIF(ParticipationMars1[[#This Row],[1]:[31]],Code14)</f>
        <v>0</v>
      </c>
      <c r="AX30" s="307">
        <f>COUNTIF(ParticipationMars1[[#This Row],[1]:[31]],Code15)</f>
        <v>0</v>
      </c>
      <c r="AY30" s="307">
        <f>COUNTIF(ParticipationMars1[[#This Row],[1]:[31]],Code16)</f>
        <v>0</v>
      </c>
      <c r="AZ30" s="307">
        <f>COUNTIF(ParticipationMars1[[#This Row],[1]:[31]],Code17)</f>
        <v>0</v>
      </c>
      <c r="BA30" s="307">
        <f>COUNTIF(ParticipationMars1[[#This Row],[1]:[31]],Code26)</f>
        <v>0</v>
      </c>
      <c r="BB30" s="307">
        <f>COUNTIF(ParticipationMars1[[#This Row],[1]:[31]],Code25)</f>
        <v>0</v>
      </c>
      <c r="BC30" s="307">
        <f>COUNTIF(ParticipationMars1[[#This Row],[1]:[31]],code21)</f>
        <v>0</v>
      </c>
      <c r="BD30" s="307">
        <f>COUNTIF(ParticipationMars1[[#This Row],[1]:[31]],Code24)</f>
        <v>0</v>
      </c>
      <c r="BE30" s="307">
        <f>COUNTIF(ParticipationMars1[[#This Row],[1]:[31]],code18)</f>
        <v>0</v>
      </c>
      <c r="BF30" s="307">
        <f>COUNTIF(ParticipationMars1[[#This Row],[1]:[31]],code19)</f>
        <v>0</v>
      </c>
      <c r="BG30" s="300">
        <f>COUNTIF(ParticipationMars1[[#This Row],[1]:[31]],code20)</f>
        <v>0</v>
      </c>
      <c r="BH30" s="297"/>
      <c r="BI30" s="297"/>
      <c r="BJ30" s="297"/>
      <c r="BK30" s="297"/>
      <c r="BL30" s="297"/>
      <c r="BM30" s="297"/>
      <c r="BN30" s="297"/>
      <c r="BO30" s="297"/>
      <c r="BP30" s="297"/>
      <c r="BQ30" s="297"/>
      <c r="BR30" s="297">
        <v>1</v>
      </c>
      <c r="BS30" s="297"/>
      <c r="BT30" s="297"/>
      <c r="BU30" s="297"/>
      <c r="BV30" s="297"/>
      <c r="BW30" s="297"/>
      <c r="BX30" s="297"/>
      <c r="BY30" s="297"/>
      <c r="BZ30" s="297"/>
      <c r="CA30" s="297"/>
      <c r="CB30" s="297"/>
      <c r="CC30" s="297"/>
      <c r="CD30" s="297"/>
      <c r="CE30" s="297"/>
      <c r="CF30" s="297"/>
      <c r="CG30" s="297"/>
      <c r="CH30" s="297"/>
      <c r="CI30" s="297"/>
      <c r="CJ30" s="297"/>
      <c r="CK30" s="297"/>
      <c r="CL30" s="297"/>
      <c r="CM30" s="297"/>
      <c r="CN30" s="307"/>
      <c r="CO30" s="300"/>
      <c r="CP30" s="165">
        <f t="shared" si="0"/>
        <v>0</v>
      </c>
      <c r="CQ30" s="165">
        <f t="shared" si="1"/>
        <v>0</v>
      </c>
      <c r="CR30" s="341">
        <f t="shared" si="2"/>
        <v>0</v>
      </c>
      <c r="CS30" s="327"/>
    </row>
    <row r="31" spans="1:97">
      <c r="A31" s="29" t="s">
        <v>397</v>
      </c>
      <c r="B31" s="162" t="str">
        <f>IFERROR(VLOOKUP(ParticipationMars1[[#This Row],[Référence]],ListeÉtudiants1[],18,FALSE),"")</f>
        <v>BESTEL AGATHE</v>
      </c>
      <c r="C31" s="19"/>
      <c r="D31" s="19"/>
      <c r="E31" s="19"/>
      <c r="F31" s="19"/>
      <c r="G31" s="19"/>
      <c r="H31" s="19"/>
      <c r="I31" s="19"/>
      <c r="J31" s="19"/>
      <c r="K31" s="19"/>
      <c r="L31" s="19"/>
      <c r="M31" s="19"/>
      <c r="N31" s="19"/>
      <c r="O31" s="19"/>
      <c r="P31" s="19"/>
      <c r="Q31" s="19"/>
      <c r="R31" s="19"/>
      <c r="S31" s="19"/>
      <c r="T31" s="19"/>
      <c r="U31" s="19"/>
      <c r="V31" s="19"/>
      <c r="W31" s="19" t="s">
        <v>108</v>
      </c>
      <c r="X31" s="19" t="s">
        <v>488</v>
      </c>
      <c r="Y31" s="19"/>
      <c r="Z31" s="19"/>
      <c r="AA31" s="19"/>
      <c r="AB31" s="19"/>
      <c r="AC31" s="19"/>
      <c r="AD31" s="19"/>
      <c r="AE31" s="19"/>
      <c r="AF31" s="19"/>
      <c r="AG31" s="144"/>
      <c r="AH31" s="6">
        <f>COUNTIF(ParticipationMars1[[#This Row],[1]:[31]],Code1)</f>
        <v>0</v>
      </c>
      <c r="AI31" s="331">
        <f>COUNTIF(ParticipationMars1[[#This Row],[1]:[31]],code22)</f>
        <v>0</v>
      </c>
      <c r="AJ31" s="30">
        <f>COUNTIF(ParticipationMars1[[#This Row],[1]:[31]],Code2)</f>
        <v>0</v>
      </c>
      <c r="AK31" s="30">
        <f>COUNTIF(ParticipationMars1[[#This Row],[1]:[31]],Code3)</f>
        <v>0</v>
      </c>
      <c r="AL31" s="30">
        <f>COUNTIF(ParticipationMars1[[#This Row],[1]:[31]],Code4)</f>
        <v>0</v>
      </c>
      <c r="AM31" s="307">
        <f>COUNTIF(ParticipationMars1[[#This Row],[1]:[31]],Code5)</f>
        <v>0</v>
      </c>
      <c r="AN31" s="307">
        <f>COUNTIF(ParticipationMars1[[#This Row],[1]:[31]],Code23)</f>
        <v>2</v>
      </c>
      <c r="AO31" s="307">
        <f>COUNTIF(ParticipationMars1[[#This Row],[1]:[31]],Code6)</f>
        <v>0</v>
      </c>
      <c r="AP31" s="307">
        <f>COUNTIF(ParticipationMars1[[#This Row],[1]:[31]],Code7)</f>
        <v>0</v>
      </c>
      <c r="AQ31" s="307">
        <f>COUNTIF(ParticipationMars1[[#This Row],[1]:[31]],Code8)</f>
        <v>0</v>
      </c>
      <c r="AR31" s="307">
        <f>COUNTIF(ParticipationMars1[[#This Row],[1]:[31]],Code9)</f>
        <v>0</v>
      </c>
      <c r="AS31" s="307">
        <f>COUNTIF(ParticipationMars1[[#This Row],[1]:[31]],Code10)</f>
        <v>0</v>
      </c>
      <c r="AT31" s="307">
        <f>COUNTIF(ParticipationMars1[[#This Row],[1]:[31]],Code11)</f>
        <v>0</v>
      </c>
      <c r="AU31" s="307">
        <f>COUNTIF(ParticipationMars1[[#This Row],[1]:[31]],Code12)</f>
        <v>0</v>
      </c>
      <c r="AV31" s="307">
        <f>COUNTIF(ParticipationMars1[[#This Row],[1]:[31]],Code13)</f>
        <v>0</v>
      </c>
      <c r="AW31" s="307">
        <f>COUNTIF(ParticipationMars1[[#This Row],[1]:[31]],Code14)</f>
        <v>0</v>
      </c>
      <c r="AX31" s="307">
        <f>COUNTIF(ParticipationMars1[[#This Row],[1]:[31]],Code15)</f>
        <v>0</v>
      </c>
      <c r="AY31" s="307">
        <f>COUNTIF(ParticipationMars1[[#This Row],[1]:[31]],Code16)</f>
        <v>0</v>
      </c>
      <c r="AZ31" s="307">
        <f>COUNTIF(ParticipationMars1[[#This Row],[1]:[31]],Code17)</f>
        <v>0</v>
      </c>
      <c r="BA31" s="307">
        <f>COUNTIF(ParticipationMars1[[#This Row],[1]:[31]],Code26)</f>
        <v>1</v>
      </c>
      <c r="BB31" s="307">
        <f>COUNTIF(ParticipationMars1[[#This Row],[1]:[31]],Code25)</f>
        <v>1</v>
      </c>
      <c r="BC31" s="307">
        <f>COUNTIF(ParticipationMars1[[#This Row],[1]:[31]],code21)</f>
        <v>0</v>
      </c>
      <c r="BD31" s="307">
        <f>COUNTIF(ParticipationMars1[[#This Row],[1]:[31]],Code24)</f>
        <v>1</v>
      </c>
      <c r="BE31" s="307">
        <f>COUNTIF(ParticipationMars1[[#This Row],[1]:[31]],code18)</f>
        <v>0</v>
      </c>
      <c r="BF31" s="307">
        <f>COUNTIF(ParticipationMars1[[#This Row],[1]:[31]],code19)</f>
        <v>0</v>
      </c>
      <c r="BG31" s="300">
        <f>COUNTIF(ParticipationMars1[[#This Row],[1]:[31]],code20)</f>
        <v>0</v>
      </c>
      <c r="BH31" s="297"/>
      <c r="BI31" s="297">
        <v>1</v>
      </c>
      <c r="BJ31" s="297"/>
      <c r="BK31" s="297"/>
      <c r="BL31" s="297"/>
      <c r="BM31" s="297"/>
      <c r="BN31" s="297"/>
      <c r="BO31" s="297"/>
      <c r="BP31" s="297"/>
      <c r="BQ31" s="297"/>
      <c r="BR31" s="297">
        <v>3</v>
      </c>
      <c r="BS31" s="297"/>
      <c r="BT31" s="297"/>
      <c r="BU31" s="297"/>
      <c r="BV31" s="297"/>
      <c r="BW31" s="297"/>
      <c r="BX31" s="297"/>
      <c r="BY31" s="297"/>
      <c r="BZ31" s="297"/>
      <c r="CA31" s="297"/>
      <c r="CB31" s="297">
        <v>1</v>
      </c>
      <c r="CC31" s="297"/>
      <c r="CD31" s="297"/>
      <c r="CE31" s="297"/>
      <c r="CF31" s="297"/>
      <c r="CG31" s="297"/>
      <c r="CH31" s="297"/>
      <c r="CI31" s="297"/>
      <c r="CJ31" s="297"/>
      <c r="CK31" s="297"/>
      <c r="CL31" s="297"/>
      <c r="CM31" s="297"/>
      <c r="CN31" s="307"/>
      <c r="CO31" s="300"/>
      <c r="CP31" s="165">
        <f t="shared" si="0"/>
        <v>5</v>
      </c>
      <c r="CQ31" s="165">
        <f t="shared" si="1"/>
        <v>7</v>
      </c>
      <c r="CR31" s="341">
        <f t="shared" si="2"/>
        <v>2</v>
      </c>
      <c r="CS31" s="327"/>
    </row>
    <row r="32" spans="1:97">
      <c r="A32" s="29" t="s">
        <v>398</v>
      </c>
      <c r="B32" s="162" t="str">
        <f>IFERROR(VLOOKUP(ParticipationMars1[[#This Row],[Référence]],ListeÉtudiants1[],18,FALSE),"")</f>
        <v>BLOT  WENDY</v>
      </c>
      <c r="C32" s="19"/>
      <c r="D32" s="19"/>
      <c r="E32" s="19"/>
      <c r="F32" s="19"/>
      <c r="G32" s="19"/>
      <c r="H32" s="19"/>
      <c r="I32" s="19"/>
      <c r="J32" s="19"/>
      <c r="K32" s="19"/>
      <c r="L32" s="19"/>
      <c r="M32" s="19"/>
      <c r="N32" s="19"/>
      <c r="O32" s="19"/>
      <c r="P32" s="19"/>
      <c r="Q32" s="19" t="s">
        <v>529</v>
      </c>
      <c r="R32" s="19"/>
      <c r="S32" s="19"/>
      <c r="T32" s="19"/>
      <c r="U32" s="19"/>
      <c r="V32" s="19"/>
      <c r="W32" s="19" t="s">
        <v>529</v>
      </c>
      <c r="X32" s="19"/>
      <c r="Y32" s="19"/>
      <c r="Z32" s="19"/>
      <c r="AA32" s="19"/>
      <c r="AB32" s="19"/>
      <c r="AC32" s="19"/>
      <c r="AD32" s="19"/>
      <c r="AE32" s="19"/>
      <c r="AF32" s="19"/>
      <c r="AG32" s="144"/>
      <c r="AH32" s="6">
        <f>COUNTIF(ParticipationMars1[[#This Row],[1]:[31]],Code1)</f>
        <v>0</v>
      </c>
      <c r="AI32" s="331">
        <f>COUNTIF(ParticipationMars1[[#This Row],[1]:[31]],code22)</f>
        <v>0</v>
      </c>
      <c r="AJ32" s="30">
        <f>COUNTIF(ParticipationMars1[[#This Row],[1]:[31]],Code2)</f>
        <v>0</v>
      </c>
      <c r="AK32" s="30">
        <f>COUNTIF(ParticipationMars1[[#This Row],[1]:[31]],Code3)</f>
        <v>0</v>
      </c>
      <c r="AL32" s="30">
        <f>COUNTIF(ParticipationMars1[[#This Row],[1]:[31]],Code4)</f>
        <v>0</v>
      </c>
      <c r="AM32" s="307">
        <f>COUNTIF(ParticipationMars1[[#This Row],[1]:[31]],Code5)</f>
        <v>1</v>
      </c>
      <c r="AN32" s="307">
        <f>COUNTIF(ParticipationMars1[[#This Row],[1]:[31]],Code23)</f>
        <v>2</v>
      </c>
      <c r="AO32" s="307">
        <f>COUNTIF(ParticipationMars1[[#This Row],[1]:[31]],Code6)</f>
        <v>1</v>
      </c>
      <c r="AP32" s="307">
        <f>COUNTIF(ParticipationMars1[[#This Row],[1]:[31]],Code7)</f>
        <v>0</v>
      </c>
      <c r="AQ32" s="307">
        <f>COUNTIF(ParticipationMars1[[#This Row],[1]:[31]],Code8)</f>
        <v>0</v>
      </c>
      <c r="AR32" s="307">
        <f>COUNTIF(ParticipationMars1[[#This Row],[1]:[31]],Code9)</f>
        <v>0</v>
      </c>
      <c r="AS32" s="307">
        <f>COUNTIF(ParticipationMars1[[#This Row],[1]:[31]],Code10)</f>
        <v>0</v>
      </c>
      <c r="AT32" s="307">
        <f>COUNTIF(ParticipationMars1[[#This Row],[1]:[31]],Code11)</f>
        <v>0</v>
      </c>
      <c r="AU32" s="307">
        <f>COUNTIF(ParticipationMars1[[#This Row],[1]:[31]],Code12)</f>
        <v>1</v>
      </c>
      <c r="AV32" s="307">
        <f>COUNTIF(ParticipationMars1[[#This Row],[1]:[31]],Code13)</f>
        <v>0</v>
      </c>
      <c r="AW32" s="307">
        <f>COUNTIF(ParticipationMars1[[#This Row],[1]:[31]],Code14)</f>
        <v>2</v>
      </c>
      <c r="AX32" s="307">
        <f>COUNTIF(ParticipationMars1[[#This Row],[1]:[31]],Code15)</f>
        <v>0</v>
      </c>
      <c r="AY32" s="307">
        <f>COUNTIF(ParticipationMars1[[#This Row],[1]:[31]],Code16)</f>
        <v>0</v>
      </c>
      <c r="AZ32" s="307">
        <f>COUNTIF(ParticipationMars1[[#This Row],[1]:[31]],Code17)</f>
        <v>0</v>
      </c>
      <c r="BA32" s="307">
        <f>COUNTIF(ParticipationMars1[[#This Row],[1]:[31]],Code26)</f>
        <v>0</v>
      </c>
      <c r="BB32" s="307">
        <f>COUNTIF(ParticipationMars1[[#This Row],[1]:[31]],Code25)</f>
        <v>0</v>
      </c>
      <c r="BC32" s="307">
        <f>COUNTIF(ParticipationMars1[[#This Row],[1]:[31]],code21)</f>
        <v>0</v>
      </c>
      <c r="BD32" s="307">
        <f>COUNTIF(ParticipationMars1[[#This Row],[1]:[31]],Code24)</f>
        <v>0</v>
      </c>
      <c r="BE32" s="307">
        <f>COUNTIF(ParticipationMars1[[#This Row],[1]:[31]],code18)</f>
        <v>0</v>
      </c>
      <c r="BF32" s="307">
        <f>COUNTIF(ParticipationMars1[[#This Row],[1]:[31]],code19)</f>
        <v>0</v>
      </c>
      <c r="BG32" s="300">
        <f>COUNTIF(ParticipationMars1[[#This Row],[1]:[31]],code20)</f>
        <v>0</v>
      </c>
      <c r="BH32" s="297"/>
      <c r="BI32" s="297"/>
      <c r="BJ32" s="297"/>
      <c r="BK32" s="297"/>
      <c r="BL32" s="297"/>
      <c r="BM32" s="297"/>
      <c r="BN32" s="297"/>
      <c r="BO32" s="297"/>
      <c r="BP32" s="297"/>
      <c r="BQ32" s="297"/>
      <c r="BR32" s="297">
        <v>2</v>
      </c>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307"/>
      <c r="CO32" s="300"/>
      <c r="CP32" s="165">
        <f t="shared" si="0"/>
        <v>2</v>
      </c>
      <c r="CQ32" s="165">
        <f t="shared" si="1"/>
        <v>28</v>
      </c>
      <c r="CR32" s="341">
        <f t="shared" si="2"/>
        <v>0</v>
      </c>
      <c r="CS32" s="327"/>
    </row>
    <row r="33" spans="1:97">
      <c r="A33" s="29" t="s">
        <v>402</v>
      </c>
      <c r="B33" s="162" t="str">
        <f>IFERROR(VLOOKUP(ParticipationMars1[[#This Row],[Référence]],ListeÉtudiants1[],18,FALSE),"")</f>
        <v>BOISSELET CHRISTELLE</v>
      </c>
      <c r="C33" s="19"/>
      <c r="D33" s="19"/>
      <c r="E33" s="19"/>
      <c r="F33" s="19"/>
      <c r="G33" s="19"/>
      <c r="H33" s="19"/>
      <c r="I33" s="19"/>
      <c r="J33" s="19"/>
      <c r="K33" s="19"/>
      <c r="L33" s="19"/>
      <c r="M33" s="19"/>
      <c r="N33" s="19"/>
      <c r="O33" s="19"/>
      <c r="P33" s="19"/>
      <c r="Q33" s="19"/>
      <c r="R33" s="19"/>
      <c r="S33" s="19"/>
      <c r="T33" s="19"/>
      <c r="U33" s="19"/>
      <c r="V33" s="19"/>
      <c r="W33" s="19" t="s">
        <v>488</v>
      </c>
      <c r="X33" s="19"/>
      <c r="Y33" s="19"/>
      <c r="Z33" s="19"/>
      <c r="AA33" s="19"/>
      <c r="AB33" s="19"/>
      <c r="AC33" s="19"/>
      <c r="AD33" s="19"/>
      <c r="AE33" s="19"/>
      <c r="AF33" s="19"/>
      <c r="AG33" s="144"/>
      <c r="AH33" s="6">
        <f>COUNTIF(ParticipationMars1[[#This Row],[1]:[31]],Code1)</f>
        <v>0</v>
      </c>
      <c r="AI33" s="331">
        <f>COUNTIF(ParticipationMars1[[#This Row],[1]:[31]],code22)</f>
        <v>0</v>
      </c>
      <c r="AJ33" s="30">
        <f>COUNTIF(ParticipationMars1[[#This Row],[1]:[31]],Code2)</f>
        <v>0</v>
      </c>
      <c r="AK33" s="30">
        <f>COUNTIF(ParticipationMars1[[#This Row],[1]:[31]],Code3)</f>
        <v>0</v>
      </c>
      <c r="AL33" s="30">
        <f>COUNTIF(ParticipationMars1[[#This Row],[1]:[31]],Code4)</f>
        <v>0</v>
      </c>
      <c r="AM33" s="307">
        <f>COUNTIF(ParticipationMars1[[#This Row],[1]:[31]],Code5)</f>
        <v>0</v>
      </c>
      <c r="AN33" s="307">
        <f>COUNTIF(ParticipationMars1[[#This Row],[1]:[31]],Code23)</f>
        <v>1</v>
      </c>
      <c r="AO33" s="307">
        <f>COUNTIF(ParticipationMars1[[#This Row],[1]:[31]],Code6)</f>
        <v>0</v>
      </c>
      <c r="AP33" s="307">
        <f>COUNTIF(ParticipationMars1[[#This Row],[1]:[31]],Code7)</f>
        <v>1</v>
      </c>
      <c r="AQ33" s="307">
        <f>COUNTIF(ParticipationMars1[[#This Row],[1]:[31]],Code8)</f>
        <v>0</v>
      </c>
      <c r="AR33" s="307">
        <f>COUNTIF(ParticipationMars1[[#This Row],[1]:[31]],Code9)</f>
        <v>0</v>
      </c>
      <c r="AS33" s="307">
        <f>COUNTIF(ParticipationMars1[[#This Row],[1]:[31]],Code10)</f>
        <v>0</v>
      </c>
      <c r="AT33" s="307">
        <f>COUNTIF(ParticipationMars1[[#This Row],[1]:[31]],Code11)</f>
        <v>0</v>
      </c>
      <c r="AU33" s="307">
        <f>COUNTIF(ParticipationMars1[[#This Row],[1]:[31]],Code12)</f>
        <v>0</v>
      </c>
      <c r="AV33" s="307">
        <f>COUNTIF(ParticipationMars1[[#This Row],[1]:[31]],Code13)</f>
        <v>0</v>
      </c>
      <c r="AW33" s="307">
        <f>COUNTIF(ParticipationMars1[[#This Row],[1]:[31]],Code14)</f>
        <v>2</v>
      </c>
      <c r="AX33" s="307">
        <f>COUNTIF(ParticipationMars1[[#This Row],[1]:[31]],Code15)</f>
        <v>0</v>
      </c>
      <c r="AY33" s="307">
        <f>COUNTIF(ParticipationMars1[[#This Row],[1]:[31]],Code16)</f>
        <v>0</v>
      </c>
      <c r="AZ33" s="307">
        <f>COUNTIF(ParticipationMars1[[#This Row],[1]:[31]],Code17)</f>
        <v>0</v>
      </c>
      <c r="BA33" s="307">
        <f>COUNTIF(ParticipationMars1[[#This Row],[1]:[31]],Code26)</f>
        <v>1</v>
      </c>
      <c r="BB33" s="307">
        <f>COUNTIF(ParticipationMars1[[#This Row],[1]:[31]],Code25)</f>
        <v>1</v>
      </c>
      <c r="BC33" s="307">
        <f>COUNTIF(ParticipationMars1[[#This Row],[1]:[31]],code21)</f>
        <v>0</v>
      </c>
      <c r="BD33" s="307">
        <f>COUNTIF(ParticipationMars1[[#This Row],[1]:[31]],Code24)</f>
        <v>0</v>
      </c>
      <c r="BE33" s="307">
        <f>COUNTIF(ParticipationMars1[[#This Row],[1]:[31]],code18)</f>
        <v>0</v>
      </c>
      <c r="BF33" s="307">
        <f>COUNTIF(ParticipationMars1[[#This Row],[1]:[31]],code19)</f>
        <v>0</v>
      </c>
      <c r="BG33" s="300">
        <f>COUNTIF(ParticipationMars1[[#This Row],[1]:[31]],code20)</f>
        <v>0</v>
      </c>
      <c r="BH33" s="297"/>
      <c r="BI33" s="297"/>
      <c r="BJ33" s="297"/>
      <c r="BK33" s="297"/>
      <c r="BL33" s="297"/>
      <c r="BM33" s="297"/>
      <c r="BN33" s="297"/>
      <c r="BO33" s="297"/>
      <c r="BP33" s="297"/>
      <c r="BQ33" s="297"/>
      <c r="BR33" s="297">
        <v>3</v>
      </c>
      <c r="BS33" s="297"/>
      <c r="BT33" s="297"/>
      <c r="BU33" s="297"/>
      <c r="BV33" s="297"/>
      <c r="BW33" s="297"/>
      <c r="BX33" s="297"/>
      <c r="BY33" s="297"/>
      <c r="BZ33" s="297"/>
      <c r="CA33" s="297"/>
      <c r="CB33" s="297"/>
      <c r="CC33" s="297"/>
      <c r="CD33" s="297"/>
      <c r="CE33" s="297"/>
      <c r="CF33" s="297"/>
      <c r="CG33" s="297"/>
      <c r="CH33" s="297"/>
      <c r="CI33" s="297"/>
      <c r="CJ33" s="297"/>
      <c r="CK33" s="297"/>
      <c r="CL33" s="297"/>
      <c r="CM33" s="297"/>
      <c r="CN33" s="307"/>
      <c r="CO33" s="300"/>
      <c r="CP33" s="165">
        <f t="shared" si="0"/>
        <v>10</v>
      </c>
      <c r="CQ33" s="165">
        <f t="shared" si="1"/>
        <v>24</v>
      </c>
      <c r="CR33" s="341">
        <f t="shared" si="2"/>
        <v>0</v>
      </c>
      <c r="CS33" s="327"/>
    </row>
    <row r="34" spans="1:97">
      <c r="A34" s="29" t="s">
        <v>404</v>
      </c>
      <c r="B34" s="162" t="str">
        <f>IFERROR(VLOOKUP(ParticipationMars1[[#This Row],[Référence]],ListeÉtudiants1[],18,FALSE),"")</f>
        <v>BOUCAUD  CHRISTINE</v>
      </c>
      <c r="C34" s="19"/>
      <c r="D34" s="19"/>
      <c r="E34" s="19"/>
      <c r="F34" s="19"/>
      <c r="G34" s="19"/>
      <c r="H34" s="19"/>
      <c r="I34" s="19"/>
      <c r="J34" s="19"/>
      <c r="K34" s="19"/>
      <c r="L34" s="19"/>
      <c r="M34" s="19"/>
      <c r="N34" s="19" t="s">
        <v>531</v>
      </c>
      <c r="O34" s="19"/>
      <c r="P34" s="19"/>
      <c r="Q34" s="19"/>
      <c r="R34" s="19"/>
      <c r="S34" s="19"/>
      <c r="T34" s="19"/>
      <c r="U34" s="19"/>
      <c r="V34" s="19"/>
      <c r="W34" s="19"/>
      <c r="X34" s="19"/>
      <c r="Y34" s="19"/>
      <c r="Z34" s="19"/>
      <c r="AA34" s="19"/>
      <c r="AB34" s="19"/>
      <c r="AC34" s="19"/>
      <c r="AD34" s="19"/>
      <c r="AE34" s="19"/>
      <c r="AF34" s="19"/>
      <c r="AG34" s="144"/>
      <c r="AH34" s="6">
        <f>COUNTIF(ParticipationMars1[[#This Row],[1]:[31]],Code1)</f>
        <v>0</v>
      </c>
      <c r="AI34" s="6">
        <f>COUNTIF(ParticipationMars1[[#This Row],[1]:[31]],code22)</f>
        <v>0</v>
      </c>
      <c r="AJ34" s="30">
        <f>COUNTIF(ParticipationMars1[[#This Row],[1]:[31]],Code2)</f>
        <v>0</v>
      </c>
      <c r="AK34" s="30">
        <f>COUNTIF(ParticipationMars1[[#This Row],[1]:[31]],Code3)</f>
        <v>0</v>
      </c>
      <c r="AL34" s="30">
        <f>COUNTIF(ParticipationMars1[[#This Row],[1]:[31]],Code4)</f>
        <v>0</v>
      </c>
      <c r="AM34" s="30">
        <f>COUNTIF(ParticipationMars1[[#This Row],[1]:[31]],Code5)</f>
        <v>0</v>
      </c>
      <c r="AN34" s="30">
        <f>COUNTIF(ParticipationMars1[[#This Row],[1]:[31]],Code23)</f>
        <v>0</v>
      </c>
      <c r="AO34" s="30">
        <f>COUNTIF(ParticipationMars1[[#This Row],[1]:[31]],Code6)</f>
        <v>0</v>
      </c>
      <c r="AP34" s="30">
        <f>COUNTIF(ParticipationMars1[[#This Row],[1]:[31]],Code7)</f>
        <v>0</v>
      </c>
      <c r="AQ34" s="30">
        <f>COUNTIF(ParticipationMars1[[#This Row],[1]:[31]],Code8)</f>
        <v>0</v>
      </c>
      <c r="AR34" s="30">
        <f>COUNTIF(ParticipationMars1[[#This Row],[1]:[31]],Code9)</f>
        <v>0</v>
      </c>
      <c r="AS34" s="30">
        <f>COUNTIF(ParticipationMars1[[#This Row],[1]:[31]],Code10)</f>
        <v>0</v>
      </c>
      <c r="AT34" s="30">
        <f>COUNTIF(ParticipationMars1[[#This Row],[1]:[31]],Code11)</f>
        <v>0</v>
      </c>
      <c r="AU34" s="30">
        <f>COUNTIF(ParticipationMars1[[#This Row],[1]:[31]],Code12)</f>
        <v>0</v>
      </c>
      <c r="AV34" s="30">
        <f>COUNTIF(ParticipationMars1[[#This Row],[1]:[31]],Code13)</f>
        <v>0</v>
      </c>
      <c r="AW34" s="30">
        <f>COUNTIF(ParticipationMars1[[#This Row],[1]:[31]],Code14)</f>
        <v>0</v>
      </c>
      <c r="AX34" s="30">
        <f>COUNTIF(ParticipationMars1[[#This Row],[1]:[31]],Code15)</f>
        <v>0</v>
      </c>
      <c r="AY34" s="30">
        <f>COUNTIF(ParticipationMars1[[#This Row],[1]:[31]],Code16)</f>
        <v>0</v>
      </c>
      <c r="AZ34" s="30">
        <f>COUNTIF(ParticipationMars1[[#This Row],[1]:[31]],Code17)</f>
        <v>0</v>
      </c>
      <c r="BA34" s="307">
        <f>COUNTIF(ParticipationMars1[[#This Row],[1]:[31]],Code26)</f>
        <v>0</v>
      </c>
      <c r="BB34" s="30">
        <f>COUNTIF(ParticipationMars1[[#This Row],[1]:[31]],Code25)</f>
        <v>0</v>
      </c>
      <c r="BC34" s="30">
        <f>COUNTIF(ParticipationMars1[[#This Row],[1]:[31]],code21)</f>
        <v>0</v>
      </c>
      <c r="BD34" s="30">
        <f>COUNTIF(ParticipationMars1[[#This Row],[1]:[31]],Code24)</f>
        <v>0</v>
      </c>
      <c r="BE34" s="30">
        <f>COUNTIF(ParticipationMars1[[#This Row],[1]:[31]],code18)</f>
        <v>0</v>
      </c>
      <c r="BF34" s="30">
        <f>COUNTIF(ParticipationMars1[[#This Row],[1]:[31]],code19)</f>
        <v>0</v>
      </c>
      <c r="BG34" s="164">
        <f>COUNTIF(ParticipationMars1[[#This Row],[1]:[31]],code20)</f>
        <v>0</v>
      </c>
      <c r="BH34" s="297"/>
      <c r="BI34" s="297"/>
      <c r="BJ34" s="297"/>
      <c r="BK34" s="297"/>
      <c r="BL34" s="297"/>
      <c r="BM34" s="297"/>
      <c r="BN34" s="297"/>
      <c r="BO34" s="297"/>
      <c r="BP34" s="297"/>
      <c r="BQ34" s="297"/>
      <c r="BR34" s="297"/>
      <c r="BS34" s="297"/>
      <c r="BT34" s="297"/>
      <c r="BU34" s="297"/>
      <c r="BV34" s="297"/>
      <c r="BW34" s="297"/>
      <c r="BX34" s="297"/>
      <c r="BY34" s="297"/>
      <c r="BZ34" s="297"/>
      <c r="CA34" s="297"/>
      <c r="CB34" s="297"/>
      <c r="CC34" s="297"/>
      <c r="CD34" s="297"/>
      <c r="CE34" s="297"/>
      <c r="CF34" s="297"/>
      <c r="CG34" s="297"/>
      <c r="CH34" s="297"/>
      <c r="CI34" s="297"/>
      <c r="CJ34" s="297"/>
      <c r="CK34" s="297"/>
      <c r="CL34" s="297"/>
      <c r="CM34" s="297"/>
      <c r="CN34" s="307"/>
      <c r="CO34" s="300"/>
      <c r="CP34" s="165">
        <f t="shared" si="0"/>
        <v>0</v>
      </c>
      <c r="CQ34" s="165">
        <f t="shared" si="1"/>
        <v>0</v>
      </c>
      <c r="CR34" s="249">
        <f t="shared" si="2"/>
        <v>0</v>
      </c>
      <c r="CS34" s="170">
        <f>SUM((BE34*7)+(BF34*10)+(BG34*12))</f>
        <v>0</v>
      </c>
    </row>
    <row r="35" spans="1:97">
      <c r="A35" s="29" t="s">
        <v>405</v>
      </c>
      <c r="B35" s="162" t="str">
        <f>IFERROR(VLOOKUP(ParticipationMars1[[#This Row],[Référence]],ListeÉtudiants1[],18,FALSE),"")</f>
        <v>BOUKHARAZ MARINA</v>
      </c>
      <c r="C35" s="19"/>
      <c r="D35" s="19"/>
      <c r="E35" s="19"/>
      <c r="F35" s="19"/>
      <c r="G35" s="19"/>
      <c r="H35" s="19"/>
      <c r="I35" s="19"/>
      <c r="J35" s="19"/>
      <c r="K35" s="19"/>
      <c r="L35" s="19"/>
      <c r="M35" s="19"/>
      <c r="N35" s="19" t="s">
        <v>107</v>
      </c>
      <c r="O35" s="19"/>
      <c r="P35" s="19"/>
      <c r="Q35" s="19"/>
      <c r="R35" s="19"/>
      <c r="S35" s="19"/>
      <c r="T35" s="19"/>
      <c r="U35" s="19"/>
      <c r="V35" s="19"/>
      <c r="W35" s="19"/>
      <c r="X35" s="19"/>
      <c r="Y35" s="19"/>
      <c r="Z35" s="19"/>
      <c r="AA35" s="19"/>
      <c r="AB35" s="19"/>
      <c r="AC35" s="19"/>
      <c r="AD35" s="19"/>
      <c r="AE35" s="19"/>
      <c r="AF35" s="19"/>
      <c r="AG35" s="144"/>
      <c r="AH35" s="6">
        <f>COUNTIF(ParticipationMars1[[#This Row],[1]:[31]],Code1)</f>
        <v>0</v>
      </c>
      <c r="AI35" s="6">
        <f>COUNTIF(ParticipationMars1[[#This Row],[1]:[31]],code22)</f>
        <v>0</v>
      </c>
      <c r="AJ35" s="30">
        <f>COUNTIF(ParticipationMars1[[#This Row],[1]:[31]],Code2)</f>
        <v>0</v>
      </c>
      <c r="AK35" s="30">
        <f>COUNTIF(ParticipationMars1[[#This Row],[1]:[31]],Code3)</f>
        <v>0</v>
      </c>
      <c r="AL35" s="30">
        <f>COUNTIF(ParticipationMars1[[#This Row],[1]:[31]],Code4)</f>
        <v>0</v>
      </c>
      <c r="AM35" s="30">
        <f>COUNTIF(ParticipationMars1[[#This Row],[1]:[31]],Code5)</f>
        <v>0</v>
      </c>
      <c r="AN35" s="30">
        <f>COUNTIF(ParticipationMars1[[#This Row],[1]:[31]],Code23)</f>
        <v>2</v>
      </c>
      <c r="AO35" s="30">
        <f>COUNTIF(ParticipationMars1[[#This Row],[1]:[31]],Code6)</f>
        <v>0</v>
      </c>
      <c r="AP35" s="30">
        <f>COUNTIF(ParticipationMars1[[#This Row],[1]:[31]],Code7)</f>
        <v>0</v>
      </c>
      <c r="AQ35" s="30">
        <f>COUNTIF(ParticipationMars1[[#This Row],[1]:[31]],Code8)</f>
        <v>0</v>
      </c>
      <c r="AR35" s="30">
        <f>COUNTIF(ParticipationMars1[[#This Row],[1]:[31]],Code9)</f>
        <v>0</v>
      </c>
      <c r="AS35" s="30">
        <f>COUNTIF(ParticipationMars1[[#This Row],[1]:[31]],Code10)</f>
        <v>0</v>
      </c>
      <c r="AT35" s="30">
        <f>COUNTIF(ParticipationMars1[[#This Row],[1]:[31]],Code11)</f>
        <v>1</v>
      </c>
      <c r="AU35" s="30">
        <f>COUNTIF(ParticipationMars1[[#This Row],[1]:[31]],Code12)</f>
        <v>0</v>
      </c>
      <c r="AV35" s="30">
        <f>COUNTIF(ParticipationMars1[[#This Row],[1]:[31]],Code13)</f>
        <v>0</v>
      </c>
      <c r="AW35" s="30">
        <f>COUNTIF(ParticipationMars1[[#This Row],[1]:[31]],Code14)</f>
        <v>0</v>
      </c>
      <c r="AX35" s="30">
        <f>COUNTIF(ParticipationMars1[[#This Row],[1]:[31]],Code15)</f>
        <v>0</v>
      </c>
      <c r="AY35" s="30">
        <f>COUNTIF(ParticipationMars1[[#This Row],[1]:[31]],Code16)</f>
        <v>0</v>
      </c>
      <c r="AZ35" s="30">
        <f>COUNTIF(ParticipationMars1[[#This Row],[1]:[31]],Code17)</f>
        <v>0</v>
      </c>
      <c r="BA35" s="307">
        <f>COUNTIF(ParticipationMars1[[#This Row],[1]:[31]],Code26)</f>
        <v>0</v>
      </c>
      <c r="BB35" s="30">
        <f>COUNTIF(ParticipationMars1[[#This Row],[1]:[31]],Code25)</f>
        <v>0</v>
      </c>
      <c r="BC35" s="30">
        <f>COUNTIF(ParticipationMars1[[#This Row],[1]:[31]],code21)</f>
        <v>0</v>
      </c>
      <c r="BD35" s="30">
        <f>COUNTIF(ParticipationMars1[[#This Row],[1]:[31]],Code24)</f>
        <v>0</v>
      </c>
      <c r="BE35" s="30">
        <f>COUNTIF(ParticipationMars1[[#This Row],[1]:[31]],code18)</f>
        <v>0</v>
      </c>
      <c r="BF35" s="30">
        <f>COUNTIF(ParticipationMars1[[#This Row],[1]:[31]],code19)</f>
        <v>0</v>
      </c>
      <c r="BG35" s="164">
        <f>COUNTIF(ParticipationMars1[[#This Row],[1]:[31]],code20)</f>
        <v>0</v>
      </c>
      <c r="BH35" s="297"/>
      <c r="BI35" s="297"/>
      <c r="BJ35" s="297"/>
      <c r="BK35" s="297"/>
      <c r="BL35" s="297"/>
      <c r="BM35" s="297"/>
      <c r="BN35" s="297"/>
      <c r="BO35" s="297"/>
      <c r="BP35" s="297"/>
      <c r="BQ35" s="297"/>
      <c r="BR35" s="297"/>
      <c r="BS35" s="297"/>
      <c r="BT35" s="297"/>
      <c r="BU35" s="297"/>
      <c r="BV35" s="297"/>
      <c r="BW35" s="297"/>
      <c r="BX35" s="297"/>
      <c r="BY35" s="297"/>
      <c r="BZ35" s="297"/>
      <c r="CA35" s="297"/>
      <c r="CB35" s="297"/>
      <c r="CC35" s="297"/>
      <c r="CD35" s="297"/>
      <c r="CE35" s="297"/>
      <c r="CF35" s="297"/>
      <c r="CG35" s="297"/>
      <c r="CH35" s="297"/>
      <c r="CI35" s="297"/>
      <c r="CJ35" s="297"/>
      <c r="CK35" s="297"/>
      <c r="CL35" s="297"/>
      <c r="CM35" s="297"/>
      <c r="CN35" s="307"/>
      <c r="CO35" s="300"/>
      <c r="CP35" s="165">
        <f t="shared" si="0"/>
        <v>0</v>
      </c>
      <c r="CQ35" s="165">
        <f t="shared" si="1"/>
        <v>7</v>
      </c>
      <c r="CR35" s="249">
        <f t="shared" si="2"/>
        <v>0</v>
      </c>
      <c r="CS35" s="170">
        <f>SUM((BE35*7)+(BF35*10)+(BG35*12))</f>
        <v>0</v>
      </c>
    </row>
    <row r="36" spans="1:97">
      <c r="A36" s="29" t="s">
        <v>408</v>
      </c>
      <c r="B36" s="162" t="str">
        <f>IFERROR(VLOOKUP(ParticipationMars1[[#This Row],[Référence]],ListeÉtudiants1[],18,FALSE),"")</f>
        <v>BOUTILLIER LAETITIA</v>
      </c>
      <c r="C36" s="19"/>
      <c r="D36" s="19"/>
      <c r="E36" s="19"/>
      <c r="F36" s="19"/>
      <c r="G36" s="19"/>
      <c r="H36" s="19"/>
      <c r="I36" s="19"/>
      <c r="J36" s="19"/>
      <c r="K36" s="19"/>
      <c r="L36" s="19"/>
      <c r="M36" s="19"/>
      <c r="N36" s="19"/>
      <c r="O36" s="19"/>
      <c r="P36" s="19"/>
      <c r="Q36" s="19" t="s">
        <v>529</v>
      </c>
      <c r="R36" s="19"/>
      <c r="S36" s="19"/>
      <c r="T36" s="19"/>
      <c r="U36" s="19"/>
      <c r="V36" s="19"/>
      <c r="W36" s="19"/>
      <c r="X36" s="19"/>
      <c r="Y36" s="19"/>
      <c r="Z36" s="19"/>
      <c r="AA36" s="19"/>
      <c r="AB36" s="19"/>
      <c r="AC36" s="19"/>
      <c r="AD36" s="19"/>
      <c r="AE36" s="19"/>
      <c r="AF36" s="19"/>
      <c r="AG36" s="144"/>
      <c r="AH36" s="6">
        <f>COUNTIF(ParticipationMars1[[#This Row],[1]:[31]],Code1)</f>
        <v>0</v>
      </c>
      <c r="AI36" s="331">
        <f>COUNTIF(ParticipationMars1[[#This Row],[1]:[31]],code22)</f>
        <v>0</v>
      </c>
      <c r="AJ36" s="30">
        <f>COUNTIF(ParticipationMars1[[#This Row],[1]:[31]],Code2)</f>
        <v>0</v>
      </c>
      <c r="AK36" s="30">
        <f>COUNTIF(ParticipationMars1[[#This Row],[1]:[31]],Code3)</f>
        <v>0</v>
      </c>
      <c r="AL36" s="30">
        <f>COUNTIF(ParticipationMars1[[#This Row],[1]:[31]],Code4)</f>
        <v>0</v>
      </c>
      <c r="AM36" s="307">
        <f>COUNTIF(ParticipationMars1[[#This Row],[1]:[31]],Code5)</f>
        <v>0</v>
      </c>
      <c r="AN36" s="307">
        <f>COUNTIF(ParticipationMars1[[#This Row],[1]:[31]],Code23)</f>
        <v>0</v>
      </c>
      <c r="AO36" s="307">
        <f>COUNTIF(ParticipationMars1[[#This Row],[1]:[31]],Code6)</f>
        <v>0</v>
      </c>
      <c r="AP36" s="307">
        <f>COUNTIF(ParticipationMars1[[#This Row],[1]:[31]],Code7)</f>
        <v>0</v>
      </c>
      <c r="AQ36" s="307">
        <f>COUNTIF(ParticipationMars1[[#This Row],[1]:[31]],Code8)</f>
        <v>0</v>
      </c>
      <c r="AR36" s="307">
        <f>COUNTIF(ParticipationMars1[[#This Row],[1]:[31]],Code9)</f>
        <v>0</v>
      </c>
      <c r="AS36" s="307">
        <f>COUNTIF(ParticipationMars1[[#This Row],[1]:[31]],Code10)</f>
        <v>0</v>
      </c>
      <c r="AT36" s="307">
        <f>COUNTIF(ParticipationMars1[[#This Row],[1]:[31]],Code11)</f>
        <v>0</v>
      </c>
      <c r="AU36" s="307">
        <f>COUNTIF(ParticipationMars1[[#This Row],[1]:[31]],Code12)</f>
        <v>0</v>
      </c>
      <c r="AV36" s="307">
        <f>COUNTIF(ParticipationMars1[[#This Row],[1]:[31]],Code13)</f>
        <v>0</v>
      </c>
      <c r="AW36" s="307">
        <f>COUNTIF(ParticipationMars1[[#This Row],[1]:[31]],Code14)</f>
        <v>0</v>
      </c>
      <c r="AX36" s="307">
        <f>COUNTIF(ParticipationMars1[[#This Row],[1]:[31]],Code15)</f>
        <v>0</v>
      </c>
      <c r="AY36" s="307">
        <f>COUNTIF(ParticipationMars1[[#This Row],[1]:[31]],Code16)</f>
        <v>0</v>
      </c>
      <c r="AZ36" s="307">
        <f>COUNTIF(ParticipationMars1[[#This Row],[1]:[31]],Code17)</f>
        <v>0</v>
      </c>
      <c r="BA36" s="307">
        <f>COUNTIF(ParticipationMars1[[#This Row],[1]:[31]],Code26)</f>
        <v>0</v>
      </c>
      <c r="BB36" s="307">
        <f>COUNTIF(ParticipationMars1[[#This Row],[1]:[31]],Code25)</f>
        <v>0</v>
      </c>
      <c r="BC36" s="307">
        <f>COUNTIF(ParticipationMars1[[#This Row],[1]:[31]],code21)</f>
        <v>0</v>
      </c>
      <c r="BD36" s="307">
        <f>COUNTIF(ParticipationMars1[[#This Row],[1]:[31]],Code24)</f>
        <v>0</v>
      </c>
      <c r="BE36" s="307">
        <f>COUNTIF(ParticipationMars1[[#This Row],[1]:[31]],code18)</f>
        <v>0</v>
      </c>
      <c r="BF36" s="307">
        <f>COUNTIF(ParticipationMars1[[#This Row],[1]:[31]],code19)</f>
        <v>0</v>
      </c>
      <c r="BG36" s="300">
        <f>COUNTIF(ParticipationMars1[[#This Row],[1]:[31]],code20)</f>
        <v>0</v>
      </c>
      <c r="BH36" s="297"/>
      <c r="BI36" s="297"/>
      <c r="BJ36" s="297"/>
      <c r="BK36" s="297"/>
      <c r="BL36" s="297"/>
      <c r="BM36" s="297"/>
      <c r="BN36" s="297"/>
      <c r="BO36" s="297"/>
      <c r="BP36" s="297"/>
      <c r="BQ36" s="297"/>
      <c r="BR36" s="297">
        <v>1</v>
      </c>
      <c r="BS36" s="297"/>
      <c r="BT36" s="297"/>
      <c r="BU36" s="297"/>
      <c r="BV36" s="297"/>
      <c r="BW36" s="297"/>
      <c r="BX36" s="297"/>
      <c r="BY36" s="297"/>
      <c r="BZ36" s="297"/>
      <c r="CA36" s="297"/>
      <c r="CB36" s="297"/>
      <c r="CC36" s="297"/>
      <c r="CD36" s="297"/>
      <c r="CE36" s="297"/>
      <c r="CF36" s="297"/>
      <c r="CG36" s="297"/>
      <c r="CH36" s="297"/>
      <c r="CI36" s="297"/>
      <c r="CJ36" s="297"/>
      <c r="CK36" s="297"/>
      <c r="CL36" s="297"/>
      <c r="CM36" s="297"/>
      <c r="CN36" s="307"/>
      <c r="CO36" s="300"/>
      <c r="CP36" s="165">
        <f t="shared" si="0"/>
        <v>0</v>
      </c>
      <c r="CQ36" s="165">
        <f t="shared" si="1"/>
        <v>0</v>
      </c>
      <c r="CR36" s="341">
        <f t="shared" si="2"/>
        <v>0</v>
      </c>
      <c r="CS36" s="327"/>
    </row>
    <row r="37" spans="1:97">
      <c r="A37" s="29" t="s">
        <v>409</v>
      </c>
      <c r="B37" s="162" t="str">
        <f>IFERROR(VLOOKUP(ParticipationMars1[[#This Row],[Référence]],ListeÉtudiants1[],18,FALSE),"")</f>
        <v>BRIAND OCEANE</v>
      </c>
      <c r="C37" s="19"/>
      <c r="D37" s="19"/>
      <c r="E37" s="19"/>
      <c r="F37" s="19"/>
      <c r="G37" s="19"/>
      <c r="H37" s="19"/>
      <c r="I37" s="19"/>
      <c r="J37" s="19"/>
      <c r="K37" s="19"/>
      <c r="L37" s="19"/>
      <c r="M37" s="19"/>
      <c r="N37" s="19" t="s">
        <v>531</v>
      </c>
      <c r="O37" s="19"/>
      <c r="P37" s="19" t="s">
        <v>507</v>
      </c>
      <c r="Q37" s="19" t="s">
        <v>109</v>
      </c>
      <c r="R37" s="19"/>
      <c r="S37" s="19"/>
      <c r="T37" s="19"/>
      <c r="U37" s="19"/>
      <c r="V37" s="19"/>
      <c r="W37" s="19" t="s">
        <v>488</v>
      </c>
      <c r="X37" s="19" t="s">
        <v>488</v>
      </c>
      <c r="Y37" s="19" t="s">
        <v>507</v>
      </c>
      <c r="Z37" s="19"/>
      <c r="AA37" s="19"/>
      <c r="AB37" s="19"/>
      <c r="AC37" s="19"/>
      <c r="AD37" s="19"/>
      <c r="AE37" s="19"/>
      <c r="AF37" s="19"/>
      <c r="AG37" s="144"/>
      <c r="AH37" s="6">
        <f>COUNTIF(ParticipationMars1[[#This Row],[1]:[31]],Code1)</f>
        <v>0</v>
      </c>
      <c r="AI37" s="6">
        <f>COUNTIF(ParticipationMars1[[#This Row],[1]:[31]],code22)</f>
        <v>0</v>
      </c>
      <c r="AJ37" s="30">
        <f>COUNTIF(ParticipationMars1[[#This Row],[1]:[31]],Code2)</f>
        <v>0</v>
      </c>
      <c r="AK37" s="30">
        <f>COUNTIF(ParticipationMars1[[#This Row],[1]:[31]],Code3)</f>
        <v>0</v>
      </c>
      <c r="AL37" s="30">
        <f>COUNTIF(ParticipationMars1[[#This Row],[1]:[31]],Code4)</f>
        <v>0</v>
      </c>
      <c r="AM37" s="30">
        <f>COUNTIF(ParticipationMars1[[#This Row],[1]:[31]],Code5)</f>
        <v>0</v>
      </c>
      <c r="AN37" s="30">
        <f>COUNTIF(ParticipationMars1[[#This Row],[1]:[31]],Code23)</f>
        <v>0</v>
      </c>
      <c r="AO37" s="30">
        <f>COUNTIF(ParticipationMars1[[#This Row],[1]:[31]],Code6)</f>
        <v>0</v>
      </c>
      <c r="AP37" s="30">
        <f>COUNTIF(ParticipationMars1[[#This Row],[1]:[31]],Code7)</f>
        <v>1</v>
      </c>
      <c r="AQ37" s="30">
        <f>COUNTIF(ParticipationMars1[[#This Row],[1]:[31]],Code8)</f>
        <v>0</v>
      </c>
      <c r="AR37" s="30">
        <f>COUNTIF(ParticipationMars1[[#This Row],[1]:[31]],Code9)</f>
        <v>0</v>
      </c>
      <c r="AS37" s="30">
        <f>COUNTIF(ParticipationMars1[[#This Row],[1]:[31]],Code10)</f>
        <v>0</v>
      </c>
      <c r="AT37" s="30">
        <f>COUNTIF(ParticipationMars1[[#This Row],[1]:[31]],Code11)</f>
        <v>0</v>
      </c>
      <c r="AU37" s="30">
        <f>COUNTIF(ParticipationMars1[[#This Row],[1]:[31]],Code12)</f>
        <v>0</v>
      </c>
      <c r="AV37" s="30">
        <f>COUNTIF(ParticipationMars1[[#This Row],[1]:[31]],Code13)</f>
        <v>0</v>
      </c>
      <c r="AW37" s="30">
        <f>COUNTIF(ParticipationMars1[[#This Row],[1]:[31]],Code14)</f>
        <v>0</v>
      </c>
      <c r="AX37" s="30">
        <f>COUNTIF(ParticipationMars1[[#This Row],[1]:[31]],Code15)</f>
        <v>0</v>
      </c>
      <c r="AY37" s="30">
        <f>COUNTIF(ParticipationMars1[[#This Row],[1]:[31]],Code16)</f>
        <v>0</v>
      </c>
      <c r="AZ37" s="30">
        <f>COUNTIF(ParticipationMars1[[#This Row],[1]:[31]],Code17)</f>
        <v>0</v>
      </c>
      <c r="BA37" s="307">
        <f>COUNTIF(ParticipationMars1[[#This Row],[1]:[31]],Code26)</f>
        <v>0</v>
      </c>
      <c r="BB37" s="30">
        <f>COUNTIF(ParticipationMars1[[#This Row],[1]:[31]],Code25)</f>
        <v>0</v>
      </c>
      <c r="BC37" s="30">
        <f>COUNTIF(ParticipationMars1[[#This Row],[1]:[31]],code21)</f>
        <v>0</v>
      </c>
      <c r="BD37" s="30">
        <f>COUNTIF(ParticipationMars1[[#This Row],[1]:[31]],Code24)</f>
        <v>0</v>
      </c>
      <c r="BE37" s="30">
        <f>COUNTIF(ParticipationMars1[[#This Row],[1]:[31]],code18)</f>
        <v>0</v>
      </c>
      <c r="BF37" s="30">
        <f>COUNTIF(ParticipationMars1[[#This Row],[1]:[31]],code19)</f>
        <v>0</v>
      </c>
      <c r="BG37" s="164">
        <f>COUNTIF(ParticipationMars1[[#This Row],[1]:[31]],code20)</f>
        <v>0</v>
      </c>
      <c r="BH37" s="297"/>
      <c r="BI37" s="297">
        <v>1</v>
      </c>
      <c r="BJ37" s="297"/>
      <c r="BK37" s="297"/>
      <c r="BL37" s="297"/>
      <c r="BM37" s="297"/>
      <c r="BN37" s="297"/>
      <c r="BO37" s="297">
        <v>2</v>
      </c>
      <c r="BP37" s="297"/>
      <c r="BQ37" s="297"/>
      <c r="BR37" s="297">
        <v>4</v>
      </c>
      <c r="BS37" s="297"/>
      <c r="BT37" s="297"/>
      <c r="BU37" s="297"/>
      <c r="BV37" s="297"/>
      <c r="BW37" s="297"/>
      <c r="BX37" s="297"/>
      <c r="BY37" s="297"/>
      <c r="BZ37" s="297"/>
      <c r="CA37" s="297"/>
      <c r="CB37" s="297">
        <v>2</v>
      </c>
      <c r="CC37" s="297"/>
      <c r="CD37" s="297"/>
      <c r="CE37" s="297"/>
      <c r="CF37" s="297"/>
      <c r="CG37" s="297"/>
      <c r="CH37" s="297"/>
      <c r="CI37" s="297"/>
      <c r="CJ37" s="297"/>
      <c r="CK37" s="297"/>
      <c r="CL37" s="297"/>
      <c r="CM37" s="297"/>
      <c r="CN37" s="307"/>
      <c r="CO37" s="300"/>
      <c r="CP37" s="165">
        <f t="shared" si="0"/>
        <v>5</v>
      </c>
      <c r="CQ37" s="165">
        <f t="shared" si="1"/>
        <v>4</v>
      </c>
      <c r="CR37" s="249">
        <f t="shared" si="2"/>
        <v>0</v>
      </c>
      <c r="CS37" s="170">
        <f>SUM((BE37*7)+(BF37*10)+(BG37*12))</f>
        <v>0</v>
      </c>
    </row>
    <row r="38" spans="1:97">
      <c r="A38" s="29" t="s">
        <v>410</v>
      </c>
      <c r="B38" s="162" t="str">
        <f>IFERROR(VLOOKUP(ParticipationMars1[[#This Row],[Référence]],ListeÉtudiants1[],18,FALSE),"")</f>
        <v>BRITES TRACA ELODIE</v>
      </c>
      <c r="C38" s="19"/>
      <c r="D38" s="19"/>
      <c r="E38" s="19"/>
      <c r="F38" s="19"/>
      <c r="G38" s="19"/>
      <c r="H38" s="19"/>
      <c r="I38" s="19"/>
      <c r="J38" s="19"/>
      <c r="K38" s="19"/>
      <c r="L38" s="19"/>
      <c r="M38" s="19"/>
      <c r="N38" s="19"/>
      <c r="O38" s="19"/>
      <c r="P38" s="19"/>
      <c r="Q38" s="19" t="s">
        <v>529</v>
      </c>
      <c r="R38" s="19"/>
      <c r="S38" s="19"/>
      <c r="T38" s="19"/>
      <c r="U38" s="19"/>
      <c r="V38" s="19" t="s">
        <v>529</v>
      </c>
      <c r="W38" s="19"/>
      <c r="X38" s="19" t="s">
        <v>488</v>
      </c>
      <c r="Y38" s="19"/>
      <c r="Z38" s="19"/>
      <c r="AA38" s="19"/>
      <c r="AB38" s="19"/>
      <c r="AC38" s="19"/>
      <c r="AD38" s="19"/>
      <c r="AE38" s="19"/>
      <c r="AF38" s="19"/>
      <c r="AG38" s="144"/>
      <c r="AH38" s="6">
        <f>COUNTIF(ParticipationMars1[[#This Row],[1]:[31]],Code1)</f>
        <v>0</v>
      </c>
      <c r="AI38" s="331">
        <f>COUNTIF(ParticipationMars1[[#This Row],[1]:[31]],code22)</f>
        <v>0</v>
      </c>
      <c r="AJ38" s="30">
        <f>COUNTIF(ParticipationMars1[[#This Row],[1]:[31]],Code2)</f>
        <v>0</v>
      </c>
      <c r="AK38" s="30">
        <f>COUNTIF(ParticipationMars1[[#This Row],[1]:[31]],Code3)</f>
        <v>0</v>
      </c>
      <c r="AL38" s="30">
        <f>COUNTIF(ParticipationMars1[[#This Row],[1]:[31]],Code4)</f>
        <v>0</v>
      </c>
      <c r="AM38" s="307">
        <f>COUNTIF(ParticipationMars1[[#This Row],[1]:[31]],Code5)</f>
        <v>0</v>
      </c>
      <c r="AN38" s="307">
        <f>COUNTIF(ParticipationMars1[[#This Row],[1]:[31]],Code23)</f>
        <v>0</v>
      </c>
      <c r="AO38" s="307">
        <f>COUNTIF(ParticipationMars1[[#This Row],[1]:[31]],Code6)</f>
        <v>0</v>
      </c>
      <c r="AP38" s="307">
        <f>COUNTIF(ParticipationMars1[[#This Row],[1]:[31]],Code7)</f>
        <v>0</v>
      </c>
      <c r="AQ38" s="307">
        <f>COUNTIF(ParticipationMars1[[#This Row],[1]:[31]],Code8)</f>
        <v>0</v>
      </c>
      <c r="AR38" s="307">
        <f>COUNTIF(ParticipationMars1[[#This Row],[1]:[31]],Code9)</f>
        <v>0</v>
      </c>
      <c r="AS38" s="307">
        <f>COUNTIF(ParticipationMars1[[#This Row],[1]:[31]],Code10)</f>
        <v>0</v>
      </c>
      <c r="AT38" s="307">
        <f>COUNTIF(ParticipationMars1[[#This Row],[1]:[31]],Code11)</f>
        <v>0</v>
      </c>
      <c r="AU38" s="307">
        <f>COUNTIF(ParticipationMars1[[#This Row],[1]:[31]],Code12)</f>
        <v>0</v>
      </c>
      <c r="AV38" s="307">
        <f>COUNTIF(ParticipationMars1[[#This Row],[1]:[31]],Code13)</f>
        <v>0</v>
      </c>
      <c r="AW38" s="307">
        <f>COUNTIF(ParticipationMars1[[#This Row],[1]:[31]],Code14)</f>
        <v>0</v>
      </c>
      <c r="AX38" s="307">
        <f>COUNTIF(ParticipationMars1[[#This Row],[1]:[31]],Code15)</f>
        <v>0</v>
      </c>
      <c r="AY38" s="307">
        <f>COUNTIF(ParticipationMars1[[#This Row],[1]:[31]],Code16)</f>
        <v>0</v>
      </c>
      <c r="AZ38" s="307">
        <f>COUNTIF(ParticipationMars1[[#This Row],[1]:[31]],Code17)</f>
        <v>0</v>
      </c>
      <c r="BA38" s="307">
        <f>COUNTIF(ParticipationMars1[[#This Row],[1]:[31]],Code26)</f>
        <v>0</v>
      </c>
      <c r="BB38" s="307">
        <f>COUNTIF(ParticipationMars1[[#This Row],[1]:[31]],Code25)</f>
        <v>0</v>
      </c>
      <c r="BC38" s="307">
        <f>COUNTIF(ParticipationMars1[[#This Row],[1]:[31]],code21)</f>
        <v>0</v>
      </c>
      <c r="BD38" s="307">
        <f>COUNTIF(ParticipationMars1[[#This Row],[1]:[31]],Code24)</f>
        <v>0</v>
      </c>
      <c r="BE38" s="307">
        <f>COUNTIF(ParticipationMars1[[#This Row],[1]:[31]],code18)</f>
        <v>0</v>
      </c>
      <c r="BF38" s="307">
        <f>COUNTIF(ParticipationMars1[[#This Row],[1]:[31]],code19)</f>
        <v>0</v>
      </c>
      <c r="BG38" s="300">
        <f>COUNTIF(ParticipationMars1[[#This Row],[1]:[31]],code20)</f>
        <v>0</v>
      </c>
      <c r="BH38" s="297"/>
      <c r="BI38" s="297">
        <v>1</v>
      </c>
      <c r="BJ38" s="297"/>
      <c r="BK38" s="297"/>
      <c r="BL38" s="297"/>
      <c r="BM38" s="297"/>
      <c r="BN38" s="297"/>
      <c r="BO38" s="297"/>
      <c r="BP38" s="297"/>
      <c r="BQ38" s="297"/>
      <c r="BR38" s="297">
        <v>1</v>
      </c>
      <c r="BS38" s="297"/>
      <c r="BT38" s="297"/>
      <c r="BU38" s="297"/>
      <c r="BV38" s="297"/>
      <c r="BW38" s="297"/>
      <c r="BX38" s="297"/>
      <c r="BY38" s="297"/>
      <c r="BZ38" s="297"/>
      <c r="CA38" s="297"/>
      <c r="CB38" s="297">
        <v>1</v>
      </c>
      <c r="CC38" s="297"/>
      <c r="CD38" s="297"/>
      <c r="CE38" s="297"/>
      <c r="CF38" s="297"/>
      <c r="CG38" s="297"/>
      <c r="CH38" s="297"/>
      <c r="CI38" s="297"/>
      <c r="CJ38" s="297"/>
      <c r="CK38" s="297"/>
      <c r="CL38" s="297"/>
      <c r="CM38" s="297"/>
      <c r="CN38" s="307"/>
      <c r="CO38" s="300"/>
      <c r="CP38" s="165">
        <f t="shared" si="0"/>
        <v>0</v>
      </c>
      <c r="CQ38" s="165">
        <f t="shared" si="1"/>
        <v>0</v>
      </c>
      <c r="CR38" s="341">
        <f t="shared" si="2"/>
        <v>0</v>
      </c>
      <c r="CS38" s="327"/>
    </row>
    <row r="39" spans="1:97">
      <c r="A39" s="29" t="s">
        <v>411</v>
      </c>
      <c r="B39" s="162" t="str">
        <f>IFERROR(VLOOKUP(ParticipationMars1[[#This Row],[Référence]],ListeÉtudiants1[],18,FALSE),"")</f>
        <v>BRONZE  MARINE</v>
      </c>
      <c r="C39" s="19"/>
      <c r="D39" s="19"/>
      <c r="E39" s="19"/>
      <c r="F39" s="19"/>
      <c r="G39" s="19"/>
      <c r="H39" s="19"/>
      <c r="I39" s="19"/>
      <c r="J39" s="19"/>
      <c r="K39" s="19"/>
      <c r="L39" s="19"/>
      <c r="M39" s="19"/>
      <c r="N39" s="19"/>
      <c r="O39" s="19"/>
      <c r="P39" s="19" t="s">
        <v>35</v>
      </c>
      <c r="Q39" s="19" t="s">
        <v>109</v>
      </c>
      <c r="R39" s="19"/>
      <c r="S39" s="19"/>
      <c r="T39" s="19"/>
      <c r="U39" s="19" t="s">
        <v>108</v>
      </c>
      <c r="V39" s="19"/>
      <c r="W39" s="19" t="s">
        <v>488</v>
      </c>
      <c r="X39" s="19" t="s">
        <v>488</v>
      </c>
      <c r="Y39" s="19"/>
      <c r="Z39" s="19"/>
      <c r="AA39" s="19"/>
      <c r="AB39" s="19"/>
      <c r="AC39" s="19"/>
      <c r="AD39" s="19"/>
      <c r="AE39" s="19"/>
      <c r="AF39" s="19"/>
      <c r="AG39" s="144"/>
      <c r="AH39" s="6">
        <f>COUNTIF(ParticipationMars1[[#This Row],[1]:[31]],Code1)</f>
        <v>0</v>
      </c>
      <c r="AI39" s="331">
        <f>COUNTIF(ParticipationMars1[[#This Row],[1]:[31]],code22)</f>
        <v>0</v>
      </c>
      <c r="AJ39" s="30">
        <f>COUNTIF(ParticipationMars1[[#This Row],[1]:[31]],Code2)</f>
        <v>0</v>
      </c>
      <c r="AK39" s="30">
        <f>COUNTIF(ParticipationMars1[[#This Row],[1]:[31]],Code3)</f>
        <v>0</v>
      </c>
      <c r="AL39" s="30">
        <f>COUNTIF(ParticipationMars1[[#This Row],[1]:[31]],Code4)</f>
        <v>0</v>
      </c>
      <c r="AM39" s="307">
        <f>COUNTIF(ParticipationMars1[[#This Row],[1]:[31]],Code5)</f>
        <v>0</v>
      </c>
      <c r="AN39" s="307">
        <f>COUNTIF(ParticipationMars1[[#This Row],[1]:[31]],Code23)</f>
        <v>0</v>
      </c>
      <c r="AO39" s="307">
        <f>COUNTIF(ParticipationMars1[[#This Row],[1]:[31]],Code6)</f>
        <v>0</v>
      </c>
      <c r="AP39" s="307">
        <f>COUNTIF(ParticipationMars1[[#This Row],[1]:[31]],Code7)</f>
        <v>0</v>
      </c>
      <c r="AQ39" s="307">
        <f>COUNTIF(ParticipationMars1[[#This Row],[1]:[31]],Code8)</f>
        <v>0</v>
      </c>
      <c r="AR39" s="307">
        <f>COUNTIF(ParticipationMars1[[#This Row],[1]:[31]],Code9)</f>
        <v>0</v>
      </c>
      <c r="AS39" s="307">
        <f>COUNTIF(ParticipationMars1[[#This Row],[1]:[31]],Code10)</f>
        <v>0</v>
      </c>
      <c r="AT39" s="307">
        <f>COUNTIF(ParticipationMars1[[#This Row],[1]:[31]],Code11)</f>
        <v>0</v>
      </c>
      <c r="AU39" s="307">
        <f>COUNTIF(ParticipationMars1[[#This Row],[1]:[31]],Code12)</f>
        <v>0</v>
      </c>
      <c r="AV39" s="307">
        <f>COUNTIF(ParticipationMars1[[#This Row],[1]:[31]],Code13)</f>
        <v>0</v>
      </c>
      <c r="AW39" s="307">
        <f>COUNTIF(ParticipationMars1[[#This Row],[1]:[31]],Code14)</f>
        <v>0</v>
      </c>
      <c r="AX39" s="307">
        <f>COUNTIF(ParticipationMars1[[#This Row],[1]:[31]],Code15)</f>
        <v>0</v>
      </c>
      <c r="AY39" s="307">
        <f>COUNTIF(ParticipationMars1[[#This Row],[1]:[31]],Code16)</f>
        <v>0</v>
      </c>
      <c r="AZ39" s="307">
        <f>COUNTIF(ParticipationMars1[[#This Row],[1]:[31]],Code17)</f>
        <v>0</v>
      </c>
      <c r="BA39" s="307">
        <f>COUNTIF(ParticipationMars1[[#This Row],[1]:[31]],Code26)</f>
        <v>0</v>
      </c>
      <c r="BB39" s="30">
        <f>COUNTIF(ParticipationMars1[[#This Row],[1]:[31]],Code25)</f>
        <v>0</v>
      </c>
      <c r="BC39" s="307">
        <f>COUNTIF(ParticipationMars1[[#This Row],[1]:[31]],code21)</f>
        <v>0</v>
      </c>
      <c r="BD39" s="307">
        <f>COUNTIF(ParticipationMars1[[#This Row],[1]:[31]],Code24)</f>
        <v>0</v>
      </c>
      <c r="BE39" s="307">
        <f>COUNTIF(ParticipationMars1[[#This Row],[1]:[31]],code18)</f>
        <v>0</v>
      </c>
      <c r="BF39" s="307">
        <f>COUNTIF(ParticipationMars1[[#This Row],[1]:[31]],code19)</f>
        <v>0</v>
      </c>
      <c r="BG39" s="300">
        <f>COUNTIF(ParticipationMars1[[#This Row],[1]:[31]],code20)</f>
        <v>0</v>
      </c>
      <c r="BH39" s="297"/>
      <c r="BI39" s="297">
        <v>1</v>
      </c>
      <c r="BJ39" s="297"/>
      <c r="BK39" s="297"/>
      <c r="BL39" s="297"/>
      <c r="BM39" s="297"/>
      <c r="BN39" s="297"/>
      <c r="BO39" s="297">
        <v>2</v>
      </c>
      <c r="BP39" s="297"/>
      <c r="BQ39" s="297"/>
      <c r="BR39" s="297">
        <v>3</v>
      </c>
      <c r="BS39" s="297"/>
      <c r="BT39" s="297"/>
      <c r="BU39" s="297"/>
      <c r="BV39" s="297"/>
      <c r="BW39" s="297"/>
      <c r="BX39" s="297"/>
      <c r="BY39" s="297"/>
      <c r="BZ39" s="297"/>
      <c r="CA39" s="297"/>
      <c r="CB39" s="297">
        <v>2</v>
      </c>
      <c r="CC39" s="297"/>
      <c r="CD39" s="297"/>
      <c r="CE39" s="297"/>
      <c r="CF39" s="297"/>
      <c r="CG39" s="297"/>
      <c r="CH39" s="297"/>
      <c r="CI39" s="297"/>
      <c r="CJ39" s="297"/>
      <c r="CK39" s="297"/>
      <c r="CL39" s="297"/>
      <c r="CM39" s="297"/>
      <c r="CN39" s="307"/>
      <c r="CO39" s="300"/>
      <c r="CP39" s="165">
        <f t="shared" si="0"/>
        <v>0</v>
      </c>
      <c r="CQ39" s="165">
        <f t="shared" si="1"/>
        <v>0</v>
      </c>
      <c r="CR39" s="249">
        <f t="shared" si="2"/>
        <v>0</v>
      </c>
      <c r="CS39" s="327"/>
    </row>
    <row r="40" spans="1:97">
      <c r="A40" s="29" t="s">
        <v>415</v>
      </c>
      <c r="B40" s="162" t="str">
        <f>IFERROR(VLOOKUP(ParticipationMars1[[#This Row],[Référence]],ListeÉtudiants1[],18,FALSE),"")</f>
        <v>CAMISON VICTORIA</v>
      </c>
      <c r="C40" s="19"/>
      <c r="D40" s="19"/>
      <c r="E40" s="19"/>
      <c r="F40" s="19"/>
      <c r="G40" s="19"/>
      <c r="H40" s="19"/>
      <c r="I40" s="19"/>
      <c r="J40" s="19"/>
      <c r="K40" s="19"/>
      <c r="L40" s="19"/>
      <c r="M40" s="19"/>
      <c r="N40" s="19"/>
      <c r="O40" s="19"/>
      <c r="P40" s="19"/>
      <c r="Q40" s="19" t="s">
        <v>529</v>
      </c>
      <c r="R40" s="19"/>
      <c r="S40" s="19"/>
      <c r="T40" s="19"/>
      <c r="U40" s="19"/>
      <c r="V40" s="19" t="s">
        <v>529</v>
      </c>
      <c r="W40" s="19"/>
      <c r="X40" s="19" t="s">
        <v>488</v>
      </c>
      <c r="Y40" s="19"/>
      <c r="Z40" s="19"/>
      <c r="AA40" s="19"/>
      <c r="AB40" s="19"/>
      <c r="AC40" s="19"/>
      <c r="AD40" s="19"/>
      <c r="AE40" s="19"/>
      <c r="AF40" s="19"/>
      <c r="AG40" s="144"/>
      <c r="AH40" s="6">
        <f>COUNTIF(ParticipationMars1[[#This Row],[1]:[31]],Code1)</f>
        <v>0</v>
      </c>
      <c r="AI40" s="331">
        <f>COUNTIF(ParticipationMars1[[#This Row],[1]:[31]],code22)</f>
        <v>0</v>
      </c>
      <c r="AJ40" s="30">
        <f>COUNTIF(ParticipationMars1[[#This Row],[1]:[31]],Code2)</f>
        <v>0</v>
      </c>
      <c r="AK40" s="30">
        <f>COUNTIF(ParticipationMars1[[#This Row],[1]:[31]],Code3)</f>
        <v>1</v>
      </c>
      <c r="AL40" s="30">
        <f>COUNTIF(ParticipationMars1[[#This Row],[1]:[31]],Code4)</f>
        <v>1</v>
      </c>
      <c r="AM40" s="307">
        <f>COUNTIF(ParticipationMars1[[#This Row],[1]:[31]],Code5)</f>
        <v>0</v>
      </c>
      <c r="AN40" s="307">
        <f>COUNTIF(ParticipationMars1[[#This Row],[1]:[31]],Code23)</f>
        <v>3</v>
      </c>
      <c r="AO40" s="307">
        <f>COUNTIF(ParticipationMars1[[#This Row],[1]:[31]],Code6)</f>
        <v>0</v>
      </c>
      <c r="AP40" s="307">
        <f>COUNTIF(ParticipationMars1[[#This Row],[1]:[31]],Code7)</f>
        <v>2</v>
      </c>
      <c r="AQ40" s="307">
        <f>COUNTIF(ParticipationMars1[[#This Row],[1]:[31]],Code8)</f>
        <v>0</v>
      </c>
      <c r="AR40" s="307">
        <f>COUNTIF(ParticipationMars1[[#This Row],[1]:[31]],Code9)</f>
        <v>0</v>
      </c>
      <c r="AS40" s="307">
        <f>COUNTIF(ParticipationMars1[[#This Row],[1]:[31]],Code10)</f>
        <v>0</v>
      </c>
      <c r="AT40" s="307">
        <f>COUNTIF(ParticipationMars1[[#This Row],[1]:[31]],Code11)</f>
        <v>0</v>
      </c>
      <c r="AU40" s="307">
        <f>COUNTIF(ParticipationMars1[[#This Row],[1]:[31]],Code12)</f>
        <v>0</v>
      </c>
      <c r="AV40" s="307">
        <f>COUNTIF(ParticipationMars1[[#This Row],[1]:[31]],Code13)</f>
        <v>0</v>
      </c>
      <c r="AW40" s="307">
        <f>COUNTIF(ParticipationMars1[[#This Row],[1]:[31]],Code14)</f>
        <v>1</v>
      </c>
      <c r="AX40" s="307">
        <f>COUNTIF(ParticipationMars1[[#This Row],[1]:[31]],Code15)</f>
        <v>0</v>
      </c>
      <c r="AY40" s="307">
        <f>COUNTIF(ParticipationMars1[[#This Row],[1]:[31]],Code16)</f>
        <v>0</v>
      </c>
      <c r="AZ40" s="307">
        <f>COUNTIF(ParticipationMars1[[#This Row],[1]:[31]],Code17)</f>
        <v>0</v>
      </c>
      <c r="BA40" s="307">
        <f>COUNTIF(ParticipationMars1[[#This Row],[1]:[31]],Code26)</f>
        <v>0</v>
      </c>
      <c r="BB40" s="307">
        <f>COUNTIF(ParticipationMars1[[#This Row],[1]:[31]],Code25)</f>
        <v>1</v>
      </c>
      <c r="BC40" s="307">
        <f>COUNTIF(ParticipationMars1[[#This Row],[1]:[31]],code21)</f>
        <v>1</v>
      </c>
      <c r="BD40" s="307">
        <f>COUNTIF(ParticipationMars1[[#This Row],[1]:[31]],Code24)</f>
        <v>0</v>
      </c>
      <c r="BE40" s="307">
        <f>COUNTIF(ParticipationMars1[[#This Row],[1]:[31]],code18)</f>
        <v>0</v>
      </c>
      <c r="BF40" s="307">
        <f>COUNTIF(ParticipationMars1[[#This Row],[1]:[31]],code19)</f>
        <v>0</v>
      </c>
      <c r="BG40" s="300">
        <f>COUNTIF(ParticipationMars1[[#This Row],[1]:[31]],code20)</f>
        <v>0</v>
      </c>
      <c r="BH40" s="297"/>
      <c r="BI40" s="297">
        <v>1</v>
      </c>
      <c r="BJ40" s="297"/>
      <c r="BK40" s="297"/>
      <c r="BL40" s="297"/>
      <c r="BM40" s="297"/>
      <c r="BN40" s="297"/>
      <c r="BO40" s="297"/>
      <c r="BP40" s="297"/>
      <c r="BQ40" s="297"/>
      <c r="BR40" s="297">
        <v>1</v>
      </c>
      <c r="BS40" s="297"/>
      <c r="BT40" s="297"/>
      <c r="BU40" s="297"/>
      <c r="BV40" s="297"/>
      <c r="BW40" s="297"/>
      <c r="BX40" s="297"/>
      <c r="BY40" s="297"/>
      <c r="BZ40" s="297"/>
      <c r="CA40" s="297"/>
      <c r="CB40" s="297">
        <v>1</v>
      </c>
      <c r="CC40" s="297"/>
      <c r="CD40" s="297"/>
      <c r="CE40" s="297"/>
      <c r="CF40" s="297"/>
      <c r="CG40" s="297"/>
      <c r="CH40" s="297"/>
      <c r="CI40" s="297"/>
      <c r="CJ40" s="297"/>
      <c r="CK40" s="297"/>
      <c r="CL40" s="297"/>
      <c r="CM40" s="297"/>
      <c r="CN40" s="307"/>
      <c r="CO40" s="300"/>
      <c r="CP40" s="165">
        <f t="shared" si="0"/>
        <v>18</v>
      </c>
      <c r="CQ40" s="165">
        <f t="shared" si="1"/>
        <v>24</v>
      </c>
      <c r="CR40" s="341">
        <f t="shared" si="2"/>
        <v>0</v>
      </c>
      <c r="CS40" s="327"/>
    </row>
    <row r="41" spans="1:97">
      <c r="A41" s="29" t="s">
        <v>416</v>
      </c>
      <c r="B41" s="162" t="str">
        <f>IFERROR(VLOOKUP(ParticipationMars1[[#This Row],[Référence]],ListeÉtudiants1[],18,FALSE),"")</f>
        <v>CEBIN AMANDINE</v>
      </c>
      <c r="C41" s="19"/>
      <c r="D41" s="19"/>
      <c r="E41" s="19"/>
      <c r="F41" s="19"/>
      <c r="G41" s="19"/>
      <c r="H41" s="19"/>
      <c r="I41" s="19"/>
      <c r="J41" s="19"/>
      <c r="K41" s="19"/>
      <c r="L41" s="19"/>
      <c r="M41" s="19"/>
      <c r="N41" s="19"/>
      <c r="O41" s="19"/>
      <c r="P41" s="19"/>
      <c r="Q41" s="19" t="s">
        <v>109</v>
      </c>
      <c r="R41" s="19"/>
      <c r="S41" s="19"/>
      <c r="T41" s="19"/>
      <c r="U41" s="19"/>
      <c r="V41" s="19"/>
      <c r="W41" s="19" t="s">
        <v>529</v>
      </c>
      <c r="X41" s="19"/>
      <c r="Y41" s="19" t="s">
        <v>35</v>
      </c>
      <c r="Z41" s="19"/>
      <c r="AA41" s="19"/>
      <c r="AB41" s="19"/>
      <c r="AC41" s="19"/>
      <c r="AD41" s="19"/>
      <c r="AE41" s="19"/>
      <c r="AF41" s="19"/>
      <c r="AG41" s="144"/>
      <c r="AH41" s="6">
        <f>COUNTIF(ParticipationMars1[[#This Row],[1]:[31]],Code1)</f>
        <v>0</v>
      </c>
      <c r="AI41" s="331">
        <f>COUNTIF(ParticipationMars1[[#This Row],[1]:[31]],code22)</f>
        <v>0</v>
      </c>
      <c r="AJ41" s="30">
        <f>COUNTIF(ParticipationMars1[[#This Row],[1]:[31]],Code2)</f>
        <v>0</v>
      </c>
      <c r="AK41" s="30">
        <f>COUNTIF(ParticipationMars1[[#This Row],[1]:[31]],Code3)</f>
        <v>0</v>
      </c>
      <c r="AL41" s="30">
        <f>COUNTIF(ParticipationMars1[[#This Row],[1]:[31]],Code4)</f>
        <v>0</v>
      </c>
      <c r="AM41" s="307">
        <f>COUNTIF(ParticipationMars1[[#This Row],[1]:[31]],Code5)</f>
        <v>0</v>
      </c>
      <c r="AN41" s="307">
        <f>COUNTIF(ParticipationMars1[[#This Row],[1]:[31]],Code23)</f>
        <v>0</v>
      </c>
      <c r="AO41" s="307">
        <f>COUNTIF(ParticipationMars1[[#This Row],[1]:[31]],Code6)</f>
        <v>0</v>
      </c>
      <c r="AP41" s="307">
        <f>COUNTIF(ParticipationMars1[[#This Row],[1]:[31]],Code7)</f>
        <v>0</v>
      </c>
      <c r="AQ41" s="307">
        <f>COUNTIF(ParticipationMars1[[#This Row],[1]:[31]],Code8)</f>
        <v>0</v>
      </c>
      <c r="AR41" s="307">
        <f>COUNTIF(ParticipationMars1[[#This Row],[1]:[31]],Code9)</f>
        <v>0</v>
      </c>
      <c r="AS41" s="307">
        <f>COUNTIF(ParticipationMars1[[#This Row],[1]:[31]],Code10)</f>
        <v>0</v>
      </c>
      <c r="AT41" s="307">
        <f>COUNTIF(ParticipationMars1[[#This Row],[1]:[31]],Code11)</f>
        <v>0</v>
      </c>
      <c r="AU41" s="307">
        <f>COUNTIF(ParticipationMars1[[#This Row],[1]:[31]],Code12)</f>
        <v>0</v>
      </c>
      <c r="AV41" s="307">
        <f>COUNTIF(ParticipationMars1[[#This Row],[1]:[31]],Code13)</f>
        <v>0</v>
      </c>
      <c r="AW41" s="307">
        <f>COUNTIF(ParticipationMars1[[#This Row],[1]:[31]],Code14)</f>
        <v>0</v>
      </c>
      <c r="AX41" s="307">
        <f>COUNTIF(ParticipationMars1[[#This Row],[1]:[31]],Code15)</f>
        <v>0</v>
      </c>
      <c r="AY41" s="307">
        <f>COUNTIF(ParticipationMars1[[#This Row],[1]:[31]],Code16)</f>
        <v>0</v>
      </c>
      <c r="AZ41" s="307">
        <f>COUNTIF(ParticipationMars1[[#This Row],[1]:[31]],Code17)</f>
        <v>0</v>
      </c>
      <c r="BA41" s="307">
        <f>COUNTIF(ParticipationMars1[[#This Row],[1]:[31]],Code26)</f>
        <v>0</v>
      </c>
      <c r="BB41" s="307">
        <f>COUNTIF(ParticipationMars1[[#This Row],[1]:[31]],Code25)</f>
        <v>0</v>
      </c>
      <c r="BC41" s="307">
        <f>COUNTIF(ParticipationMars1[[#This Row],[1]:[31]],code21)</f>
        <v>0</v>
      </c>
      <c r="BD41" s="307">
        <f>COUNTIF(ParticipationMars1[[#This Row],[1]:[31]],Code24)</f>
        <v>0</v>
      </c>
      <c r="BE41" s="307">
        <f>COUNTIF(ParticipationMars1[[#This Row],[1]:[31]],code18)</f>
        <v>0</v>
      </c>
      <c r="BF41" s="307">
        <f>COUNTIF(ParticipationMars1[[#This Row],[1]:[31]],code19)</f>
        <v>0</v>
      </c>
      <c r="BG41" s="300">
        <f>COUNTIF(ParticipationMars1[[#This Row],[1]:[31]],code20)</f>
        <v>0</v>
      </c>
      <c r="BH41" s="297"/>
      <c r="BI41" s="297"/>
      <c r="BJ41" s="297"/>
      <c r="BK41" s="297"/>
      <c r="BL41" s="297"/>
      <c r="BM41" s="297"/>
      <c r="BN41" s="297"/>
      <c r="BO41" s="297">
        <v>1</v>
      </c>
      <c r="BP41" s="297"/>
      <c r="BQ41" s="297"/>
      <c r="BR41" s="297">
        <v>3</v>
      </c>
      <c r="BS41" s="297"/>
      <c r="BT41" s="297"/>
      <c r="BU41" s="297"/>
      <c r="BV41" s="297"/>
      <c r="BW41" s="297"/>
      <c r="BX41" s="297"/>
      <c r="BY41" s="297"/>
      <c r="BZ41" s="297"/>
      <c r="CA41" s="297"/>
      <c r="CB41" s="297"/>
      <c r="CC41" s="297"/>
      <c r="CD41" s="297"/>
      <c r="CE41" s="297"/>
      <c r="CF41" s="297"/>
      <c r="CG41" s="297"/>
      <c r="CH41" s="297"/>
      <c r="CI41" s="297"/>
      <c r="CJ41" s="297"/>
      <c r="CK41" s="297"/>
      <c r="CL41" s="297"/>
      <c r="CM41" s="297"/>
      <c r="CN41" s="307"/>
      <c r="CO41" s="300"/>
      <c r="CP41" s="165">
        <f t="shared" si="0"/>
        <v>0</v>
      </c>
      <c r="CQ41" s="165">
        <f t="shared" si="1"/>
        <v>0</v>
      </c>
      <c r="CR41" s="341">
        <f t="shared" si="2"/>
        <v>0</v>
      </c>
      <c r="CS41" s="327"/>
    </row>
    <row r="42" spans="1:97">
      <c r="A42" s="29" t="s">
        <v>417</v>
      </c>
      <c r="B42" s="162" t="str">
        <f>IFERROR(VLOOKUP(ParticipationMars1[[#This Row],[Référence]],ListeÉtudiants1[],18,FALSE),"")</f>
        <v>CHARPAGNE MORGANE</v>
      </c>
      <c r="C42" s="19"/>
      <c r="D42" s="19"/>
      <c r="E42" s="19"/>
      <c r="F42" s="19"/>
      <c r="G42" s="19"/>
      <c r="H42" s="19"/>
      <c r="I42" s="19"/>
      <c r="J42" s="19"/>
      <c r="K42" s="19"/>
      <c r="L42" s="19"/>
      <c r="M42" s="19"/>
      <c r="N42" s="19"/>
      <c r="O42" s="19"/>
      <c r="P42" s="19" t="s">
        <v>35</v>
      </c>
      <c r="Q42" s="19" t="s">
        <v>109</v>
      </c>
      <c r="R42" s="19"/>
      <c r="S42" s="19"/>
      <c r="T42" s="19"/>
      <c r="U42" s="19"/>
      <c r="V42" s="19"/>
      <c r="W42" s="19"/>
      <c r="X42" s="19"/>
      <c r="Y42" s="19" t="s">
        <v>507</v>
      </c>
      <c r="Z42" s="19"/>
      <c r="AA42" s="19"/>
      <c r="AB42" s="19"/>
      <c r="AC42" s="19"/>
      <c r="AD42" s="19"/>
      <c r="AE42" s="19"/>
      <c r="AF42" s="19"/>
      <c r="AG42" s="144"/>
      <c r="AH42" s="6">
        <f>COUNTIF(ParticipationMars1[[#This Row],[1]:[31]],Code1)</f>
        <v>0</v>
      </c>
      <c r="AI42" s="331">
        <f>COUNTIF(ParticipationMars1[[#This Row],[1]:[31]],code22)</f>
        <v>0</v>
      </c>
      <c r="AJ42" s="30">
        <f>COUNTIF(ParticipationMars1[[#This Row],[1]:[31]],Code2)</f>
        <v>0</v>
      </c>
      <c r="AK42" s="30">
        <f>COUNTIF(ParticipationMars1[[#This Row],[1]:[31]],Code3)</f>
        <v>0</v>
      </c>
      <c r="AL42" s="30">
        <f>COUNTIF(ParticipationMars1[[#This Row],[1]:[31]],Code4)</f>
        <v>0</v>
      </c>
      <c r="AM42" s="307">
        <f>COUNTIF(ParticipationMars1[[#This Row],[1]:[31]],Code5)</f>
        <v>0</v>
      </c>
      <c r="AN42" s="307">
        <f>COUNTIF(ParticipationMars1[[#This Row],[1]:[31]],Code23)</f>
        <v>0</v>
      </c>
      <c r="AO42" s="307">
        <f>COUNTIF(ParticipationMars1[[#This Row],[1]:[31]],Code6)</f>
        <v>0</v>
      </c>
      <c r="AP42" s="307">
        <f>COUNTIF(ParticipationMars1[[#This Row],[1]:[31]],Code7)</f>
        <v>0</v>
      </c>
      <c r="AQ42" s="307">
        <f>COUNTIF(ParticipationMars1[[#This Row],[1]:[31]],Code8)</f>
        <v>0</v>
      </c>
      <c r="AR42" s="307">
        <f>COUNTIF(ParticipationMars1[[#This Row],[1]:[31]],Code9)</f>
        <v>0</v>
      </c>
      <c r="AS42" s="307">
        <f>COUNTIF(ParticipationMars1[[#This Row],[1]:[31]],Code10)</f>
        <v>0</v>
      </c>
      <c r="AT42" s="307">
        <f>COUNTIF(ParticipationMars1[[#This Row],[1]:[31]],Code11)</f>
        <v>0</v>
      </c>
      <c r="AU42" s="307">
        <f>COUNTIF(ParticipationMars1[[#This Row],[1]:[31]],Code12)</f>
        <v>0</v>
      </c>
      <c r="AV42" s="307">
        <f>COUNTIF(ParticipationMars1[[#This Row],[1]:[31]],Code13)</f>
        <v>0</v>
      </c>
      <c r="AW42" s="307">
        <f>COUNTIF(ParticipationMars1[[#This Row],[1]:[31]],Code14)</f>
        <v>0</v>
      </c>
      <c r="AX42" s="307">
        <f>COUNTIF(ParticipationMars1[[#This Row],[1]:[31]],Code15)</f>
        <v>0</v>
      </c>
      <c r="AY42" s="307">
        <f>COUNTIF(ParticipationMars1[[#This Row],[1]:[31]],Code16)</f>
        <v>0</v>
      </c>
      <c r="AZ42" s="307">
        <f>COUNTIF(ParticipationMars1[[#This Row],[1]:[31]],Code17)</f>
        <v>0</v>
      </c>
      <c r="BA42" s="307">
        <f>COUNTIF(ParticipationMars1[[#This Row],[1]:[31]],Code26)</f>
        <v>0</v>
      </c>
      <c r="BB42" s="30">
        <f>COUNTIF(ParticipationMars1[[#This Row],[1]:[31]],Code25)</f>
        <v>0</v>
      </c>
      <c r="BC42" s="307">
        <f>COUNTIF(ParticipationMars1[[#This Row],[1]:[31]],code21)</f>
        <v>0</v>
      </c>
      <c r="BD42" s="307">
        <f>COUNTIF(ParticipationMars1[[#This Row],[1]:[31]],Code24)</f>
        <v>0</v>
      </c>
      <c r="BE42" s="307">
        <f>COUNTIF(ParticipationMars1[[#This Row],[1]:[31]],code18)</f>
        <v>0</v>
      </c>
      <c r="BF42" s="307">
        <f>COUNTIF(ParticipationMars1[[#This Row],[1]:[31]],code19)</f>
        <v>0</v>
      </c>
      <c r="BG42" s="300">
        <f>COUNTIF(ParticipationMars1[[#This Row],[1]:[31]],code20)</f>
        <v>0</v>
      </c>
      <c r="BH42" s="297"/>
      <c r="BI42" s="297"/>
      <c r="BJ42" s="297"/>
      <c r="BK42" s="297"/>
      <c r="BL42" s="297"/>
      <c r="BM42" s="297"/>
      <c r="BN42" s="297"/>
      <c r="BO42" s="297">
        <v>1</v>
      </c>
      <c r="BP42" s="297"/>
      <c r="BQ42" s="297"/>
      <c r="BR42" s="297">
        <v>2</v>
      </c>
      <c r="BS42" s="297"/>
      <c r="BT42" s="297"/>
      <c r="BU42" s="297"/>
      <c r="BV42" s="297"/>
      <c r="BW42" s="297"/>
      <c r="BX42" s="297"/>
      <c r="BY42" s="297"/>
      <c r="BZ42" s="297"/>
      <c r="CA42" s="297"/>
      <c r="CB42" s="297">
        <v>1</v>
      </c>
      <c r="CC42" s="297"/>
      <c r="CD42" s="297"/>
      <c r="CE42" s="297"/>
      <c r="CF42" s="297"/>
      <c r="CG42" s="297"/>
      <c r="CH42" s="297"/>
      <c r="CI42" s="297"/>
      <c r="CJ42" s="297"/>
      <c r="CK42" s="297"/>
      <c r="CL42" s="297"/>
      <c r="CM42" s="297"/>
      <c r="CN42" s="307"/>
      <c r="CO42" s="300"/>
      <c r="CP42" s="165">
        <f t="shared" si="0"/>
        <v>0</v>
      </c>
      <c r="CQ42" s="165">
        <f t="shared" si="1"/>
        <v>0</v>
      </c>
      <c r="CR42" s="249">
        <f t="shared" si="2"/>
        <v>0</v>
      </c>
      <c r="CS42" s="327"/>
    </row>
    <row r="43" spans="1:97">
      <c r="A43" s="29" t="s">
        <v>418</v>
      </c>
      <c r="B43" s="162" t="str">
        <f>IFERROR(VLOOKUP(ParticipationMars1[[#This Row],[Référence]],ListeÉtudiants1[],18,FALSE),"")</f>
        <v>CIRACI AYLA</v>
      </c>
      <c r="C43" s="19"/>
      <c r="D43" s="19"/>
      <c r="E43" s="19"/>
      <c r="F43" s="19"/>
      <c r="G43" s="19"/>
      <c r="H43" s="19"/>
      <c r="I43" s="19"/>
      <c r="J43" s="19"/>
      <c r="K43" s="19"/>
      <c r="L43" s="19"/>
      <c r="M43" s="19"/>
      <c r="N43" s="19"/>
      <c r="O43" s="19"/>
      <c r="P43" s="19"/>
      <c r="Q43" s="19" t="s">
        <v>529</v>
      </c>
      <c r="R43" s="19"/>
      <c r="S43" s="19"/>
      <c r="T43" s="19"/>
      <c r="U43" s="19"/>
      <c r="V43" s="19" t="s">
        <v>529</v>
      </c>
      <c r="W43" s="19"/>
      <c r="X43" s="19" t="s">
        <v>109</v>
      </c>
      <c r="Y43" s="19"/>
      <c r="Z43" s="19"/>
      <c r="AA43" s="19"/>
      <c r="AB43" s="19"/>
      <c r="AC43" s="19"/>
      <c r="AD43" s="19"/>
      <c r="AE43" s="19"/>
      <c r="AF43" s="19"/>
      <c r="AG43" s="144"/>
      <c r="AH43" s="6">
        <f>COUNTIF(ParticipationMars1[[#This Row],[1]:[31]],Code1)</f>
        <v>0</v>
      </c>
      <c r="AI43" s="331">
        <f>COUNTIF(ParticipationMars1[[#This Row],[1]:[31]],code22)</f>
        <v>0</v>
      </c>
      <c r="AJ43" s="30">
        <f>COUNTIF(ParticipationMars1[[#This Row],[1]:[31]],Code2)</f>
        <v>0</v>
      </c>
      <c r="AK43" s="30">
        <f>COUNTIF(ParticipationMars1[[#This Row],[1]:[31]],Code3)</f>
        <v>0</v>
      </c>
      <c r="AL43" s="30">
        <f>COUNTIF(ParticipationMars1[[#This Row],[1]:[31]],Code4)</f>
        <v>0</v>
      </c>
      <c r="AM43" s="307">
        <f>COUNTIF(ParticipationMars1[[#This Row],[1]:[31]],Code5)</f>
        <v>0</v>
      </c>
      <c r="AN43" s="307">
        <f>COUNTIF(ParticipationMars1[[#This Row],[1]:[31]],Code23)</f>
        <v>0</v>
      </c>
      <c r="AO43" s="307">
        <f>COUNTIF(ParticipationMars1[[#This Row],[1]:[31]],Code6)</f>
        <v>0</v>
      </c>
      <c r="AP43" s="307">
        <f>COUNTIF(ParticipationMars1[[#This Row],[1]:[31]],Code7)</f>
        <v>0</v>
      </c>
      <c r="AQ43" s="307">
        <f>COUNTIF(ParticipationMars1[[#This Row],[1]:[31]],Code8)</f>
        <v>0</v>
      </c>
      <c r="AR43" s="307">
        <f>COUNTIF(ParticipationMars1[[#This Row],[1]:[31]],Code9)</f>
        <v>0</v>
      </c>
      <c r="AS43" s="307">
        <f>COUNTIF(ParticipationMars1[[#This Row],[1]:[31]],Code10)</f>
        <v>0</v>
      </c>
      <c r="AT43" s="307">
        <f>COUNTIF(ParticipationMars1[[#This Row],[1]:[31]],Code11)</f>
        <v>0</v>
      </c>
      <c r="AU43" s="307">
        <f>COUNTIF(ParticipationMars1[[#This Row],[1]:[31]],Code12)</f>
        <v>0</v>
      </c>
      <c r="AV43" s="307">
        <f>COUNTIF(ParticipationMars1[[#This Row],[1]:[31]],Code13)</f>
        <v>0</v>
      </c>
      <c r="AW43" s="307">
        <f>COUNTIF(ParticipationMars1[[#This Row],[1]:[31]],Code14)</f>
        <v>0</v>
      </c>
      <c r="AX43" s="307">
        <f>COUNTIF(ParticipationMars1[[#This Row],[1]:[31]],Code15)</f>
        <v>0</v>
      </c>
      <c r="AY43" s="307">
        <f>COUNTIF(ParticipationMars1[[#This Row],[1]:[31]],Code16)</f>
        <v>0</v>
      </c>
      <c r="AZ43" s="307">
        <f>COUNTIF(ParticipationMars1[[#This Row],[1]:[31]],Code17)</f>
        <v>0</v>
      </c>
      <c r="BA43" s="307">
        <f>COUNTIF(ParticipationMars1[[#This Row],[1]:[31]],Code26)</f>
        <v>0</v>
      </c>
      <c r="BB43" s="307">
        <f>COUNTIF(ParticipationMars1[[#This Row],[1]:[31]],Code25)</f>
        <v>0</v>
      </c>
      <c r="BC43" s="307">
        <f>COUNTIF(ParticipationMars1[[#This Row],[1]:[31]],code21)</f>
        <v>0</v>
      </c>
      <c r="BD43" s="307">
        <f>COUNTIF(ParticipationMars1[[#This Row],[1]:[31]],Code24)</f>
        <v>0</v>
      </c>
      <c r="BE43" s="307">
        <f>COUNTIF(ParticipationMars1[[#This Row],[1]:[31]],code18)</f>
        <v>0</v>
      </c>
      <c r="BF43" s="307">
        <f>COUNTIF(ParticipationMars1[[#This Row],[1]:[31]],code19)</f>
        <v>0</v>
      </c>
      <c r="BG43" s="300">
        <f>COUNTIF(ParticipationMars1[[#This Row],[1]:[31]],code20)</f>
        <v>0</v>
      </c>
      <c r="BH43" s="297"/>
      <c r="BI43" s="297">
        <v>1</v>
      </c>
      <c r="BJ43" s="297"/>
      <c r="BK43" s="297"/>
      <c r="BL43" s="297"/>
      <c r="BM43" s="297"/>
      <c r="BN43" s="297"/>
      <c r="BO43" s="297"/>
      <c r="BP43" s="297"/>
      <c r="BQ43" s="297"/>
      <c r="BR43" s="297">
        <v>1</v>
      </c>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307"/>
      <c r="CO43" s="300"/>
      <c r="CP43" s="165">
        <f t="shared" si="0"/>
        <v>0</v>
      </c>
      <c r="CQ43" s="165">
        <f t="shared" si="1"/>
        <v>0</v>
      </c>
      <c r="CR43" s="341">
        <f t="shared" si="2"/>
        <v>0</v>
      </c>
      <c r="CS43" s="327"/>
    </row>
    <row r="44" spans="1:97">
      <c r="A44" s="29" t="s">
        <v>419</v>
      </c>
      <c r="B44" s="162" t="str">
        <f>IFERROR(VLOOKUP(ParticipationMars1[[#This Row],[Référence]],ListeÉtudiants1[],18,FALSE),"")</f>
        <v>CLARY VERONIQUE</v>
      </c>
      <c r="C44" s="19"/>
      <c r="D44" s="19"/>
      <c r="E44" s="19"/>
      <c r="F44" s="19"/>
      <c r="G44" s="19"/>
      <c r="H44" s="19"/>
      <c r="I44" s="19"/>
      <c r="J44" s="19"/>
      <c r="K44" s="19"/>
      <c r="L44" s="19"/>
      <c r="M44" s="19"/>
      <c r="N44" s="19"/>
      <c r="O44" s="19"/>
      <c r="P44" s="19"/>
      <c r="Q44" s="19" t="s">
        <v>108</v>
      </c>
      <c r="R44" s="19"/>
      <c r="S44" s="19"/>
      <c r="T44" s="19"/>
      <c r="U44" s="19"/>
      <c r="V44" s="19"/>
      <c r="W44" s="19"/>
      <c r="X44" s="19"/>
      <c r="Y44" s="19"/>
      <c r="Z44" s="19"/>
      <c r="AA44" s="19"/>
      <c r="AB44" s="19"/>
      <c r="AC44" s="19"/>
      <c r="AD44" s="19"/>
      <c r="AE44" s="19"/>
      <c r="AF44" s="19"/>
      <c r="AG44" s="144"/>
      <c r="AH44" s="6">
        <f>COUNTIF(ParticipationMars1[[#This Row],[1]:[31]],Code1)</f>
        <v>0</v>
      </c>
      <c r="AI44" s="331">
        <f>COUNTIF(ParticipationMars1[[#This Row],[1]:[31]],code22)</f>
        <v>0</v>
      </c>
      <c r="AJ44" s="30">
        <f>COUNTIF(ParticipationMars1[[#This Row],[1]:[31]],Code2)</f>
        <v>0</v>
      </c>
      <c r="AK44" s="30">
        <f>COUNTIF(ParticipationMars1[[#This Row],[1]:[31]],Code3)</f>
        <v>0</v>
      </c>
      <c r="AL44" s="30">
        <f>COUNTIF(ParticipationMars1[[#This Row],[1]:[31]],Code4)</f>
        <v>0</v>
      </c>
      <c r="AM44" s="307">
        <f>COUNTIF(ParticipationMars1[[#This Row],[1]:[31]],Code5)</f>
        <v>0</v>
      </c>
      <c r="AN44" s="307">
        <f>COUNTIF(ParticipationMars1[[#This Row],[1]:[31]],Code23)</f>
        <v>0</v>
      </c>
      <c r="AO44" s="307">
        <f>COUNTIF(ParticipationMars1[[#This Row],[1]:[31]],Code6)</f>
        <v>0</v>
      </c>
      <c r="AP44" s="307">
        <f>COUNTIF(ParticipationMars1[[#This Row],[1]:[31]],Code7)</f>
        <v>0</v>
      </c>
      <c r="AQ44" s="307">
        <f>COUNTIF(ParticipationMars1[[#This Row],[1]:[31]],Code8)</f>
        <v>0</v>
      </c>
      <c r="AR44" s="307">
        <f>COUNTIF(ParticipationMars1[[#This Row],[1]:[31]],Code9)</f>
        <v>0</v>
      </c>
      <c r="AS44" s="307">
        <f>COUNTIF(ParticipationMars1[[#This Row],[1]:[31]],Code10)</f>
        <v>0</v>
      </c>
      <c r="AT44" s="307">
        <f>COUNTIF(ParticipationMars1[[#This Row],[1]:[31]],Code11)</f>
        <v>0</v>
      </c>
      <c r="AU44" s="307">
        <f>COUNTIF(ParticipationMars1[[#This Row],[1]:[31]],Code12)</f>
        <v>0</v>
      </c>
      <c r="AV44" s="307">
        <f>COUNTIF(ParticipationMars1[[#This Row],[1]:[31]],Code13)</f>
        <v>0</v>
      </c>
      <c r="AW44" s="307">
        <f>COUNTIF(ParticipationMars1[[#This Row],[1]:[31]],Code14)</f>
        <v>0</v>
      </c>
      <c r="AX44" s="307">
        <f>COUNTIF(ParticipationMars1[[#This Row],[1]:[31]],Code15)</f>
        <v>0</v>
      </c>
      <c r="AY44" s="307">
        <f>COUNTIF(ParticipationMars1[[#This Row],[1]:[31]],Code16)</f>
        <v>0</v>
      </c>
      <c r="AZ44" s="307">
        <f>COUNTIF(ParticipationMars1[[#This Row],[1]:[31]],Code17)</f>
        <v>0</v>
      </c>
      <c r="BA44" s="307">
        <f>COUNTIF(ParticipationMars1[[#This Row],[1]:[31]],Code26)</f>
        <v>0</v>
      </c>
      <c r="BB44" s="307">
        <f>COUNTIF(ParticipationMars1[[#This Row],[1]:[31]],Code25)</f>
        <v>0</v>
      </c>
      <c r="BC44" s="307">
        <f>COUNTIF(ParticipationMars1[[#This Row],[1]:[31]],code21)</f>
        <v>0</v>
      </c>
      <c r="BD44" s="307">
        <f>COUNTIF(ParticipationMars1[[#This Row],[1]:[31]],Code24)</f>
        <v>0</v>
      </c>
      <c r="BE44" s="307">
        <f>COUNTIF(ParticipationMars1[[#This Row],[1]:[31]],code18)</f>
        <v>0</v>
      </c>
      <c r="BF44" s="307">
        <f>COUNTIF(ParticipationMars1[[#This Row],[1]:[31]],code19)</f>
        <v>0</v>
      </c>
      <c r="BG44" s="300">
        <f>COUNTIF(ParticipationMars1[[#This Row],[1]:[31]],code20)</f>
        <v>0</v>
      </c>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307"/>
      <c r="CO44" s="300"/>
      <c r="CP44" s="165">
        <f t="shared" si="0"/>
        <v>0</v>
      </c>
      <c r="CQ44" s="165">
        <f t="shared" si="1"/>
        <v>0</v>
      </c>
      <c r="CR44" s="341">
        <f t="shared" si="2"/>
        <v>0</v>
      </c>
      <c r="CS44" s="327"/>
    </row>
    <row r="45" spans="1:97">
      <c r="A45" s="29" t="s">
        <v>420</v>
      </c>
      <c r="B45" s="162" t="str">
        <f>IFERROR(VLOOKUP(ParticipationMars1[[#This Row],[Référence]],ListeÉtudiants1[],18,FALSE),"")</f>
        <v>CLAUDIN LAURENE</v>
      </c>
      <c r="C45" s="19"/>
      <c r="D45" s="19"/>
      <c r="E45" s="19"/>
      <c r="F45" s="19"/>
      <c r="G45" s="19"/>
      <c r="H45" s="19"/>
      <c r="I45" s="19"/>
      <c r="J45" s="19"/>
      <c r="K45" s="19"/>
      <c r="L45" s="19"/>
      <c r="M45" s="19"/>
      <c r="N45" s="19"/>
      <c r="O45" s="19"/>
      <c r="P45" s="19"/>
      <c r="Q45" s="19" t="s">
        <v>109</v>
      </c>
      <c r="R45" s="19"/>
      <c r="S45" s="19"/>
      <c r="T45" s="19"/>
      <c r="U45" s="19"/>
      <c r="V45" s="19"/>
      <c r="W45" s="19"/>
      <c r="X45" s="19" t="s">
        <v>488</v>
      </c>
      <c r="Y45" s="19"/>
      <c r="Z45" s="19"/>
      <c r="AA45" s="19"/>
      <c r="AB45" s="19"/>
      <c r="AC45" s="19"/>
      <c r="AD45" s="19"/>
      <c r="AE45" s="19"/>
      <c r="AF45" s="19"/>
      <c r="AG45" s="144"/>
      <c r="AH45" s="6">
        <f>COUNTIF(ParticipationMars1[[#This Row],[1]:[31]],Code1)</f>
        <v>0</v>
      </c>
      <c r="AI45" s="331">
        <f>COUNTIF(ParticipationMars1[[#This Row],[1]:[31]],code22)</f>
        <v>0</v>
      </c>
      <c r="AJ45" s="30">
        <f>COUNTIF(ParticipationMars1[[#This Row],[1]:[31]],Code2)</f>
        <v>0</v>
      </c>
      <c r="AK45" s="30">
        <f>COUNTIF(ParticipationMars1[[#This Row],[1]:[31]],Code3)</f>
        <v>0</v>
      </c>
      <c r="AL45" s="30">
        <f>COUNTIF(ParticipationMars1[[#This Row],[1]:[31]],Code4)</f>
        <v>0</v>
      </c>
      <c r="AM45" s="307">
        <f>COUNTIF(ParticipationMars1[[#This Row],[1]:[31]],Code5)</f>
        <v>0</v>
      </c>
      <c r="AN45" s="307">
        <f>COUNTIF(ParticipationMars1[[#This Row],[1]:[31]],Code23)</f>
        <v>0</v>
      </c>
      <c r="AO45" s="307">
        <f>COUNTIF(ParticipationMars1[[#This Row],[1]:[31]],Code6)</f>
        <v>0</v>
      </c>
      <c r="AP45" s="307">
        <f>COUNTIF(ParticipationMars1[[#This Row],[1]:[31]],Code7)</f>
        <v>0</v>
      </c>
      <c r="AQ45" s="307">
        <f>COUNTIF(ParticipationMars1[[#This Row],[1]:[31]],Code8)</f>
        <v>0</v>
      </c>
      <c r="AR45" s="307">
        <f>COUNTIF(ParticipationMars1[[#This Row],[1]:[31]],Code9)</f>
        <v>0</v>
      </c>
      <c r="AS45" s="307">
        <f>COUNTIF(ParticipationMars1[[#This Row],[1]:[31]],Code10)</f>
        <v>0</v>
      </c>
      <c r="AT45" s="307">
        <f>COUNTIF(ParticipationMars1[[#This Row],[1]:[31]],Code11)</f>
        <v>0</v>
      </c>
      <c r="AU45" s="307">
        <f>COUNTIF(ParticipationMars1[[#This Row],[1]:[31]],Code12)</f>
        <v>0</v>
      </c>
      <c r="AV45" s="307">
        <f>COUNTIF(ParticipationMars1[[#This Row],[1]:[31]],Code13)</f>
        <v>0</v>
      </c>
      <c r="AW45" s="307">
        <f>COUNTIF(ParticipationMars1[[#This Row],[1]:[31]],Code14)</f>
        <v>0</v>
      </c>
      <c r="AX45" s="307">
        <f>COUNTIF(ParticipationMars1[[#This Row],[1]:[31]],Code15)</f>
        <v>0</v>
      </c>
      <c r="AY45" s="307">
        <f>COUNTIF(ParticipationMars1[[#This Row],[1]:[31]],Code16)</f>
        <v>0</v>
      </c>
      <c r="AZ45" s="307">
        <f>COUNTIF(ParticipationMars1[[#This Row],[1]:[31]],Code17)</f>
        <v>0</v>
      </c>
      <c r="BA45" s="307">
        <f>COUNTIF(ParticipationMars1[[#This Row],[1]:[31]],Code26)</f>
        <v>0</v>
      </c>
      <c r="BB45" s="307">
        <f>COUNTIF(ParticipationMars1[[#This Row],[1]:[31]],Code25)</f>
        <v>0</v>
      </c>
      <c r="BC45" s="307">
        <f>COUNTIF(ParticipationMars1[[#This Row],[1]:[31]],code21)</f>
        <v>0</v>
      </c>
      <c r="BD45" s="307">
        <f>COUNTIF(ParticipationMars1[[#This Row],[1]:[31]],Code24)</f>
        <v>0</v>
      </c>
      <c r="BE45" s="307">
        <f>COUNTIF(ParticipationMars1[[#This Row],[1]:[31]],code18)</f>
        <v>0</v>
      </c>
      <c r="BF45" s="307">
        <f>COUNTIF(ParticipationMars1[[#This Row],[1]:[31]],code19)</f>
        <v>0</v>
      </c>
      <c r="BG45" s="300">
        <f>COUNTIF(ParticipationMars1[[#This Row],[1]:[31]],code20)</f>
        <v>0</v>
      </c>
      <c r="BH45" s="297"/>
      <c r="BI45" s="297">
        <v>1</v>
      </c>
      <c r="BJ45" s="297"/>
      <c r="BK45" s="297"/>
      <c r="BL45" s="297"/>
      <c r="BM45" s="297"/>
      <c r="BN45" s="297"/>
      <c r="BO45" s="297">
        <v>1</v>
      </c>
      <c r="BP45" s="297"/>
      <c r="BQ45" s="297"/>
      <c r="BR45" s="297">
        <v>1</v>
      </c>
      <c r="BS45" s="297"/>
      <c r="BT45" s="297"/>
      <c r="BU45" s="297"/>
      <c r="BV45" s="297"/>
      <c r="BW45" s="297"/>
      <c r="BX45" s="297"/>
      <c r="BY45" s="297"/>
      <c r="BZ45" s="297"/>
      <c r="CA45" s="297"/>
      <c r="CB45" s="297">
        <v>1</v>
      </c>
      <c r="CC45" s="297"/>
      <c r="CD45" s="297"/>
      <c r="CE45" s="297"/>
      <c r="CF45" s="297"/>
      <c r="CG45" s="297"/>
      <c r="CH45" s="297"/>
      <c r="CI45" s="297"/>
      <c r="CJ45" s="297"/>
      <c r="CK45" s="297"/>
      <c r="CL45" s="297"/>
      <c r="CM45" s="297"/>
      <c r="CN45" s="307"/>
      <c r="CO45" s="300"/>
      <c r="CP45" s="165">
        <f t="shared" si="0"/>
        <v>0</v>
      </c>
      <c r="CQ45" s="165">
        <f t="shared" si="1"/>
        <v>0</v>
      </c>
      <c r="CR45" s="341">
        <f t="shared" si="2"/>
        <v>0</v>
      </c>
      <c r="CS45" s="327"/>
    </row>
    <row r="46" spans="1:97">
      <c r="A46" s="29" t="s">
        <v>425</v>
      </c>
      <c r="B46" s="162" t="str">
        <f>IFERROR(VLOOKUP(ParticipationMars1[[#This Row],[Référence]],ListeÉtudiants1[],18,FALSE),"")</f>
        <v>CORDEREIX MARIE</v>
      </c>
      <c r="C46" s="19"/>
      <c r="D46" s="19"/>
      <c r="E46" s="19"/>
      <c r="F46" s="19"/>
      <c r="G46" s="19"/>
      <c r="H46" s="19"/>
      <c r="I46" s="19"/>
      <c r="J46" s="19"/>
      <c r="K46" s="19"/>
      <c r="L46" s="19"/>
      <c r="M46" s="19"/>
      <c r="N46" s="19"/>
      <c r="O46" s="19"/>
      <c r="P46" s="19"/>
      <c r="Q46" s="19" t="s">
        <v>529</v>
      </c>
      <c r="R46" s="19"/>
      <c r="S46" s="19"/>
      <c r="T46" s="19"/>
      <c r="U46" s="19"/>
      <c r="V46" s="19"/>
      <c r="W46" s="19"/>
      <c r="X46" s="19"/>
      <c r="Y46" s="19"/>
      <c r="Z46" s="19"/>
      <c r="AA46" s="19"/>
      <c r="AB46" s="19"/>
      <c r="AC46" s="19"/>
      <c r="AD46" s="19"/>
      <c r="AE46" s="19"/>
      <c r="AF46" s="19"/>
      <c r="AG46" s="144"/>
      <c r="AH46" s="6">
        <f>COUNTIF(ParticipationMars1[[#This Row],[1]:[31]],Code1)</f>
        <v>0</v>
      </c>
      <c r="AI46" s="331">
        <f>COUNTIF(ParticipationMars1[[#This Row],[1]:[31]],code22)</f>
        <v>0</v>
      </c>
      <c r="AJ46" s="30">
        <f>COUNTIF(ParticipationMars1[[#This Row],[1]:[31]],Code2)</f>
        <v>0</v>
      </c>
      <c r="AK46" s="30">
        <f>COUNTIF(ParticipationMars1[[#This Row],[1]:[31]],Code3)</f>
        <v>0</v>
      </c>
      <c r="AL46" s="30">
        <f>COUNTIF(ParticipationMars1[[#This Row],[1]:[31]],Code4)</f>
        <v>0</v>
      </c>
      <c r="AM46" s="307">
        <f>COUNTIF(ParticipationMars1[[#This Row],[1]:[31]],Code5)</f>
        <v>1</v>
      </c>
      <c r="AN46" s="307">
        <f>COUNTIF(ParticipationMars1[[#This Row],[1]:[31]],Code23)</f>
        <v>1</v>
      </c>
      <c r="AO46" s="307">
        <f>COUNTIF(ParticipationMars1[[#This Row],[1]:[31]],Code6)</f>
        <v>0</v>
      </c>
      <c r="AP46" s="307">
        <f>COUNTIF(ParticipationMars1[[#This Row],[1]:[31]],Code7)</f>
        <v>1</v>
      </c>
      <c r="AQ46" s="307">
        <f>COUNTIF(ParticipationMars1[[#This Row],[1]:[31]],Code8)</f>
        <v>0</v>
      </c>
      <c r="AR46" s="307">
        <f>COUNTIF(ParticipationMars1[[#This Row],[1]:[31]],Code9)</f>
        <v>0</v>
      </c>
      <c r="AS46" s="307">
        <f>COUNTIF(ParticipationMars1[[#This Row],[1]:[31]],Code10)</f>
        <v>0</v>
      </c>
      <c r="AT46" s="307">
        <f>COUNTIF(ParticipationMars1[[#This Row],[1]:[31]],Code11)</f>
        <v>1</v>
      </c>
      <c r="AU46" s="307">
        <f>COUNTIF(ParticipationMars1[[#This Row],[1]:[31]],Code12)</f>
        <v>0</v>
      </c>
      <c r="AV46" s="307">
        <f>COUNTIF(ParticipationMars1[[#This Row],[1]:[31]],Code13)</f>
        <v>0</v>
      </c>
      <c r="AW46" s="307">
        <f>COUNTIF(ParticipationMars1[[#This Row],[1]:[31]],Code14)</f>
        <v>1</v>
      </c>
      <c r="AX46" s="307">
        <f>COUNTIF(ParticipationMars1[[#This Row],[1]:[31]],Code15)</f>
        <v>0</v>
      </c>
      <c r="AY46" s="307">
        <f>COUNTIF(ParticipationMars1[[#This Row],[1]:[31]],Code16)</f>
        <v>0</v>
      </c>
      <c r="AZ46" s="307">
        <f>COUNTIF(ParticipationMars1[[#This Row],[1]:[31]],Code17)</f>
        <v>0</v>
      </c>
      <c r="BA46" s="307">
        <f>COUNTIF(ParticipationMars1[[#This Row],[1]:[31]],Code26)</f>
        <v>0</v>
      </c>
      <c r="BB46" s="307">
        <f>COUNTIF(ParticipationMars1[[#This Row],[1]:[31]],Code25)</f>
        <v>0</v>
      </c>
      <c r="BC46" s="307">
        <f>COUNTIF(ParticipationMars1[[#This Row],[1]:[31]],code21)</f>
        <v>0</v>
      </c>
      <c r="BD46" s="307">
        <f>COUNTIF(ParticipationMars1[[#This Row],[1]:[31]],Code24)</f>
        <v>0</v>
      </c>
      <c r="BE46" s="307">
        <f>COUNTIF(ParticipationMars1[[#This Row],[1]:[31]],code18)</f>
        <v>0</v>
      </c>
      <c r="BF46" s="307">
        <f>COUNTIF(ParticipationMars1[[#This Row],[1]:[31]],code19)</f>
        <v>0</v>
      </c>
      <c r="BG46" s="300">
        <f>COUNTIF(ParticipationMars1[[#This Row],[1]:[31]],code20)</f>
        <v>0</v>
      </c>
      <c r="BH46" s="297"/>
      <c r="BI46" s="297"/>
      <c r="BJ46" s="297"/>
      <c r="BK46" s="297"/>
      <c r="BL46" s="297"/>
      <c r="BM46" s="297"/>
      <c r="BN46" s="297"/>
      <c r="BO46" s="297"/>
      <c r="BP46" s="297"/>
      <c r="BQ46" s="297"/>
      <c r="BR46" s="297">
        <v>1</v>
      </c>
      <c r="BS46" s="297"/>
      <c r="BT46" s="297"/>
      <c r="BU46" s="297"/>
      <c r="BV46" s="297"/>
      <c r="BW46" s="297"/>
      <c r="BX46" s="297"/>
      <c r="BY46" s="297"/>
      <c r="BZ46" s="297"/>
      <c r="CA46" s="297"/>
      <c r="CB46" s="297"/>
      <c r="CC46" s="297"/>
      <c r="CD46" s="297"/>
      <c r="CE46" s="297"/>
      <c r="CF46" s="297"/>
      <c r="CG46" s="297"/>
      <c r="CH46" s="297"/>
      <c r="CI46" s="297"/>
      <c r="CJ46" s="297"/>
      <c r="CK46" s="297"/>
      <c r="CL46" s="297"/>
      <c r="CM46" s="297"/>
      <c r="CN46" s="307"/>
      <c r="CO46" s="300"/>
      <c r="CP46" s="165">
        <f t="shared" si="0"/>
        <v>5</v>
      </c>
      <c r="CQ46" s="165">
        <f t="shared" si="1"/>
        <v>19</v>
      </c>
      <c r="CR46" s="341">
        <f t="shared" si="2"/>
        <v>0</v>
      </c>
      <c r="CS46" s="327"/>
    </row>
    <row r="47" spans="1:97">
      <c r="A47" s="29" t="s">
        <v>426</v>
      </c>
      <c r="B47" s="162" t="str">
        <f>IFERROR(VLOOKUP(ParticipationMars1[[#This Row],[Référence]],ListeÉtudiants1[],18,FALSE),"")</f>
        <v>CORNELIS  ESTELLE</v>
      </c>
      <c r="C47" s="19"/>
      <c r="D47" s="19"/>
      <c r="E47" s="19"/>
      <c r="F47" s="19"/>
      <c r="G47" s="19"/>
      <c r="H47" s="19"/>
      <c r="I47" s="19"/>
      <c r="J47" s="19"/>
      <c r="K47" s="19"/>
      <c r="L47" s="19"/>
      <c r="M47" s="19"/>
      <c r="N47" s="19"/>
      <c r="O47" s="19" t="s">
        <v>108</v>
      </c>
      <c r="P47" s="19"/>
      <c r="Q47" s="19" t="s">
        <v>108</v>
      </c>
      <c r="R47" s="19"/>
      <c r="S47" s="19"/>
      <c r="T47" s="19"/>
      <c r="U47" s="19"/>
      <c r="V47" s="19"/>
      <c r="W47" s="19"/>
      <c r="X47" s="19"/>
      <c r="Y47" s="19"/>
      <c r="Z47" s="19"/>
      <c r="AA47" s="19"/>
      <c r="AB47" s="19"/>
      <c r="AC47" s="19"/>
      <c r="AD47" s="19"/>
      <c r="AE47" s="19"/>
      <c r="AF47" s="19"/>
      <c r="AG47" s="144"/>
      <c r="AH47" s="6">
        <f>COUNTIF(ParticipationMars1[[#This Row],[1]:[31]],Code1)</f>
        <v>0</v>
      </c>
      <c r="AI47" s="6">
        <f>COUNTIF(ParticipationMars1[[#This Row],[1]:[31]],code22)</f>
        <v>0</v>
      </c>
      <c r="AJ47" s="30">
        <f>COUNTIF(ParticipationMars1[[#This Row],[1]:[31]],Code2)</f>
        <v>0</v>
      </c>
      <c r="AK47" s="30">
        <f>COUNTIF(ParticipationMars1[[#This Row],[1]:[31]],Code3)</f>
        <v>0</v>
      </c>
      <c r="AL47" s="30">
        <f>COUNTIF(ParticipationMars1[[#This Row],[1]:[31]],Code4)</f>
        <v>0</v>
      </c>
      <c r="AM47" s="30">
        <f>COUNTIF(ParticipationMars1[[#This Row],[1]:[31]],Code5)</f>
        <v>0</v>
      </c>
      <c r="AN47" s="30">
        <f>COUNTIF(ParticipationMars1[[#This Row],[1]:[31]],Code23)</f>
        <v>0</v>
      </c>
      <c r="AO47" s="30">
        <f>COUNTIF(ParticipationMars1[[#This Row],[1]:[31]],Code6)</f>
        <v>0</v>
      </c>
      <c r="AP47" s="30">
        <f>COUNTIF(ParticipationMars1[[#This Row],[1]:[31]],Code7)</f>
        <v>0</v>
      </c>
      <c r="AQ47" s="30">
        <f>COUNTIF(ParticipationMars1[[#This Row],[1]:[31]],Code8)</f>
        <v>0</v>
      </c>
      <c r="AR47" s="30">
        <f>COUNTIF(ParticipationMars1[[#This Row],[1]:[31]],Code9)</f>
        <v>0</v>
      </c>
      <c r="AS47" s="30">
        <f>COUNTIF(ParticipationMars1[[#This Row],[1]:[31]],Code10)</f>
        <v>0</v>
      </c>
      <c r="AT47" s="30">
        <f>COUNTIF(ParticipationMars1[[#This Row],[1]:[31]],Code11)</f>
        <v>0</v>
      </c>
      <c r="AU47" s="30">
        <f>COUNTIF(ParticipationMars1[[#This Row],[1]:[31]],Code12)</f>
        <v>0</v>
      </c>
      <c r="AV47" s="30">
        <f>COUNTIF(ParticipationMars1[[#This Row],[1]:[31]],Code13)</f>
        <v>0</v>
      </c>
      <c r="AW47" s="30">
        <f>COUNTIF(ParticipationMars1[[#This Row],[1]:[31]],Code14)</f>
        <v>0</v>
      </c>
      <c r="AX47" s="30">
        <f>COUNTIF(ParticipationMars1[[#This Row],[1]:[31]],Code15)</f>
        <v>0</v>
      </c>
      <c r="AY47" s="30">
        <f>COUNTIF(ParticipationMars1[[#This Row],[1]:[31]],Code16)</f>
        <v>0</v>
      </c>
      <c r="AZ47" s="30">
        <f>COUNTIF(ParticipationMars1[[#This Row],[1]:[31]],Code17)</f>
        <v>0</v>
      </c>
      <c r="BA47" s="307">
        <f>COUNTIF(ParticipationMars1[[#This Row],[1]:[31]],Code26)</f>
        <v>0</v>
      </c>
      <c r="BB47" s="30">
        <f>COUNTIF(ParticipationMars1[[#This Row],[1]:[31]],Code25)</f>
        <v>0</v>
      </c>
      <c r="BC47" s="30">
        <f>COUNTIF(ParticipationMars1[[#This Row],[1]:[31]],code21)</f>
        <v>0</v>
      </c>
      <c r="BD47" s="30">
        <f>COUNTIF(ParticipationMars1[[#This Row],[1]:[31]],Code24)</f>
        <v>0</v>
      </c>
      <c r="BE47" s="30">
        <f>COUNTIF(ParticipationMars1[[#This Row],[1]:[31]],code18)</f>
        <v>0</v>
      </c>
      <c r="BF47" s="30">
        <f>COUNTIF(ParticipationMars1[[#This Row],[1]:[31]],code19)</f>
        <v>0</v>
      </c>
      <c r="BG47" s="164">
        <f>COUNTIF(ParticipationMars1[[#This Row],[1]:[31]],code20)</f>
        <v>0</v>
      </c>
      <c r="BH47" s="297"/>
      <c r="BI47" s="297"/>
      <c r="BJ47" s="297"/>
      <c r="BK47" s="297"/>
      <c r="BL47" s="297"/>
      <c r="BM47" s="297"/>
      <c r="BN47" s="297"/>
      <c r="BO47" s="297">
        <v>1</v>
      </c>
      <c r="BP47" s="297"/>
      <c r="BQ47" s="297"/>
      <c r="BR47" s="297"/>
      <c r="BS47" s="297"/>
      <c r="BT47" s="297"/>
      <c r="BU47" s="297"/>
      <c r="BV47" s="297"/>
      <c r="BW47" s="297"/>
      <c r="BX47" s="297"/>
      <c r="BY47" s="297"/>
      <c r="BZ47" s="297"/>
      <c r="CA47" s="297"/>
      <c r="CB47" s="297"/>
      <c r="CC47" s="297"/>
      <c r="CD47" s="297"/>
      <c r="CE47" s="297"/>
      <c r="CF47" s="297"/>
      <c r="CG47" s="297"/>
      <c r="CH47" s="297"/>
      <c r="CI47" s="297"/>
      <c r="CJ47" s="297"/>
      <c r="CK47" s="297"/>
      <c r="CL47" s="297"/>
      <c r="CM47" s="297"/>
      <c r="CN47" s="307"/>
      <c r="CO47" s="300"/>
      <c r="CP47" s="165">
        <f t="shared" si="0"/>
        <v>0</v>
      </c>
      <c r="CQ47" s="165">
        <f t="shared" si="1"/>
        <v>0</v>
      </c>
      <c r="CR47" s="249">
        <f t="shared" si="2"/>
        <v>0</v>
      </c>
      <c r="CS47" s="170">
        <f>SUM((BE47*7)+(BF47*10)+(BG47*12))</f>
        <v>0</v>
      </c>
    </row>
    <row r="48" spans="1:97">
      <c r="A48" s="29" t="s">
        <v>427</v>
      </c>
      <c r="B48" s="162" t="str">
        <f>IFERROR(VLOOKUP(ParticipationMars1[[#This Row],[Référence]],ListeÉtudiants1[],18,FALSE),"")</f>
        <v>COULIBALY COLLO</v>
      </c>
      <c r="C48" s="19"/>
      <c r="D48" s="19"/>
      <c r="E48" s="19"/>
      <c r="F48" s="19"/>
      <c r="G48" s="19"/>
      <c r="H48" s="19"/>
      <c r="I48" s="19"/>
      <c r="J48" s="19"/>
      <c r="K48" s="19"/>
      <c r="L48" s="19"/>
      <c r="M48" s="19"/>
      <c r="N48" s="19"/>
      <c r="O48" s="19"/>
      <c r="P48" s="19" t="s">
        <v>35</v>
      </c>
      <c r="Q48" s="19" t="s">
        <v>109</v>
      </c>
      <c r="R48" s="19"/>
      <c r="S48" s="19"/>
      <c r="T48" s="19"/>
      <c r="U48" s="19"/>
      <c r="V48" s="19"/>
      <c r="W48" s="19" t="s">
        <v>108</v>
      </c>
      <c r="X48" s="19"/>
      <c r="Y48" s="19"/>
      <c r="Z48" s="19"/>
      <c r="AA48" s="19"/>
      <c r="AB48" s="19"/>
      <c r="AC48" s="19"/>
      <c r="AD48" s="19"/>
      <c r="AE48" s="19"/>
      <c r="AF48" s="19"/>
      <c r="AG48" s="144"/>
      <c r="AH48" s="6">
        <f>COUNTIF(ParticipationMars1[[#This Row],[1]:[31]],Code1)</f>
        <v>0</v>
      </c>
      <c r="AI48" s="331">
        <f>COUNTIF(ParticipationMars1[[#This Row],[1]:[31]],code22)</f>
        <v>0</v>
      </c>
      <c r="AJ48" s="30">
        <f>COUNTIF(ParticipationMars1[[#This Row],[1]:[31]],Code2)</f>
        <v>0</v>
      </c>
      <c r="AK48" s="30">
        <f>COUNTIF(ParticipationMars1[[#This Row],[1]:[31]],Code3)</f>
        <v>0</v>
      </c>
      <c r="AL48" s="30">
        <f>COUNTIF(ParticipationMars1[[#This Row],[1]:[31]],Code4)</f>
        <v>0</v>
      </c>
      <c r="AM48" s="307">
        <f>COUNTIF(ParticipationMars1[[#This Row],[1]:[31]],Code5)</f>
        <v>0</v>
      </c>
      <c r="AN48" s="307">
        <f>COUNTIF(ParticipationMars1[[#This Row],[1]:[31]],Code23)</f>
        <v>0</v>
      </c>
      <c r="AO48" s="307">
        <f>COUNTIF(ParticipationMars1[[#This Row],[1]:[31]],Code6)</f>
        <v>0</v>
      </c>
      <c r="AP48" s="307">
        <f>COUNTIF(ParticipationMars1[[#This Row],[1]:[31]],Code7)</f>
        <v>0</v>
      </c>
      <c r="AQ48" s="307">
        <f>COUNTIF(ParticipationMars1[[#This Row],[1]:[31]],Code8)</f>
        <v>0</v>
      </c>
      <c r="AR48" s="307">
        <f>COUNTIF(ParticipationMars1[[#This Row],[1]:[31]],Code9)</f>
        <v>0</v>
      </c>
      <c r="AS48" s="307">
        <f>COUNTIF(ParticipationMars1[[#This Row],[1]:[31]],Code10)</f>
        <v>0</v>
      </c>
      <c r="AT48" s="307">
        <f>COUNTIF(ParticipationMars1[[#This Row],[1]:[31]],Code11)</f>
        <v>0</v>
      </c>
      <c r="AU48" s="307">
        <f>COUNTIF(ParticipationMars1[[#This Row],[1]:[31]],Code12)</f>
        <v>0</v>
      </c>
      <c r="AV48" s="307">
        <f>COUNTIF(ParticipationMars1[[#This Row],[1]:[31]],Code13)</f>
        <v>0</v>
      </c>
      <c r="AW48" s="307">
        <f>COUNTIF(ParticipationMars1[[#This Row],[1]:[31]],Code14)</f>
        <v>0</v>
      </c>
      <c r="AX48" s="307">
        <f>COUNTIF(ParticipationMars1[[#This Row],[1]:[31]],Code15)</f>
        <v>0</v>
      </c>
      <c r="AY48" s="307">
        <f>COUNTIF(ParticipationMars1[[#This Row],[1]:[31]],Code16)</f>
        <v>0</v>
      </c>
      <c r="AZ48" s="307">
        <f>COUNTIF(ParticipationMars1[[#This Row],[1]:[31]],Code17)</f>
        <v>0</v>
      </c>
      <c r="BA48" s="307">
        <f>COUNTIF(ParticipationMars1[[#This Row],[1]:[31]],Code26)</f>
        <v>0</v>
      </c>
      <c r="BB48" s="30">
        <f>COUNTIF(ParticipationMars1[[#This Row],[1]:[31]],Code25)</f>
        <v>0</v>
      </c>
      <c r="BC48" s="307">
        <f>COUNTIF(ParticipationMars1[[#This Row],[1]:[31]],code21)</f>
        <v>0</v>
      </c>
      <c r="BD48" s="307">
        <f>COUNTIF(ParticipationMars1[[#This Row],[1]:[31]],Code24)</f>
        <v>0</v>
      </c>
      <c r="BE48" s="307">
        <f>COUNTIF(ParticipationMars1[[#This Row],[1]:[31]],code18)</f>
        <v>0</v>
      </c>
      <c r="BF48" s="307">
        <f>COUNTIF(ParticipationMars1[[#This Row],[1]:[31]],code19)</f>
        <v>0</v>
      </c>
      <c r="BG48" s="300">
        <f>COUNTIF(ParticipationMars1[[#This Row],[1]:[31]],code20)</f>
        <v>0</v>
      </c>
      <c r="BH48" s="297"/>
      <c r="BI48" s="297"/>
      <c r="BJ48" s="297"/>
      <c r="BK48" s="297"/>
      <c r="BL48" s="297"/>
      <c r="BM48" s="297"/>
      <c r="BN48" s="297"/>
      <c r="BO48" s="297">
        <v>2</v>
      </c>
      <c r="BP48" s="297"/>
      <c r="BQ48" s="297"/>
      <c r="BR48" s="297">
        <v>2</v>
      </c>
      <c r="BS48" s="297"/>
      <c r="BT48" s="297"/>
      <c r="BU48" s="297"/>
      <c r="BV48" s="297"/>
      <c r="BW48" s="297"/>
      <c r="BX48" s="297"/>
      <c r="BY48" s="297"/>
      <c r="BZ48" s="297"/>
      <c r="CA48" s="297"/>
      <c r="CB48" s="297"/>
      <c r="CC48" s="297"/>
      <c r="CD48" s="297"/>
      <c r="CE48" s="297"/>
      <c r="CF48" s="297"/>
      <c r="CG48" s="297"/>
      <c r="CH48" s="297"/>
      <c r="CI48" s="297"/>
      <c r="CJ48" s="297"/>
      <c r="CK48" s="297"/>
      <c r="CL48" s="297"/>
      <c r="CM48" s="297"/>
      <c r="CN48" s="307"/>
      <c r="CO48" s="300"/>
      <c r="CP48" s="165">
        <f t="shared" si="0"/>
        <v>0</v>
      </c>
      <c r="CQ48" s="165">
        <f t="shared" si="1"/>
        <v>0</v>
      </c>
      <c r="CR48" s="249">
        <f t="shared" si="2"/>
        <v>0</v>
      </c>
      <c r="CS48" s="327"/>
    </row>
    <row r="49" spans="1:97">
      <c r="A49" s="29" t="s">
        <v>431</v>
      </c>
      <c r="B49" s="162" t="str">
        <f>IFERROR(VLOOKUP(ParticipationMars1[[#This Row],[Référence]],ListeÉtudiants1[],18,FALSE),"")</f>
        <v>DAGNET ANNAH</v>
      </c>
      <c r="C49" s="19"/>
      <c r="D49" s="19"/>
      <c r="E49" s="19"/>
      <c r="F49" s="19"/>
      <c r="G49" s="19"/>
      <c r="H49" s="19"/>
      <c r="I49" s="19"/>
      <c r="J49" s="19"/>
      <c r="K49" s="19"/>
      <c r="L49" s="19"/>
      <c r="M49" s="19"/>
      <c r="N49" s="19"/>
      <c r="O49" s="19"/>
      <c r="P49" s="19"/>
      <c r="Q49" s="19" t="s">
        <v>529</v>
      </c>
      <c r="R49" s="19"/>
      <c r="S49" s="19"/>
      <c r="T49" s="19"/>
      <c r="U49" s="19"/>
      <c r="V49" s="19"/>
      <c r="W49" s="19"/>
      <c r="X49" s="19"/>
      <c r="Y49" s="19"/>
      <c r="Z49" s="19"/>
      <c r="AA49" s="19"/>
      <c r="AB49" s="19"/>
      <c r="AC49" s="19"/>
      <c r="AD49" s="19"/>
      <c r="AE49" s="19"/>
      <c r="AF49" s="19"/>
      <c r="AG49" s="144"/>
      <c r="AH49" s="6">
        <f>COUNTIF(ParticipationMars1[[#This Row],[1]:[31]],Code1)</f>
        <v>0</v>
      </c>
      <c r="AI49" s="331">
        <f>COUNTIF(ParticipationMars1[[#This Row],[1]:[31]],code22)</f>
        <v>0</v>
      </c>
      <c r="AJ49" s="30">
        <f>COUNTIF(ParticipationMars1[[#This Row],[1]:[31]],Code2)</f>
        <v>0</v>
      </c>
      <c r="AK49" s="30">
        <f>COUNTIF(ParticipationMars1[[#This Row],[1]:[31]],Code3)</f>
        <v>0</v>
      </c>
      <c r="AL49" s="30">
        <f>COUNTIF(ParticipationMars1[[#This Row],[1]:[31]],Code4)</f>
        <v>0</v>
      </c>
      <c r="AM49" s="307">
        <f>COUNTIF(ParticipationMars1[[#This Row],[1]:[31]],Code5)</f>
        <v>0</v>
      </c>
      <c r="AN49" s="307">
        <f>COUNTIF(ParticipationMars1[[#This Row],[1]:[31]],Code23)</f>
        <v>0</v>
      </c>
      <c r="AO49" s="307">
        <f>COUNTIF(ParticipationMars1[[#This Row],[1]:[31]],Code6)</f>
        <v>0</v>
      </c>
      <c r="AP49" s="307">
        <f>COUNTIF(ParticipationMars1[[#This Row],[1]:[31]],Code7)</f>
        <v>0</v>
      </c>
      <c r="AQ49" s="307">
        <f>COUNTIF(ParticipationMars1[[#This Row],[1]:[31]],Code8)</f>
        <v>0</v>
      </c>
      <c r="AR49" s="307">
        <f>COUNTIF(ParticipationMars1[[#This Row],[1]:[31]],Code9)</f>
        <v>0</v>
      </c>
      <c r="AS49" s="307">
        <f>COUNTIF(ParticipationMars1[[#This Row],[1]:[31]],Code10)</f>
        <v>0</v>
      </c>
      <c r="AT49" s="307">
        <f>COUNTIF(ParticipationMars1[[#This Row],[1]:[31]],Code11)</f>
        <v>0</v>
      </c>
      <c r="AU49" s="307">
        <f>COUNTIF(ParticipationMars1[[#This Row],[1]:[31]],Code12)</f>
        <v>0</v>
      </c>
      <c r="AV49" s="307">
        <f>COUNTIF(ParticipationMars1[[#This Row],[1]:[31]],Code13)</f>
        <v>0</v>
      </c>
      <c r="AW49" s="307">
        <f>COUNTIF(ParticipationMars1[[#This Row],[1]:[31]],Code14)</f>
        <v>0</v>
      </c>
      <c r="AX49" s="307">
        <f>COUNTIF(ParticipationMars1[[#This Row],[1]:[31]],Code15)</f>
        <v>0</v>
      </c>
      <c r="AY49" s="307">
        <f>COUNTIF(ParticipationMars1[[#This Row],[1]:[31]],Code16)</f>
        <v>0</v>
      </c>
      <c r="AZ49" s="307">
        <f>COUNTIF(ParticipationMars1[[#This Row],[1]:[31]],Code17)</f>
        <v>0</v>
      </c>
      <c r="BA49" s="307">
        <f>COUNTIF(ParticipationMars1[[#This Row],[1]:[31]],Code26)</f>
        <v>0</v>
      </c>
      <c r="BB49" s="307">
        <f>COUNTIF(ParticipationMars1[[#This Row],[1]:[31]],Code25)</f>
        <v>0</v>
      </c>
      <c r="BC49" s="307">
        <f>COUNTIF(ParticipationMars1[[#This Row],[1]:[31]],code21)</f>
        <v>0</v>
      </c>
      <c r="BD49" s="307">
        <f>COUNTIF(ParticipationMars1[[#This Row],[1]:[31]],Code24)</f>
        <v>0</v>
      </c>
      <c r="BE49" s="307">
        <f>COUNTIF(ParticipationMars1[[#This Row],[1]:[31]],code18)</f>
        <v>0</v>
      </c>
      <c r="BF49" s="307">
        <f>COUNTIF(ParticipationMars1[[#This Row],[1]:[31]],code19)</f>
        <v>0</v>
      </c>
      <c r="BG49" s="300">
        <f>COUNTIF(ParticipationMars1[[#This Row],[1]:[31]],code20)</f>
        <v>0</v>
      </c>
      <c r="BH49" s="297"/>
      <c r="BI49" s="297"/>
      <c r="BJ49" s="297"/>
      <c r="BK49" s="297"/>
      <c r="BL49" s="297"/>
      <c r="BM49" s="297"/>
      <c r="BN49" s="297"/>
      <c r="BO49" s="297"/>
      <c r="BP49" s="297"/>
      <c r="BQ49" s="297"/>
      <c r="BR49" s="297">
        <v>1</v>
      </c>
      <c r="BS49" s="297"/>
      <c r="BT49" s="297"/>
      <c r="BU49" s="297"/>
      <c r="BV49" s="297"/>
      <c r="BW49" s="297"/>
      <c r="BX49" s="297"/>
      <c r="BY49" s="297"/>
      <c r="BZ49" s="297"/>
      <c r="CA49" s="297"/>
      <c r="CB49" s="297"/>
      <c r="CC49" s="297"/>
      <c r="CD49" s="297"/>
      <c r="CE49" s="297"/>
      <c r="CF49" s="297"/>
      <c r="CG49" s="297"/>
      <c r="CH49" s="297"/>
      <c r="CI49" s="297"/>
      <c r="CJ49" s="297"/>
      <c r="CK49" s="297"/>
      <c r="CL49" s="297"/>
      <c r="CM49" s="297"/>
      <c r="CN49" s="307"/>
      <c r="CO49" s="300"/>
      <c r="CP49" s="165">
        <f t="shared" si="0"/>
        <v>0</v>
      </c>
      <c r="CQ49" s="165">
        <f t="shared" si="1"/>
        <v>0</v>
      </c>
      <c r="CR49" s="341">
        <f t="shared" si="2"/>
        <v>0</v>
      </c>
      <c r="CS49" s="327"/>
    </row>
    <row r="50" spans="1:97">
      <c r="A50" s="29" t="s">
        <v>434</v>
      </c>
      <c r="B50" s="339" t="str">
        <f>IFERROR(VLOOKUP(ParticipationMars1[[#This Row],[Référence]],ListeÉtudiants1[],18,FALSE),"")</f>
        <v>DAHMANI LUANA</v>
      </c>
      <c r="C50" s="19"/>
      <c r="D50" s="19"/>
      <c r="E50" s="19"/>
      <c r="F50" s="19"/>
      <c r="G50" s="19"/>
      <c r="H50" s="19"/>
      <c r="I50" s="19"/>
      <c r="J50" s="19"/>
      <c r="K50" s="19"/>
      <c r="L50" s="19"/>
      <c r="M50" s="19"/>
      <c r="N50" s="19"/>
      <c r="O50" s="19"/>
      <c r="P50" s="19"/>
      <c r="Q50" s="19" t="s">
        <v>529</v>
      </c>
      <c r="R50" s="19"/>
      <c r="S50" s="19"/>
      <c r="T50" s="19"/>
      <c r="U50" s="19"/>
      <c r="V50" s="19"/>
      <c r="W50" s="19"/>
      <c r="X50" s="19"/>
      <c r="Y50" s="19"/>
      <c r="Z50" s="19"/>
      <c r="AA50" s="19"/>
      <c r="AB50" s="19"/>
      <c r="AC50" s="19"/>
      <c r="AD50" s="19"/>
      <c r="AE50" s="19"/>
      <c r="AF50" s="19"/>
      <c r="AG50" s="340"/>
      <c r="AH50" s="6">
        <f>COUNTIF(ParticipationMars1[[#This Row],[1]:[31]],Code1)</f>
        <v>0</v>
      </c>
      <c r="AI50" s="331">
        <f>COUNTIF(ParticipationMars1[[#This Row],[1]:[31]],code22)</f>
        <v>0</v>
      </c>
      <c r="AJ50" s="30">
        <f>COUNTIF(ParticipationMars1[[#This Row],[1]:[31]],Code2)</f>
        <v>0</v>
      </c>
      <c r="AK50" s="30">
        <f>COUNTIF(ParticipationMars1[[#This Row],[1]:[31]],Code3)</f>
        <v>0</v>
      </c>
      <c r="AL50" s="30">
        <f>COUNTIF(ParticipationMars1[[#This Row],[1]:[31]],Code4)</f>
        <v>0</v>
      </c>
      <c r="AM50" s="307">
        <f>COUNTIF(ParticipationMars1[[#This Row],[1]:[31]],Code5)</f>
        <v>0</v>
      </c>
      <c r="AN50" s="307">
        <f>COUNTIF(ParticipationMars1[[#This Row],[1]:[31]],Code23)</f>
        <v>0</v>
      </c>
      <c r="AO50" s="307">
        <f>COUNTIF(ParticipationMars1[[#This Row],[1]:[31]],Code6)</f>
        <v>0</v>
      </c>
      <c r="AP50" s="307">
        <f>COUNTIF(ParticipationMars1[[#This Row],[1]:[31]],Code7)</f>
        <v>0</v>
      </c>
      <c r="AQ50" s="307">
        <f>COUNTIF(ParticipationMars1[[#This Row],[1]:[31]],Code8)</f>
        <v>0</v>
      </c>
      <c r="AR50" s="307">
        <f>COUNTIF(ParticipationMars1[[#This Row],[1]:[31]],Code9)</f>
        <v>0</v>
      </c>
      <c r="AS50" s="307">
        <f>COUNTIF(ParticipationMars1[[#This Row],[1]:[31]],Code10)</f>
        <v>0</v>
      </c>
      <c r="AT50" s="307">
        <f>COUNTIF(ParticipationMars1[[#This Row],[1]:[31]],Code11)</f>
        <v>0</v>
      </c>
      <c r="AU50" s="307">
        <f>COUNTIF(ParticipationMars1[[#This Row],[1]:[31]],Code12)</f>
        <v>0</v>
      </c>
      <c r="AV50" s="307">
        <f>COUNTIF(ParticipationMars1[[#This Row],[1]:[31]],Code13)</f>
        <v>0</v>
      </c>
      <c r="AW50" s="307">
        <f>COUNTIF(ParticipationMars1[[#This Row],[1]:[31]],Code14)</f>
        <v>0</v>
      </c>
      <c r="AX50" s="307">
        <f>COUNTIF(ParticipationMars1[[#This Row],[1]:[31]],Code15)</f>
        <v>0</v>
      </c>
      <c r="AY50" s="307">
        <f>COUNTIF(ParticipationMars1[[#This Row],[1]:[31]],Code16)</f>
        <v>0</v>
      </c>
      <c r="AZ50" s="307">
        <f>COUNTIF(ParticipationMars1[[#This Row],[1]:[31]],Code17)</f>
        <v>0</v>
      </c>
      <c r="BA50" s="307">
        <f>COUNTIF(ParticipationMars1[[#This Row],[1]:[31]],Code26)</f>
        <v>0</v>
      </c>
      <c r="BB50" s="307">
        <f>COUNTIF(ParticipationMars1[[#This Row],[1]:[31]],Code25)</f>
        <v>0</v>
      </c>
      <c r="BC50" s="307">
        <f>COUNTIF(ParticipationMars1[[#This Row],[1]:[31]],code21)</f>
        <v>0</v>
      </c>
      <c r="BD50" s="307">
        <f>COUNTIF(ParticipationMars1[[#This Row],[1]:[31]],Code24)</f>
        <v>0</v>
      </c>
      <c r="BE50" s="307">
        <f>COUNTIF(ParticipationMars1[[#This Row],[1]:[31]],code18)</f>
        <v>0</v>
      </c>
      <c r="BF50" s="307">
        <f>COUNTIF(ParticipationMars1[[#This Row],[1]:[31]],code19)</f>
        <v>0</v>
      </c>
      <c r="BG50" s="300">
        <f>COUNTIF(ParticipationMars1[[#This Row],[1]:[31]],code20)</f>
        <v>0</v>
      </c>
      <c r="BH50" s="297"/>
      <c r="BI50" s="297"/>
      <c r="BJ50" s="297"/>
      <c r="BK50" s="297"/>
      <c r="BL50" s="297"/>
      <c r="BM50" s="297"/>
      <c r="BN50" s="297"/>
      <c r="BO50" s="297"/>
      <c r="BP50" s="297"/>
      <c r="BQ50" s="297"/>
      <c r="BR50" s="297">
        <v>1</v>
      </c>
      <c r="BS50" s="297"/>
      <c r="BT50" s="297"/>
      <c r="BU50" s="297"/>
      <c r="BV50" s="297"/>
      <c r="BW50" s="297"/>
      <c r="BX50" s="297"/>
      <c r="BY50" s="297"/>
      <c r="BZ50" s="297"/>
      <c r="CA50" s="297"/>
      <c r="CB50" s="297"/>
      <c r="CC50" s="297"/>
      <c r="CD50" s="297"/>
      <c r="CE50" s="297"/>
      <c r="CF50" s="297"/>
      <c r="CG50" s="297"/>
      <c r="CH50" s="297"/>
      <c r="CI50" s="297"/>
      <c r="CJ50" s="297"/>
      <c r="CK50" s="297"/>
      <c r="CL50" s="297"/>
      <c r="CM50" s="297"/>
      <c r="CN50" s="307"/>
      <c r="CO50" s="300"/>
      <c r="CP50" s="165">
        <f t="shared" si="0"/>
        <v>0</v>
      </c>
      <c r="CQ50" s="165">
        <f t="shared" si="1"/>
        <v>0</v>
      </c>
      <c r="CR50" s="341">
        <f t="shared" si="2"/>
        <v>0</v>
      </c>
      <c r="CS50" s="327"/>
    </row>
    <row r="51" spans="1:97">
      <c r="A51" s="29" t="s">
        <v>439</v>
      </c>
      <c r="B51" s="339" t="str">
        <f>IFERROR(VLOOKUP(ParticipationMars1[[#This Row],[Référence]],ListeÉtudiants1[],18,FALSE),"")</f>
        <v>DALI SOUAD</v>
      </c>
      <c r="C51" s="19"/>
      <c r="D51" s="19"/>
      <c r="E51" s="19"/>
      <c r="F51" s="19"/>
      <c r="G51" s="19"/>
      <c r="H51" s="19"/>
      <c r="I51" s="19"/>
      <c r="J51" s="19"/>
      <c r="K51" s="19"/>
      <c r="L51" s="19"/>
      <c r="M51" s="19"/>
      <c r="N51" s="19"/>
      <c r="O51" s="19"/>
      <c r="P51" s="19"/>
      <c r="Q51" s="19" t="s">
        <v>529</v>
      </c>
      <c r="R51" s="19"/>
      <c r="S51" s="19"/>
      <c r="T51" s="19"/>
      <c r="U51" s="19"/>
      <c r="V51" s="19"/>
      <c r="W51" s="19" t="s">
        <v>35</v>
      </c>
      <c r="X51" s="19"/>
      <c r="Y51" s="19"/>
      <c r="Z51" s="19"/>
      <c r="AA51" s="19"/>
      <c r="AB51" s="19"/>
      <c r="AC51" s="19"/>
      <c r="AD51" s="19"/>
      <c r="AE51" s="19"/>
      <c r="AF51" s="19"/>
      <c r="AG51" s="340"/>
      <c r="AH51" s="6">
        <f>COUNTIF(ParticipationMars1[[#This Row],[1]:[31]],Code1)</f>
        <v>0</v>
      </c>
      <c r="AI51" s="331">
        <f>COUNTIF(ParticipationMars1[[#This Row],[1]:[31]],code22)</f>
        <v>0</v>
      </c>
      <c r="AJ51" s="30">
        <f>COUNTIF(ParticipationMars1[[#This Row],[1]:[31]],Code2)</f>
        <v>0</v>
      </c>
      <c r="AK51" s="30">
        <f>COUNTIF(ParticipationMars1[[#This Row],[1]:[31]],Code3)</f>
        <v>0</v>
      </c>
      <c r="AL51" s="30">
        <f>COUNTIF(ParticipationMars1[[#This Row],[1]:[31]],Code4)</f>
        <v>0</v>
      </c>
      <c r="AM51" s="307">
        <f>COUNTIF(ParticipationMars1[[#This Row],[1]:[31]],Code5)</f>
        <v>0</v>
      </c>
      <c r="AN51" s="307">
        <f>COUNTIF(ParticipationMars1[[#This Row],[1]:[31]],Code23)</f>
        <v>1</v>
      </c>
      <c r="AO51" s="307">
        <f>COUNTIF(ParticipationMars1[[#This Row],[1]:[31]],Code6)</f>
        <v>0</v>
      </c>
      <c r="AP51" s="307">
        <f>COUNTIF(ParticipationMars1[[#This Row],[1]:[31]],Code7)</f>
        <v>0</v>
      </c>
      <c r="AQ51" s="307">
        <f>COUNTIF(ParticipationMars1[[#This Row],[1]:[31]],Code8)</f>
        <v>0</v>
      </c>
      <c r="AR51" s="307">
        <f>COUNTIF(ParticipationMars1[[#This Row],[1]:[31]],Code9)</f>
        <v>0</v>
      </c>
      <c r="AS51" s="307">
        <f>COUNTIF(ParticipationMars1[[#This Row],[1]:[31]],Code10)</f>
        <v>0</v>
      </c>
      <c r="AT51" s="307">
        <f>COUNTIF(ParticipationMars1[[#This Row],[1]:[31]],Code11)</f>
        <v>0</v>
      </c>
      <c r="AU51" s="307">
        <f>COUNTIF(ParticipationMars1[[#This Row],[1]:[31]],Code12)</f>
        <v>0</v>
      </c>
      <c r="AV51" s="307">
        <f>COUNTIF(ParticipationMars1[[#This Row],[1]:[31]],Code13)</f>
        <v>0</v>
      </c>
      <c r="AW51" s="307">
        <f>COUNTIF(ParticipationMars1[[#This Row],[1]:[31]],Code14)</f>
        <v>0</v>
      </c>
      <c r="AX51" s="307">
        <f>COUNTIF(ParticipationMars1[[#This Row],[1]:[31]],Code15)</f>
        <v>0</v>
      </c>
      <c r="AY51" s="307">
        <f>COUNTIF(ParticipationMars1[[#This Row],[1]:[31]],Code16)</f>
        <v>0</v>
      </c>
      <c r="AZ51" s="307">
        <f>COUNTIF(ParticipationMars1[[#This Row],[1]:[31]],Code17)</f>
        <v>0</v>
      </c>
      <c r="BA51" s="307">
        <f>COUNTIF(ParticipationMars1[[#This Row],[1]:[31]],Code26)</f>
        <v>0</v>
      </c>
      <c r="BB51" s="307">
        <f>COUNTIF(ParticipationMars1[[#This Row],[1]:[31]],Code25)</f>
        <v>0</v>
      </c>
      <c r="BC51" s="307">
        <f>COUNTIF(ParticipationMars1[[#This Row],[1]:[31]],code21)</f>
        <v>0</v>
      </c>
      <c r="BD51" s="307">
        <f>COUNTIF(ParticipationMars1[[#This Row],[1]:[31]],Code24)</f>
        <v>0</v>
      </c>
      <c r="BE51" s="307">
        <f>COUNTIF(ParticipationMars1[[#This Row],[1]:[31]],code18)</f>
        <v>0</v>
      </c>
      <c r="BF51" s="307">
        <f>COUNTIF(ParticipationMars1[[#This Row],[1]:[31]],code19)</f>
        <v>0</v>
      </c>
      <c r="BG51" s="300">
        <f>COUNTIF(ParticipationMars1[[#This Row],[1]:[31]],code20)</f>
        <v>0</v>
      </c>
      <c r="BH51" s="297"/>
      <c r="BI51" s="297"/>
      <c r="BJ51" s="297"/>
      <c r="BK51" s="297"/>
      <c r="BL51" s="297"/>
      <c r="BM51" s="297"/>
      <c r="BN51" s="297"/>
      <c r="BO51" s="297"/>
      <c r="BP51" s="297"/>
      <c r="BQ51" s="297"/>
      <c r="BR51" s="297">
        <v>2</v>
      </c>
      <c r="BS51" s="297"/>
      <c r="BT51" s="297"/>
      <c r="BU51" s="297"/>
      <c r="BV51" s="297"/>
      <c r="BW51" s="297"/>
      <c r="BX51" s="297"/>
      <c r="BY51" s="297"/>
      <c r="BZ51" s="297"/>
      <c r="CA51" s="297"/>
      <c r="CB51" s="297"/>
      <c r="CC51" s="297"/>
      <c r="CD51" s="297"/>
      <c r="CE51" s="297"/>
      <c r="CF51" s="297"/>
      <c r="CG51" s="297"/>
      <c r="CH51" s="297"/>
      <c r="CI51" s="297"/>
      <c r="CJ51" s="297"/>
      <c r="CK51" s="297"/>
      <c r="CL51" s="297"/>
      <c r="CM51" s="297"/>
      <c r="CN51" s="307"/>
      <c r="CO51" s="300"/>
      <c r="CP51" s="165">
        <f t="shared" si="0"/>
        <v>0</v>
      </c>
      <c r="CQ51" s="165">
        <f t="shared" si="1"/>
        <v>1</v>
      </c>
      <c r="CR51" s="341">
        <f t="shared" si="2"/>
        <v>0</v>
      </c>
      <c r="CS51" s="327"/>
    </row>
    <row r="52" spans="1:97">
      <c r="A52" s="29" t="s">
        <v>440</v>
      </c>
      <c r="B52" s="339" t="str">
        <f>IFERROR(VLOOKUP(ParticipationMars1[[#This Row],[Référence]],ListeÉtudiants1[],18,FALSE),"")</f>
        <v>DANION LUCIE</v>
      </c>
      <c r="C52" s="19"/>
      <c r="D52" s="19"/>
      <c r="E52" s="19"/>
      <c r="F52" s="19"/>
      <c r="G52" s="19"/>
      <c r="H52" s="19"/>
      <c r="I52" s="19"/>
      <c r="J52" s="19"/>
      <c r="K52" s="19"/>
      <c r="L52" s="19"/>
      <c r="M52" s="19"/>
      <c r="N52" s="19"/>
      <c r="O52" s="19"/>
      <c r="P52" s="19"/>
      <c r="Q52" s="19" t="s">
        <v>108</v>
      </c>
      <c r="R52" s="19"/>
      <c r="S52" s="19"/>
      <c r="T52" s="19"/>
      <c r="U52" s="19" t="s">
        <v>604</v>
      </c>
      <c r="V52" s="19" t="s">
        <v>620</v>
      </c>
      <c r="W52" s="19"/>
      <c r="X52" s="19"/>
      <c r="Y52" s="19" t="s">
        <v>35</v>
      </c>
      <c r="Z52" s="19"/>
      <c r="AA52" s="19"/>
      <c r="AB52" s="19"/>
      <c r="AC52" s="19"/>
      <c r="AD52" s="19"/>
      <c r="AE52" s="19"/>
      <c r="AF52" s="19"/>
      <c r="AG52" s="340"/>
      <c r="AH52" s="6">
        <f>COUNTIF(ParticipationMars1[[#This Row],[1]:[31]],Code1)</f>
        <v>0</v>
      </c>
      <c r="AI52" s="331">
        <f>COUNTIF(ParticipationMars1[[#This Row],[1]:[31]],code22)</f>
        <v>0</v>
      </c>
      <c r="AJ52" s="30">
        <f>COUNTIF(ParticipationMars1[[#This Row],[1]:[31]],Code2)</f>
        <v>0</v>
      </c>
      <c r="AK52" s="30">
        <f>COUNTIF(ParticipationMars1[[#This Row],[1]:[31]],Code3)</f>
        <v>0</v>
      </c>
      <c r="AL52" s="30">
        <f>COUNTIF(ParticipationMars1[[#This Row],[1]:[31]],Code4)</f>
        <v>0</v>
      </c>
      <c r="AM52" s="307">
        <f>COUNTIF(ParticipationMars1[[#This Row],[1]:[31]],Code5)</f>
        <v>0</v>
      </c>
      <c r="AN52" s="307">
        <f>COUNTIF(ParticipationMars1[[#This Row],[1]:[31]],Code23)</f>
        <v>0</v>
      </c>
      <c r="AO52" s="307">
        <f>COUNTIF(ParticipationMars1[[#This Row],[1]:[31]],Code6)</f>
        <v>0</v>
      </c>
      <c r="AP52" s="307">
        <f>COUNTIF(ParticipationMars1[[#This Row],[1]:[31]],Code7)</f>
        <v>0</v>
      </c>
      <c r="AQ52" s="307">
        <f>COUNTIF(ParticipationMars1[[#This Row],[1]:[31]],Code8)</f>
        <v>0</v>
      </c>
      <c r="AR52" s="307">
        <f>COUNTIF(ParticipationMars1[[#This Row],[1]:[31]],Code9)</f>
        <v>0</v>
      </c>
      <c r="AS52" s="307">
        <f>COUNTIF(ParticipationMars1[[#This Row],[1]:[31]],Code10)</f>
        <v>0</v>
      </c>
      <c r="AT52" s="307">
        <f>COUNTIF(ParticipationMars1[[#This Row],[1]:[31]],Code11)</f>
        <v>0</v>
      </c>
      <c r="AU52" s="307">
        <f>COUNTIF(ParticipationMars1[[#This Row],[1]:[31]],Code12)</f>
        <v>0</v>
      </c>
      <c r="AV52" s="307">
        <f>COUNTIF(ParticipationMars1[[#This Row],[1]:[31]],Code13)</f>
        <v>0</v>
      </c>
      <c r="AW52" s="307">
        <f>COUNTIF(ParticipationMars1[[#This Row],[1]:[31]],Code14)</f>
        <v>0</v>
      </c>
      <c r="AX52" s="307">
        <f>COUNTIF(ParticipationMars1[[#This Row],[1]:[31]],Code15)</f>
        <v>0</v>
      </c>
      <c r="AY52" s="307">
        <f>COUNTIF(ParticipationMars1[[#This Row],[1]:[31]],Code16)</f>
        <v>0</v>
      </c>
      <c r="AZ52" s="307">
        <f>COUNTIF(ParticipationMars1[[#This Row],[1]:[31]],Code17)</f>
        <v>0</v>
      </c>
      <c r="BA52" s="307">
        <f>COUNTIF(ParticipationMars1[[#This Row],[1]:[31]],Code26)</f>
        <v>0</v>
      </c>
      <c r="BB52" s="307">
        <f>COUNTIF(ParticipationMars1[[#This Row],[1]:[31]],Code25)</f>
        <v>0</v>
      </c>
      <c r="BC52" s="307">
        <f>COUNTIF(ParticipationMars1[[#This Row],[1]:[31]],code21)</f>
        <v>0</v>
      </c>
      <c r="BD52" s="307">
        <f>COUNTIF(ParticipationMars1[[#This Row],[1]:[31]],Code24)</f>
        <v>0</v>
      </c>
      <c r="BE52" s="307">
        <f>COUNTIF(ParticipationMars1[[#This Row],[1]:[31]],code18)</f>
        <v>0</v>
      </c>
      <c r="BF52" s="307">
        <f>COUNTIF(ParticipationMars1[[#This Row],[1]:[31]],code19)</f>
        <v>0</v>
      </c>
      <c r="BG52" s="300">
        <f>COUNTIF(ParticipationMars1[[#This Row],[1]:[31]],code20)</f>
        <v>0</v>
      </c>
      <c r="BH52" s="297"/>
      <c r="BI52" s="297"/>
      <c r="BJ52" s="297"/>
      <c r="BK52" s="297"/>
      <c r="BL52" s="297"/>
      <c r="BM52" s="297"/>
      <c r="BN52" s="297"/>
      <c r="BO52" s="297"/>
      <c r="BP52" s="297"/>
      <c r="BQ52" s="297"/>
      <c r="BR52" s="297">
        <v>1</v>
      </c>
      <c r="BS52" s="297"/>
      <c r="BT52" s="297"/>
      <c r="BU52" s="297">
        <v>1</v>
      </c>
      <c r="BV52" s="297"/>
      <c r="BW52" s="297"/>
      <c r="BX52" s="297"/>
      <c r="BY52" s="297"/>
      <c r="BZ52" s="297"/>
      <c r="CA52" s="297"/>
      <c r="CB52" s="297">
        <v>2</v>
      </c>
      <c r="CC52" s="297"/>
      <c r="CD52" s="297"/>
      <c r="CE52" s="297"/>
      <c r="CF52" s="297"/>
      <c r="CG52" s="297"/>
      <c r="CH52" s="297"/>
      <c r="CI52" s="297"/>
      <c r="CJ52" s="297"/>
      <c r="CK52" s="297"/>
      <c r="CL52" s="297"/>
      <c r="CM52" s="297"/>
      <c r="CN52" s="307"/>
      <c r="CO52" s="300"/>
      <c r="CP52" s="165">
        <f t="shared" si="0"/>
        <v>0</v>
      </c>
      <c r="CQ52" s="165">
        <f t="shared" si="1"/>
        <v>0</v>
      </c>
      <c r="CR52" s="341">
        <f t="shared" si="2"/>
        <v>0</v>
      </c>
      <c r="CS52" s="327"/>
    </row>
    <row r="53" spans="1:97">
      <c r="A53" s="29" t="s">
        <v>443</v>
      </c>
      <c r="B53" s="339" t="str">
        <f>IFERROR(VLOOKUP(ParticipationMars1[[#This Row],[Référence]],ListeÉtudiants1[],18,FALSE),"")</f>
        <v>DE LUISE STELLA</v>
      </c>
      <c r="C53" s="19"/>
      <c r="D53" s="19"/>
      <c r="E53" s="19"/>
      <c r="F53" s="19"/>
      <c r="G53" s="19"/>
      <c r="H53" s="19"/>
      <c r="I53" s="19"/>
      <c r="J53" s="19"/>
      <c r="K53" s="19"/>
      <c r="L53" s="19"/>
      <c r="M53" s="19"/>
      <c r="N53" s="19" t="s">
        <v>531</v>
      </c>
      <c r="O53" s="19" t="s">
        <v>612</v>
      </c>
      <c r="P53" s="19" t="s">
        <v>507</v>
      </c>
      <c r="Q53" s="19" t="s">
        <v>109</v>
      </c>
      <c r="R53" s="19"/>
      <c r="S53" s="19"/>
      <c r="T53" s="19"/>
      <c r="U53" s="19" t="s">
        <v>109</v>
      </c>
      <c r="V53" s="19" t="s">
        <v>529</v>
      </c>
      <c r="W53" s="19" t="s">
        <v>488</v>
      </c>
      <c r="X53" s="19" t="s">
        <v>488</v>
      </c>
      <c r="Y53" s="19" t="s">
        <v>507</v>
      </c>
      <c r="Z53" s="19"/>
      <c r="AA53" s="19"/>
      <c r="AB53" s="19"/>
      <c r="AC53" s="19"/>
      <c r="AD53" s="19"/>
      <c r="AE53" s="19"/>
      <c r="AF53" s="19"/>
      <c r="AG53" s="340"/>
      <c r="AH53" s="6">
        <f>COUNTIF(ParticipationMars1[[#This Row],[1]:[31]],Code1)</f>
        <v>0</v>
      </c>
      <c r="AI53" s="6">
        <f>COUNTIF(ParticipationMars1[[#This Row],[1]:[31]],code22)</f>
        <v>0</v>
      </c>
      <c r="AJ53" s="30">
        <f>COUNTIF(ParticipationMars1[[#This Row],[1]:[31]],Code2)</f>
        <v>0</v>
      </c>
      <c r="AK53" s="30">
        <f>COUNTIF(ParticipationMars1[[#This Row],[1]:[31]],Code3)</f>
        <v>0</v>
      </c>
      <c r="AL53" s="30">
        <f>COUNTIF(ParticipationMars1[[#This Row],[1]:[31]],Code4)</f>
        <v>0</v>
      </c>
      <c r="AM53" s="30">
        <f>COUNTIF(ParticipationMars1[[#This Row],[1]:[31]],Code5)</f>
        <v>0</v>
      </c>
      <c r="AN53" s="30">
        <f>COUNTIF(ParticipationMars1[[#This Row],[1]:[31]],Code23)</f>
        <v>0</v>
      </c>
      <c r="AO53" s="30">
        <f>COUNTIF(ParticipationMars1[[#This Row],[1]:[31]],Code6)</f>
        <v>0</v>
      </c>
      <c r="AP53" s="30">
        <f>COUNTIF(ParticipationMars1[[#This Row],[1]:[31]],Code7)</f>
        <v>0</v>
      </c>
      <c r="AQ53" s="30">
        <f>COUNTIF(ParticipationMars1[[#This Row],[1]:[31]],Code8)</f>
        <v>0</v>
      </c>
      <c r="AR53" s="30">
        <f>COUNTIF(ParticipationMars1[[#This Row],[1]:[31]],Code9)</f>
        <v>0</v>
      </c>
      <c r="AS53" s="30">
        <f>COUNTIF(ParticipationMars1[[#This Row],[1]:[31]],Code10)</f>
        <v>0</v>
      </c>
      <c r="AT53" s="30">
        <f>COUNTIF(ParticipationMars1[[#This Row],[1]:[31]],Code11)</f>
        <v>0</v>
      </c>
      <c r="AU53" s="30">
        <f>COUNTIF(ParticipationMars1[[#This Row],[1]:[31]],Code12)</f>
        <v>0</v>
      </c>
      <c r="AV53" s="30">
        <f>COUNTIF(ParticipationMars1[[#This Row],[1]:[31]],Code13)</f>
        <v>0</v>
      </c>
      <c r="AW53" s="30">
        <f>COUNTIF(ParticipationMars1[[#This Row],[1]:[31]],Code14)</f>
        <v>0</v>
      </c>
      <c r="AX53" s="30">
        <f>COUNTIF(ParticipationMars1[[#This Row],[1]:[31]],Code15)</f>
        <v>0</v>
      </c>
      <c r="AY53" s="30">
        <f>COUNTIF(ParticipationMars1[[#This Row],[1]:[31]],Code16)</f>
        <v>0</v>
      </c>
      <c r="AZ53" s="30">
        <f>COUNTIF(ParticipationMars1[[#This Row],[1]:[31]],Code17)</f>
        <v>0</v>
      </c>
      <c r="BA53" s="307">
        <f>COUNTIF(ParticipationMars1[[#This Row],[1]:[31]],Code26)</f>
        <v>0</v>
      </c>
      <c r="BB53" s="30">
        <f>COUNTIF(ParticipationMars1[[#This Row],[1]:[31]],Code25)</f>
        <v>0</v>
      </c>
      <c r="BC53" s="30">
        <f>COUNTIF(ParticipationMars1[[#This Row],[1]:[31]],code21)</f>
        <v>0</v>
      </c>
      <c r="BD53" s="30">
        <f>COUNTIF(ParticipationMars1[[#This Row],[1]:[31]],Code24)</f>
        <v>0</v>
      </c>
      <c r="BE53" s="30">
        <f>COUNTIF(ParticipationMars1[[#This Row],[1]:[31]],code18)</f>
        <v>0</v>
      </c>
      <c r="BF53" s="30">
        <f>COUNTIF(ParticipationMars1[[#This Row],[1]:[31]],code19)</f>
        <v>0</v>
      </c>
      <c r="BG53" s="164">
        <f>COUNTIF(ParticipationMars1[[#This Row],[1]:[31]],code20)</f>
        <v>0</v>
      </c>
      <c r="BH53" s="297"/>
      <c r="BI53" s="297">
        <v>1</v>
      </c>
      <c r="BJ53" s="297"/>
      <c r="BK53" s="297"/>
      <c r="BL53" s="297"/>
      <c r="BM53" s="297"/>
      <c r="BN53" s="297"/>
      <c r="BO53" s="297">
        <v>3</v>
      </c>
      <c r="BP53" s="297"/>
      <c r="BQ53" s="297"/>
      <c r="BR53" s="297">
        <v>4</v>
      </c>
      <c r="BS53" s="297"/>
      <c r="BT53" s="297"/>
      <c r="BU53" s="297">
        <v>1</v>
      </c>
      <c r="BV53" s="297"/>
      <c r="BW53" s="297"/>
      <c r="BX53" s="297"/>
      <c r="BY53" s="297"/>
      <c r="BZ53" s="297"/>
      <c r="CA53" s="297"/>
      <c r="CB53" s="297">
        <v>3</v>
      </c>
      <c r="CC53" s="297"/>
      <c r="CD53" s="297"/>
      <c r="CE53" s="297"/>
      <c r="CF53" s="297"/>
      <c r="CG53" s="297"/>
      <c r="CH53" s="297"/>
      <c r="CI53" s="297"/>
      <c r="CJ53" s="297"/>
      <c r="CK53" s="297"/>
      <c r="CL53" s="297"/>
      <c r="CM53" s="297"/>
      <c r="CN53" s="307"/>
      <c r="CO53" s="300"/>
      <c r="CP53" s="165">
        <f t="shared" si="0"/>
        <v>0</v>
      </c>
      <c r="CQ53" s="165">
        <f t="shared" si="1"/>
        <v>0</v>
      </c>
      <c r="CR53" s="249">
        <f t="shared" si="2"/>
        <v>0</v>
      </c>
      <c r="CS53" s="170">
        <f>SUM((BE53*7)+(BF53*10)+(BG53*12))</f>
        <v>0</v>
      </c>
    </row>
    <row r="54" spans="1:97">
      <c r="A54" s="29" t="s">
        <v>449</v>
      </c>
      <c r="B54" s="339" t="str">
        <f>IFERROR(VLOOKUP(ParticipationMars1[[#This Row],[Référence]],ListeÉtudiants1[],18,FALSE),"")</f>
        <v>DIAOUNE MAJULA</v>
      </c>
      <c r="C54" s="19"/>
      <c r="D54" s="19"/>
      <c r="E54" s="19"/>
      <c r="F54" s="19"/>
      <c r="G54" s="19"/>
      <c r="H54" s="19"/>
      <c r="I54" s="19"/>
      <c r="J54" s="19"/>
      <c r="K54" s="19"/>
      <c r="L54" s="19"/>
      <c r="M54" s="19"/>
      <c r="N54" s="19"/>
      <c r="O54" s="19"/>
      <c r="P54" s="19"/>
      <c r="Q54" s="19" t="s">
        <v>529</v>
      </c>
      <c r="R54" s="19"/>
      <c r="S54" s="19"/>
      <c r="T54" s="19"/>
      <c r="U54" s="19" t="s">
        <v>108</v>
      </c>
      <c r="V54" s="19" t="s">
        <v>529</v>
      </c>
      <c r="W54" s="19" t="s">
        <v>108</v>
      </c>
      <c r="X54" s="19" t="s">
        <v>488</v>
      </c>
      <c r="Z54" s="19"/>
      <c r="AA54" s="19"/>
      <c r="AB54" s="19"/>
      <c r="AC54" s="19"/>
      <c r="AD54" s="19"/>
      <c r="AE54" s="19"/>
      <c r="AF54" s="19"/>
      <c r="AG54" s="340"/>
      <c r="AH54" s="6">
        <f>COUNTIF(ParticipationMars1[[#This Row],[1]:[31]],Code1)</f>
        <v>0</v>
      </c>
      <c r="AI54" s="331">
        <f>COUNTIF(ParticipationMars1[[#This Row],[1]:[31]],code22)</f>
        <v>0</v>
      </c>
      <c r="AJ54" s="30">
        <f>COUNTIF(ParticipationMars1[[#This Row],[1]:[31]],Code2)</f>
        <v>0</v>
      </c>
      <c r="AK54" s="30">
        <f>COUNTIF(ParticipationMars1[[#This Row],[1]:[31]],Code3)</f>
        <v>0</v>
      </c>
      <c r="AL54" s="30">
        <f>COUNTIF(ParticipationMars1[[#This Row],[1]:[31]],Code4)</f>
        <v>0</v>
      </c>
      <c r="AM54" s="307">
        <f>COUNTIF(ParticipationMars1[[#This Row],[1]:[31]],Code5)</f>
        <v>0</v>
      </c>
      <c r="AN54" s="307">
        <f>COUNTIF(ParticipationMars1[[#This Row],[1]:[31]],Code23)</f>
        <v>2</v>
      </c>
      <c r="AO54" s="307">
        <f>COUNTIF(ParticipationMars1[[#This Row],[1]:[31]],Code6)</f>
        <v>0</v>
      </c>
      <c r="AP54" s="307">
        <f>COUNTIF(ParticipationMars1[[#This Row],[1]:[31]],Code7)</f>
        <v>0</v>
      </c>
      <c r="AQ54" s="307">
        <f>COUNTIF(ParticipationMars1[[#This Row],[1]:[31]],Code8)</f>
        <v>0</v>
      </c>
      <c r="AR54" s="307">
        <f>COUNTIF(ParticipationMars1[[#This Row],[1]:[31]],Code9)</f>
        <v>0</v>
      </c>
      <c r="AS54" s="307">
        <f>COUNTIF(ParticipationMars1[[#This Row],[1]:[31]],Code10)</f>
        <v>0</v>
      </c>
      <c r="AT54" s="307">
        <f>COUNTIF(ParticipationMars1[[#This Row],[1]:[31]],Code11)</f>
        <v>0</v>
      </c>
      <c r="AU54" s="307">
        <f>COUNTIF(ParticipationMars1[[#This Row],[1]:[31]],Code12)</f>
        <v>0</v>
      </c>
      <c r="AV54" s="307">
        <f>COUNTIF(ParticipationMars1[[#This Row],[1]:[31]],Code13)</f>
        <v>0</v>
      </c>
      <c r="AW54" s="307">
        <f>COUNTIF(ParticipationMars1[[#This Row],[1]:[31]],Code14)</f>
        <v>0</v>
      </c>
      <c r="AX54" s="307">
        <f>COUNTIF(ParticipationMars1[[#This Row],[1]:[31]],Code15)</f>
        <v>0</v>
      </c>
      <c r="AY54" s="307">
        <f>COUNTIF(ParticipationMars1[[#This Row],[1]:[31]],Code16)</f>
        <v>0</v>
      </c>
      <c r="AZ54" s="307">
        <f>COUNTIF(ParticipationMars1[[#This Row],[1]:[31]],Code17)</f>
        <v>0</v>
      </c>
      <c r="BA54" s="307">
        <f>COUNTIF(ParticipationMars1[[#This Row],[1]:[31]],Code26)</f>
        <v>0</v>
      </c>
      <c r="BB54" s="307">
        <f>COUNTIF(ParticipationMars1[[#This Row],[1]:[31]],Code25)</f>
        <v>0</v>
      </c>
      <c r="BC54" s="307">
        <f>COUNTIF(ParticipationMars1[[#This Row],[1]:[31]],code21)</f>
        <v>0</v>
      </c>
      <c r="BD54" s="307">
        <f>COUNTIF(ParticipationMars1[[#This Row],[1]:[31]],Code24)</f>
        <v>0</v>
      </c>
      <c r="BE54" s="307">
        <f>COUNTIF(ParticipationMars1[[#This Row],[1]:[31]],code18)</f>
        <v>0</v>
      </c>
      <c r="BF54" s="307">
        <f>COUNTIF(ParticipationMars1[[#This Row],[1]:[31]],code19)</f>
        <v>0</v>
      </c>
      <c r="BG54" s="300">
        <f>COUNTIF(ParticipationMars1[[#This Row],[1]:[31]],code20)</f>
        <v>0</v>
      </c>
      <c r="BH54" s="297"/>
      <c r="BI54" s="297">
        <v>1</v>
      </c>
      <c r="BJ54" s="297"/>
      <c r="BK54" s="297"/>
      <c r="BL54" s="297"/>
      <c r="BM54" s="297"/>
      <c r="BN54" s="297"/>
      <c r="BO54" s="297">
        <v>1</v>
      </c>
      <c r="BP54" s="297"/>
      <c r="BQ54" s="297"/>
      <c r="BR54" s="297">
        <v>2</v>
      </c>
      <c r="BS54" s="297"/>
      <c r="BT54" s="297"/>
      <c r="BU54" s="297"/>
      <c r="BV54" s="297"/>
      <c r="BW54" s="297"/>
      <c r="BX54" s="297"/>
      <c r="BY54" s="297"/>
      <c r="BZ54" s="297"/>
      <c r="CA54" s="297"/>
      <c r="CB54" s="297">
        <v>1</v>
      </c>
      <c r="CC54" s="297"/>
      <c r="CD54" s="297"/>
      <c r="CE54" s="297"/>
      <c r="CF54" s="297"/>
      <c r="CG54" s="297"/>
      <c r="CH54" s="297"/>
      <c r="CI54" s="297"/>
      <c r="CJ54" s="297"/>
      <c r="CK54" s="297"/>
      <c r="CL54" s="297"/>
      <c r="CM54" s="297"/>
      <c r="CN54" s="307"/>
      <c r="CO54" s="300"/>
      <c r="CP54" s="165">
        <f t="shared" si="0"/>
        <v>0</v>
      </c>
      <c r="CQ54" s="165">
        <f t="shared" si="1"/>
        <v>2</v>
      </c>
      <c r="CR54" s="341">
        <f t="shared" si="2"/>
        <v>0</v>
      </c>
      <c r="CS54" s="327"/>
    </row>
    <row r="55" spans="1:97">
      <c r="A55" s="29" t="s">
        <v>450</v>
      </c>
      <c r="B55" s="339" t="str">
        <f>IFERROR(VLOOKUP(ParticipationMars1[[#This Row],[Référence]],ListeÉtudiants1[],18,FALSE),"")</f>
        <v>DOS SANTOS SILVA CELIA</v>
      </c>
      <c r="C55" s="19"/>
      <c r="D55" s="19"/>
      <c r="E55" s="19"/>
      <c r="F55" s="19"/>
      <c r="G55" s="19"/>
      <c r="H55" s="19"/>
      <c r="I55" s="19"/>
      <c r="J55" s="19"/>
      <c r="K55" s="19"/>
      <c r="L55" s="19"/>
      <c r="M55" s="19"/>
      <c r="N55" s="19"/>
      <c r="O55" s="19"/>
      <c r="P55" s="19"/>
      <c r="Q55" s="19" t="s">
        <v>529</v>
      </c>
      <c r="R55" s="19"/>
      <c r="S55" s="19"/>
      <c r="T55" s="19"/>
      <c r="U55" s="19"/>
      <c r="V55" s="19"/>
      <c r="W55" s="19"/>
      <c r="X55" s="19" t="s">
        <v>488</v>
      </c>
      <c r="Y55" s="19"/>
      <c r="Z55" s="19"/>
      <c r="AA55" s="19"/>
      <c r="AB55" s="19"/>
      <c r="AC55" s="19"/>
      <c r="AD55" s="19"/>
      <c r="AE55" s="19"/>
      <c r="AF55" s="19"/>
      <c r="AG55" s="340"/>
      <c r="AH55" s="6">
        <f>COUNTIF(ParticipationMars1[[#This Row],[1]:[31]],Code1)</f>
        <v>0</v>
      </c>
      <c r="AI55" s="331">
        <f>COUNTIF(ParticipationMars1[[#This Row],[1]:[31]],code22)</f>
        <v>0</v>
      </c>
      <c r="AJ55" s="30">
        <f>COUNTIF(ParticipationMars1[[#This Row],[1]:[31]],Code2)</f>
        <v>0</v>
      </c>
      <c r="AK55" s="30">
        <f>COUNTIF(ParticipationMars1[[#This Row],[1]:[31]],Code3)</f>
        <v>0</v>
      </c>
      <c r="AL55" s="30">
        <f>COUNTIF(ParticipationMars1[[#This Row],[1]:[31]],Code4)</f>
        <v>0</v>
      </c>
      <c r="AM55" s="307">
        <f>COUNTIF(ParticipationMars1[[#This Row],[1]:[31]],Code5)</f>
        <v>0</v>
      </c>
      <c r="AN55" s="307">
        <f>COUNTIF(ParticipationMars1[[#This Row],[1]:[31]],Code23)</f>
        <v>0</v>
      </c>
      <c r="AO55" s="307">
        <f>COUNTIF(ParticipationMars1[[#This Row],[1]:[31]],Code6)</f>
        <v>0</v>
      </c>
      <c r="AP55" s="307">
        <f>COUNTIF(ParticipationMars1[[#This Row],[1]:[31]],Code7)</f>
        <v>0</v>
      </c>
      <c r="AQ55" s="307">
        <f>COUNTIF(ParticipationMars1[[#This Row],[1]:[31]],Code8)</f>
        <v>0</v>
      </c>
      <c r="AR55" s="307">
        <f>COUNTIF(ParticipationMars1[[#This Row],[1]:[31]],Code9)</f>
        <v>0</v>
      </c>
      <c r="AS55" s="307">
        <f>COUNTIF(ParticipationMars1[[#This Row],[1]:[31]],Code10)</f>
        <v>0</v>
      </c>
      <c r="AT55" s="307">
        <f>COUNTIF(ParticipationMars1[[#This Row],[1]:[31]],Code11)</f>
        <v>0</v>
      </c>
      <c r="AU55" s="307">
        <f>COUNTIF(ParticipationMars1[[#This Row],[1]:[31]],Code12)</f>
        <v>0</v>
      </c>
      <c r="AV55" s="307">
        <f>COUNTIF(ParticipationMars1[[#This Row],[1]:[31]],Code13)</f>
        <v>0</v>
      </c>
      <c r="AW55" s="307">
        <f>COUNTIF(ParticipationMars1[[#This Row],[1]:[31]],Code14)</f>
        <v>0</v>
      </c>
      <c r="AX55" s="307">
        <f>COUNTIF(ParticipationMars1[[#This Row],[1]:[31]],Code15)</f>
        <v>0</v>
      </c>
      <c r="AY55" s="307">
        <f>COUNTIF(ParticipationMars1[[#This Row],[1]:[31]],Code16)</f>
        <v>0</v>
      </c>
      <c r="AZ55" s="307">
        <f>COUNTIF(ParticipationMars1[[#This Row],[1]:[31]],Code17)</f>
        <v>0</v>
      </c>
      <c r="BA55" s="307">
        <f>COUNTIF(ParticipationMars1[[#This Row],[1]:[31]],Code26)</f>
        <v>0</v>
      </c>
      <c r="BB55" s="307">
        <f>COUNTIF(ParticipationMars1[[#This Row],[1]:[31]],Code25)</f>
        <v>0</v>
      </c>
      <c r="BC55" s="307">
        <f>COUNTIF(ParticipationMars1[[#This Row],[1]:[31]],code21)</f>
        <v>0</v>
      </c>
      <c r="BD55" s="307">
        <f>COUNTIF(ParticipationMars1[[#This Row],[1]:[31]],Code24)</f>
        <v>0</v>
      </c>
      <c r="BE55" s="307">
        <f>COUNTIF(ParticipationMars1[[#This Row],[1]:[31]],code18)</f>
        <v>0</v>
      </c>
      <c r="BF55" s="307">
        <f>COUNTIF(ParticipationMars1[[#This Row],[1]:[31]],code19)</f>
        <v>0</v>
      </c>
      <c r="BG55" s="300">
        <f>COUNTIF(ParticipationMars1[[#This Row],[1]:[31]],code20)</f>
        <v>0</v>
      </c>
      <c r="BH55" s="297"/>
      <c r="BI55" s="297">
        <v>1</v>
      </c>
      <c r="BJ55" s="297"/>
      <c r="BK55" s="297"/>
      <c r="BL55" s="297"/>
      <c r="BM55" s="297"/>
      <c r="BN55" s="297"/>
      <c r="BO55" s="297"/>
      <c r="BP55" s="297"/>
      <c r="BQ55" s="297"/>
      <c r="BR55" s="297">
        <v>1</v>
      </c>
      <c r="BS55" s="297"/>
      <c r="BT55" s="297"/>
      <c r="BU55" s="297"/>
      <c r="BV55" s="297"/>
      <c r="BW55" s="297"/>
      <c r="BX55" s="297"/>
      <c r="BY55" s="297"/>
      <c r="BZ55" s="297"/>
      <c r="CA55" s="297"/>
      <c r="CB55" s="297">
        <v>1</v>
      </c>
      <c r="CC55" s="297"/>
      <c r="CD55" s="297"/>
      <c r="CE55" s="297"/>
      <c r="CF55" s="297"/>
      <c r="CG55" s="297"/>
      <c r="CH55" s="297"/>
      <c r="CI55" s="297"/>
      <c r="CJ55" s="297"/>
      <c r="CK55" s="297"/>
      <c r="CL55" s="297"/>
      <c r="CM55" s="297"/>
      <c r="CN55" s="307"/>
      <c r="CO55" s="300"/>
      <c r="CP55" s="165">
        <f t="shared" si="0"/>
        <v>0</v>
      </c>
      <c r="CQ55" s="165">
        <f t="shared" si="1"/>
        <v>0</v>
      </c>
      <c r="CR55" s="341">
        <f t="shared" si="2"/>
        <v>0</v>
      </c>
      <c r="CS55" s="327"/>
    </row>
    <row r="56" spans="1:97">
      <c r="A56" s="29" t="s">
        <v>451</v>
      </c>
      <c r="B56" s="339" t="str">
        <f>IFERROR(VLOOKUP(ParticipationMars1[[#This Row],[Référence]],ListeÉtudiants1[],18,FALSE),"")</f>
        <v>DOSSOU ESTELLE</v>
      </c>
      <c r="C56" s="19"/>
      <c r="D56" s="19"/>
      <c r="E56" s="19"/>
      <c r="F56" s="19"/>
      <c r="G56" s="19"/>
      <c r="H56" s="19"/>
      <c r="I56" s="19"/>
      <c r="J56" s="19"/>
      <c r="K56" s="19"/>
      <c r="L56" s="19"/>
      <c r="M56" s="19"/>
      <c r="N56" s="19"/>
      <c r="O56" s="19"/>
      <c r="P56" s="19"/>
      <c r="Q56" s="19"/>
      <c r="R56" s="19"/>
      <c r="S56" s="19"/>
      <c r="T56" s="19"/>
      <c r="U56" s="19"/>
      <c r="V56" s="19"/>
      <c r="W56" s="19"/>
      <c r="X56" s="19" t="s">
        <v>488</v>
      </c>
      <c r="Y56" s="19"/>
      <c r="Z56" s="19"/>
      <c r="AA56" s="19"/>
      <c r="AB56" s="19"/>
      <c r="AC56" s="19"/>
      <c r="AD56" s="19"/>
      <c r="AE56" s="19"/>
      <c r="AF56" s="19"/>
      <c r="AG56" s="340"/>
      <c r="AH56" s="6">
        <f>COUNTIF(ParticipationMars1[[#This Row],[1]:[31]],Code1)</f>
        <v>0</v>
      </c>
      <c r="AI56" s="331">
        <f>COUNTIF(ParticipationMars1[[#This Row],[1]:[31]],code22)</f>
        <v>0</v>
      </c>
      <c r="AJ56" s="30">
        <f>COUNTIF(ParticipationMars1[[#This Row],[1]:[31]],Code2)</f>
        <v>0</v>
      </c>
      <c r="AK56" s="30">
        <f>COUNTIF(ParticipationMars1[[#This Row],[1]:[31]],Code3)</f>
        <v>0</v>
      </c>
      <c r="AL56" s="30">
        <f>COUNTIF(ParticipationMars1[[#This Row],[1]:[31]],Code4)</f>
        <v>0</v>
      </c>
      <c r="AM56" s="307">
        <f>COUNTIF(ParticipationMars1[[#This Row],[1]:[31]],Code5)</f>
        <v>0</v>
      </c>
      <c r="AN56" s="307">
        <f>COUNTIF(ParticipationMars1[[#This Row],[1]:[31]],Code23)</f>
        <v>0</v>
      </c>
      <c r="AO56" s="307">
        <f>COUNTIF(ParticipationMars1[[#This Row],[1]:[31]],Code6)</f>
        <v>3</v>
      </c>
      <c r="AP56" s="307">
        <f>COUNTIF(ParticipationMars1[[#This Row],[1]:[31]],Code7)</f>
        <v>0</v>
      </c>
      <c r="AQ56" s="307">
        <f>COUNTIF(ParticipationMars1[[#This Row],[1]:[31]],Code8)</f>
        <v>0</v>
      </c>
      <c r="AR56" s="307">
        <f>COUNTIF(ParticipationMars1[[#This Row],[1]:[31]],Code9)</f>
        <v>0</v>
      </c>
      <c r="AS56" s="307">
        <f>COUNTIF(ParticipationMars1[[#This Row],[1]:[31]],Code10)</f>
        <v>0</v>
      </c>
      <c r="AT56" s="307">
        <f>COUNTIF(ParticipationMars1[[#This Row],[1]:[31]],Code11)</f>
        <v>1</v>
      </c>
      <c r="AU56" s="307">
        <f>COUNTIF(ParticipationMars1[[#This Row],[1]:[31]],Code12)</f>
        <v>0</v>
      </c>
      <c r="AV56" s="307">
        <f>COUNTIF(ParticipationMars1[[#This Row],[1]:[31]],Code13)</f>
        <v>0</v>
      </c>
      <c r="AW56" s="307">
        <f>COUNTIF(ParticipationMars1[[#This Row],[1]:[31]],Code14)</f>
        <v>1</v>
      </c>
      <c r="AX56" s="307">
        <f>COUNTIF(ParticipationMars1[[#This Row],[1]:[31]],Code15)</f>
        <v>0</v>
      </c>
      <c r="AY56" s="307">
        <f>COUNTIF(ParticipationMars1[[#This Row],[1]:[31]],Code16)</f>
        <v>0</v>
      </c>
      <c r="AZ56" s="307">
        <f>COUNTIF(ParticipationMars1[[#This Row],[1]:[31]],Code17)</f>
        <v>0</v>
      </c>
      <c r="BA56" s="307">
        <f>COUNTIF(ParticipationMars1[[#This Row],[1]:[31]],Code26)</f>
        <v>0</v>
      </c>
      <c r="BB56" s="307">
        <f>COUNTIF(ParticipationMars1[[#This Row],[1]:[31]],Code25)</f>
        <v>0</v>
      </c>
      <c r="BC56" s="307">
        <f>COUNTIF(ParticipationMars1[[#This Row],[1]:[31]],code21)</f>
        <v>1</v>
      </c>
      <c r="BD56" s="307">
        <f>COUNTIF(ParticipationMars1[[#This Row],[1]:[31]],Code24)</f>
        <v>0</v>
      </c>
      <c r="BE56" s="307">
        <f>COUNTIF(ParticipationMars1[[#This Row],[1]:[31]],code18)</f>
        <v>0</v>
      </c>
      <c r="BF56" s="307">
        <f>COUNTIF(ParticipationMars1[[#This Row],[1]:[31]],code19)</f>
        <v>0</v>
      </c>
      <c r="BG56" s="300">
        <f>COUNTIF(ParticipationMars1[[#This Row],[1]:[31]],code20)</f>
        <v>0</v>
      </c>
      <c r="BH56" s="297"/>
      <c r="BI56" s="297">
        <v>1</v>
      </c>
      <c r="BJ56" s="297"/>
      <c r="BK56" s="297"/>
      <c r="BL56" s="297"/>
      <c r="BM56" s="297"/>
      <c r="BN56" s="297"/>
      <c r="BO56" s="297"/>
      <c r="BP56" s="297"/>
      <c r="BQ56" s="297"/>
      <c r="BR56" s="297"/>
      <c r="BS56" s="297"/>
      <c r="BT56" s="297"/>
      <c r="BU56" s="297"/>
      <c r="BV56" s="297"/>
      <c r="BW56" s="297"/>
      <c r="BX56" s="297"/>
      <c r="BY56" s="297"/>
      <c r="BZ56" s="297"/>
      <c r="CA56" s="297"/>
      <c r="CB56" s="297">
        <v>1</v>
      </c>
      <c r="CC56" s="297"/>
      <c r="CD56" s="297"/>
      <c r="CE56" s="297"/>
      <c r="CF56" s="297"/>
      <c r="CG56" s="297"/>
      <c r="CH56" s="297"/>
      <c r="CI56" s="297"/>
      <c r="CJ56" s="297"/>
      <c r="CK56" s="297"/>
      <c r="CL56" s="297"/>
      <c r="CM56" s="297"/>
      <c r="CN56" s="307"/>
      <c r="CO56" s="300"/>
      <c r="CP56" s="165">
        <f t="shared" si="0"/>
        <v>2</v>
      </c>
      <c r="CQ56" s="165">
        <f t="shared" si="1"/>
        <v>23</v>
      </c>
      <c r="CR56" s="341">
        <f t="shared" si="2"/>
        <v>0</v>
      </c>
      <c r="CS56" s="327"/>
    </row>
    <row r="57" spans="1:97">
      <c r="A57" s="29" t="s">
        <v>452</v>
      </c>
      <c r="B57" s="286" t="str">
        <f>IFERROR(VLOOKUP(ParticipationMars1[[#This Row],[Référence]],ListeÉtudiants1[],18,FALSE),"")</f>
        <v>DUFFO FELIX</v>
      </c>
      <c r="C57" s="19"/>
      <c r="D57" s="19"/>
      <c r="E57" s="19"/>
      <c r="F57" s="19"/>
      <c r="G57" s="19"/>
      <c r="H57" s="19"/>
      <c r="I57" s="19"/>
      <c r="J57" s="19"/>
      <c r="K57" s="19"/>
      <c r="L57" s="19"/>
      <c r="M57" s="19"/>
      <c r="N57" s="19"/>
      <c r="O57" s="19" t="s">
        <v>108</v>
      </c>
      <c r="P57" s="19"/>
      <c r="Q57" s="19"/>
      <c r="R57" s="19"/>
      <c r="S57" s="19"/>
      <c r="T57" s="19"/>
      <c r="U57" s="19"/>
      <c r="V57" s="19"/>
      <c r="W57" s="19" t="s">
        <v>488</v>
      </c>
      <c r="X57" s="19" t="s">
        <v>109</v>
      </c>
      <c r="Y57" s="19"/>
      <c r="Z57" s="19"/>
      <c r="AA57" s="19"/>
      <c r="AB57" s="19"/>
      <c r="AC57" s="19"/>
      <c r="AD57" s="19"/>
      <c r="AE57" s="19"/>
      <c r="AF57" s="19"/>
      <c r="AG57" s="340"/>
      <c r="AH57" s="6">
        <f>COUNTIF(ParticipationMars1[[#This Row],[1]:[31]],Code1)</f>
        <v>0</v>
      </c>
      <c r="AI57" s="6">
        <f>COUNTIF(ParticipationMars1[[#This Row],[1]:[31]],code22)</f>
        <v>0</v>
      </c>
      <c r="AJ57" s="30">
        <f>COUNTIF(ParticipationMars1[[#This Row],[1]:[31]],Code2)</f>
        <v>0</v>
      </c>
      <c r="AK57" s="30">
        <f>COUNTIF(ParticipationMars1[[#This Row],[1]:[31]],Code3)</f>
        <v>0</v>
      </c>
      <c r="AL57" s="30">
        <f>COUNTIF(ParticipationMars1[[#This Row],[1]:[31]],Code4)</f>
        <v>0</v>
      </c>
      <c r="AM57" s="30">
        <f>COUNTIF(ParticipationMars1[[#This Row],[1]:[31]],Code5)</f>
        <v>0</v>
      </c>
      <c r="AN57" s="30">
        <f>COUNTIF(ParticipationMars1[[#This Row],[1]:[31]],Code23)</f>
        <v>2</v>
      </c>
      <c r="AO57" s="30">
        <f>COUNTIF(ParticipationMars1[[#This Row],[1]:[31]],Code6)</f>
        <v>2</v>
      </c>
      <c r="AP57" s="30">
        <f>COUNTIF(ParticipationMars1[[#This Row],[1]:[31]],Code7)</f>
        <v>0</v>
      </c>
      <c r="AQ57" s="30">
        <f>COUNTIF(ParticipationMars1[[#This Row],[1]:[31]],Code8)</f>
        <v>0</v>
      </c>
      <c r="AR57" s="30">
        <f>COUNTIF(ParticipationMars1[[#This Row],[1]:[31]],Code9)</f>
        <v>0</v>
      </c>
      <c r="AS57" s="30">
        <f>COUNTIF(ParticipationMars1[[#This Row],[1]:[31]],Code10)</f>
        <v>0</v>
      </c>
      <c r="AT57" s="30">
        <f>COUNTIF(ParticipationMars1[[#This Row],[1]:[31]],Code11)</f>
        <v>0</v>
      </c>
      <c r="AU57" s="30">
        <f>COUNTIF(ParticipationMars1[[#This Row],[1]:[31]],Code12)</f>
        <v>0</v>
      </c>
      <c r="AV57" s="30">
        <f>COUNTIF(ParticipationMars1[[#This Row],[1]:[31]],Code13)</f>
        <v>0</v>
      </c>
      <c r="AW57" s="30">
        <f>COUNTIF(ParticipationMars1[[#This Row],[1]:[31]],Code14)</f>
        <v>0</v>
      </c>
      <c r="AX57" s="30">
        <f>COUNTIF(ParticipationMars1[[#This Row],[1]:[31]],Code15)</f>
        <v>0</v>
      </c>
      <c r="AY57" s="30">
        <f>COUNTIF(ParticipationMars1[[#This Row],[1]:[31]],Code16)</f>
        <v>0</v>
      </c>
      <c r="AZ57" s="30">
        <f>COUNTIF(ParticipationMars1[[#This Row],[1]:[31]],Code17)</f>
        <v>0</v>
      </c>
      <c r="BA57" s="307">
        <f>COUNTIF(ParticipationMars1[[#This Row],[1]:[31]],Code26)</f>
        <v>0</v>
      </c>
      <c r="BB57" s="30">
        <f>COUNTIF(ParticipationMars1[[#This Row],[1]:[31]],Code25)</f>
        <v>0</v>
      </c>
      <c r="BC57" s="30">
        <f>COUNTIF(ParticipationMars1[[#This Row],[1]:[31]],code21)</f>
        <v>0</v>
      </c>
      <c r="BD57" s="30">
        <f>COUNTIF(ParticipationMars1[[#This Row],[1]:[31]],Code24)</f>
        <v>0</v>
      </c>
      <c r="BE57" s="30">
        <f>COUNTIF(ParticipationMars1[[#This Row],[1]:[31]],code18)</f>
        <v>0</v>
      </c>
      <c r="BF57" s="30">
        <f>COUNTIF(ParticipationMars1[[#This Row],[1]:[31]],code19)</f>
        <v>0</v>
      </c>
      <c r="BG57" s="164">
        <f>COUNTIF(ParticipationMars1[[#This Row],[1]:[31]],code20)</f>
        <v>0</v>
      </c>
      <c r="BH57" s="297"/>
      <c r="BI57" s="297">
        <v>1</v>
      </c>
      <c r="BJ57" s="297"/>
      <c r="BK57" s="297"/>
      <c r="BL57" s="297"/>
      <c r="BM57" s="297"/>
      <c r="BN57" s="297"/>
      <c r="BO57" s="297">
        <v>2</v>
      </c>
      <c r="BP57" s="297"/>
      <c r="BQ57" s="297"/>
      <c r="BR57" s="297">
        <v>2</v>
      </c>
      <c r="BS57" s="297"/>
      <c r="BT57" s="297"/>
      <c r="BU57" s="297"/>
      <c r="BV57" s="297"/>
      <c r="BW57" s="297"/>
      <c r="BX57" s="297"/>
      <c r="BY57" s="297"/>
      <c r="BZ57" s="297"/>
      <c r="CA57" s="297"/>
      <c r="CB57" s="297"/>
      <c r="CC57" s="297"/>
      <c r="CD57" s="297"/>
      <c r="CE57" s="297"/>
      <c r="CF57" s="297"/>
      <c r="CG57" s="297"/>
      <c r="CH57" s="297"/>
      <c r="CI57" s="297"/>
      <c r="CJ57" s="297"/>
      <c r="CK57" s="297"/>
      <c r="CL57" s="297"/>
      <c r="CM57" s="297"/>
      <c r="CN57" s="307"/>
      <c r="CO57" s="300"/>
      <c r="CP57" s="165">
        <f t="shared" si="0"/>
        <v>0</v>
      </c>
      <c r="CQ57" s="165">
        <f t="shared" si="1"/>
        <v>8</v>
      </c>
      <c r="CR57" s="249">
        <f t="shared" si="2"/>
        <v>0</v>
      </c>
      <c r="CS57" s="170">
        <f>SUM(AQ57:CP57)</f>
        <v>5</v>
      </c>
    </row>
    <row r="58" spans="1:97">
      <c r="A58" s="29" t="s">
        <v>453</v>
      </c>
      <c r="B58" s="339" t="str">
        <f>IFERROR(VLOOKUP(ParticipationMars1[[#This Row],[Référence]],ListeÉtudiants1[],18,FALSE),"")</f>
        <v>DUPUY JULINE</v>
      </c>
      <c r="C58" s="19"/>
      <c r="D58" s="19"/>
      <c r="E58" s="19"/>
      <c r="F58" s="19"/>
      <c r="G58" s="19"/>
      <c r="H58" s="19"/>
      <c r="I58" s="19"/>
      <c r="J58" s="19"/>
      <c r="K58" s="19"/>
      <c r="L58" s="19"/>
      <c r="M58" s="19"/>
      <c r="N58" s="19" t="s">
        <v>531</v>
      </c>
      <c r="O58" s="19" t="s">
        <v>604</v>
      </c>
      <c r="P58" s="19" t="s">
        <v>35</v>
      </c>
      <c r="Q58" s="19" t="s">
        <v>108</v>
      </c>
      <c r="R58" s="19"/>
      <c r="S58" s="19"/>
      <c r="T58" s="19"/>
      <c r="U58" s="19" t="s">
        <v>109</v>
      </c>
      <c r="V58" s="19" t="s">
        <v>529</v>
      </c>
      <c r="W58" s="19" t="s">
        <v>488</v>
      </c>
      <c r="X58" s="19" t="s">
        <v>488</v>
      </c>
      <c r="Y58" s="19" t="s">
        <v>35</v>
      </c>
      <c r="Z58" s="19"/>
      <c r="AA58" s="19"/>
      <c r="AB58" s="19"/>
      <c r="AC58" s="19"/>
      <c r="AD58" s="19"/>
      <c r="AE58" s="19"/>
      <c r="AF58" s="141"/>
      <c r="AG58" s="340"/>
      <c r="AH58" s="6">
        <f>COUNTIF(ParticipationMars1[[#This Row],[1]:[31]],Code1)</f>
        <v>0</v>
      </c>
      <c r="AI58" s="6">
        <f>COUNTIF(ParticipationMars1[[#This Row],[1]:[31]],code22)</f>
        <v>0</v>
      </c>
      <c r="AJ58" s="30">
        <f>COUNTIF(ParticipationMars1[[#This Row],[1]:[31]],Code2)</f>
        <v>0</v>
      </c>
      <c r="AK58" s="30">
        <f>COUNTIF(ParticipationMars1[[#This Row],[1]:[31]],Code3)</f>
        <v>0</v>
      </c>
      <c r="AL58" s="30">
        <f>COUNTIF(ParticipationMars1[[#This Row],[1]:[31]],Code4)</f>
        <v>0</v>
      </c>
      <c r="AM58" s="30">
        <f>COUNTIF(ParticipationMars1[[#This Row],[1]:[31]],Code5)</f>
        <v>0</v>
      </c>
      <c r="AN58" s="30">
        <f>COUNTIF(ParticipationMars1[[#This Row],[1]:[31]],Code23)</f>
        <v>0</v>
      </c>
      <c r="AO58" s="30">
        <f>COUNTIF(ParticipationMars1[[#This Row],[1]:[31]],Code6)</f>
        <v>0</v>
      </c>
      <c r="AP58" s="30">
        <f>COUNTIF(ParticipationMars1[[#This Row],[1]:[31]],Code7)</f>
        <v>0</v>
      </c>
      <c r="AQ58" s="30">
        <f>COUNTIF(ParticipationMars1[[#This Row],[1]:[31]],Code8)</f>
        <v>0</v>
      </c>
      <c r="AR58" s="30">
        <f>COUNTIF(ParticipationMars1[[#This Row],[1]:[31]],Code9)</f>
        <v>0</v>
      </c>
      <c r="AS58" s="30">
        <f>COUNTIF(ParticipationMars1[[#This Row],[1]:[31]],Code10)</f>
        <v>0</v>
      </c>
      <c r="AT58" s="30">
        <f>COUNTIF(ParticipationMars1[[#This Row],[1]:[31]],Code11)</f>
        <v>0</v>
      </c>
      <c r="AU58" s="30">
        <f>COUNTIF(ParticipationMars1[[#This Row],[1]:[31]],Code12)</f>
        <v>0</v>
      </c>
      <c r="AV58" s="30">
        <f>COUNTIF(ParticipationMars1[[#This Row],[1]:[31]],Code13)</f>
        <v>0</v>
      </c>
      <c r="AW58" s="30">
        <f>COUNTIF(ParticipationMars1[[#This Row],[1]:[31]],Code14)</f>
        <v>0</v>
      </c>
      <c r="AX58" s="30">
        <f>COUNTIF(ParticipationMars1[[#This Row],[1]:[31]],Code15)</f>
        <v>0</v>
      </c>
      <c r="AY58" s="30">
        <f>COUNTIF(ParticipationMars1[[#This Row],[1]:[31]],Code16)</f>
        <v>0</v>
      </c>
      <c r="AZ58" s="30">
        <f>COUNTIF(ParticipationMars1[[#This Row],[1]:[31]],Code17)</f>
        <v>0</v>
      </c>
      <c r="BA58" s="307">
        <f>COUNTIF(ParticipationMars1[[#This Row],[1]:[31]],Code26)</f>
        <v>0</v>
      </c>
      <c r="BB58" s="30">
        <f>COUNTIF(ParticipationMars1[[#This Row],[1]:[31]],Code25)</f>
        <v>0</v>
      </c>
      <c r="BC58" s="30">
        <f>COUNTIF(ParticipationMars1[[#This Row],[1]:[31]],code21)</f>
        <v>0</v>
      </c>
      <c r="BD58" s="30">
        <f>COUNTIF(ParticipationMars1[[#This Row],[1]:[31]],Code24)</f>
        <v>0</v>
      </c>
      <c r="BE58" s="30">
        <f>COUNTIF(ParticipationMars1[[#This Row],[1]:[31]],code18)</f>
        <v>0</v>
      </c>
      <c r="BF58" s="30">
        <f>COUNTIF(ParticipationMars1[[#This Row],[1]:[31]],code19)</f>
        <v>0</v>
      </c>
      <c r="BG58" s="164">
        <f>COUNTIF(ParticipationMars1[[#This Row],[1]:[31]],code20)</f>
        <v>0</v>
      </c>
      <c r="BH58" s="297"/>
      <c r="BI58" s="297">
        <v>1</v>
      </c>
      <c r="BJ58" s="297"/>
      <c r="BK58" s="297"/>
      <c r="BL58" s="297"/>
      <c r="BM58" s="297"/>
      <c r="BN58" s="297"/>
      <c r="BO58" s="297">
        <v>2</v>
      </c>
      <c r="BP58" s="297"/>
      <c r="BQ58" s="297"/>
      <c r="BR58" s="297">
        <v>3</v>
      </c>
      <c r="BS58" s="297"/>
      <c r="BT58" s="297"/>
      <c r="BU58" s="297">
        <v>1</v>
      </c>
      <c r="BV58" s="297"/>
      <c r="BW58" s="297"/>
      <c r="BX58" s="297"/>
      <c r="BY58" s="297"/>
      <c r="BZ58" s="297"/>
      <c r="CA58" s="297"/>
      <c r="CB58" s="297">
        <v>2</v>
      </c>
      <c r="CC58" s="297"/>
      <c r="CD58" s="297"/>
      <c r="CE58" s="297"/>
      <c r="CF58" s="297"/>
      <c r="CG58" s="297"/>
      <c r="CH58" s="297"/>
      <c r="CI58" s="297"/>
      <c r="CJ58" s="297"/>
      <c r="CK58" s="297"/>
      <c r="CL58" s="297"/>
      <c r="CM58" s="297"/>
      <c r="CN58" s="307"/>
      <c r="CO58" s="300"/>
      <c r="CP58" s="165">
        <f t="shared" si="0"/>
        <v>0</v>
      </c>
      <c r="CQ58" s="165">
        <f t="shared" si="1"/>
        <v>0</v>
      </c>
      <c r="CR58" s="249">
        <f t="shared" si="2"/>
        <v>0</v>
      </c>
      <c r="CS58" s="170">
        <f>SUM((BE58*7)+(BF58*10)+(BG58*12))</f>
        <v>0</v>
      </c>
    </row>
    <row r="59" spans="1:97">
      <c r="A59" s="29" t="s">
        <v>456</v>
      </c>
      <c r="B59" s="339" t="str">
        <f>IFERROR(VLOOKUP(ParticipationMars1[[#This Row],[Référence]],ListeÉtudiants1[],18,FALSE),"")</f>
        <v>EDERY JEFFREY</v>
      </c>
      <c r="C59" s="19"/>
      <c r="D59" s="19"/>
      <c r="E59" s="19"/>
      <c r="F59" s="19"/>
      <c r="G59" s="19"/>
      <c r="H59" s="19"/>
      <c r="I59" s="19"/>
      <c r="J59" s="19"/>
      <c r="K59" s="19"/>
      <c r="L59" s="19"/>
      <c r="M59" s="19"/>
      <c r="N59" s="19"/>
      <c r="O59" s="19"/>
      <c r="P59" s="19"/>
      <c r="Q59" s="19" t="s">
        <v>109</v>
      </c>
      <c r="R59" s="19"/>
      <c r="S59" s="19"/>
      <c r="T59" s="19"/>
      <c r="U59" s="19" t="s">
        <v>529</v>
      </c>
      <c r="V59" s="19" t="s">
        <v>529</v>
      </c>
      <c r="W59" s="19" t="s">
        <v>529</v>
      </c>
      <c r="X59" s="19" t="s">
        <v>488</v>
      </c>
      <c r="Y59" s="19" t="s">
        <v>35</v>
      </c>
      <c r="Z59" s="19"/>
      <c r="AA59" s="19"/>
      <c r="AB59" s="19"/>
      <c r="AC59" s="19"/>
      <c r="AD59" s="19"/>
      <c r="AE59" s="19"/>
      <c r="AF59" s="19"/>
      <c r="AG59" s="340"/>
      <c r="AH59" s="6">
        <f>COUNTIF(ParticipationMars1[[#This Row],[1]:[31]],Code1)</f>
        <v>0</v>
      </c>
      <c r="AI59" s="331">
        <f>COUNTIF(ParticipationMars1[[#This Row],[1]:[31]],code22)</f>
        <v>0</v>
      </c>
      <c r="AJ59" s="30">
        <f>COUNTIF(ParticipationMars1[[#This Row],[1]:[31]],Code2)</f>
        <v>0</v>
      </c>
      <c r="AK59" s="30">
        <f>COUNTIF(ParticipationMars1[[#This Row],[1]:[31]],Code3)</f>
        <v>0</v>
      </c>
      <c r="AL59" s="30">
        <f>COUNTIF(ParticipationMars1[[#This Row],[1]:[31]],Code4)</f>
        <v>0</v>
      </c>
      <c r="AM59" s="307">
        <f>COUNTIF(ParticipationMars1[[#This Row],[1]:[31]],Code5)</f>
        <v>0</v>
      </c>
      <c r="AN59" s="307">
        <f>COUNTIF(ParticipationMars1[[#This Row],[1]:[31]],Code23)</f>
        <v>0</v>
      </c>
      <c r="AO59" s="307">
        <f>COUNTIF(ParticipationMars1[[#This Row],[1]:[31]],Code6)</f>
        <v>0</v>
      </c>
      <c r="AP59" s="307">
        <f>COUNTIF(ParticipationMars1[[#This Row],[1]:[31]],Code7)</f>
        <v>0</v>
      </c>
      <c r="AQ59" s="307">
        <f>COUNTIF(ParticipationMars1[[#This Row],[1]:[31]],Code8)</f>
        <v>0</v>
      </c>
      <c r="AR59" s="307">
        <f>COUNTIF(ParticipationMars1[[#This Row],[1]:[31]],Code9)</f>
        <v>0</v>
      </c>
      <c r="AS59" s="307">
        <f>COUNTIF(ParticipationMars1[[#This Row],[1]:[31]],Code10)</f>
        <v>0</v>
      </c>
      <c r="AT59" s="307">
        <f>COUNTIF(ParticipationMars1[[#This Row],[1]:[31]],Code11)</f>
        <v>0</v>
      </c>
      <c r="AU59" s="307">
        <f>COUNTIF(ParticipationMars1[[#This Row],[1]:[31]],Code12)</f>
        <v>0</v>
      </c>
      <c r="AV59" s="307">
        <f>COUNTIF(ParticipationMars1[[#This Row],[1]:[31]],Code13)</f>
        <v>0</v>
      </c>
      <c r="AW59" s="307">
        <f>COUNTIF(ParticipationMars1[[#This Row],[1]:[31]],Code14)</f>
        <v>0</v>
      </c>
      <c r="AX59" s="307">
        <f>COUNTIF(ParticipationMars1[[#This Row],[1]:[31]],Code15)</f>
        <v>0</v>
      </c>
      <c r="AY59" s="307">
        <f>COUNTIF(ParticipationMars1[[#This Row],[1]:[31]],Code16)</f>
        <v>0</v>
      </c>
      <c r="AZ59" s="307">
        <f>COUNTIF(ParticipationMars1[[#This Row],[1]:[31]],Code17)</f>
        <v>0</v>
      </c>
      <c r="BA59" s="307">
        <f>COUNTIF(ParticipationMars1[[#This Row],[1]:[31]],Code26)</f>
        <v>0</v>
      </c>
      <c r="BB59" s="307">
        <f>COUNTIF(ParticipationMars1[[#This Row],[1]:[31]],Code25)</f>
        <v>0</v>
      </c>
      <c r="BC59" s="307">
        <f>COUNTIF(ParticipationMars1[[#This Row],[1]:[31]],code21)</f>
        <v>0</v>
      </c>
      <c r="BD59" s="307">
        <f>COUNTIF(ParticipationMars1[[#This Row],[1]:[31]],Code24)</f>
        <v>0</v>
      </c>
      <c r="BE59" s="307">
        <f>COUNTIF(ParticipationMars1[[#This Row],[1]:[31]],code18)</f>
        <v>0</v>
      </c>
      <c r="BF59" s="307">
        <f>COUNTIF(ParticipationMars1[[#This Row],[1]:[31]],code19)</f>
        <v>0</v>
      </c>
      <c r="BG59" s="300">
        <f>COUNTIF(ParticipationMars1[[#This Row],[1]:[31]],code20)</f>
        <v>0</v>
      </c>
      <c r="BH59" s="297"/>
      <c r="BI59" s="297">
        <v>1</v>
      </c>
      <c r="BJ59" s="297"/>
      <c r="BK59" s="297"/>
      <c r="BL59" s="297"/>
      <c r="BM59" s="297"/>
      <c r="BN59" s="297"/>
      <c r="BO59" s="297">
        <v>1</v>
      </c>
      <c r="BP59" s="297"/>
      <c r="BQ59" s="297"/>
      <c r="BR59" s="297">
        <v>3</v>
      </c>
      <c r="BS59" s="297"/>
      <c r="BT59" s="297"/>
      <c r="BU59" s="297">
        <v>1</v>
      </c>
      <c r="BV59" s="297"/>
      <c r="BW59" s="297"/>
      <c r="BX59" s="297"/>
      <c r="BY59" s="297"/>
      <c r="BZ59" s="297"/>
      <c r="CA59" s="297"/>
      <c r="CB59" s="297">
        <v>1</v>
      </c>
      <c r="CC59" s="297"/>
      <c r="CD59" s="297"/>
      <c r="CE59" s="297"/>
      <c r="CF59" s="297"/>
      <c r="CG59" s="297"/>
      <c r="CH59" s="297"/>
      <c r="CI59" s="297"/>
      <c r="CJ59" s="297"/>
      <c r="CK59" s="297"/>
      <c r="CL59" s="297"/>
      <c r="CM59" s="297"/>
      <c r="CN59" s="307"/>
      <c r="CO59" s="300"/>
      <c r="CP59" s="165">
        <f t="shared" si="0"/>
        <v>0</v>
      </c>
      <c r="CQ59" s="165">
        <f t="shared" si="1"/>
        <v>0</v>
      </c>
      <c r="CR59" s="341">
        <f t="shared" si="2"/>
        <v>0</v>
      </c>
      <c r="CS59" s="327"/>
    </row>
    <row r="60" spans="1:97">
      <c r="A60" s="29" t="s">
        <v>457</v>
      </c>
      <c r="B60" s="162" t="str">
        <f>IFERROR(VLOOKUP(ParticipationMars1[[#This Row],[Référence]],ListeÉtudiants1[],18,FALSE),"")</f>
        <v>EL MAZGHI GHITA</v>
      </c>
      <c r="C60" s="19"/>
      <c r="D60" s="19"/>
      <c r="E60" s="19"/>
      <c r="F60" s="19"/>
      <c r="G60" s="19"/>
      <c r="H60" s="19"/>
      <c r="I60" s="19"/>
      <c r="J60" s="19"/>
      <c r="K60" s="19"/>
      <c r="L60" s="19"/>
      <c r="M60" s="19"/>
      <c r="N60" s="19"/>
      <c r="O60" s="19"/>
      <c r="P60" s="19"/>
      <c r="Q60" s="19" t="s">
        <v>529</v>
      </c>
      <c r="R60" s="19"/>
      <c r="S60" s="19"/>
      <c r="T60" s="19"/>
      <c r="U60" s="19"/>
      <c r="V60" s="19"/>
      <c r="W60" s="19"/>
      <c r="X60" s="19"/>
      <c r="Y60" s="19"/>
      <c r="Z60" s="19"/>
      <c r="AA60" s="19"/>
      <c r="AB60" s="19"/>
      <c r="AC60" s="19"/>
      <c r="AD60" s="19"/>
      <c r="AE60" s="19"/>
      <c r="AF60" s="19"/>
      <c r="AG60" s="144"/>
      <c r="AH60" s="6">
        <f>COUNTIF(ParticipationMars1[[#This Row],[1]:[31]],Code1)</f>
        <v>0</v>
      </c>
      <c r="AI60" s="331">
        <f>COUNTIF(ParticipationMars1[[#This Row],[1]:[31]],code22)</f>
        <v>0</v>
      </c>
      <c r="AJ60" s="30">
        <f>COUNTIF(ParticipationMars1[[#This Row],[1]:[31]],Code2)</f>
        <v>0</v>
      </c>
      <c r="AK60" s="30">
        <f>COUNTIF(ParticipationMars1[[#This Row],[1]:[31]],Code3)</f>
        <v>0</v>
      </c>
      <c r="AL60" s="30">
        <f>COUNTIF(ParticipationMars1[[#This Row],[1]:[31]],Code4)</f>
        <v>0</v>
      </c>
      <c r="AM60" s="307">
        <f>COUNTIF(ParticipationMars1[[#This Row],[1]:[31]],Code5)</f>
        <v>0</v>
      </c>
      <c r="AN60" s="307">
        <f>COUNTIF(ParticipationMars1[[#This Row],[1]:[31]],Code23)</f>
        <v>0</v>
      </c>
      <c r="AO60" s="307">
        <f>COUNTIF(ParticipationMars1[[#This Row],[1]:[31]],Code6)</f>
        <v>0</v>
      </c>
      <c r="AP60" s="307">
        <f>COUNTIF(ParticipationMars1[[#This Row],[1]:[31]],Code7)</f>
        <v>0</v>
      </c>
      <c r="AQ60" s="307">
        <f>COUNTIF(ParticipationMars1[[#This Row],[1]:[31]],Code8)</f>
        <v>0</v>
      </c>
      <c r="AR60" s="307">
        <f>COUNTIF(ParticipationMars1[[#This Row],[1]:[31]],Code9)</f>
        <v>0</v>
      </c>
      <c r="AS60" s="307">
        <f>COUNTIF(ParticipationMars1[[#This Row],[1]:[31]],Code10)</f>
        <v>0</v>
      </c>
      <c r="AT60" s="307">
        <f>COUNTIF(ParticipationMars1[[#This Row],[1]:[31]],Code11)</f>
        <v>0</v>
      </c>
      <c r="AU60" s="307">
        <f>COUNTIF(ParticipationMars1[[#This Row],[1]:[31]],Code12)</f>
        <v>0</v>
      </c>
      <c r="AV60" s="307">
        <f>COUNTIF(ParticipationMars1[[#This Row],[1]:[31]],Code13)</f>
        <v>0</v>
      </c>
      <c r="AW60" s="307">
        <f>COUNTIF(ParticipationMars1[[#This Row],[1]:[31]],Code14)</f>
        <v>0</v>
      </c>
      <c r="AX60" s="307">
        <f>COUNTIF(ParticipationMars1[[#This Row],[1]:[31]],Code15)</f>
        <v>0</v>
      </c>
      <c r="AY60" s="307">
        <f>COUNTIF(ParticipationMars1[[#This Row],[1]:[31]],Code16)</f>
        <v>0</v>
      </c>
      <c r="AZ60" s="307">
        <f>COUNTIF(ParticipationMars1[[#This Row],[1]:[31]],Code17)</f>
        <v>0</v>
      </c>
      <c r="BA60" s="307">
        <f>COUNTIF(ParticipationMars1[[#This Row],[1]:[31]],Code26)</f>
        <v>0</v>
      </c>
      <c r="BB60" s="30">
        <f>COUNTIF(ParticipationMars1[[#This Row],[1]:[31]],Code25)</f>
        <v>0</v>
      </c>
      <c r="BC60" s="307">
        <f>COUNTIF(ParticipationMars1[[#This Row],[1]:[31]],code21)</f>
        <v>0</v>
      </c>
      <c r="BD60" s="307">
        <f>COUNTIF(ParticipationMars1[[#This Row],[1]:[31]],Code24)</f>
        <v>0</v>
      </c>
      <c r="BE60" s="307">
        <f>COUNTIF(ParticipationMars1[[#This Row],[1]:[31]],code18)</f>
        <v>0</v>
      </c>
      <c r="BF60" s="307">
        <f>COUNTIF(ParticipationMars1[[#This Row],[1]:[31]],code19)</f>
        <v>0</v>
      </c>
      <c r="BG60" s="300">
        <f>COUNTIF(ParticipationMars1[[#This Row],[1]:[31]],code20)</f>
        <v>0</v>
      </c>
      <c r="BH60" s="297"/>
      <c r="BI60" s="297"/>
      <c r="BJ60" s="297"/>
      <c r="BK60" s="297"/>
      <c r="BL60" s="297"/>
      <c r="BM60" s="297"/>
      <c r="BN60" s="297"/>
      <c r="BO60" s="297"/>
      <c r="BP60" s="297"/>
      <c r="BQ60" s="297"/>
      <c r="BR60" s="297">
        <v>1</v>
      </c>
      <c r="BS60" s="297"/>
      <c r="BT60" s="297"/>
      <c r="BU60" s="297"/>
      <c r="BV60" s="297"/>
      <c r="BW60" s="297"/>
      <c r="BX60" s="297"/>
      <c r="BY60" s="297"/>
      <c r="BZ60" s="297"/>
      <c r="CA60" s="297"/>
      <c r="CB60" s="297"/>
      <c r="CC60" s="297"/>
      <c r="CD60" s="297"/>
      <c r="CE60" s="297"/>
      <c r="CF60" s="297"/>
      <c r="CG60" s="297"/>
      <c r="CH60" s="297"/>
      <c r="CI60" s="297"/>
      <c r="CJ60" s="297"/>
      <c r="CK60" s="297"/>
      <c r="CL60" s="297"/>
      <c r="CM60" s="297"/>
      <c r="CN60" s="307"/>
      <c r="CO60" s="300"/>
      <c r="CP60" s="165">
        <f t="shared" si="0"/>
        <v>0</v>
      </c>
      <c r="CQ60" s="165">
        <f t="shared" si="1"/>
        <v>0</v>
      </c>
      <c r="CR60" s="249">
        <f t="shared" si="2"/>
        <v>0</v>
      </c>
      <c r="CS60" s="327"/>
    </row>
    <row r="61" spans="1:97">
      <c r="A61" s="29" t="s">
        <v>459</v>
      </c>
      <c r="B61" s="339" t="str">
        <f>IFERROR(VLOOKUP(ParticipationMars1[[#This Row],[Référence]],ListeÉtudiants1[],18,FALSE),"")</f>
        <v>ELIE ODILE</v>
      </c>
      <c r="C61" s="19"/>
      <c r="D61" s="19"/>
      <c r="E61" s="19"/>
      <c r="F61" s="19"/>
      <c r="G61" s="19"/>
      <c r="H61" s="19"/>
      <c r="I61" s="19"/>
      <c r="J61" s="19"/>
      <c r="K61" s="19"/>
      <c r="L61" s="19"/>
      <c r="M61" s="19"/>
      <c r="N61" s="19"/>
      <c r="O61" s="19"/>
      <c r="P61" s="19"/>
      <c r="Q61" s="19" t="s">
        <v>108</v>
      </c>
      <c r="R61" s="19"/>
      <c r="S61" s="19"/>
      <c r="T61" s="19"/>
      <c r="U61" s="19" t="s">
        <v>529</v>
      </c>
      <c r="V61" s="19" t="s">
        <v>529</v>
      </c>
      <c r="W61" s="19" t="s">
        <v>108</v>
      </c>
      <c r="X61" s="19"/>
      <c r="Y61" s="19" t="s">
        <v>507</v>
      </c>
      <c r="Z61" s="19"/>
      <c r="AA61" s="19"/>
      <c r="AB61" s="19"/>
      <c r="AC61" s="19"/>
      <c r="AD61" s="19"/>
      <c r="AE61" s="19"/>
      <c r="AF61" s="19"/>
      <c r="AG61" s="340"/>
      <c r="AH61" s="6">
        <f>COUNTIF(ParticipationMars1[[#This Row],[1]:[31]],Code1)</f>
        <v>0</v>
      </c>
      <c r="AI61" s="331">
        <f>COUNTIF(ParticipationMars1[[#This Row],[1]:[31]],code22)</f>
        <v>0</v>
      </c>
      <c r="AJ61" s="30">
        <f>COUNTIF(ParticipationMars1[[#This Row],[1]:[31]],Code2)</f>
        <v>0</v>
      </c>
      <c r="AK61" s="30">
        <f>COUNTIF(ParticipationMars1[[#This Row],[1]:[31]],Code3)</f>
        <v>0</v>
      </c>
      <c r="AL61" s="30">
        <f>COUNTIF(ParticipationMars1[[#This Row],[1]:[31]],Code4)</f>
        <v>0</v>
      </c>
      <c r="AM61" s="307">
        <f>COUNTIF(ParticipationMars1[[#This Row],[1]:[31]],Code5)</f>
        <v>0</v>
      </c>
      <c r="AN61" s="307">
        <f>COUNTIF(ParticipationMars1[[#This Row],[1]:[31]],Code23)</f>
        <v>1</v>
      </c>
      <c r="AO61" s="307">
        <f>COUNTIF(ParticipationMars1[[#This Row],[1]:[31]],Code6)</f>
        <v>0</v>
      </c>
      <c r="AP61" s="307">
        <f>COUNTIF(ParticipationMars1[[#This Row],[1]:[31]],Code7)</f>
        <v>0</v>
      </c>
      <c r="AQ61" s="307">
        <f>COUNTIF(ParticipationMars1[[#This Row],[1]:[31]],Code8)</f>
        <v>0</v>
      </c>
      <c r="AR61" s="307">
        <f>COUNTIF(ParticipationMars1[[#This Row],[1]:[31]],Code9)</f>
        <v>0</v>
      </c>
      <c r="AS61" s="307">
        <f>COUNTIF(ParticipationMars1[[#This Row],[1]:[31]],Code10)</f>
        <v>0</v>
      </c>
      <c r="AT61" s="307">
        <f>COUNTIF(ParticipationMars1[[#This Row],[1]:[31]],Code11)</f>
        <v>0</v>
      </c>
      <c r="AU61" s="307">
        <f>COUNTIF(ParticipationMars1[[#This Row],[1]:[31]],Code12)</f>
        <v>0</v>
      </c>
      <c r="AV61" s="307">
        <f>COUNTIF(ParticipationMars1[[#This Row],[1]:[31]],Code13)</f>
        <v>0</v>
      </c>
      <c r="AW61" s="307">
        <f>COUNTIF(ParticipationMars1[[#This Row],[1]:[31]],Code14)</f>
        <v>1</v>
      </c>
      <c r="AX61" s="307">
        <f>COUNTIF(ParticipationMars1[[#This Row],[1]:[31]],Code15)</f>
        <v>0</v>
      </c>
      <c r="AY61" s="307">
        <f>COUNTIF(ParticipationMars1[[#This Row],[1]:[31]],Code16)</f>
        <v>0</v>
      </c>
      <c r="AZ61" s="307">
        <f>COUNTIF(ParticipationMars1[[#This Row],[1]:[31]],Code17)</f>
        <v>0</v>
      </c>
      <c r="BA61" s="307">
        <f>COUNTIF(ParticipationMars1[[#This Row],[1]:[31]],Code26)</f>
        <v>0</v>
      </c>
      <c r="BB61" s="307">
        <f>COUNTIF(ParticipationMars1[[#This Row],[1]:[31]],Code25)</f>
        <v>0</v>
      </c>
      <c r="BC61" s="307">
        <f>COUNTIF(ParticipationMars1[[#This Row],[1]:[31]],code21)</f>
        <v>0</v>
      </c>
      <c r="BD61" s="307">
        <f>COUNTIF(ParticipationMars1[[#This Row],[1]:[31]],Code24)</f>
        <v>0</v>
      </c>
      <c r="BE61" s="307">
        <f>COUNTIF(ParticipationMars1[[#This Row],[1]:[31]],code18)</f>
        <v>0</v>
      </c>
      <c r="BF61" s="307">
        <f>COUNTIF(ParticipationMars1[[#This Row],[1]:[31]],code19)</f>
        <v>0</v>
      </c>
      <c r="BG61" s="300">
        <f>COUNTIF(ParticipationMars1[[#This Row],[1]:[31]],code20)</f>
        <v>0</v>
      </c>
      <c r="BH61" s="297"/>
      <c r="BI61" s="297"/>
      <c r="BJ61" s="297"/>
      <c r="BK61" s="297"/>
      <c r="BL61" s="297"/>
      <c r="BM61" s="297"/>
      <c r="BN61" s="297"/>
      <c r="BO61" s="297"/>
      <c r="BP61" s="297"/>
      <c r="BQ61" s="297"/>
      <c r="BR61" s="297">
        <v>3</v>
      </c>
      <c r="BS61" s="297"/>
      <c r="BT61" s="297"/>
      <c r="BU61" s="297">
        <v>1</v>
      </c>
      <c r="BV61" s="297"/>
      <c r="BW61" s="297"/>
      <c r="BX61" s="297"/>
      <c r="BY61" s="297"/>
      <c r="BZ61" s="297"/>
      <c r="CA61" s="297"/>
      <c r="CB61" s="297">
        <v>1</v>
      </c>
      <c r="CC61" s="297"/>
      <c r="CD61" s="297"/>
      <c r="CE61" s="297"/>
      <c r="CF61" s="297"/>
      <c r="CG61" s="297"/>
      <c r="CH61" s="297"/>
      <c r="CI61" s="297"/>
      <c r="CJ61" s="297"/>
      <c r="CK61" s="297"/>
      <c r="CL61" s="297"/>
      <c r="CM61" s="297"/>
      <c r="CN61" s="307"/>
      <c r="CO61" s="300"/>
      <c r="CP61" s="165">
        <f t="shared" si="0"/>
        <v>0</v>
      </c>
      <c r="CQ61" s="165">
        <f t="shared" si="1"/>
        <v>8</v>
      </c>
      <c r="CR61" s="341">
        <f t="shared" si="2"/>
        <v>0</v>
      </c>
      <c r="CS61" s="327"/>
    </row>
    <row r="62" spans="1:97">
      <c r="A62" s="29" t="s">
        <v>460</v>
      </c>
      <c r="B62" s="339" t="str">
        <f>IFERROR(VLOOKUP(ParticipationMars1[[#This Row],[Référence]],ListeÉtudiants1[],18,FALSE),"")</f>
        <v>ETIENNE MYLENE</v>
      </c>
      <c r="C62" s="19"/>
      <c r="D62" s="19"/>
      <c r="E62" s="19"/>
      <c r="F62" s="19"/>
      <c r="G62" s="19"/>
      <c r="H62" s="19"/>
      <c r="I62" s="19"/>
      <c r="J62" s="19"/>
      <c r="K62" s="19"/>
      <c r="L62" s="19"/>
      <c r="M62" s="19"/>
      <c r="N62" s="19"/>
      <c r="O62" s="19"/>
      <c r="P62" s="19" t="s">
        <v>105</v>
      </c>
      <c r="Q62" s="19" t="s">
        <v>108</v>
      </c>
      <c r="R62" s="19"/>
      <c r="S62" s="19"/>
      <c r="T62" s="19"/>
      <c r="U62" s="19"/>
      <c r="V62" s="19" t="s">
        <v>106</v>
      </c>
      <c r="W62" s="19"/>
      <c r="X62" s="19"/>
      <c r="Y62" s="19"/>
      <c r="Z62" s="19"/>
      <c r="AA62" s="19"/>
      <c r="AB62" s="19"/>
      <c r="AC62" s="19"/>
      <c r="AD62" s="19"/>
      <c r="AE62" s="19"/>
      <c r="AF62" s="19"/>
      <c r="AG62" s="340"/>
      <c r="AH62" s="6">
        <f>COUNTIF(ParticipationMars1[[#This Row],[1]:[31]],Code1)</f>
        <v>0</v>
      </c>
      <c r="AI62" s="331">
        <f>COUNTIF(ParticipationMars1[[#This Row],[1]:[31]],code22)</f>
        <v>0</v>
      </c>
      <c r="AJ62" s="30">
        <f>COUNTIF(ParticipationMars1[[#This Row],[1]:[31]],Code2)</f>
        <v>0</v>
      </c>
      <c r="AK62" s="30">
        <f>COUNTIF(ParticipationMars1[[#This Row],[1]:[31]],Code3)</f>
        <v>0</v>
      </c>
      <c r="AL62" s="30">
        <f>COUNTIF(ParticipationMars1[[#This Row],[1]:[31]],Code4)</f>
        <v>0</v>
      </c>
      <c r="AM62" s="307">
        <f>COUNTIF(ParticipationMars1[[#This Row],[1]:[31]],Code5)</f>
        <v>0</v>
      </c>
      <c r="AN62" s="307">
        <f>COUNTIF(ParticipationMars1[[#This Row],[1]:[31]],Code23)</f>
        <v>0</v>
      </c>
      <c r="AO62" s="307">
        <f>COUNTIF(ParticipationMars1[[#This Row],[1]:[31]],Code6)</f>
        <v>0</v>
      </c>
      <c r="AP62" s="307">
        <f>COUNTIF(ParticipationMars1[[#This Row],[1]:[31]],Code7)</f>
        <v>0</v>
      </c>
      <c r="AQ62" s="307">
        <f>COUNTIF(ParticipationMars1[[#This Row],[1]:[31]],Code8)</f>
        <v>0</v>
      </c>
      <c r="AR62" s="307">
        <f>COUNTIF(ParticipationMars1[[#This Row],[1]:[31]],Code9)</f>
        <v>0</v>
      </c>
      <c r="AS62" s="307">
        <f>COUNTIF(ParticipationMars1[[#This Row],[1]:[31]],Code10)</f>
        <v>0</v>
      </c>
      <c r="AT62" s="307">
        <f>COUNTIF(ParticipationMars1[[#This Row],[1]:[31]],Code11)</f>
        <v>0</v>
      </c>
      <c r="AU62" s="307">
        <f>COUNTIF(ParticipationMars1[[#This Row],[1]:[31]],Code12)</f>
        <v>0</v>
      </c>
      <c r="AV62" s="307">
        <f>COUNTIF(ParticipationMars1[[#This Row],[1]:[31]],Code13)</f>
        <v>0</v>
      </c>
      <c r="AW62" s="307">
        <f>COUNTIF(ParticipationMars1[[#This Row],[1]:[31]],Code14)</f>
        <v>0</v>
      </c>
      <c r="AX62" s="307">
        <f>COUNTIF(ParticipationMars1[[#This Row],[1]:[31]],Code15)</f>
        <v>0</v>
      </c>
      <c r="AY62" s="307">
        <f>COUNTIF(ParticipationMars1[[#This Row],[1]:[31]],Code16)</f>
        <v>0</v>
      </c>
      <c r="AZ62" s="307">
        <f>COUNTIF(ParticipationMars1[[#This Row],[1]:[31]],Code17)</f>
        <v>0</v>
      </c>
      <c r="BA62" s="307">
        <f>COUNTIF(ParticipationMars1[[#This Row],[1]:[31]],Code26)</f>
        <v>0</v>
      </c>
      <c r="BB62" s="30">
        <f>COUNTIF(ParticipationMars1[[#This Row],[1]:[31]],Code25)</f>
        <v>0</v>
      </c>
      <c r="BC62" s="307">
        <f>COUNTIF(ParticipationMars1[[#This Row],[1]:[31]],code21)</f>
        <v>0</v>
      </c>
      <c r="BD62" s="307">
        <f>COUNTIF(ParticipationMars1[[#This Row],[1]:[31]],Code24)</f>
        <v>0</v>
      </c>
      <c r="BE62" s="307">
        <f>COUNTIF(ParticipationMars1[[#This Row],[1]:[31]],code18)</f>
        <v>0</v>
      </c>
      <c r="BF62" s="307">
        <f>COUNTIF(ParticipationMars1[[#This Row],[1]:[31]],code19)</f>
        <v>0</v>
      </c>
      <c r="BG62" s="300">
        <f>COUNTIF(ParticipationMars1[[#This Row],[1]:[31]],code20)</f>
        <v>0</v>
      </c>
      <c r="BH62" s="297"/>
      <c r="BI62" s="297"/>
      <c r="BJ62" s="297"/>
      <c r="BK62" s="297"/>
      <c r="BL62" s="297"/>
      <c r="BM62" s="297"/>
      <c r="BN62" s="297"/>
      <c r="BO62" s="297"/>
      <c r="BP62" s="297"/>
      <c r="BQ62" s="297"/>
      <c r="BR62" s="297"/>
      <c r="BS62" s="297"/>
      <c r="BT62" s="297"/>
      <c r="BU62" s="297"/>
      <c r="BV62" s="297"/>
      <c r="BW62" s="297"/>
      <c r="BX62" s="297"/>
      <c r="BY62" s="297"/>
      <c r="BZ62" s="297"/>
      <c r="CA62" s="297"/>
      <c r="CB62" s="297"/>
      <c r="CC62" s="297"/>
      <c r="CD62" s="297"/>
      <c r="CE62" s="297"/>
      <c r="CF62" s="297"/>
      <c r="CG62" s="297"/>
      <c r="CH62" s="297"/>
      <c r="CI62" s="297"/>
      <c r="CJ62" s="297"/>
      <c r="CK62" s="297"/>
      <c r="CL62" s="297"/>
      <c r="CM62" s="297"/>
      <c r="CN62" s="307"/>
      <c r="CO62" s="300"/>
      <c r="CP62" s="165">
        <f t="shared" si="0"/>
        <v>0</v>
      </c>
      <c r="CQ62" s="165">
        <f t="shared" si="1"/>
        <v>0</v>
      </c>
      <c r="CR62" s="249">
        <f t="shared" si="2"/>
        <v>0</v>
      </c>
      <c r="CS62" s="327"/>
    </row>
    <row r="63" spans="1:97">
      <c r="A63" s="29" t="s">
        <v>463</v>
      </c>
      <c r="B63" s="339" t="str">
        <f>IFERROR(VLOOKUP(ParticipationMars1[[#This Row],[Référence]],ListeÉtudiants1[],18,FALSE),"")</f>
        <v>FIRPION ALLISON</v>
      </c>
      <c r="C63" s="19"/>
      <c r="D63" s="19"/>
      <c r="E63" s="19"/>
      <c r="F63" s="19"/>
      <c r="G63" s="19"/>
      <c r="H63" s="19"/>
      <c r="I63" s="19"/>
      <c r="J63" s="19"/>
      <c r="K63" s="19"/>
      <c r="L63" s="19"/>
      <c r="M63" s="19"/>
      <c r="N63" s="19"/>
      <c r="O63" s="19"/>
      <c r="P63" s="19" t="s">
        <v>35</v>
      </c>
      <c r="Q63" s="19" t="s">
        <v>109</v>
      </c>
      <c r="R63" s="19"/>
      <c r="S63" s="19"/>
      <c r="T63" s="19"/>
      <c r="U63" s="19" t="s">
        <v>109</v>
      </c>
      <c r="V63" s="19"/>
      <c r="W63" s="19" t="s">
        <v>108</v>
      </c>
      <c r="X63" s="19" t="s">
        <v>488</v>
      </c>
      <c r="Y63" s="19"/>
      <c r="Z63" s="19"/>
      <c r="AA63" s="19"/>
      <c r="AB63" s="19"/>
      <c r="AC63" s="19"/>
      <c r="AD63" s="19"/>
      <c r="AE63" s="19"/>
      <c r="AF63" s="19"/>
      <c r="AG63" s="340"/>
      <c r="AH63" s="6">
        <f>COUNTIF(ParticipationMars1[[#This Row],[1]:[31]],Code1)</f>
        <v>0</v>
      </c>
      <c r="AI63" s="331">
        <f>COUNTIF(ParticipationMars1[[#This Row],[1]:[31]],code22)</f>
        <v>0</v>
      </c>
      <c r="AJ63" s="30">
        <f>COUNTIF(ParticipationMars1[[#This Row],[1]:[31]],Code2)</f>
        <v>0</v>
      </c>
      <c r="AK63" s="30">
        <f>COUNTIF(ParticipationMars1[[#This Row],[1]:[31]],Code3)</f>
        <v>0</v>
      </c>
      <c r="AL63" s="30">
        <f>COUNTIF(ParticipationMars1[[#This Row],[1]:[31]],Code4)</f>
        <v>0</v>
      </c>
      <c r="AM63" s="307">
        <f>COUNTIF(ParticipationMars1[[#This Row],[1]:[31]],Code5)</f>
        <v>0</v>
      </c>
      <c r="AN63" s="307">
        <f>COUNTIF(ParticipationMars1[[#This Row],[1]:[31]],Code23)</f>
        <v>1</v>
      </c>
      <c r="AO63" s="307">
        <f>COUNTIF(ParticipationMars1[[#This Row],[1]:[31]],Code6)</f>
        <v>0</v>
      </c>
      <c r="AP63" s="307">
        <f>COUNTIF(ParticipationMars1[[#This Row],[1]:[31]],Code7)</f>
        <v>0</v>
      </c>
      <c r="AQ63" s="307">
        <f>COUNTIF(ParticipationMars1[[#This Row],[1]:[31]],Code8)</f>
        <v>0</v>
      </c>
      <c r="AR63" s="307">
        <f>COUNTIF(ParticipationMars1[[#This Row],[1]:[31]],Code9)</f>
        <v>0</v>
      </c>
      <c r="AS63" s="307">
        <f>COUNTIF(ParticipationMars1[[#This Row],[1]:[31]],Code10)</f>
        <v>0</v>
      </c>
      <c r="AT63" s="307">
        <f>COUNTIF(ParticipationMars1[[#This Row],[1]:[31]],Code11)</f>
        <v>0</v>
      </c>
      <c r="AU63" s="307">
        <f>COUNTIF(ParticipationMars1[[#This Row],[1]:[31]],Code12)</f>
        <v>0</v>
      </c>
      <c r="AV63" s="307">
        <f>COUNTIF(ParticipationMars1[[#This Row],[1]:[31]],Code13)</f>
        <v>0</v>
      </c>
      <c r="AW63" s="307">
        <f>COUNTIF(ParticipationMars1[[#This Row],[1]:[31]],Code14)</f>
        <v>0</v>
      </c>
      <c r="AX63" s="307">
        <f>COUNTIF(ParticipationMars1[[#This Row],[1]:[31]],Code15)</f>
        <v>0</v>
      </c>
      <c r="AY63" s="307">
        <f>COUNTIF(ParticipationMars1[[#This Row],[1]:[31]],Code16)</f>
        <v>0</v>
      </c>
      <c r="AZ63" s="307">
        <f>COUNTIF(ParticipationMars1[[#This Row],[1]:[31]],Code17)</f>
        <v>0</v>
      </c>
      <c r="BA63" s="307">
        <f>COUNTIF(ParticipationMars1[[#This Row],[1]:[31]],Code26)</f>
        <v>0</v>
      </c>
      <c r="BB63" s="30">
        <f>COUNTIF(ParticipationMars1[[#This Row],[1]:[31]],Code25)</f>
        <v>0</v>
      </c>
      <c r="BC63" s="307">
        <f>COUNTIF(ParticipationMars1[[#This Row],[1]:[31]],code21)</f>
        <v>0</v>
      </c>
      <c r="BD63" s="307">
        <f>COUNTIF(ParticipationMars1[[#This Row],[1]:[31]],Code24)</f>
        <v>1</v>
      </c>
      <c r="BE63" s="307">
        <f>COUNTIF(ParticipationMars1[[#This Row],[1]:[31]],code18)</f>
        <v>0</v>
      </c>
      <c r="BF63" s="307">
        <f>COUNTIF(ParticipationMars1[[#This Row],[1]:[31]],code19)</f>
        <v>0</v>
      </c>
      <c r="BG63" s="300">
        <f>COUNTIF(ParticipationMars1[[#This Row],[1]:[31]],code20)</f>
        <v>0</v>
      </c>
      <c r="BH63" s="297"/>
      <c r="BI63" s="297">
        <v>1</v>
      </c>
      <c r="BJ63" s="297"/>
      <c r="BK63" s="297"/>
      <c r="BL63" s="297"/>
      <c r="BM63" s="297"/>
      <c r="BN63" s="297"/>
      <c r="BO63" s="297">
        <v>2</v>
      </c>
      <c r="BP63" s="297"/>
      <c r="BQ63" s="297"/>
      <c r="BR63" s="297">
        <v>2</v>
      </c>
      <c r="BS63" s="297"/>
      <c r="BT63" s="297"/>
      <c r="BU63" s="297"/>
      <c r="BV63" s="297"/>
      <c r="BW63" s="297"/>
      <c r="BX63" s="297"/>
      <c r="BY63" s="297"/>
      <c r="BZ63" s="297"/>
      <c r="CA63" s="297"/>
      <c r="CB63" s="297">
        <v>1</v>
      </c>
      <c r="CC63" s="297"/>
      <c r="CD63" s="297"/>
      <c r="CE63" s="297"/>
      <c r="CF63" s="297"/>
      <c r="CG63" s="297"/>
      <c r="CH63" s="297"/>
      <c r="CI63" s="297"/>
      <c r="CJ63" s="297"/>
      <c r="CK63" s="297"/>
      <c r="CL63" s="297"/>
      <c r="CM63" s="297"/>
      <c r="CN63" s="307"/>
      <c r="CO63" s="300"/>
      <c r="CP63" s="165">
        <f t="shared" si="0"/>
        <v>0</v>
      </c>
      <c r="CQ63" s="165">
        <f t="shared" si="1"/>
        <v>1</v>
      </c>
      <c r="CR63" s="249">
        <f t="shared" si="2"/>
        <v>2</v>
      </c>
      <c r="CS63" s="327"/>
    </row>
    <row r="64" spans="1:97">
      <c r="A64" s="29" t="s">
        <v>466</v>
      </c>
      <c r="B64" s="339" t="str">
        <f>IFERROR(VLOOKUP(ParticipationMars1[[#This Row],[Référence]],ListeÉtudiants1[],18,FALSE),"")</f>
        <v>GARGIULO  LUCIE</v>
      </c>
      <c r="C64" s="19"/>
      <c r="D64" s="19"/>
      <c r="E64" s="19"/>
      <c r="F64" s="19"/>
      <c r="G64" s="19"/>
      <c r="H64" s="19"/>
      <c r="I64" s="19"/>
      <c r="J64" s="19" t="s">
        <v>577</v>
      </c>
      <c r="K64" s="19"/>
      <c r="L64" s="19"/>
      <c r="M64" s="19"/>
      <c r="N64" s="19" t="s">
        <v>107</v>
      </c>
      <c r="O64" s="19" t="s">
        <v>604</v>
      </c>
      <c r="P64" s="19" t="s">
        <v>507</v>
      </c>
      <c r="Q64" s="19"/>
      <c r="R64" s="19"/>
      <c r="S64" s="19"/>
      <c r="T64" s="19"/>
      <c r="U64" s="19"/>
      <c r="V64" s="19"/>
      <c r="W64" s="19"/>
      <c r="X64" s="19"/>
      <c r="Y64" s="19"/>
      <c r="Z64" s="19"/>
      <c r="AA64" s="19"/>
      <c r="AB64" s="19"/>
      <c r="AC64" s="19"/>
      <c r="AD64" s="19"/>
      <c r="AE64" s="19"/>
      <c r="AF64" s="19"/>
      <c r="AG64" s="340"/>
      <c r="AH64" s="6">
        <f>COUNTIF(ParticipationMars1[[#This Row],[1]:[31]],Code1)</f>
        <v>0</v>
      </c>
      <c r="AI64" s="6">
        <f>COUNTIF(ParticipationMars1[[#This Row],[1]:[31]],code22)</f>
        <v>0</v>
      </c>
      <c r="AJ64" s="30">
        <f>COUNTIF(ParticipationMars1[[#This Row],[1]:[31]],Code2)</f>
        <v>0</v>
      </c>
      <c r="AK64" s="30">
        <f>COUNTIF(ParticipationMars1[[#This Row],[1]:[31]],Code3)</f>
        <v>0</v>
      </c>
      <c r="AL64" s="30">
        <f>COUNTIF(ParticipationMars1[[#This Row],[1]:[31]],Code4)</f>
        <v>1</v>
      </c>
      <c r="AM64" s="30">
        <f>COUNTIF(ParticipationMars1[[#This Row],[1]:[31]],Code5)</f>
        <v>0</v>
      </c>
      <c r="AN64" s="30">
        <f>COUNTIF(ParticipationMars1[[#This Row],[1]:[31]],Code23)</f>
        <v>3</v>
      </c>
      <c r="AO64" s="30">
        <f>COUNTIF(ParticipationMars1[[#This Row],[1]:[31]],Code6)</f>
        <v>0</v>
      </c>
      <c r="AP64" s="30">
        <f>COUNTIF(ParticipationMars1[[#This Row],[1]:[31]],Code7)</f>
        <v>0</v>
      </c>
      <c r="AQ64" s="30">
        <f>COUNTIF(ParticipationMars1[[#This Row],[1]:[31]],Code8)</f>
        <v>0</v>
      </c>
      <c r="AR64" s="30">
        <f>COUNTIF(ParticipationMars1[[#This Row],[1]:[31]],Code9)</f>
        <v>0</v>
      </c>
      <c r="AS64" s="30">
        <f>COUNTIF(ParticipationMars1[[#This Row],[1]:[31]],Code10)</f>
        <v>0</v>
      </c>
      <c r="AT64" s="30">
        <f>COUNTIF(ParticipationMars1[[#This Row],[1]:[31]],Code11)</f>
        <v>0</v>
      </c>
      <c r="AU64" s="30">
        <f>COUNTIF(ParticipationMars1[[#This Row],[1]:[31]],Code12)</f>
        <v>0</v>
      </c>
      <c r="AV64" s="30">
        <f>COUNTIF(ParticipationMars1[[#This Row],[1]:[31]],Code13)</f>
        <v>0</v>
      </c>
      <c r="AW64" s="30">
        <f>COUNTIF(ParticipationMars1[[#This Row],[1]:[31]],Code14)</f>
        <v>0</v>
      </c>
      <c r="AX64" s="30">
        <f>COUNTIF(ParticipationMars1[[#This Row],[1]:[31]],Code15)</f>
        <v>0</v>
      </c>
      <c r="AY64" s="30">
        <f>COUNTIF(ParticipationMars1[[#This Row],[1]:[31]],Code16)</f>
        <v>0</v>
      </c>
      <c r="AZ64" s="30">
        <f>COUNTIF(ParticipationMars1[[#This Row],[1]:[31]],Code17)</f>
        <v>0</v>
      </c>
      <c r="BA64" s="307">
        <f>COUNTIF(ParticipationMars1[[#This Row],[1]:[31]],Code26)</f>
        <v>0</v>
      </c>
      <c r="BB64" s="30">
        <f>COUNTIF(ParticipationMars1[[#This Row],[1]:[31]],Code25)</f>
        <v>0</v>
      </c>
      <c r="BC64" s="30">
        <f>COUNTIF(ParticipationMars1[[#This Row],[1]:[31]],code21)</f>
        <v>0</v>
      </c>
      <c r="BD64" s="30">
        <f>COUNTIF(ParticipationMars1[[#This Row],[1]:[31]],Code24)</f>
        <v>0</v>
      </c>
      <c r="BE64" s="30">
        <f>COUNTIF(ParticipationMars1[[#This Row],[1]:[31]],code18)</f>
        <v>0</v>
      </c>
      <c r="BF64" s="30">
        <f>COUNTIF(ParticipationMars1[[#This Row],[1]:[31]],code19)</f>
        <v>0</v>
      </c>
      <c r="BG64" s="164">
        <f>COUNTIF(ParticipationMars1[[#This Row],[1]:[31]],code20)</f>
        <v>0</v>
      </c>
      <c r="BH64" s="297"/>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c r="CI64" s="297"/>
      <c r="CJ64" s="297"/>
      <c r="CK64" s="297"/>
      <c r="CL64" s="297"/>
      <c r="CM64" s="297"/>
      <c r="CN64" s="307"/>
      <c r="CO64" s="300"/>
      <c r="CP64" s="165">
        <f t="shared" si="0"/>
        <v>0</v>
      </c>
      <c r="CQ64" s="165">
        <f t="shared" si="1"/>
        <v>3</v>
      </c>
      <c r="CR64" s="249">
        <f t="shared" si="2"/>
        <v>0</v>
      </c>
      <c r="CS64" s="170">
        <f>SUM((BE64*7)+(BF64*10)+(BG64*12))</f>
        <v>0</v>
      </c>
    </row>
    <row r="65" spans="1:97">
      <c r="A65" s="29" t="s">
        <v>472</v>
      </c>
      <c r="B65" s="339" t="str">
        <f>IFERROR(VLOOKUP(ParticipationMars1[[#This Row],[Référence]],ListeÉtudiants1[],18,FALSE),"")</f>
        <v>GASQUET ANTOINE</v>
      </c>
      <c r="C65" s="19"/>
      <c r="D65" s="19"/>
      <c r="E65" s="19"/>
      <c r="F65" s="19"/>
      <c r="G65" s="19"/>
      <c r="H65" s="19"/>
      <c r="I65" s="19"/>
      <c r="J65" s="19"/>
      <c r="K65" s="19"/>
      <c r="L65" s="19"/>
      <c r="M65" s="19"/>
      <c r="N65" s="19"/>
      <c r="O65" s="19" t="s">
        <v>527</v>
      </c>
      <c r="P65" s="19"/>
      <c r="Q65" s="19"/>
      <c r="R65" s="19"/>
      <c r="S65" s="19"/>
      <c r="T65" s="19"/>
      <c r="U65" s="19"/>
      <c r="V65" s="19"/>
      <c r="W65" s="19"/>
      <c r="X65" s="19"/>
      <c r="Y65" s="19"/>
      <c r="Z65" s="19"/>
      <c r="AA65" s="19"/>
      <c r="AB65" s="19"/>
      <c r="AC65" s="19"/>
      <c r="AD65" s="19"/>
      <c r="AE65" s="19"/>
      <c r="AF65" s="19"/>
      <c r="AG65" s="340"/>
      <c r="AH65" s="6">
        <f>COUNTIF(ParticipationMars1[[#This Row],[1]:[31]],Code1)</f>
        <v>0</v>
      </c>
      <c r="AI65" s="331">
        <f>COUNTIF(ParticipationMars1[[#This Row],[1]:[31]],code22)</f>
        <v>0</v>
      </c>
      <c r="AJ65" s="30">
        <f>COUNTIF(ParticipationMars1[[#This Row],[1]:[31]],Code2)</f>
        <v>0</v>
      </c>
      <c r="AK65" s="30">
        <f>COUNTIF(ParticipationMars1[[#This Row],[1]:[31]],Code3)</f>
        <v>0</v>
      </c>
      <c r="AL65" s="30">
        <f>COUNTIF(ParticipationMars1[[#This Row],[1]:[31]],Code4)</f>
        <v>0</v>
      </c>
      <c r="AM65" s="307">
        <f>COUNTIF(ParticipationMars1[[#This Row],[1]:[31]],Code5)</f>
        <v>0</v>
      </c>
      <c r="AN65" s="307">
        <f>COUNTIF(ParticipationMars1[[#This Row],[1]:[31]],Code23)</f>
        <v>0</v>
      </c>
      <c r="AO65" s="307">
        <f>COUNTIF(ParticipationMars1[[#This Row],[1]:[31]],Code6)</f>
        <v>0</v>
      </c>
      <c r="AP65" s="307">
        <f>COUNTIF(ParticipationMars1[[#This Row],[1]:[31]],Code7)</f>
        <v>0</v>
      </c>
      <c r="AQ65" s="307">
        <f>COUNTIF(ParticipationMars1[[#This Row],[1]:[31]],Code8)</f>
        <v>0</v>
      </c>
      <c r="AR65" s="307">
        <f>COUNTIF(ParticipationMars1[[#This Row],[1]:[31]],Code9)</f>
        <v>0</v>
      </c>
      <c r="AS65" s="307">
        <f>COUNTIF(ParticipationMars1[[#This Row],[1]:[31]],Code10)</f>
        <v>0</v>
      </c>
      <c r="AT65" s="307">
        <f>COUNTIF(ParticipationMars1[[#This Row],[1]:[31]],Code11)</f>
        <v>0</v>
      </c>
      <c r="AU65" s="307">
        <f>COUNTIF(ParticipationMars1[[#This Row],[1]:[31]],Code12)</f>
        <v>0</v>
      </c>
      <c r="AV65" s="307">
        <f>COUNTIF(ParticipationMars1[[#This Row],[1]:[31]],Code13)</f>
        <v>0</v>
      </c>
      <c r="AW65" s="307">
        <f>COUNTIF(ParticipationMars1[[#This Row],[1]:[31]],Code14)</f>
        <v>0</v>
      </c>
      <c r="AX65" s="307">
        <f>COUNTIF(ParticipationMars1[[#This Row],[1]:[31]],Code15)</f>
        <v>0</v>
      </c>
      <c r="AY65" s="307">
        <f>COUNTIF(ParticipationMars1[[#This Row],[1]:[31]],Code16)</f>
        <v>0</v>
      </c>
      <c r="AZ65" s="307">
        <f>COUNTIF(ParticipationMars1[[#This Row],[1]:[31]],Code17)</f>
        <v>0</v>
      </c>
      <c r="BA65" s="307">
        <f>COUNTIF(ParticipationMars1[[#This Row],[1]:[31]],Code26)</f>
        <v>0</v>
      </c>
      <c r="BB65" s="30">
        <f>COUNTIF(ParticipationMars1[[#This Row],[1]:[31]],Code25)</f>
        <v>0</v>
      </c>
      <c r="BC65" s="307">
        <f>COUNTIF(ParticipationMars1[[#This Row],[1]:[31]],code21)</f>
        <v>0</v>
      </c>
      <c r="BD65" s="307">
        <f>COUNTIF(ParticipationMars1[[#This Row],[1]:[31]],Code24)</f>
        <v>0</v>
      </c>
      <c r="BE65" s="307">
        <f>COUNTIF(ParticipationMars1[[#This Row],[1]:[31]],code18)</f>
        <v>0</v>
      </c>
      <c r="BF65" s="307">
        <f>COUNTIF(ParticipationMars1[[#This Row],[1]:[31]],code19)</f>
        <v>0</v>
      </c>
      <c r="BG65" s="300">
        <f>COUNTIF(ParticipationMars1[[#This Row],[1]:[31]],code20)</f>
        <v>0</v>
      </c>
      <c r="BH65" s="297"/>
      <c r="BI65" s="297"/>
      <c r="BJ65" s="297"/>
      <c r="BK65" s="297"/>
      <c r="BL65" s="297"/>
      <c r="BM65" s="297"/>
      <c r="BN65" s="297"/>
      <c r="BO65" s="297"/>
      <c r="BP65" s="297"/>
      <c r="BQ65" s="297"/>
      <c r="BR65" s="297"/>
      <c r="BS65" s="297"/>
      <c r="BT65" s="297"/>
      <c r="BU65" s="297"/>
      <c r="BV65" s="297"/>
      <c r="BW65" s="297"/>
      <c r="BX65" s="297"/>
      <c r="BY65" s="297"/>
      <c r="BZ65" s="297"/>
      <c r="CA65" s="297"/>
      <c r="CB65" s="297"/>
      <c r="CC65" s="297"/>
      <c r="CD65" s="297"/>
      <c r="CE65" s="297"/>
      <c r="CF65" s="297"/>
      <c r="CG65" s="297"/>
      <c r="CH65" s="297"/>
      <c r="CI65" s="297"/>
      <c r="CJ65" s="297"/>
      <c r="CK65" s="297"/>
      <c r="CL65" s="297"/>
      <c r="CM65" s="297"/>
      <c r="CN65" s="307"/>
      <c r="CO65" s="300"/>
      <c r="CP65" s="165">
        <f t="shared" si="0"/>
        <v>0</v>
      </c>
      <c r="CQ65" s="165">
        <f t="shared" si="1"/>
        <v>0</v>
      </c>
      <c r="CR65" s="249">
        <f t="shared" si="2"/>
        <v>0</v>
      </c>
      <c r="CS65" s="327"/>
    </row>
    <row r="66" spans="1:97">
      <c r="A66" s="29" t="s">
        <v>473</v>
      </c>
      <c r="B66" s="339" t="str">
        <f>IFERROR(VLOOKUP(ParticipationMars1[[#This Row],[Référence]],ListeÉtudiants1[],18,FALSE),"")</f>
        <v>GATIBELZA LESLEY</v>
      </c>
      <c r="C66" s="19"/>
      <c r="D66" s="19"/>
      <c r="E66" s="19"/>
      <c r="F66" s="19"/>
      <c r="G66" s="19"/>
      <c r="H66" s="19"/>
      <c r="I66" s="19"/>
      <c r="J66" s="19"/>
      <c r="K66" s="19"/>
      <c r="L66" s="19"/>
      <c r="M66" s="19"/>
      <c r="N66" s="19"/>
      <c r="O66" s="19"/>
      <c r="P66" s="19"/>
      <c r="Q66" s="19"/>
      <c r="R66" s="19"/>
      <c r="S66" s="19"/>
      <c r="T66" s="19"/>
      <c r="U66" s="19"/>
      <c r="V66" s="19"/>
      <c r="W66" s="19"/>
      <c r="X66" s="19" t="s">
        <v>488</v>
      </c>
      <c r="Y66" s="19" t="s">
        <v>35</v>
      </c>
      <c r="Z66" s="19"/>
      <c r="AA66" s="19"/>
      <c r="AB66" s="19"/>
      <c r="AC66" s="19"/>
      <c r="AD66" s="19"/>
      <c r="AE66" s="19"/>
      <c r="AF66" s="19"/>
      <c r="AG66" s="340"/>
      <c r="AH66" s="6">
        <f>COUNTIF(ParticipationMars1[[#This Row],[1]:[31]],Code1)</f>
        <v>0</v>
      </c>
      <c r="AI66" s="331">
        <f>COUNTIF(ParticipationMars1[[#This Row],[1]:[31]],code22)</f>
        <v>0</v>
      </c>
      <c r="AJ66" s="30">
        <f>COUNTIF(ParticipationMars1[[#This Row],[1]:[31]],Code2)</f>
        <v>0</v>
      </c>
      <c r="AK66" s="30">
        <f>COUNTIF(ParticipationMars1[[#This Row],[1]:[31]],Code3)</f>
        <v>0</v>
      </c>
      <c r="AL66" s="30">
        <f>COUNTIF(ParticipationMars1[[#This Row],[1]:[31]],Code4)</f>
        <v>0</v>
      </c>
      <c r="AM66" s="307">
        <f>COUNTIF(ParticipationMars1[[#This Row],[1]:[31]],Code5)</f>
        <v>0</v>
      </c>
      <c r="AN66" s="307">
        <f>COUNTIF(ParticipationMars1[[#This Row],[1]:[31]],Code23)</f>
        <v>1</v>
      </c>
      <c r="AO66" s="307">
        <f>COUNTIF(ParticipationMars1[[#This Row],[1]:[31]],Code6)</f>
        <v>0</v>
      </c>
      <c r="AP66" s="307">
        <f>COUNTIF(ParticipationMars1[[#This Row],[1]:[31]],Code7)</f>
        <v>0</v>
      </c>
      <c r="AQ66" s="307">
        <f>COUNTIF(ParticipationMars1[[#This Row],[1]:[31]],Code8)</f>
        <v>0</v>
      </c>
      <c r="AR66" s="307">
        <f>COUNTIF(ParticipationMars1[[#This Row],[1]:[31]],Code9)</f>
        <v>0</v>
      </c>
      <c r="AS66" s="307">
        <f>COUNTIF(ParticipationMars1[[#This Row],[1]:[31]],Code10)</f>
        <v>0</v>
      </c>
      <c r="AT66" s="307">
        <f>COUNTIF(ParticipationMars1[[#This Row],[1]:[31]],Code11)</f>
        <v>0</v>
      </c>
      <c r="AU66" s="307">
        <f>COUNTIF(ParticipationMars1[[#This Row],[1]:[31]],Code12)</f>
        <v>1</v>
      </c>
      <c r="AV66" s="307">
        <f>COUNTIF(ParticipationMars1[[#This Row],[1]:[31]],Code13)</f>
        <v>0</v>
      </c>
      <c r="AW66" s="307">
        <f>COUNTIF(ParticipationMars1[[#This Row],[1]:[31]],Code14)</f>
        <v>0</v>
      </c>
      <c r="AX66" s="307">
        <f>COUNTIF(ParticipationMars1[[#This Row],[1]:[31]],Code15)</f>
        <v>0</v>
      </c>
      <c r="AY66" s="307">
        <f>COUNTIF(ParticipationMars1[[#This Row],[1]:[31]],Code16)</f>
        <v>0</v>
      </c>
      <c r="AZ66" s="307">
        <f>COUNTIF(ParticipationMars1[[#This Row],[1]:[31]],Code17)</f>
        <v>0</v>
      </c>
      <c r="BA66" s="307">
        <f>COUNTIF(ParticipationMars1[[#This Row],[1]:[31]],Code26)</f>
        <v>0</v>
      </c>
      <c r="BB66" s="307">
        <f>COUNTIF(ParticipationMars1[[#This Row],[1]:[31]],Code25)</f>
        <v>0</v>
      </c>
      <c r="BC66" s="307">
        <f>COUNTIF(ParticipationMars1[[#This Row],[1]:[31]],code21)</f>
        <v>0</v>
      </c>
      <c r="BD66" s="307">
        <f>COUNTIF(ParticipationMars1[[#This Row],[1]:[31]],Code24)</f>
        <v>0</v>
      </c>
      <c r="BE66" s="307">
        <f>COUNTIF(ParticipationMars1[[#This Row],[1]:[31]],code18)</f>
        <v>0</v>
      </c>
      <c r="BF66" s="307">
        <f>COUNTIF(ParticipationMars1[[#This Row],[1]:[31]],code19)</f>
        <v>0</v>
      </c>
      <c r="BG66" s="300">
        <f>COUNTIF(ParticipationMars1[[#This Row],[1]:[31]],code20)</f>
        <v>0</v>
      </c>
      <c r="BH66" s="297"/>
      <c r="BI66" s="297">
        <v>1</v>
      </c>
      <c r="BJ66" s="297"/>
      <c r="BK66" s="297"/>
      <c r="BL66" s="297"/>
      <c r="BM66" s="297"/>
      <c r="BN66" s="297"/>
      <c r="BO66" s="297"/>
      <c r="BP66" s="297"/>
      <c r="BQ66" s="297"/>
      <c r="BR66" s="297">
        <v>1</v>
      </c>
      <c r="BS66" s="297"/>
      <c r="BT66" s="297"/>
      <c r="BU66" s="297"/>
      <c r="BV66" s="297"/>
      <c r="BW66" s="297"/>
      <c r="BX66" s="297"/>
      <c r="BY66" s="297"/>
      <c r="BZ66" s="297"/>
      <c r="CA66" s="297"/>
      <c r="CB66" s="297"/>
      <c r="CC66" s="297"/>
      <c r="CD66" s="297"/>
      <c r="CE66" s="297"/>
      <c r="CF66" s="297"/>
      <c r="CG66" s="297"/>
      <c r="CH66" s="297"/>
      <c r="CI66" s="297"/>
      <c r="CJ66" s="297"/>
      <c r="CK66" s="297"/>
      <c r="CL66" s="297"/>
      <c r="CM66" s="297"/>
      <c r="CN66" s="307"/>
      <c r="CO66" s="300"/>
      <c r="CP66" s="165">
        <f t="shared" si="0"/>
        <v>2</v>
      </c>
      <c r="CQ66" s="165">
        <f t="shared" si="1"/>
        <v>8</v>
      </c>
      <c r="CR66" s="341">
        <f t="shared" si="2"/>
        <v>0</v>
      </c>
      <c r="CS66" s="327"/>
    </row>
    <row r="67" spans="1:97">
      <c r="A67" s="29" t="s">
        <v>477</v>
      </c>
      <c r="B67" s="339" t="str">
        <f>IFERROR(VLOOKUP(ParticipationMars1[[#This Row],[Référence]],ListeÉtudiants1[],18,FALSE),"")</f>
        <v>GOMES SEMEDO LUCY</v>
      </c>
      <c r="C67" s="19"/>
      <c r="D67" s="19"/>
      <c r="E67" s="19"/>
      <c r="F67" s="19"/>
      <c r="G67" s="19"/>
      <c r="H67" s="19"/>
      <c r="I67" s="19"/>
      <c r="J67" s="19"/>
      <c r="K67" s="19"/>
      <c r="L67" s="19"/>
      <c r="M67" s="19"/>
      <c r="N67" s="19"/>
      <c r="O67" s="19"/>
      <c r="P67" s="19"/>
      <c r="Q67" s="19"/>
      <c r="R67" s="19"/>
      <c r="S67" s="19"/>
      <c r="T67" s="19"/>
      <c r="U67" s="19"/>
      <c r="V67" s="19"/>
      <c r="W67" s="19" t="s">
        <v>529</v>
      </c>
      <c r="X67" s="19"/>
      <c r="Y67" s="19"/>
      <c r="Z67" s="19"/>
      <c r="AA67" s="19"/>
      <c r="AB67" s="19"/>
      <c r="AC67" s="19"/>
      <c r="AD67" s="19"/>
      <c r="AE67" s="19"/>
      <c r="AF67" s="19"/>
      <c r="AG67" s="340"/>
      <c r="AH67" s="6">
        <f>COUNTIF(ParticipationMars1[[#This Row],[1]:[31]],Code1)</f>
        <v>0</v>
      </c>
      <c r="AI67" s="331">
        <f>COUNTIF(ParticipationMars1[[#This Row],[1]:[31]],code22)</f>
        <v>0</v>
      </c>
      <c r="AJ67" s="30">
        <f>COUNTIF(ParticipationMars1[[#This Row],[1]:[31]],Code2)</f>
        <v>0</v>
      </c>
      <c r="AK67" s="30">
        <f>COUNTIF(ParticipationMars1[[#This Row],[1]:[31]],Code3)</f>
        <v>0</v>
      </c>
      <c r="AL67" s="30">
        <f>COUNTIF(ParticipationMars1[[#This Row],[1]:[31]],Code4)</f>
        <v>0</v>
      </c>
      <c r="AM67" s="307">
        <f>COUNTIF(ParticipationMars1[[#This Row],[1]:[31]],Code5)</f>
        <v>0</v>
      </c>
      <c r="AN67" s="307">
        <f>COUNTIF(ParticipationMars1[[#This Row],[1]:[31]],Code23)</f>
        <v>1</v>
      </c>
      <c r="AO67" s="307">
        <f>COUNTIF(ParticipationMars1[[#This Row],[1]:[31]],Code6)</f>
        <v>1</v>
      </c>
      <c r="AP67" s="307">
        <f>COUNTIF(ParticipationMars1[[#This Row],[1]:[31]],Code7)</f>
        <v>0</v>
      </c>
      <c r="AQ67" s="307">
        <f>COUNTIF(ParticipationMars1[[#This Row],[1]:[31]],Code8)</f>
        <v>0</v>
      </c>
      <c r="AR67" s="307">
        <f>COUNTIF(ParticipationMars1[[#This Row],[1]:[31]],Code9)</f>
        <v>0</v>
      </c>
      <c r="AS67" s="307">
        <f>COUNTIF(ParticipationMars1[[#This Row],[1]:[31]],Code10)</f>
        <v>0</v>
      </c>
      <c r="AT67" s="307">
        <f>COUNTIF(ParticipationMars1[[#This Row],[1]:[31]],Code11)</f>
        <v>0</v>
      </c>
      <c r="AU67" s="307">
        <f>COUNTIF(ParticipationMars1[[#This Row],[1]:[31]],Code12)</f>
        <v>0</v>
      </c>
      <c r="AV67" s="307">
        <f>COUNTIF(ParticipationMars1[[#This Row],[1]:[31]],Code13)</f>
        <v>0</v>
      </c>
      <c r="AW67" s="307">
        <f>COUNTIF(ParticipationMars1[[#This Row],[1]:[31]],Code14)</f>
        <v>0</v>
      </c>
      <c r="AX67" s="307">
        <f>COUNTIF(ParticipationMars1[[#This Row],[1]:[31]],Code15)</f>
        <v>0</v>
      </c>
      <c r="AY67" s="307">
        <f>COUNTIF(ParticipationMars1[[#This Row],[1]:[31]],Code16)</f>
        <v>0</v>
      </c>
      <c r="AZ67" s="307">
        <f>COUNTIF(ParticipationMars1[[#This Row],[1]:[31]],Code17)</f>
        <v>0</v>
      </c>
      <c r="BA67" s="307">
        <f>COUNTIF(ParticipationMars1[[#This Row],[1]:[31]],Code26)</f>
        <v>0</v>
      </c>
      <c r="BB67" s="307">
        <f>COUNTIF(ParticipationMars1[[#This Row],[1]:[31]],Code25)</f>
        <v>0</v>
      </c>
      <c r="BC67" s="307">
        <f>COUNTIF(ParticipationMars1[[#This Row],[1]:[31]],code21)</f>
        <v>0</v>
      </c>
      <c r="BD67" s="307">
        <f>COUNTIF(ParticipationMars1[[#This Row],[1]:[31]],Code24)</f>
        <v>0</v>
      </c>
      <c r="BE67" s="307">
        <f>COUNTIF(ParticipationMars1[[#This Row],[1]:[31]],code18)</f>
        <v>0</v>
      </c>
      <c r="BF67" s="307">
        <f>COUNTIF(ParticipationMars1[[#This Row],[1]:[31]],code19)</f>
        <v>0</v>
      </c>
      <c r="BG67" s="300">
        <f>COUNTIF(ParticipationMars1[[#This Row],[1]:[31]],code20)</f>
        <v>0</v>
      </c>
      <c r="BH67" s="297"/>
      <c r="BI67" s="297"/>
      <c r="BJ67" s="297"/>
      <c r="BK67" s="297"/>
      <c r="BL67" s="297"/>
      <c r="BM67" s="297"/>
      <c r="BN67" s="297"/>
      <c r="BO67" s="297"/>
      <c r="BP67" s="297"/>
      <c r="BQ67" s="297"/>
      <c r="BR67" s="297">
        <v>1</v>
      </c>
      <c r="BS67" s="297"/>
      <c r="BT67" s="297"/>
      <c r="BU67" s="297"/>
      <c r="BV67" s="297"/>
      <c r="BW67" s="297"/>
      <c r="BX67" s="297"/>
      <c r="BY67" s="297"/>
      <c r="BZ67" s="297"/>
      <c r="CA67" s="297"/>
      <c r="CB67" s="297"/>
      <c r="CC67" s="297"/>
      <c r="CD67" s="297"/>
      <c r="CE67" s="297"/>
      <c r="CF67" s="297"/>
      <c r="CG67" s="297"/>
      <c r="CH67" s="297"/>
      <c r="CI67" s="297"/>
      <c r="CJ67" s="297"/>
      <c r="CK67" s="297"/>
      <c r="CL67" s="297"/>
      <c r="CM67" s="297"/>
      <c r="CN67" s="307"/>
      <c r="CO67" s="300"/>
      <c r="CP67" s="165">
        <f t="shared" si="0"/>
        <v>0</v>
      </c>
      <c r="CQ67" s="165">
        <f t="shared" si="1"/>
        <v>4</v>
      </c>
      <c r="CR67" s="341">
        <f t="shared" si="2"/>
        <v>0</v>
      </c>
      <c r="CS67" s="327"/>
    </row>
    <row r="68" spans="1:97">
      <c r="A68" s="29" t="s">
        <v>479</v>
      </c>
      <c r="B68" s="339" t="str">
        <f>IFERROR(VLOOKUP(ParticipationMars1[[#This Row],[Référence]],ListeÉtudiants1[],18,FALSE),"")</f>
        <v>GORDON  MAIVA</v>
      </c>
      <c r="C68" s="19"/>
      <c r="D68" s="19"/>
      <c r="E68" s="19"/>
      <c r="F68" s="19"/>
      <c r="G68" s="19" t="s">
        <v>577</v>
      </c>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340"/>
      <c r="AH68" s="6">
        <f>COUNTIF(ParticipationMars1[[#This Row],[1]:[31]],Code1)</f>
        <v>0</v>
      </c>
      <c r="AI68" s="6">
        <f>COUNTIF(ParticipationMars1[[#This Row],[1]:[31]],code22)</f>
        <v>0</v>
      </c>
      <c r="AJ68" s="30">
        <f>COUNTIF(ParticipationMars1[[#This Row],[1]:[31]],Code2)</f>
        <v>0</v>
      </c>
      <c r="AK68" s="30">
        <f>COUNTIF(ParticipationMars1[[#This Row],[1]:[31]],Code3)</f>
        <v>1</v>
      </c>
      <c r="AL68" s="30">
        <f>COUNTIF(ParticipationMars1[[#This Row],[1]:[31]],Code4)</f>
        <v>0</v>
      </c>
      <c r="AM68" s="30">
        <f>COUNTIF(ParticipationMars1[[#This Row],[1]:[31]],Code5)</f>
        <v>1</v>
      </c>
      <c r="AN68" s="30">
        <f>COUNTIF(ParticipationMars1[[#This Row],[1]:[31]],Code23)</f>
        <v>0</v>
      </c>
      <c r="AO68" s="30">
        <f>COUNTIF(ParticipationMars1[[#This Row],[1]:[31]],Code6)</f>
        <v>0</v>
      </c>
      <c r="AP68" s="30">
        <f>COUNTIF(ParticipationMars1[[#This Row],[1]:[31]],Code7)</f>
        <v>1</v>
      </c>
      <c r="AQ68" s="30">
        <f>COUNTIF(ParticipationMars1[[#This Row],[1]:[31]],Code8)</f>
        <v>0</v>
      </c>
      <c r="AR68" s="30">
        <f>COUNTIF(ParticipationMars1[[#This Row],[1]:[31]],Code9)</f>
        <v>0</v>
      </c>
      <c r="AS68" s="30">
        <f>COUNTIF(ParticipationMars1[[#This Row],[1]:[31]],Code10)</f>
        <v>0</v>
      </c>
      <c r="AT68" s="30">
        <f>COUNTIF(ParticipationMars1[[#This Row],[1]:[31]],Code11)</f>
        <v>0</v>
      </c>
      <c r="AU68" s="30">
        <f>COUNTIF(ParticipationMars1[[#This Row],[1]:[31]],Code12)</f>
        <v>0</v>
      </c>
      <c r="AV68" s="30">
        <f>COUNTIF(ParticipationMars1[[#This Row],[1]:[31]],Code13)</f>
        <v>0</v>
      </c>
      <c r="AW68" s="30">
        <f>COUNTIF(ParticipationMars1[[#This Row],[1]:[31]],Code14)</f>
        <v>2</v>
      </c>
      <c r="AX68" s="30">
        <f>COUNTIF(ParticipationMars1[[#This Row],[1]:[31]],Code15)</f>
        <v>0</v>
      </c>
      <c r="AY68" s="30">
        <f>COUNTIF(ParticipationMars1[[#This Row],[1]:[31]],Code16)</f>
        <v>0</v>
      </c>
      <c r="AZ68" s="30">
        <f>COUNTIF(ParticipationMars1[[#This Row],[1]:[31]],Code17)</f>
        <v>0</v>
      </c>
      <c r="BA68" s="307">
        <f>COUNTIF(ParticipationMars1[[#This Row],[1]:[31]],Code26)</f>
        <v>0</v>
      </c>
      <c r="BB68" s="30">
        <f>COUNTIF(ParticipationMars1[[#This Row],[1]:[31]],Code25)</f>
        <v>0</v>
      </c>
      <c r="BC68" s="30">
        <f>COUNTIF(ParticipationMars1[[#This Row],[1]:[31]],code21)</f>
        <v>1</v>
      </c>
      <c r="BD68" s="30">
        <f>COUNTIF(ParticipationMars1[[#This Row],[1]:[31]],Code24)</f>
        <v>1</v>
      </c>
      <c r="BE68" s="30">
        <f>COUNTIF(ParticipationMars1[[#This Row],[1]:[31]],code18)</f>
        <v>0</v>
      </c>
      <c r="BF68" s="30">
        <f>COUNTIF(ParticipationMars1[[#This Row],[1]:[31]],code19)</f>
        <v>0</v>
      </c>
      <c r="BG68" s="164">
        <f>COUNTIF(ParticipationMars1[[#This Row],[1]:[31]],code20)</f>
        <v>0</v>
      </c>
      <c r="BH68" s="297"/>
      <c r="BI68" s="297"/>
      <c r="BJ68" s="297"/>
      <c r="BK68" s="297"/>
      <c r="BL68" s="297"/>
      <c r="BM68" s="297"/>
      <c r="BN68" s="297"/>
      <c r="BO68" s="297"/>
      <c r="BP68" s="297"/>
      <c r="BQ68" s="297"/>
      <c r="BR68" s="297"/>
      <c r="BS68" s="297"/>
      <c r="BT68" s="297"/>
      <c r="BU68" s="297"/>
      <c r="BV68" s="297"/>
      <c r="BW68" s="297"/>
      <c r="BX68" s="297"/>
      <c r="BY68" s="297"/>
      <c r="BZ68" s="297"/>
      <c r="CA68" s="297"/>
      <c r="CB68" s="297"/>
      <c r="CC68" s="297"/>
      <c r="CD68" s="297"/>
      <c r="CE68" s="297"/>
      <c r="CF68" s="297"/>
      <c r="CG68" s="297"/>
      <c r="CH68" s="297"/>
      <c r="CI68" s="297"/>
      <c r="CJ68" s="297"/>
      <c r="CK68" s="297"/>
      <c r="CL68" s="297"/>
      <c r="CM68" s="297"/>
      <c r="CN68" s="307"/>
      <c r="CO68" s="300"/>
      <c r="CP68" s="165">
        <f t="shared" si="0"/>
        <v>11</v>
      </c>
      <c r="CQ68" s="165">
        <f t="shared" si="1"/>
        <v>22</v>
      </c>
      <c r="CR68" s="249">
        <f t="shared" si="2"/>
        <v>2</v>
      </c>
      <c r="CS68" s="170">
        <f t="shared" ref="CS68:CS74" si="3">SUM((BE68*7)+(BF68*10)+(BG68*12))</f>
        <v>0</v>
      </c>
    </row>
    <row r="69" spans="1:97">
      <c r="A69" s="29" t="s">
        <v>578</v>
      </c>
      <c r="B69" s="339" t="str">
        <f>IFERROR(VLOOKUP(ParticipationMars1[[#This Row],[Référence]],ListeÉtudiants1[],18,FALSE),"")</f>
        <v>GRANCHON-RIOLZIR DOROTHEE</v>
      </c>
      <c r="C69" s="19"/>
      <c r="D69" s="19"/>
      <c r="E69" s="19"/>
      <c r="F69" s="19"/>
      <c r="G69" s="19"/>
      <c r="H69" s="19"/>
      <c r="I69" s="19"/>
      <c r="J69" s="19"/>
      <c r="K69" s="19"/>
      <c r="L69" s="19"/>
      <c r="M69" s="19"/>
      <c r="N69" s="19" t="s">
        <v>107</v>
      </c>
      <c r="O69" s="19" t="s">
        <v>604</v>
      </c>
      <c r="P69" s="19" t="s">
        <v>507</v>
      </c>
      <c r="Q69" s="19" t="s">
        <v>529</v>
      </c>
      <c r="R69" s="19"/>
      <c r="S69" s="19"/>
      <c r="T69" s="19"/>
      <c r="U69" s="19" t="s">
        <v>604</v>
      </c>
      <c r="V69" s="19" t="s">
        <v>620</v>
      </c>
      <c r="W69" s="19"/>
      <c r="X69" s="19" t="s">
        <v>488</v>
      </c>
      <c r="Y69" s="19"/>
      <c r="Z69" s="19"/>
      <c r="AA69" s="19"/>
      <c r="AB69" s="19"/>
      <c r="AC69" s="19"/>
      <c r="AD69" s="19"/>
      <c r="AE69" s="19"/>
      <c r="AF69" s="19"/>
      <c r="AG69" s="340"/>
      <c r="AH69" s="6">
        <f>COUNTIF(ParticipationMars1[[#This Row],[1]:[31]],Code1)</f>
        <v>0</v>
      </c>
      <c r="AI69" s="6">
        <f>COUNTIF(ParticipationMars1[[#This Row],[1]:[31]],code22)</f>
        <v>0</v>
      </c>
      <c r="AJ69" s="30">
        <f>COUNTIF(ParticipationMars1[[#This Row],[1]:[31]],Code2)</f>
        <v>0</v>
      </c>
      <c r="AK69" s="30">
        <f>COUNTIF(ParticipationMars1[[#This Row],[1]:[31]],Code3)</f>
        <v>0</v>
      </c>
      <c r="AL69" s="30">
        <f>COUNTIF(ParticipationMars1[[#This Row],[1]:[31]],Code4)</f>
        <v>0</v>
      </c>
      <c r="AM69" s="30">
        <f>COUNTIF(ParticipationMars1[[#This Row],[1]:[31]],Code5)</f>
        <v>0</v>
      </c>
      <c r="AN69" s="30">
        <f>COUNTIF(ParticipationMars1[[#This Row],[1]:[31]],Code23)</f>
        <v>4</v>
      </c>
      <c r="AO69" s="30">
        <f>COUNTIF(ParticipationMars1[[#This Row],[1]:[31]],Code6)</f>
        <v>0</v>
      </c>
      <c r="AP69" s="30">
        <f>COUNTIF(ParticipationMars1[[#This Row],[1]:[31]],Code7)</f>
        <v>0</v>
      </c>
      <c r="AQ69" s="30">
        <f>COUNTIF(ParticipationMars1[[#This Row],[1]:[31]],Code8)</f>
        <v>0</v>
      </c>
      <c r="AR69" s="30">
        <f>COUNTIF(ParticipationMars1[[#This Row],[1]:[31]],Code9)</f>
        <v>0</v>
      </c>
      <c r="AS69" s="30">
        <f>COUNTIF(ParticipationMars1[[#This Row],[1]:[31]],Code10)</f>
        <v>0</v>
      </c>
      <c r="AT69" s="30">
        <f>COUNTIF(ParticipationMars1[[#This Row],[1]:[31]],Code11)</f>
        <v>1</v>
      </c>
      <c r="AU69" s="30">
        <f>COUNTIF(ParticipationMars1[[#This Row],[1]:[31]],Code12)</f>
        <v>1</v>
      </c>
      <c r="AV69" s="30">
        <f>COUNTIF(ParticipationMars1[[#This Row],[1]:[31]],Code13)</f>
        <v>0</v>
      </c>
      <c r="AW69" s="30">
        <f>COUNTIF(ParticipationMars1[[#This Row],[1]:[31]],Code14)</f>
        <v>1</v>
      </c>
      <c r="AX69" s="30">
        <f>COUNTIF(ParticipationMars1[[#This Row],[1]:[31]],Code15)</f>
        <v>0</v>
      </c>
      <c r="AY69" s="30">
        <f>COUNTIF(ParticipationMars1[[#This Row],[1]:[31]],Code16)</f>
        <v>0</v>
      </c>
      <c r="AZ69" s="30">
        <f>COUNTIF(ParticipationMars1[[#This Row],[1]:[31]],Code17)</f>
        <v>0</v>
      </c>
      <c r="BA69" s="307">
        <f>COUNTIF(ParticipationMars1[[#This Row],[1]:[31]],Code26)</f>
        <v>0</v>
      </c>
      <c r="BB69" s="30">
        <f>COUNTIF(ParticipationMars1[[#This Row],[1]:[31]],Code25)</f>
        <v>0</v>
      </c>
      <c r="BC69" s="30">
        <f>COUNTIF(ParticipationMars1[[#This Row],[1]:[31]],code21)</f>
        <v>0</v>
      </c>
      <c r="BD69" s="30">
        <f>COUNTIF(ParticipationMars1[[#This Row],[1]:[31]],Code24)</f>
        <v>0</v>
      </c>
      <c r="BE69" s="30">
        <f>COUNTIF(ParticipationMars1[[#This Row],[1]:[31]],code18)</f>
        <v>0</v>
      </c>
      <c r="BF69" s="30">
        <f>COUNTIF(ParticipationMars1[[#This Row],[1]:[31]],code19)</f>
        <v>0</v>
      </c>
      <c r="BG69" s="164">
        <f>COUNTIF(ParticipationMars1[[#This Row],[1]:[31]],code20)</f>
        <v>0</v>
      </c>
      <c r="BH69" s="297"/>
      <c r="BI69" s="297">
        <v>1</v>
      </c>
      <c r="BJ69" s="297"/>
      <c r="BK69" s="297"/>
      <c r="BL69" s="297"/>
      <c r="BM69" s="297"/>
      <c r="BN69" s="297"/>
      <c r="BO69" s="297">
        <v>1</v>
      </c>
      <c r="BP69" s="297"/>
      <c r="BQ69" s="297"/>
      <c r="BR69" s="297">
        <v>1</v>
      </c>
      <c r="BS69" s="297"/>
      <c r="BT69" s="297"/>
      <c r="BU69" s="297"/>
      <c r="BV69" s="297"/>
      <c r="BW69" s="297"/>
      <c r="BX69" s="297"/>
      <c r="BY69" s="297"/>
      <c r="BZ69" s="297"/>
      <c r="CA69" s="297"/>
      <c r="CB69" s="297">
        <v>2</v>
      </c>
      <c r="CC69" s="297"/>
      <c r="CD69" s="297"/>
      <c r="CE69" s="297"/>
      <c r="CF69" s="297"/>
      <c r="CG69" s="297"/>
      <c r="CH69" s="297"/>
      <c r="CI69" s="297"/>
      <c r="CJ69" s="297"/>
      <c r="CK69" s="297"/>
      <c r="CL69" s="297"/>
      <c r="CM69" s="297"/>
      <c r="CN69" s="307"/>
      <c r="CO69" s="300"/>
      <c r="CP69" s="165">
        <f t="shared" si="0"/>
        <v>2</v>
      </c>
      <c r="CQ69" s="165">
        <f t="shared" si="1"/>
        <v>23</v>
      </c>
      <c r="CR69" s="249">
        <f t="shared" si="2"/>
        <v>0</v>
      </c>
      <c r="CS69" s="170">
        <f t="shared" si="3"/>
        <v>0</v>
      </c>
    </row>
    <row r="70" spans="1:97">
      <c r="A70" s="29" t="s">
        <v>579</v>
      </c>
      <c r="B70" s="339" t="str">
        <f>IFERROR(VLOOKUP(ParticipationMars1[[#This Row],[Référence]],ListeÉtudiants1[],18,FALSE),"")</f>
        <v>GROEVIUS EMILIE</v>
      </c>
      <c r="C70" s="19"/>
      <c r="D70" s="19"/>
      <c r="E70" s="19"/>
      <c r="F70" s="19"/>
      <c r="G70" s="19"/>
      <c r="H70" s="19"/>
      <c r="I70" s="19"/>
      <c r="J70" s="19"/>
      <c r="K70" s="19"/>
      <c r="L70" s="19"/>
      <c r="M70" s="19"/>
      <c r="N70" s="19" t="s">
        <v>531</v>
      </c>
      <c r="O70" s="19" t="s">
        <v>108</v>
      </c>
      <c r="P70" s="19" t="s">
        <v>35</v>
      </c>
      <c r="Q70" s="19" t="s">
        <v>529</v>
      </c>
      <c r="R70" s="19"/>
      <c r="S70" s="19"/>
      <c r="T70" s="19"/>
      <c r="U70" s="19" t="s">
        <v>109</v>
      </c>
      <c r="V70" s="19" t="s">
        <v>620</v>
      </c>
      <c r="W70" s="19" t="s">
        <v>488</v>
      </c>
      <c r="X70" s="19" t="s">
        <v>488</v>
      </c>
      <c r="Y70" s="19" t="s">
        <v>507</v>
      </c>
      <c r="Z70" s="19"/>
      <c r="AA70" s="19"/>
      <c r="AB70" s="19"/>
      <c r="AC70" s="19"/>
      <c r="AD70" s="19"/>
      <c r="AE70" s="19"/>
      <c r="AF70" s="19"/>
      <c r="AG70" s="340"/>
      <c r="AH70" s="6">
        <f>COUNTIF(ParticipationMars1[[#This Row],[1]:[31]],Code1)</f>
        <v>0</v>
      </c>
      <c r="AI70" s="6">
        <f>COUNTIF(ParticipationMars1[[#This Row],[1]:[31]],code22)</f>
        <v>0</v>
      </c>
      <c r="AJ70" s="30">
        <f>COUNTIF(ParticipationMars1[[#This Row],[1]:[31]],Code2)</f>
        <v>0</v>
      </c>
      <c r="AK70" s="30">
        <f>COUNTIF(ParticipationMars1[[#This Row],[1]:[31]],Code3)</f>
        <v>0</v>
      </c>
      <c r="AL70" s="30">
        <f>COUNTIF(ParticipationMars1[[#This Row],[1]:[31]],Code4)</f>
        <v>0</v>
      </c>
      <c r="AM70" s="30">
        <f>COUNTIF(ParticipationMars1[[#This Row],[1]:[31]],Code5)</f>
        <v>2</v>
      </c>
      <c r="AN70" s="30">
        <f>COUNTIF(ParticipationMars1[[#This Row],[1]:[31]],Code23)</f>
        <v>1</v>
      </c>
      <c r="AO70" s="30">
        <f>COUNTIF(ParticipationMars1[[#This Row],[1]:[31]],Code6)</f>
        <v>2</v>
      </c>
      <c r="AP70" s="30">
        <f>COUNTIF(ParticipationMars1[[#This Row],[1]:[31]],Code7)</f>
        <v>2</v>
      </c>
      <c r="AQ70" s="30">
        <f>COUNTIF(ParticipationMars1[[#This Row],[1]:[31]],Code8)</f>
        <v>0</v>
      </c>
      <c r="AR70" s="30">
        <f>COUNTIF(ParticipationMars1[[#This Row],[1]:[31]],Code9)</f>
        <v>0</v>
      </c>
      <c r="AS70" s="30">
        <f>COUNTIF(ParticipationMars1[[#This Row],[1]:[31]],Code10)</f>
        <v>0</v>
      </c>
      <c r="AT70" s="30">
        <f>COUNTIF(ParticipationMars1[[#This Row],[1]:[31]],Code11)</f>
        <v>1</v>
      </c>
      <c r="AU70" s="30">
        <f>COUNTIF(ParticipationMars1[[#This Row],[1]:[31]],Code12)</f>
        <v>0</v>
      </c>
      <c r="AV70" s="30">
        <f>COUNTIF(ParticipationMars1[[#This Row],[1]:[31]],Code13)</f>
        <v>0</v>
      </c>
      <c r="AW70" s="30">
        <f>COUNTIF(ParticipationMars1[[#This Row],[1]:[31]],Code14)</f>
        <v>2</v>
      </c>
      <c r="AX70" s="30">
        <f>COUNTIF(ParticipationMars1[[#This Row],[1]:[31]],Code15)</f>
        <v>0</v>
      </c>
      <c r="AY70" s="30">
        <f>COUNTIF(ParticipationMars1[[#This Row],[1]:[31]],Code16)</f>
        <v>0</v>
      </c>
      <c r="AZ70" s="30">
        <f>COUNTIF(ParticipationMars1[[#This Row],[1]:[31]],Code17)</f>
        <v>0</v>
      </c>
      <c r="BA70" s="307">
        <f>COUNTIF(ParticipationMars1[[#This Row],[1]:[31]],Code26)</f>
        <v>0</v>
      </c>
      <c r="BB70" s="30">
        <f>COUNTIF(ParticipationMars1[[#This Row],[1]:[31]],Code25)</f>
        <v>0</v>
      </c>
      <c r="BC70" s="30">
        <f>COUNTIF(ParticipationMars1[[#This Row],[1]:[31]],code21)</f>
        <v>0</v>
      </c>
      <c r="BD70" s="30">
        <f>COUNTIF(ParticipationMars1[[#This Row],[1]:[31]],Code24)</f>
        <v>0</v>
      </c>
      <c r="BE70" s="30">
        <f>COUNTIF(ParticipationMars1[[#This Row],[1]:[31]],code18)</f>
        <v>0</v>
      </c>
      <c r="BF70" s="30">
        <f>COUNTIF(ParticipationMars1[[#This Row],[1]:[31]],code19)</f>
        <v>0</v>
      </c>
      <c r="BG70" s="164">
        <f>COUNTIF(ParticipationMars1[[#This Row],[1]:[31]],code20)</f>
        <v>0</v>
      </c>
      <c r="BH70" s="297"/>
      <c r="BI70" s="297">
        <v>1</v>
      </c>
      <c r="BJ70" s="297"/>
      <c r="BK70" s="297"/>
      <c r="BL70" s="297"/>
      <c r="BM70" s="297"/>
      <c r="BN70" s="297"/>
      <c r="BO70" s="297">
        <v>2</v>
      </c>
      <c r="BP70" s="297"/>
      <c r="BQ70" s="297"/>
      <c r="BR70" s="297">
        <v>4</v>
      </c>
      <c r="BS70" s="297"/>
      <c r="BT70" s="297"/>
      <c r="BU70" s="297">
        <v>1</v>
      </c>
      <c r="BV70" s="297"/>
      <c r="BW70" s="297"/>
      <c r="BX70" s="297"/>
      <c r="BY70" s="297"/>
      <c r="BZ70" s="297"/>
      <c r="CA70" s="297"/>
      <c r="CB70" s="297">
        <v>3</v>
      </c>
      <c r="CC70" s="297"/>
      <c r="CD70" s="297"/>
      <c r="CE70" s="297"/>
      <c r="CF70" s="297"/>
      <c r="CG70" s="297"/>
      <c r="CH70" s="297"/>
      <c r="CI70" s="297"/>
      <c r="CJ70" s="297"/>
      <c r="CK70" s="297"/>
      <c r="CL70" s="297"/>
      <c r="CM70" s="297"/>
      <c r="CN70" s="307"/>
      <c r="CO70" s="300"/>
      <c r="CP70" s="165">
        <f t="shared" si="0"/>
        <v>10</v>
      </c>
      <c r="CQ70" s="165">
        <f t="shared" si="1"/>
        <v>38</v>
      </c>
      <c r="CR70" s="249">
        <f t="shared" si="2"/>
        <v>0</v>
      </c>
      <c r="CS70" s="170">
        <f t="shared" si="3"/>
        <v>0</v>
      </c>
    </row>
    <row r="71" spans="1:97">
      <c r="A71" s="29" t="s">
        <v>582</v>
      </c>
      <c r="B71" s="339" t="str">
        <f>IFERROR(VLOOKUP(ParticipationMars1[[#This Row],[Référence]],ListeÉtudiants1[],18,FALSE),"")</f>
        <v>GUECHI DOUNIA</v>
      </c>
      <c r="C71" s="19"/>
      <c r="D71" s="19"/>
      <c r="E71" s="19"/>
      <c r="F71" s="19"/>
      <c r="G71" s="19"/>
      <c r="H71" s="19"/>
      <c r="I71" s="19"/>
      <c r="J71" s="19"/>
      <c r="K71" s="19"/>
      <c r="L71" s="19"/>
      <c r="M71" s="19"/>
      <c r="N71" s="19" t="s">
        <v>531</v>
      </c>
      <c r="O71" s="19"/>
      <c r="P71" s="19" t="s">
        <v>35</v>
      </c>
      <c r="Q71" s="19" t="s">
        <v>529</v>
      </c>
      <c r="R71" s="19"/>
      <c r="S71" s="19"/>
      <c r="T71" s="19"/>
      <c r="U71" s="19" t="s">
        <v>109</v>
      </c>
      <c r="V71" s="19" t="s">
        <v>529</v>
      </c>
      <c r="W71" s="19"/>
      <c r="X71" s="19" t="s">
        <v>488</v>
      </c>
      <c r="Y71" s="19"/>
      <c r="Z71" s="19"/>
      <c r="AA71" s="19"/>
      <c r="AB71" s="19"/>
      <c r="AC71" s="19"/>
      <c r="AD71" s="19"/>
      <c r="AE71" s="19"/>
      <c r="AF71" s="19"/>
      <c r="AG71" s="340"/>
      <c r="AH71" s="6">
        <f>COUNTIF(ParticipationMars1[[#This Row],[1]:[31]],Code1)</f>
        <v>0</v>
      </c>
      <c r="AI71" s="6">
        <f>COUNTIF(ParticipationMars1[[#This Row],[1]:[31]],code22)</f>
        <v>0</v>
      </c>
      <c r="AJ71" s="30">
        <f>COUNTIF(ParticipationMars1[[#This Row],[1]:[31]],Code2)</f>
        <v>0</v>
      </c>
      <c r="AK71" s="30">
        <f>COUNTIF(ParticipationMars1[[#This Row],[1]:[31]],Code3)</f>
        <v>0</v>
      </c>
      <c r="AL71" s="30">
        <f>COUNTIF(ParticipationMars1[[#This Row],[1]:[31]],Code4)</f>
        <v>0</v>
      </c>
      <c r="AM71" s="30">
        <f>COUNTIF(ParticipationMars1[[#This Row],[1]:[31]],Code5)</f>
        <v>0</v>
      </c>
      <c r="AN71" s="30">
        <f>COUNTIF(ParticipationMars1[[#This Row],[1]:[31]],Code23)</f>
        <v>0</v>
      </c>
      <c r="AO71" s="30">
        <f>COUNTIF(ParticipationMars1[[#This Row],[1]:[31]],Code6)</f>
        <v>0</v>
      </c>
      <c r="AP71" s="30">
        <f>COUNTIF(ParticipationMars1[[#This Row],[1]:[31]],Code7)</f>
        <v>0</v>
      </c>
      <c r="AQ71" s="30">
        <f>COUNTIF(ParticipationMars1[[#This Row],[1]:[31]],Code8)</f>
        <v>0</v>
      </c>
      <c r="AR71" s="30">
        <f>COUNTIF(ParticipationMars1[[#This Row],[1]:[31]],Code9)</f>
        <v>0</v>
      </c>
      <c r="AS71" s="30">
        <f>COUNTIF(ParticipationMars1[[#This Row],[1]:[31]],Code10)</f>
        <v>0</v>
      </c>
      <c r="AT71" s="30">
        <f>COUNTIF(ParticipationMars1[[#This Row],[1]:[31]],Code11)</f>
        <v>0</v>
      </c>
      <c r="AU71" s="30">
        <f>COUNTIF(ParticipationMars1[[#This Row],[1]:[31]],Code12)</f>
        <v>0</v>
      </c>
      <c r="AV71" s="30">
        <f>COUNTIF(ParticipationMars1[[#This Row],[1]:[31]],Code13)</f>
        <v>0</v>
      </c>
      <c r="AW71" s="30">
        <f>COUNTIF(ParticipationMars1[[#This Row],[1]:[31]],Code14)</f>
        <v>0</v>
      </c>
      <c r="AX71" s="30">
        <f>COUNTIF(ParticipationMars1[[#This Row],[1]:[31]],Code15)</f>
        <v>0</v>
      </c>
      <c r="AY71" s="30">
        <f>COUNTIF(ParticipationMars1[[#This Row],[1]:[31]],Code16)</f>
        <v>0</v>
      </c>
      <c r="AZ71" s="30">
        <f>COUNTIF(ParticipationMars1[[#This Row],[1]:[31]],Code17)</f>
        <v>0</v>
      </c>
      <c r="BA71" s="307">
        <f>COUNTIF(ParticipationMars1[[#This Row],[1]:[31]],Code26)</f>
        <v>0</v>
      </c>
      <c r="BB71" s="30">
        <f>COUNTIF(ParticipationMars1[[#This Row],[1]:[31]],Code25)</f>
        <v>0</v>
      </c>
      <c r="BC71" s="30">
        <f>COUNTIF(ParticipationMars1[[#This Row],[1]:[31]],code21)</f>
        <v>0</v>
      </c>
      <c r="BD71" s="30">
        <f>COUNTIF(ParticipationMars1[[#This Row],[1]:[31]],Code24)</f>
        <v>0</v>
      </c>
      <c r="BE71" s="30">
        <f>COUNTIF(ParticipationMars1[[#This Row],[1]:[31]],code18)</f>
        <v>0</v>
      </c>
      <c r="BF71" s="30">
        <f>COUNTIF(ParticipationMars1[[#This Row],[1]:[31]],code19)</f>
        <v>0</v>
      </c>
      <c r="BG71" s="164">
        <f>COUNTIF(ParticipationMars1[[#This Row],[1]:[31]],code20)</f>
        <v>0</v>
      </c>
      <c r="BH71" s="297"/>
      <c r="BI71" s="297">
        <v>1</v>
      </c>
      <c r="BJ71" s="297"/>
      <c r="BK71" s="297"/>
      <c r="BL71" s="297"/>
      <c r="BM71" s="297"/>
      <c r="BN71" s="297"/>
      <c r="BO71" s="297"/>
      <c r="BP71" s="297"/>
      <c r="BQ71" s="297"/>
      <c r="BR71" s="297">
        <v>1</v>
      </c>
      <c r="BS71" s="297"/>
      <c r="BT71" s="297"/>
      <c r="BU71" s="297">
        <v>1</v>
      </c>
      <c r="BV71" s="297"/>
      <c r="BW71" s="297"/>
      <c r="BX71" s="297"/>
      <c r="BY71" s="297"/>
      <c r="BZ71" s="297"/>
      <c r="CA71" s="297"/>
      <c r="CB71" s="297">
        <v>2</v>
      </c>
      <c r="CC71" s="297"/>
      <c r="CD71" s="297"/>
      <c r="CE71" s="297"/>
      <c r="CF71" s="297"/>
      <c r="CG71" s="297"/>
      <c r="CH71" s="297"/>
      <c r="CI71" s="297"/>
      <c r="CJ71" s="297"/>
      <c r="CK71" s="297"/>
      <c r="CL71" s="297"/>
      <c r="CM71" s="297"/>
      <c r="CN71" s="307"/>
      <c r="CO71" s="300"/>
      <c r="CP71" s="165">
        <f t="shared" si="0"/>
        <v>0</v>
      </c>
      <c r="CQ71" s="165">
        <f t="shared" si="1"/>
        <v>0</v>
      </c>
      <c r="CR71" s="249">
        <f t="shared" si="2"/>
        <v>0</v>
      </c>
      <c r="CS71" s="170">
        <f t="shared" si="3"/>
        <v>0</v>
      </c>
    </row>
    <row r="72" spans="1:97">
      <c r="A72" s="29" t="s">
        <v>584</v>
      </c>
      <c r="B72" s="339" t="str">
        <f>IFERROR(VLOOKUP(ParticipationMars1[[#This Row],[Référence]],ListeÉtudiants1[],18,FALSE),"")</f>
        <v>HASSANI CHERINE</v>
      </c>
      <c r="C72" s="19"/>
      <c r="D72" s="19"/>
      <c r="E72" s="19"/>
      <c r="F72" s="19"/>
      <c r="G72" s="19"/>
      <c r="H72" s="19"/>
      <c r="I72" s="19"/>
      <c r="J72" s="19"/>
      <c r="K72" s="19"/>
      <c r="L72" s="19"/>
      <c r="M72" s="19"/>
      <c r="N72" s="19"/>
      <c r="O72" s="19" t="s">
        <v>108</v>
      </c>
      <c r="P72" s="19" t="s">
        <v>35</v>
      </c>
      <c r="Q72" s="19" t="s">
        <v>108</v>
      </c>
      <c r="R72" s="19"/>
      <c r="S72" s="19"/>
      <c r="T72" s="19"/>
      <c r="U72" s="19" t="s">
        <v>109</v>
      </c>
      <c r="V72" s="19" t="s">
        <v>620</v>
      </c>
      <c r="W72" s="19" t="s">
        <v>488</v>
      </c>
      <c r="X72" s="19" t="s">
        <v>488</v>
      </c>
      <c r="Y72" s="19"/>
      <c r="Z72" s="19"/>
      <c r="AA72" s="19"/>
      <c r="AB72" s="19"/>
      <c r="AC72" s="19"/>
      <c r="AD72" s="19"/>
      <c r="AE72" s="19"/>
      <c r="AF72" s="19"/>
      <c r="AG72" s="340"/>
      <c r="AH72" s="6">
        <f>COUNTIF(ParticipationMars1[[#This Row],[1]:[31]],Code1)</f>
        <v>0</v>
      </c>
      <c r="AI72" s="6">
        <f>COUNTIF(ParticipationMars1[[#This Row],[1]:[31]],code22)</f>
        <v>0</v>
      </c>
      <c r="AJ72" s="30">
        <f>COUNTIF(ParticipationMars1[[#This Row],[1]:[31]],Code2)</f>
        <v>0</v>
      </c>
      <c r="AK72" s="30">
        <f>COUNTIF(ParticipationMars1[[#This Row],[1]:[31]],Code3)</f>
        <v>0</v>
      </c>
      <c r="AL72" s="30">
        <f>COUNTIF(ParticipationMars1[[#This Row],[1]:[31]],Code4)</f>
        <v>0</v>
      </c>
      <c r="AM72" s="30">
        <f>COUNTIF(ParticipationMars1[[#This Row],[1]:[31]],Code5)</f>
        <v>0</v>
      </c>
      <c r="AN72" s="30">
        <f>COUNTIF(ParticipationMars1[[#This Row],[1]:[31]],Code23)</f>
        <v>0</v>
      </c>
      <c r="AO72" s="30">
        <f>COUNTIF(ParticipationMars1[[#This Row],[1]:[31]],Code6)</f>
        <v>0</v>
      </c>
      <c r="AP72" s="30">
        <f>COUNTIF(ParticipationMars1[[#This Row],[1]:[31]],Code7)</f>
        <v>0</v>
      </c>
      <c r="AQ72" s="30">
        <f>COUNTIF(ParticipationMars1[[#This Row],[1]:[31]],Code8)</f>
        <v>0</v>
      </c>
      <c r="AR72" s="30">
        <f>COUNTIF(ParticipationMars1[[#This Row],[1]:[31]],Code9)</f>
        <v>0</v>
      </c>
      <c r="AS72" s="30">
        <f>COUNTIF(ParticipationMars1[[#This Row],[1]:[31]],Code10)</f>
        <v>0</v>
      </c>
      <c r="AT72" s="30">
        <f>COUNTIF(ParticipationMars1[[#This Row],[1]:[31]],Code11)</f>
        <v>0</v>
      </c>
      <c r="AU72" s="30">
        <f>COUNTIF(ParticipationMars1[[#This Row],[1]:[31]],Code12)</f>
        <v>0</v>
      </c>
      <c r="AV72" s="30">
        <f>COUNTIF(ParticipationMars1[[#This Row],[1]:[31]],Code13)</f>
        <v>0</v>
      </c>
      <c r="AW72" s="30">
        <f>COUNTIF(ParticipationMars1[[#This Row],[1]:[31]],Code14)</f>
        <v>0</v>
      </c>
      <c r="AX72" s="30">
        <f>COUNTIF(ParticipationMars1[[#This Row],[1]:[31]],Code15)</f>
        <v>0</v>
      </c>
      <c r="AY72" s="30">
        <f>COUNTIF(ParticipationMars1[[#This Row],[1]:[31]],Code16)</f>
        <v>0</v>
      </c>
      <c r="AZ72" s="30">
        <f>COUNTIF(ParticipationMars1[[#This Row],[1]:[31]],Code17)</f>
        <v>0</v>
      </c>
      <c r="BA72" s="307">
        <f>COUNTIF(ParticipationMars1[[#This Row],[1]:[31]],Code26)</f>
        <v>0</v>
      </c>
      <c r="BB72" s="30">
        <f>COUNTIF(ParticipationMars1[[#This Row],[1]:[31]],Code25)</f>
        <v>0</v>
      </c>
      <c r="BC72" s="30">
        <f>COUNTIF(ParticipationMars1[[#This Row],[1]:[31]],code21)</f>
        <v>0</v>
      </c>
      <c r="BD72" s="30">
        <f>COUNTIF(ParticipationMars1[[#This Row],[1]:[31]],Code24)</f>
        <v>0</v>
      </c>
      <c r="BE72" s="30">
        <f>COUNTIF(ParticipationMars1[[#This Row],[1]:[31]],code18)</f>
        <v>0</v>
      </c>
      <c r="BF72" s="30">
        <f>COUNTIF(ParticipationMars1[[#This Row],[1]:[31]],code19)</f>
        <v>0</v>
      </c>
      <c r="BG72" s="164">
        <f>COUNTIF(ParticipationMars1[[#This Row],[1]:[31]],code20)</f>
        <v>0</v>
      </c>
      <c r="BH72" s="297"/>
      <c r="BI72" s="297">
        <v>1</v>
      </c>
      <c r="BJ72" s="297"/>
      <c r="BK72" s="297"/>
      <c r="BL72" s="297"/>
      <c r="BM72" s="297"/>
      <c r="BN72" s="297"/>
      <c r="BO72" s="297">
        <v>2</v>
      </c>
      <c r="BP72" s="297"/>
      <c r="BQ72" s="297"/>
      <c r="BR72" s="297">
        <v>3</v>
      </c>
      <c r="BS72" s="297"/>
      <c r="BT72" s="297"/>
      <c r="BU72" s="297"/>
      <c r="BV72" s="297"/>
      <c r="BW72" s="297">
        <v>1</v>
      </c>
      <c r="BX72" s="297"/>
      <c r="BY72" s="297"/>
      <c r="BZ72" s="297"/>
      <c r="CA72" s="297"/>
      <c r="CB72" s="297">
        <v>1</v>
      </c>
      <c r="CC72" s="297"/>
      <c r="CD72" s="297"/>
      <c r="CE72" s="297"/>
      <c r="CF72" s="297"/>
      <c r="CG72" s="297"/>
      <c r="CH72" s="297"/>
      <c r="CI72" s="297"/>
      <c r="CJ72" s="297"/>
      <c r="CK72" s="297"/>
      <c r="CL72" s="297"/>
      <c r="CM72" s="297"/>
      <c r="CN72" s="307"/>
      <c r="CO72" s="300"/>
      <c r="CP72" s="165">
        <f t="shared" si="0"/>
        <v>0</v>
      </c>
      <c r="CQ72" s="165">
        <f t="shared" si="1"/>
        <v>0</v>
      </c>
      <c r="CR72" s="249">
        <f t="shared" si="2"/>
        <v>0</v>
      </c>
      <c r="CS72" s="170">
        <f t="shared" si="3"/>
        <v>0</v>
      </c>
    </row>
    <row r="73" spans="1:97">
      <c r="A73" s="29" t="s">
        <v>585</v>
      </c>
      <c r="B73" s="339" t="str">
        <f>IFERROR(VLOOKUP(ParticipationMars1[[#This Row],[Référence]],ListeÉtudiants1[],18,FALSE),"")</f>
        <v>HERMANN-MANETTE  CORALIE</v>
      </c>
      <c r="C73" s="19"/>
      <c r="D73" s="19"/>
      <c r="E73" s="19"/>
      <c r="F73" s="19"/>
      <c r="G73" s="19"/>
      <c r="H73" s="19"/>
      <c r="I73" s="19"/>
      <c r="J73" s="19"/>
      <c r="K73" s="19"/>
      <c r="L73" s="19"/>
      <c r="M73" s="19"/>
      <c r="N73" s="19"/>
      <c r="O73" s="19" t="s">
        <v>604</v>
      </c>
      <c r="P73" s="19" t="s">
        <v>35</v>
      </c>
      <c r="Q73" s="19" t="s">
        <v>109</v>
      </c>
      <c r="R73" s="19"/>
      <c r="S73" s="19"/>
      <c r="T73" s="19"/>
      <c r="U73" s="19" t="s">
        <v>604</v>
      </c>
      <c r="V73" s="19" t="s">
        <v>529</v>
      </c>
      <c r="W73" s="19" t="s">
        <v>35</v>
      </c>
      <c r="X73" s="19" t="s">
        <v>488</v>
      </c>
      <c r="Y73" s="19" t="s">
        <v>507</v>
      </c>
      <c r="Z73" s="19"/>
      <c r="AA73" s="19"/>
      <c r="AB73" s="19"/>
      <c r="AC73" s="19"/>
      <c r="AD73" s="19"/>
      <c r="AE73" s="19"/>
      <c r="AF73" s="19"/>
      <c r="AG73" s="340"/>
      <c r="AH73" s="6">
        <f>COUNTIF(ParticipationMars1[[#This Row],[1]:[31]],Code1)</f>
        <v>0</v>
      </c>
      <c r="AI73" s="6">
        <f>COUNTIF(ParticipationMars1[[#This Row],[1]:[31]],code22)</f>
        <v>0</v>
      </c>
      <c r="AJ73" s="30">
        <f>COUNTIF(ParticipationMars1[[#This Row],[1]:[31]],Code2)</f>
        <v>0</v>
      </c>
      <c r="AK73" s="30">
        <f>COUNTIF(ParticipationMars1[[#This Row],[1]:[31]],Code3)</f>
        <v>0</v>
      </c>
      <c r="AL73" s="30">
        <f>COUNTIF(ParticipationMars1[[#This Row],[1]:[31]],Code4)</f>
        <v>0</v>
      </c>
      <c r="AM73" s="30">
        <f>COUNTIF(ParticipationMars1[[#This Row],[1]:[31]],Code5)</f>
        <v>0</v>
      </c>
      <c r="AN73" s="30">
        <f>COUNTIF(ParticipationMars1[[#This Row],[1]:[31]],Code23)</f>
        <v>0</v>
      </c>
      <c r="AO73" s="30">
        <f>COUNTIF(ParticipationMars1[[#This Row],[1]:[31]],Code6)</f>
        <v>0</v>
      </c>
      <c r="AP73" s="30">
        <f>COUNTIF(ParticipationMars1[[#This Row],[1]:[31]],Code7)</f>
        <v>0</v>
      </c>
      <c r="AQ73" s="30">
        <f>COUNTIF(ParticipationMars1[[#This Row],[1]:[31]],Code8)</f>
        <v>0</v>
      </c>
      <c r="AR73" s="30">
        <f>COUNTIF(ParticipationMars1[[#This Row],[1]:[31]],Code9)</f>
        <v>0</v>
      </c>
      <c r="AS73" s="30">
        <f>COUNTIF(ParticipationMars1[[#This Row],[1]:[31]],Code10)</f>
        <v>0</v>
      </c>
      <c r="AT73" s="30">
        <f>COUNTIF(ParticipationMars1[[#This Row],[1]:[31]],Code11)</f>
        <v>0</v>
      </c>
      <c r="AU73" s="30">
        <f>COUNTIF(ParticipationMars1[[#This Row],[1]:[31]],Code12)</f>
        <v>0</v>
      </c>
      <c r="AV73" s="30">
        <f>COUNTIF(ParticipationMars1[[#This Row],[1]:[31]],Code13)</f>
        <v>0</v>
      </c>
      <c r="AW73" s="30">
        <f>COUNTIF(ParticipationMars1[[#This Row],[1]:[31]],Code14)</f>
        <v>0</v>
      </c>
      <c r="AX73" s="30">
        <f>COUNTIF(ParticipationMars1[[#This Row],[1]:[31]],Code15)</f>
        <v>0</v>
      </c>
      <c r="AY73" s="30">
        <f>COUNTIF(ParticipationMars1[[#This Row],[1]:[31]],Code16)</f>
        <v>0</v>
      </c>
      <c r="AZ73" s="30">
        <f>COUNTIF(ParticipationMars1[[#This Row],[1]:[31]],Code17)</f>
        <v>0</v>
      </c>
      <c r="BA73" s="307">
        <f>COUNTIF(ParticipationMars1[[#This Row],[1]:[31]],Code26)</f>
        <v>0</v>
      </c>
      <c r="BB73" s="30">
        <f>COUNTIF(ParticipationMars1[[#This Row],[1]:[31]],Code25)</f>
        <v>0</v>
      </c>
      <c r="BC73" s="30">
        <f>COUNTIF(ParticipationMars1[[#This Row],[1]:[31]],code21)</f>
        <v>0</v>
      </c>
      <c r="BD73" s="30">
        <f>COUNTIF(ParticipationMars1[[#This Row],[1]:[31]],Code24)</f>
        <v>0</v>
      </c>
      <c r="BE73" s="30">
        <f>COUNTIF(ParticipationMars1[[#This Row],[1]:[31]],code18)</f>
        <v>0</v>
      </c>
      <c r="BF73" s="30">
        <f>COUNTIF(ParticipationMars1[[#This Row],[1]:[31]],code19)</f>
        <v>0</v>
      </c>
      <c r="BG73" s="164">
        <f>COUNTIF(ParticipationMars1[[#This Row],[1]:[31]],code20)</f>
        <v>0</v>
      </c>
      <c r="BH73" s="297"/>
      <c r="BI73" s="297">
        <v>1</v>
      </c>
      <c r="BJ73" s="297"/>
      <c r="BK73" s="297"/>
      <c r="BL73" s="297"/>
      <c r="BM73" s="297"/>
      <c r="BN73" s="297"/>
      <c r="BO73" s="297">
        <v>3</v>
      </c>
      <c r="BP73" s="297"/>
      <c r="BQ73" s="297"/>
      <c r="BR73" s="297">
        <v>3</v>
      </c>
      <c r="BS73" s="297"/>
      <c r="BT73" s="297"/>
      <c r="BU73" s="297"/>
      <c r="BV73" s="297"/>
      <c r="BW73" s="297"/>
      <c r="BX73" s="297"/>
      <c r="BY73" s="297"/>
      <c r="BZ73" s="297"/>
      <c r="CA73" s="297"/>
      <c r="CB73" s="297">
        <v>3</v>
      </c>
      <c r="CC73" s="297"/>
      <c r="CD73" s="297"/>
      <c r="CE73" s="297"/>
      <c r="CF73" s="297"/>
      <c r="CG73" s="297"/>
      <c r="CH73" s="297"/>
      <c r="CI73" s="297"/>
      <c r="CJ73" s="297"/>
      <c r="CK73" s="297"/>
      <c r="CL73" s="297"/>
      <c r="CM73" s="297"/>
      <c r="CN73" s="307"/>
      <c r="CO73" s="300"/>
      <c r="CP73" s="165">
        <f t="shared" si="0"/>
        <v>0</v>
      </c>
      <c r="CQ73" s="165">
        <f t="shared" si="1"/>
        <v>0</v>
      </c>
      <c r="CR73" s="249">
        <f t="shared" si="2"/>
        <v>0</v>
      </c>
      <c r="CS73" s="170">
        <f t="shared" si="3"/>
        <v>0</v>
      </c>
    </row>
    <row r="74" spans="1:97">
      <c r="A74" s="29" t="s">
        <v>588</v>
      </c>
      <c r="B74" s="339" t="str">
        <f>IFERROR(VLOOKUP(ParticipationMars1[[#This Row],[Référence]],ListeÉtudiants1[],18,FALSE),"")</f>
        <v>HOSTI MATHIAS</v>
      </c>
      <c r="C74" s="19"/>
      <c r="D74" s="19"/>
      <c r="E74" s="19"/>
      <c r="F74" s="19"/>
      <c r="G74" s="19"/>
      <c r="H74" s="19"/>
      <c r="I74" s="19"/>
      <c r="J74" s="19"/>
      <c r="K74" s="19"/>
      <c r="L74" s="19"/>
      <c r="M74" s="19"/>
      <c r="N74" s="19"/>
      <c r="O74" s="19" t="s">
        <v>108</v>
      </c>
      <c r="P74" s="19" t="s">
        <v>35</v>
      </c>
      <c r="Q74" s="19" t="s">
        <v>109</v>
      </c>
      <c r="R74" s="19"/>
      <c r="S74" s="19"/>
      <c r="T74" s="19"/>
      <c r="U74" s="19" t="s">
        <v>604</v>
      </c>
      <c r="V74" s="19" t="s">
        <v>529</v>
      </c>
      <c r="W74" s="19" t="s">
        <v>488</v>
      </c>
      <c r="X74" s="19" t="s">
        <v>488</v>
      </c>
      <c r="Y74" s="19" t="s">
        <v>507</v>
      </c>
      <c r="Z74" s="19"/>
      <c r="AA74" s="19"/>
      <c r="AB74" s="19"/>
      <c r="AC74" s="19"/>
      <c r="AD74" s="19"/>
      <c r="AE74" s="19"/>
      <c r="AF74" s="19"/>
      <c r="AG74" s="340"/>
      <c r="AH74" s="6">
        <f>COUNTIF(ParticipationMars1[[#This Row],[1]:[31]],Code1)</f>
        <v>0</v>
      </c>
      <c r="AI74" s="6">
        <f>COUNTIF(ParticipationMars1[[#This Row],[1]:[31]],code22)</f>
        <v>0</v>
      </c>
      <c r="AJ74" s="30">
        <f>COUNTIF(ParticipationMars1[[#This Row],[1]:[31]],Code2)</f>
        <v>1</v>
      </c>
      <c r="AK74" s="30">
        <f>COUNTIF(ParticipationMars1[[#This Row],[1]:[31]],Code3)</f>
        <v>1</v>
      </c>
      <c r="AL74" s="30">
        <f>COUNTIF(ParticipationMars1[[#This Row],[1]:[31]],Code4)</f>
        <v>0</v>
      </c>
      <c r="AM74" s="30">
        <f>COUNTIF(ParticipationMars1[[#This Row],[1]:[31]],Code5)</f>
        <v>1</v>
      </c>
      <c r="AN74" s="30">
        <f>COUNTIF(ParticipationMars1[[#This Row],[1]:[31]],Code23)</f>
        <v>3</v>
      </c>
      <c r="AO74" s="30">
        <f>COUNTIF(ParticipationMars1[[#This Row],[1]:[31]],Code6)</f>
        <v>0</v>
      </c>
      <c r="AP74" s="30">
        <f>COUNTIF(ParticipationMars1[[#This Row],[1]:[31]],Code7)</f>
        <v>0</v>
      </c>
      <c r="AQ74" s="30">
        <f>COUNTIF(ParticipationMars1[[#This Row],[1]:[31]],Code8)</f>
        <v>0</v>
      </c>
      <c r="AR74" s="30">
        <f>COUNTIF(ParticipationMars1[[#This Row],[1]:[31]],Code9)</f>
        <v>0</v>
      </c>
      <c r="AS74" s="30">
        <f>COUNTIF(ParticipationMars1[[#This Row],[1]:[31]],Code10)</f>
        <v>0</v>
      </c>
      <c r="AT74" s="30">
        <f>COUNTIF(ParticipationMars1[[#This Row],[1]:[31]],Code11)</f>
        <v>0</v>
      </c>
      <c r="AU74" s="30">
        <f>COUNTIF(ParticipationMars1[[#This Row],[1]:[31]],Code12)</f>
        <v>0</v>
      </c>
      <c r="AV74" s="30">
        <f>COUNTIF(ParticipationMars1[[#This Row],[1]:[31]],Code13)</f>
        <v>0</v>
      </c>
      <c r="AW74" s="30">
        <f>COUNTIF(ParticipationMars1[[#This Row],[1]:[31]],Code14)</f>
        <v>1</v>
      </c>
      <c r="AX74" s="30">
        <f>COUNTIF(ParticipationMars1[[#This Row],[1]:[31]],Code15)</f>
        <v>0</v>
      </c>
      <c r="AY74" s="30">
        <f>COUNTIF(ParticipationMars1[[#This Row],[1]:[31]],Code16)</f>
        <v>0</v>
      </c>
      <c r="AZ74" s="30">
        <f>COUNTIF(ParticipationMars1[[#This Row],[1]:[31]],Code17)</f>
        <v>0</v>
      </c>
      <c r="BA74" s="307">
        <f>COUNTIF(ParticipationMars1[[#This Row],[1]:[31]],Code26)</f>
        <v>0</v>
      </c>
      <c r="BB74" s="30">
        <f>COUNTIF(ParticipationMars1[[#This Row],[1]:[31]],Code25)</f>
        <v>0</v>
      </c>
      <c r="BC74" s="30">
        <f>COUNTIF(ParticipationMars1[[#This Row],[1]:[31]],code21)</f>
        <v>0</v>
      </c>
      <c r="BD74" s="30">
        <f>COUNTIF(ParticipationMars1[[#This Row],[1]:[31]],Code24)</f>
        <v>0</v>
      </c>
      <c r="BE74" s="30">
        <f>COUNTIF(ParticipationMars1[[#This Row],[1]:[31]],code18)</f>
        <v>0</v>
      </c>
      <c r="BF74" s="30">
        <f>COUNTIF(ParticipationMars1[[#This Row],[1]:[31]],code19)</f>
        <v>0</v>
      </c>
      <c r="BG74" s="164">
        <f>COUNTIF(ParticipationMars1[[#This Row],[1]:[31]],code20)</f>
        <v>0</v>
      </c>
      <c r="BH74" s="297"/>
      <c r="BI74" s="297">
        <v>1</v>
      </c>
      <c r="BJ74" s="297"/>
      <c r="BK74" s="297"/>
      <c r="BL74" s="297"/>
      <c r="BM74" s="297"/>
      <c r="BN74" s="297"/>
      <c r="BO74" s="297">
        <v>3</v>
      </c>
      <c r="BP74" s="297"/>
      <c r="BQ74" s="297"/>
      <c r="BR74" s="297">
        <v>4</v>
      </c>
      <c r="BS74" s="297"/>
      <c r="BT74" s="297"/>
      <c r="BU74" s="297"/>
      <c r="BV74" s="297"/>
      <c r="BW74" s="297"/>
      <c r="BX74" s="297"/>
      <c r="BY74" s="297"/>
      <c r="BZ74" s="297"/>
      <c r="CA74" s="297"/>
      <c r="CB74" s="297">
        <v>3</v>
      </c>
      <c r="CC74" s="297"/>
      <c r="CD74" s="297"/>
      <c r="CE74" s="297"/>
      <c r="CF74" s="297"/>
      <c r="CG74" s="297"/>
      <c r="CH74" s="297"/>
      <c r="CI74" s="297"/>
      <c r="CJ74" s="297"/>
      <c r="CK74" s="297"/>
      <c r="CL74" s="297"/>
      <c r="CM74" s="297"/>
      <c r="CN74" s="307"/>
      <c r="CO74" s="300"/>
      <c r="CP74" s="165">
        <f t="shared" si="0"/>
        <v>6</v>
      </c>
      <c r="CQ74" s="165">
        <f t="shared" si="1"/>
        <v>12</v>
      </c>
      <c r="CR74" s="249">
        <f t="shared" si="2"/>
        <v>0</v>
      </c>
      <c r="CS74" s="170">
        <f t="shared" si="3"/>
        <v>0</v>
      </c>
    </row>
    <row r="75" spans="1:97">
      <c r="A75" s="29" t="s">
        <v>590</v>
      </c>
      <c r="B75" s="339" t="str">
        <f>IFERROR(VLOOKUP(ParticipationMars1[[#This Row],[Référence]],ListeÉtudiants1[],18,FALSE),"")</f>
        <v>ITSOTSO MEGGIE</v>
      </c>
      <c r="C75" s="19"/>
      <c r="D75" s="19"/>
      <c r="E75" s="19"/>
      <c r="F75" s="19"/>
      <c r="G75" s="19"/>
      <c r="H75" s="19"/>
      <c r="I75" s="19"/>
      <c r="J75" s="19"/>
      <c r="K75" s="19"/>
      <c r="L75" s="19"/>
      <c r="M75" s="19"/>
      <c r="N75" s="19"/>
      <c r="O75" s="19" t="s">
        <v>108</v>
      </c>
      <c r="P75" s="19" t="s">
        <v>35</v>
      </c>
      <c r="Q75" s="19" t="s">
        <v>108</v>
      </c>
      <c r="R75" s="19"/>
      <c r="S75" s="19"/>
      <c r="T75" s="19"/>
      <c r="U75" s="19" t="s">
        <v>507</v>
      </c>
      <c r="V75" s="19" t="s">
        <v>529</v>
      </c>
      <c r="W75" s="19" t="s">
        <v>108</v>
      </c>
      <c r="X75" s="19" t="s">
        <v>488</v>
      </c>
      <c r="Y75" s="19"/>
      <c r="Z75" s="19"/>
      <c r="AA75" s="19"/>
      <c r="AB75" s="19"/>
      <c r="AC75" s="19"/>
      <c r="AD75" s="19"/>
      <c r="AE75" s="19"/>
      <c r="AF75" s="19"/>
      <c r="AG75" s="340"/>
      <c r="AH75" s="6">
        <f>COUNTIF(ParticipationMars1[[#This Row],[1]:[31]],Code1)</f>
        <v>0</v>
      </c>
      <c r="AI75" s="6">
        <f>COUNTIF(ParticipationMars1[[#This Row],[1]:[31]],code22)</f>
        <v>0</v>
      </c>
      <c r="AJ75" s="30">
        <f>COUNTIF(ParticipationMars1[[#This Row],[1]:[31]],Code2)</f>
        <v>0</v>
      </c>
      <c r="AK75" s="30">
        <f>COUNTIF(ParticipationMars1[[#This Row],[1]:[31]],Code3)</f>
        <v>0</v>
      </c>
      <c r="AL75" s="30">
        <f>COUNTIF(ParticipationMars1[[#This Row],[1]:[31]],Code4)</f>
        <v>0</v>
      </c>
      <c r="AM75" s="30">
        <f>COUNTIF(ParticipationMars1[[#This Row],[1]:[31]],Code5)</f>
        <v>1</v>
      </c>
      <c r="AN75" s="30">
        <f>COUNTIF(ParticipationMars1[[#This Row],[1]:[31]],Code23)</f>
        <v>1</v>
      </c>
      <c r="AO75" s="30">
        <f>COUNTIF(ParticipationMars1[[#This Row],[1]:[31]],Code6)</f>
        <v>0</v>
      </c>
      <c r="AP75" s="30">
        <f>COUNTIF(ParticipationMars1[[#This Row],[1]:[31]],Code7)</f>
        <v>1</v>
      </c>
      <c r="AQ75" s="30">
        <f>COUNTIF(ParticipationMars1[[#This Row],[1]:[31]],Code8)</f>
        <v>0</v>
      </c>
      <c r="AR75" s="30">
        <f>COUNTIF(ParticipationMars1[[#This Row],[1]:[31]],Code9)</f>
        <v>0</v>
      </c>
      <c r="AS75" s="30">
        <f>COUNTIF(ParticipationMars1[[#This Row],[1]:[31]],Code10)</f>
        <v>0</v>
      </c>
      <c r="AT75" s="30">
        <f>COUNTIF(ParticipationMars1[[#This Row],[1]:[31]],Code11)</f>
        <v>1</v>
      </c>
      <c r="AU75" s="30">
        <f>COUNTIF(ParticipationMars1[[#This Row],[1]:[31]],Code12)</f>
        <v>0</v>
      </c>
      <c r="AV75" s="30">
        <f>COUNTIF(ParticipationMars1[[#This Row],[1]:[31]],Code13)</f>
        <v>0</v>
      </c>
      <c r="AW75" s="30">
        <f>COUNTIF(ParticipationMars1[[#This Row],[1]:[31]],Code14)</f>
        <v>0</v>
      </c>
      <c r="AX75" s="30">
        <f>COUNTIF(ParticipationMars1[[#This Row],[1]:[31]],Code15)</f>
        <v>0</v>
      </c>
      <c r="AY75" s="30">
        <f>COUNTIF(ParticipationMars1[[#This Row],[1]:[31]],Code16)</f>
        <v>0</v>
      </c>
      <c r="AZ75" s="30">
        <f>COUNTIF(ParticipationMars1[[#This Row],[1]:[31]],Code17)</f>
        <v>0</v>
      </c>
      <c r="BA75" s="307">
        <f>COUNTIF(ParticipationMars1[[#This Row],[1]:[31]],Code26)</f>
        <v>0</v>
      </c>
      <c r="BB75" s="30">
        <f>COUNTIF(ParticipationMars1[[#This Row],[1]:[31]],Code25)</f>
        <v>0</v>
      </c>
      <c r="BC75" s="30">
        <f>COUNTIF(ParticipationMars1[[#This Row],[1]:[31]],code21)</f>
        <v>0</v>
      </c>
      <c r="BD75" s="30">
        <f>COUNTIF(ParticipationMars1[[#This Row],[1]:[31]],Code24)</f>
        <v>0</v>
      </c>
      <c r="BE75" s="30">
        <f>COUNTIF(ParticipationMars1[[#This Row],[1]:[31]],code18)</f>
        <v>0</v>
      </c>
      <c r="BF75" s="30">
        <f>COUNTIF(ParticipationMars1[[#This Row],[1]:[31]],code19)</f>
        <v>0</v>
      </c>
      <c r="BG75" s="164">
        <f>COUNTIF(ParticipationMars1[[#This Row],[1]:[31]],code20)</f>
        <v>0</v>
      </c>
      <c r="BH75" s="297"/>
      <c r="BI75" s="297">
        <v>1</v>
      </c>
      <c r="BJ75" s="297"/>
      <c r="BK75" s="297"/>
      <c r="BL75" s="297"/>
      <c r="BM75" s="297"/>
      <c r="BN75" s="297"/>
      <c r="BO75" s="297">
        <v>2</v>
      </c>
      <c r="BP75" s="297"/>
      <c r="BQ75" s="297"/>
      <c r="BR75" s="297">
        <v>1</v>
      </c>
      <c r="BS75" s="297"/>
      <c r="BT75" s="297"/>
      <c r="BU75" s="297">
        <v>1</v>
      </c>
      <c r="BV75" s="297"/>
      <c r="BW75" s="297"/>
      <c r="BX75" s="297"/>
      <c r="BY75" s="297"/>
      <c r="BZ75" s="297"/>
      <c r="CA75" s="297"/>
      <c r="CB75" s="297">
        <v>2</v>
      </c>
      <c r="CC75" s="297"/>
      <c r="CD75" s="297"/>
      <c r="CE75" s="297"/>
      <c r="CF75" s="297"/>
      <c r="CG75" s="297"/>
      <c r="CH75" s="297"/>
      <c r="CI75" s="297"/>
      <c r="CJ75" s="297"/>
      <c r="CK75" s="297"/>
      <c r="CL75" s="297"/>
      <c r="CM75" s="297"/>
      <c r="CN75" s="307"/>
      <c r="CO75" s="300"/>
      <c r="CP75" s="165">
        <f t="shared" ref="CP75:CP89" si="4">SUM((AH75*1)+(AI75*1.5)+(AJ75*2)+(AK75*4)+(AP75*5)+(AQ75*6)+(AR75*7)+(AU75*2)+(AX75*3)+(AY75*4)+(AZ75*5)+(BA75*3)+(BB75*2)+(BC75*2))</f>
        <v>5</v>
      </c>
      <c r="CQ75" s="165">
        <f t="shared" ref="CQ75:CQ89" si="5">SUM((AN75*1)+(AM75*2)+(AO75*3)+(AP75*4)+(AT75*5)+(AU75*7)+(AV75*7)+(AW75*7)+(AX75*4)+(AY75*3)+(AZ75*2)+(BB75*4)+(BA75*1)+(BC75*2))</f>
        <v>12</v>
      </c>
      <c r="CR75" s="249">
        <f t="shared" ref="CR75:CR89" si="6">BD75*2</f>
        <v>0</v>
      </c>
      <c r="CS75" s="170"/>
    </row>
    <row r="76" spans="1:97">
      <c r="A76" s="29" t="s">
        <v>593</v>
      </c>
      <c r="B76" s="339" t="str">
        <f>IFERROR(VLOOKUP(ParticipationMars1[[#This Row],[Référence]],ListeÉtudiants1[],18,FALSE),"")</f>
        <v>JACQUIN  LAURENE</v>
      </c>
      <c r="C76" s="19"/>
      <c r="D76" s="19"/>
      <c r="E76" s="19"/>
      <c r="F76" s="19"/>
      <c r="G76" s="19"/>
      <c r="H76" s="19"/>
      <c r="I76" s="19"/>
      <c r="J76" s="19"/>
      <c r="K76" s="19"/>
      <c r="L76" s="19"/>
      <c r="M76" s="19"/>
      <c r="N76" s="19"/>
      <c r="O76" s="19" t="s">
        <v>108</v>
      </c>
      <c r="P76" s="19"/>
      <c r="Q76" s="19"/>
      <c r="R76" s="19"/>
      <c r="S76" s="19"/>
      <c r="T76" s="19"/>
      <c r="U76" s="19"/>
      <c r="V76" s="19"/>
      <c r="W76" s="19" t="s">
        <v>488</v>
      </c>
      <c r="X76" s="19" t="s">
        <v>488</v>
      </c>
      <c r="Y76" s="19" t="s">
        <v>35</v>
      </c>
      <c r="Z76" s="19"/>
      <c r="AA76" s="19"/>
      <c r="AB76" s="19"/>
      <c r="AC76" s="19"/>
      <c r="AD76" s="19"/>
      <c r="AE76" s="19"/>
      <c r="AF76" s="19"/>
      <c r="AG76" s="340"/>
      <c r="AH76" s="6">
        <f>COUNTIF(ParticipationMars1[[#This Row],[1]:[31]],Code1)</f>
        <v>0</v>
      </c>
      <c r="AI76" s="6">
        <f>COUNTIF(ParticipationMars1[[#This Row],[1]:[31]],code22)</f>
        <v>0</v>
      </c>
      <c r="AJ76" s="30">
        <f>COUNTIF(ParticipationMars1[[#This Row],[1]:[31]],Code2)</f>
        <v>0</v>
      </c>
      <c r="AK76" s="30">
        <f>COUNTIF(ParticipationMars1[[#This Row],[1]:[31]],Code3)</f>
        <v>0</v>
      </c>
      <c r="AL76" s="30">
        <f>COUNTIF(ParticipationMars1[[#This Row],[1]:[31]],Code4)</f>
        <v>0</v>
      </c>
      <c r="AM76" s="30">
        <f>COUNTIF(ParticipationMars1[[#This Row],[1]:[31]],Code5)</f>
        <v>1</v>
      </c>
      <c r="AN76" s="30">
        <f>COUNTIF(ParticipationMars1[[#This Row],[1]:[31]],Code23)</f>
        <v>2</v>
      </c>
      <c r="AO76" s="30">
        <f>COUNTIF(ParticipationMars1[[#This Row],[1]:[31]],Code6)</f>
        <v>0</v>
      </c>
      <c r="AP76" s="30">
        <f>COUNTIF(ParticipationMars1[[#This Row],[1]:[31]],Code7)</f>
        <v>1</v>
      </c>
      <c r="AQ76" s="30">
        <f>COUNTIF(ParticipationMars1[[#This Row],[1]:[31]],Code8)</f>
        <v>0</v>
      </c>
      <c r="AR76" s="30">
        <f>COUNTIF(ParticipationMars1[[#This Row],[1]:[31]],Code9)</f>
        <v>0</v>
      </c>
      <c r="AS76" s="30">
        <f>COUNTIF(ParticipationMars1[[#This Row],[1]:[31]],Code10)</f>
        <v>0</v>
      </c>
      <c r="AT76" s="30">
        <f>COUNTIF(ParticipationMars1[[#This Row],[1]:[31]],Code11)</f>
        <v>0</v>
      </c>
      <c r="AU76" s="30">
        <f>COUNTIF(ParticipationMars1[[#This Row],[1]:[31]],Code12)</f>
        <v>0</v>
      </c>
      <c r="AV76" s="30">
        <f>COUNTIF(ParticipationMars1[[#This Row],[1]:[31]],Code13)</f>
        <v>0</v>
      </c>
      <c r="AW76" s="30">
        <f>COUNTIF(ParticipationMars1[[#This Row],[1]:[31]],Code14)</f>
        <v>0</v>
      </c>
      <c r="AX76" s="30">
        <f>COUNTIF(ParticipationMars1[[#This Row],[1]:[31]],Code15)</f>
        <v>0</v>
      </c>
      <c r="AY76" s="30">
        <f>COUNTIF(ParticipationMars1[[#This Row],[1]:[31]],Code16)</f>
        <v>0</v>
      </c>
      <c r="AZ76" s="30">
        <f>COUNTIF(ParticipationMars1[[#This Row],[1]:[31]],Code17)</f>
        <v>0</v>
      </c>
      <c r="BA76" s="307">
        <f>COUNTIF(ParticipationMars1[[#This Row],[1]:[31]],Code26)</f>
        <v>0</v>
      </c>
      <c r="BB76" s="30">
        <f>COUNTIF(ParticipationMars1[[#This Row],[1]:[31]],Code25)</f>
        <v>0</v>
      </c>
      <c r="BC76" s="30">
        <f>COUNTIF(ParticipationMars1[[#This Row],[1]:[31]],code21)</f>
        <v>0</v>
      </c>
      <c r="BD76" s="30">
        <f>COUNTIF(ParticipationMars1[[#This Row],[1]:[31]],Code24)</f>
        <v>0</v>
      </c>
      <c r="BE76" s="30">
        <f>COUNTIF(ParticipationMars1[[#This Row],[1]:[31]],code18)</f>
        <v>0</v>
      </c>
      <c r="BF76" s="30">
        <f>COUNTIF(ParticipationMars1[[#This Row],[1]:[31]],code19)</f>
        <v>0</v>
      </c>
      <c r="BG76" s="164">
        <f>COUNTIF(ParticipationMars1[[#This Row],[1]:[31]],code20)</f>
        <v>0</v>
      </c>
      <c r="BH76" s="297"/>
      <c r="BI76" s="297">
        <v>1</v>
      </c>
      <c r="BJ76" s="297"/>
      <c r="BK76" s="297"/>
      <c r="BL76" s="297"/>
      <c r="BM76" s="297"/>
      <c r="BN76" s="297"/>
      <c r="BO76" s="297">
        <v>2</v>
      </c>
      <c r="BP76" s="297"/>
      <c r="BQ76" s="297"/>
      <c r="BR76" s="297">
        <v>3</v>
      </c>
      <c r="BS76" s="297"/>
      <c r="BT76" s="297"/>
      <c r="BU76" s="297"/>
      <c r="BV76" s="297"/>
      <c r="BW76" s="297"/>
      <c r="BX76" s="297"/>
      <c r="BY76" s="297"/>
      <c r="BZ76" s="297"/>
      <c r="CA76" s="297"/>
      <c r="CB76" s="297">
        <v>1</v>
      </c>
      <c r="CC76" s="297"/>
      <c r="CD76" s="297"/>
      <c r="CE76" s="297"/>
      <c r="CF76" s="297"/>
      <c r="CG76" s="297"/>
      <c r="CH76" s="297"/>
      <c r="CI76" s="297"/>
      <c r="CJ76" s="297"/>
      <c r="CK76" s="297"/>
      <c r="CL76" s="297"/>
      <c r="CM76" s="297"/>
      <c r="CN76" s="307"/>
      <c r="CO76" s="300"/>
      <c r="CP76" s="165">
        <f t="shared" si="4"/>
        <v>5</v>
      </c>
      <c r="CQ76" s="165">
        <f t="shared" si="5"/>
        <v>8</v>
      </c>
      <c r="CR76" s="249">
        <f t="shared" si="6"/>
        <v>0</v>
      </c>
      <c r="CS76" s="170">
        <f>SUM(AQ76:CP76)</f>
        <v>12</v>
      </c>
    </row>
    <row r="77" spans="1:97">
      <c r="A77" s="29" t="s">
        <v>596</v>
      </c>
      <c r="B77" s="339" t="str">
        <f>IFERROR(VLOOKUP(ParticipationMars1[[#This Row],[Référence]],ListeÉtudiants1[],18,FALSE),"")</f>
        <v>JOSEPH PALOUNA</v>
      </c>
      <c r="C77" s="19"/>
      <c r="D77" s="19"/>
      <c r="E77" s="19"/>
      <c r="F77" s="19"/>
      <c r="G77" s="19"/>
      <c r="H77" s="19"/>
      <c r="I77" s="19"/>
      <c r="J77" s="19"/>
      <c r="K77" s="19"/>
      <c r="L77" s="19"/>
      <c r="M77" s="19"/>
      <c r="N77" s="19"/>
      <c r="O77" s="19" t="s">
        <v>108</v>
      </c>
      <c r="P77" s="19" t="s">
        <v>507</v>
      </c>
      <c r="Q77" s="19" t="s">
        <v>109</v>
      </c>
      <c r="R77" s="19"/>
      <c r="S77" s="19"/>
      <c r="T77" s="19"/>
      <c r="U77" s="19" t="s">
        <v>604</v>
      </c>
      <c r="V77" s="19" t="s">
        <v>529</v>
      </c>
      <c r="W77" s="19" t="s">
        <v>488</v>
      </c>
      <c r="X77" s="19" t="s">
        <v>488</v>
      </c>
      <c r="Y77" s="19" t="s">
        <v>507</v>
      </c>
      <c r="Z77" s="19"/>
      <c r="AA77" s="19"/>
      <c r="AB77" s="19"/>
      <c r="AC77" s="19"/>
      <c r="AD77" s="19"/>
      <c r="AE77" s="19"/>
      <c r="AF77" s="19"/>
      <c r="AG77" s="340"/>
      <c r="AH77" s="6">
        <f>COUNTIF(ParticipationMars1[[#This Row],[1]:[31]],Code1)</f>
        <v>0</v>
      </c>
      <c r="AI77" s="331">
        <f>COUNTIF(ParticipationMars1[[#This Row],[1]:[31]],code22)</f>
        <v>0</v>
      </c>
      <c r="AJ77" s="30">
        <f>COUNTIF(ParticipationMars1[[#This Row],[1]:[31]],Code2)</f>
        <v>0</v>
      </c>
      <c r="AK77" s="30">
        <f>COUNTIF(ParticipationMars1[[#This Row],[1]:[31]],Code3)</f>
        <v>0</v>
      </c>
      <c r="AL77" s="30">
        <f>COUNTIF(ParticipationMars1[[#This Row],[1]:[31]],Code4)</f>
        <v>0</v>
      </c>
      <c r="AM77" s="307">
        <f>COUNTIF(ParticipationMars1[[#This Row],[1]:[31]],Code5)</f>
        <v>0</v>
      </c>
      <c r="AN77" s="307">
        <f>COUNTIF(ParticipationMars1[[#This Row],[1]:[31]],Code23)</f>
        <v>3</v>
      </c>
      <c r="AO77" s="307">
        <f>COUNTIF(ParticipationMars1[[#This Row],[1]:[31]],Code6)</f>
        <v>0</v>
      </c>
      <c r="AP77" s="307">
        <f>COUNTIF(ParticipationMars1[[#This Row],[1]:[31]],Code7)</f>
        <v>1</v>
      </c>
      <c r="AQ77" s="307">
        <f>COUNTIF(ParticipationMars1[[#This Row],[1]:[31]],Code8)</f>
        <v>0</v>
      </c>
      <c r="AR77" s="307">
        <f>COUNTIF(ParticipationMars1[[#This Row],[1]:[31]],Code9)</f>
        <v>0</v>
      </c>
      <c r="AS77" s="307">
        <f>COUNTIF(ParticipationMars1[[#This Row],[1]:[31]],Code10)</f>
        <v>0</v>
      </c>
      <c r="AT77" s="307">
        <f>COUNTIF(ParticipationMars1[[#This Row],[1]:[31]],Code11)</f>
        <v>0</v>
      </c>
      <c r="AU77" s="307">
        <f>COUNTIF(ParticipationMars1[[#This Row],[1]:[31]],Code12)</f>
        <v>0</v>
      </c>
      <c r="AV77" s="307">
        <f>COUNTIF(ParticipationMars1[[#This Row],[1]:[31]],Code13)</f>
        <v>0</v>
      </c>
      <c r="AW77" s="307">
        <f>COUNTIF(ParticipationMars1[[#This Row],[1]:[31]],Code14)</f>
        <v>0</v>
      </c>
      <c r="AX77" s="307">
        <f>COUNTIF(ParticipationMars1[[#This Row],[1]:[31]],Code15)</f>
        <v>0</v>
      </c>
      <c r="AY77" s="307">
        <f>COUNTIF(ParticipationMars1[[#This Row],[1]:[31]],Code16)</f>
        <v>0</v>
      </c>
      <c r="AZ77" s="307">
        <f>COUNTIF(ParticipationMars1[[#This Row],[1]:[31]],Code17)</f>
        <v>0</v>
      </c>
      <c r="BA77" s="307">
        <f>COUNTIF(ParticipationMars1[[#This Row],[1]:[31]],Code26)</f>
        <v>0</v>
      </c>
      <c r="BB77" s="30">
        <f>COUNTIF(ParticipationMars1[[#This Row],[1]:[31]],Code25)</f>
        <v>0</v>
      </c>
      <c r="BC77" s="307">
        <f>COUNTIF(ParticipationMars1[[#This Row],[1]:[31]],code21)</f>
        <v>0</v>
      </c>
      <c r="BD77" s="307">
        <f>COUNTIF(ParticipationMars1[[#This Row],[1]:[31]],Code24)</f>
        <v>0</v>
      </c>
      <c r="BE77" s="307">
        <f>COUNTIF(ParticipationMars1[[#This Row],[1]:[31]],code18)</f>
        <v>0</v>
      </c>
      <c r="BF77" s="307">
        <f>COUNTIF(ParticipationMars1[[#This Row],[1]:[31]],code19)</f>
        <v>0</v>
      </c>
      <c r="BG77" s="300">
        <f>COUNTIF(ParticipationMars1[[#This Row],[1]:[31]],code20)</f>
        <v>0</v>
      </c>
      <c r="BH77" s="297"/>
      <c r="BI77" s="297">
        <v>1</v>
      </c>
      <c r="BJ77" s="297"/>
      <c r="BK77" s="297"/>
      <c r="BL77" s="297"/>
      <c r="BM77" s="297"/>
      <c r="BN77" s="297"/>
      <c r="BO77" s="297">
        <v>3</v>
      </c>
      <c r="BP77" s="297"/>
      <c r="BQ77" s="297"/>
      <c r="BR77" s="297">
        <v>4</v>
      </c>
      <c r="BS77" s="297"/>
      <c r="BT77" s="297"/>
      <c r="BU77" s="297">
        <v>1</v>
      </c>
      <c r="BV77" s="297"/>
      <c r="BW77" s="297"/>
      <c r="BX77" s="297"/>
      <c r="BY77" s="297"/>
      <c r="BZ77" s="297"/>
      <c r="CA77" s="297"/>
      <c r="CB77" s="297">
        <v>4</v>
      </c>
      <c r="CC77" s="297"/>
      <c r="CD77" s="297"/>
      <c r="CE77" s="297"/>
      <c r="CF77" s="297"/>
      <c r="CG77" s="297"/>
      <c r="CH77" s="297"/>
      <c r="CI77" s="297"/>
      <c r="CJ77" s="297"/>
      <c r="CK77" s="297"/>
      <c r="CL77" s="297"/>
      <c r="CM77" s="297"/>
      <c r="CN77" s="307"/>
      <c r="CO77" s="300"/>
      <c r="CP77" s="165">
        <f t="shared" si="4"/>
        <v>5</v>
      </c>
      <c r="CQ77" s="165">
        <f t="shared" si="5"/>
        <v>7</v>
      </c>
      <c r="CR77" s="249">
        <f t="shared" si="6"/>
        <v>0</v>
      </c>
      <c r="CS77" s="327"/>
    </row>
    <row r="78" spans="1:97">
      <c r="A78" s="29" t="s">
        <v>599</v>
      </c>
      <c r="B78" s="339" t="str">
        <f>IFERROR(VLOOKUP(ParticipationMars1[[#This Row],[Référence]],ListeÉtudiants1[],18,FALSE),"")</f>
        <v>JUAN DORINE</v>
      </c>
      <c r="C78" s="19"/>
      <c r="D78" s="19"/>
      <c r="E78" s="19"/>
      <c r="F78" s="19"/>
      <c r="G78" s="19"/>
      <c r="H78" s="19"/>
      <c r="I78" s="19"/>
      <c r="J78" s="19"/>
      <c r="K78" s="19"/>
      <c r="L78" s="19"/>
      <c r="M78" s="19"/>
      <c r="N78" s="19"/>
      <c r="O78" s="19" t="s">
        <v>108</v>
      </c>
      <c r="P78" s="19"/>
      <c r="Q78" s="19" t="s">
        <v>108</v>
      </c>
      <c r="R78" s="19"/>
      <c r="S78" s="19"/>
      <c r="T78" s="19"/>
      <c r="U78" s="19" t="s">
        <v>108</v>
      </c>
      <c r="V78" s="19"/>
      <c r="W78" s="19" t="s">
        <v>108</v>
      </c>
      <c r="X78" s="19" t="s">
        <v>488</v>
      </c>
      <c r="Y78" s="19"/>
      <c r="Z78" s="19"/>
      <c r="AA78" s="19"/>
      <c r="AB78" s="19"/>
      <c r="AC78" s="19"/>
      <c r="AD78" s="19"/>
      <c r="AE78" s="19"/>
      <c r="AF78" s="19"/>
      <c r="AG78" s="340"/>
      <c r="AH78" s="6">
        <f>COUNTIF(ParticipationMars1[[#This Row],[1]:[31]],Code1)</f>
        <v>0</v>
      </c>
      <c r="AI78" s="331">
        <f>COUNTIF(ParticipationMars1[[#This Row],[1]:[31]],code22)</f>
        <v>0</v>
      </c>
      <c r="AJ78" s="30">
        <f>COUNTIF(ParticipationMars1[[#This Row],[1]:[31]],Code2)</f>
        <v>0</v>
      </c>
      <c r="AK78" s="30">
        <f>COUNTIF(ParticipationMars1[[#This Row],[1]:[31]],Code3)</f>
        <v>0</v>
      </c>
      <c r="AL78" s="30">
        <f>COUNTIF(ParticipationMars1[[#This Row],[1]:[31]],Code4)</f>
        <v>0</v>
      </c>
      <c r="AM78" s="307">
        <f>COUNTIF(ParticipationMars1[[#This Row],[1]:[31]],Code5)</f>
        <v>0</v>
      </c>
      <c r="AN78" s="307">
        <f>COUNTIF(ParticipationMars1[[#This Row],[1]:[31]],Code23)</f>
        <v>1</v>
      </c>
      <c r="AO78" s="307">
        <f>COUNTIF(ParticipationMars1[[#This Row],[1]:[31]],Code6)</f>
        <v>1</v>
      </c>
      <c r="AP78" s="307">
        <f>COUNTIF(ParticipationMars1[[#This Row],[1]:[31]],Code7)</f>
        <v>0</v>
      </c>
      <c r="AQ78" s="307">
        <f>COUNTIF(ParticipationMars1[[#This Row],[1]:[31]],Code8)</f>
        <v>0</v>
      </c>
      <c r="AR78" s="307">
        <f>COUNTIF(ParticipationMars1[[#This Row],[1]:[31]],Code9)</f>
        <v>0</v>
      </c>
      <c r="AS78" s="307">
        <f>COUNTIF(ParticipationMars1[[#This Row],[1]:[31]],Code10)</f>
        <v>0</v>
      </c>
      <c r="AT78" s="307">
        <f>COUNTIF(ParticipationMars1[[#This Row],[1]:[31]],Code11)</f>
        <v>0</v>
      </c>
      <c r="AU78" s="307">
        <f>COUNTIF(ParticipationMars1[[#This Row],[1]:[31]],Code12)</f>
        <v>0</v>
      </c>
      <c r="AV78" s="307">
        <f>COUNTIF(ParticipationMars1[[#This Row],[1]:[31]],Code13)</f>
        <v>0</v>
      </c>
      <c r="AW78" s="307">
        <f>COUNTIF(ParticipationMars1[[#This Row],[1]:[31]],Code14)</f>
        <v>0</v>
      </c>
      <c r="AX78" s="307">
        <f>COUNTIF(ParticipationMars1[[#This Row],[1]:[31]],Code15)</f>
        <v>0</v>
      </c>
      <c r="AY78" s="307">
        <f>COUNTIF(ParticipationMars1[[#This Row],[1]:[31]],Code16)</f>
        <v>0</v>
      </c>
      <c r="AZ78" s="307">
        <f>COUNTIF(ParticipationMars1[[#This Row],[1]:[31]],Code17)</f>
        <v>0</v>
      </c>
      <c r="BA78" s="307">
        <f>COUNTIF(ParticipationMars1[[#This Row],[1]:[31]],Code26)</f>
        <v>0</v>
      </c>
      <c r="BB78" s="30">
        <f>COUNTIF(ParticipationMars1[[#This Row],[1]:[31]],Code25)</f>
        <v>0</v>
      </c>
      <c r="BC78" s="307">
        <f>COUNTIF(ParticipationMars1[[#This Row],[1]:[31]],code21)</f>
        <v>0</v>
      </c>
      <c r="BD78" s="307">
        <f>COUNTIF(ParticipationMars1[[#This Row],[1]:[31]],Code24)</f>
        <v>0</v>
      </c>
      <c r="BE78" s="307">
        <f>COUNTIF(ParticipationMars1[[#This Row],[1]:[31]],code18)</f>
        <v>0</v>
      </c>
      <c r="BF78" s="307">
        <f>COUNTIF(ParticipationMars1[[#This Row],[1]:[31]],code19)</f>
        <v>0</v>
      </c>
      <c r="BG78" s="300">
        <f>COUNTIF(ParticipationMars1[[#This Row],[1]:[31]],code20)</f>
        <v>0</v>
      </c>
      <c r="BH78" s="297"/>
      <c r="BI78" s="297">
        <v>1</v>
      </c>
      <c r="BJ78" s="297"/>
      <c r="BK78" s="297"/>
      <c r="BL78" s="297"/>
      <c r="BM78" s="297"/>
      <c r="BN78" s="297"/>
      <c r="BO78" s="297">
        <v>2</v>
      </c>
      <c r="BP78" s="297"/>
      <c r="BQ78" s="297"/>
      <c r="BR78" s="297">
        <v>1</v>
      </c>
      <c r="BS78" s="297"/>
      <c r="BT78" s="297"/>
      <c r="BU78" s="297"/>
      <c r="BV78" s="297"/>
      <c r="BW78" s="297"/>
      <c r="BX78" s="297"/>
      <c r="BY78" s="297"/>
      <c r="BZ78" s="297"/>
      <c r="CA78" s="297"/>
      <c r="CB78" s="297">
        <v>2</v>
      </c>
      <c r="CC78" s="297"/>
      <c r="CD78" s="297"/>
      <c r="CE78" s="297"/>
      <c r="CF78" s="297"/>
      <c r="CG78" s="297"/>
      <c r="CH78" s="297"/>
      <c r="CI78" s="297"/>
      <c r="CJ78" s="297"/>
      <c r="CK78" s="297"/>
      <c r="CL78" s="297"/>
      <c r="CM78" s="297"/>
      <c r="CN78" s="307"/>
      <c r="CO78" s="300"/>
      <c r="CP78" s="165">
        <f t="shared" si="4"/>
        <v>0</v>
      </c>
      <c r="CQ78" s="165">
        <f t="shared" si="5"/>
        <v>4</v>
      </c>
      <c r="CR78" s="249">
        <f t="shared" si="6"/>
        <v>0</v>
      </c>
      <c r="CS78" s="327"/>
    </row>
    <row r="79" spans="1:97">
      <c r="A79" s="29" t="s">
        <v>602</v>
      </c>
      <c r="B79" s="339" t="str">
        <f>IFERROR(VLOOKUP(ParticipationMars1[[#This Row],[Référence]],ListeÉtudiants1[],18,FALSE),"")</f>
        <v>KABOL HELENA</v>
      </c>
      <c r="C79" s="19"/>
      <c r="D79" s="19"/>
      <c r="E79" s="19"/>
      <c r="F79" s="19"/>
      <c r="G79" s="19"/>
      <c r="H79" s="19"/>
      <c r="I79" s="19"/>
      <c r="J79" s="19"/>
      <c r="K79" s="19"/>
      <c r="L79" s="19"/>
      <c r="M79" s="19"/>
      <c r="N79" s="19"/>
      <c r="O79" s="19" t="s">
        <v>108</v>
      </c>
      <c r="P79" s="19" t="s">
        <v>35</v>
      </c>
      <c r="Q79" s="19" t="s">
        <v>109</v>
      </c>
      <c r="R79" s="19"/>
      <c r="S79" s="19"/>
      <c r="T79" s="19"/>
      <c r="U79" s="19" t="s">
        <v>109</v>
      </c>
      <c r="V79" s="19" t="s">
        <v>620</v>
      </c>
      <c r="W79" s="19" t="s">
        <v>488</v>
      </c>
      <c r="X79" s="19" t="s">
        <v>488</v>
      </c>
      <c r="Y79" s="19" t="s">
        <v>507</v>
      </c>
      <c r="Z79" s="19"/>
      <c r="AA79" s="19"/>
      <c r="AB79" s="19"/>
      <c r="AC79" s="19"/>
      <c r="AD79" s="19"/>
      <c r="AE79" s="19"/>
      <c r="AF79" s="19"/>
      <c r="AG79" s="340"/>
      <c r="AH79" s="6">
        <f>COUNTIF(ParticipationMars1[[#This Row],[1]:[31]],Code1)</f>
        <v>0</v>
      </c>
      <c r="AI79" s="331">
        <f>COUNTIF(ParticipationMars1[[#This Row],[1]:[31]],code22)</f>
        <v>0</v>
      </c>
      <c r="AJ79" s="30">
        <f>COUNTIF(ParticipationMars1[[#This Row],[1]:[31]],Code2)</f>
        <v>0</v>
      </c>
      <c r="AK79" s="30">
        <f>COUNTIF(ParticipationMars1[[#This Row],[1]:[31]],Code3)</f>
        <v>0</v>
      </c>
      <c r="AL79" s="30">
        <f>COUNTIF(ParticipationMars1[[#This Row],[1]:[31]],Code4)</f>
        <v>0</v>
      </c>
      <c r="AM79" s="307">
        <f>COUNTIF(ParticipationMars1[[#This Row],[1]:[31]],Code5)</f>
        <v>1</v>
      </c>
      <c r="AN79" s="307">
        <f>COUNTIF(ParticipationMars1[[#This Row],[1]:[31]],Code23)</f>
        <v>0</v>
      </c>
      <c r="AO79" s="307">
        <f>COUNTIF(ParticipationMars1[[#This Row],[1]:[31]],Code6)</f>
        <v>0</v>
      </c>
      <c r="AP79" s="307">
        <f>COUNTIF(ParticipationMars1[[#This Row],[1]:[31]],Code7)</f>
        <v>1</v>
      </c>
      <c r="AQ79" s="307">
        <f>COUNTIF(ParticipationMars1[[#This Row],[1]:[31]],Code8)</f>
        <v>0</v>
      </c>
      <c r="AR79" s="307">
        <f>COUNTIF(ParticipationMars1[[#This Row],[1]:[31]],Code9)</f>
        <v>0</v>
      </c>
      <c r="AS79" s="307">
        <f>COUNTIF(ParticipationMars1[[#This Row],[1]:[31]],Code10)</f>
        <v>0</v>
      </c>
      <c r="AT79" s="307">
        <f>COUNTIF(ParticipationMars1[[#This Row],[1]:[31]],Code11)</f>
        <v>0</v>
      </c>
      <c r="AU79" s="307">
        <f>COUNTIF(ParticipationMars1[[#This Row],[1]:[31]],Code12)</f>
        <v>0</v>
      </c>
      <c r="AV79" s="307">
        <f>COUNTIF(ParticipationMars1[[#This Row],[1]:[31]],Code13)</f>
        <v>0</v>
      </c>
      <c r="AW79" s="307">
        <f>COUNTIF(ParticipationMars1[[#This Row],[1]:[31]],Code14)</f>
        <v>1</v>
      </c>
      <c r="AX79" s="307">
        <f>COUNTIF(ParticipationMars1[[#This Row],[1]:[31]],Code15)</f>
        <v>0</v>
      </c>
      <c r="AY79" s="307">
        <f>COUNTIF(ParticipationMars1[[#This Row],[1]:[31]],Code16)</f>
        <v>0</v>
      </c>
      <c r="AZ79" s="307">
        <f>COUNTIF(ParticipationMars1[[#This Row],[1]:[31]],Code17)</f>
        <v>0</v>
      </c>
      <c r="BA79" s="307">
        <f>COUNTIF(ParticipationMars1[[#This Row],[1]:[31]],Code26)</f>
        <v>0</v>
      </c>
      <c r="BB79" s="30">
        <f>COUNTIF(ParticipationMars1[[#This Row],[1]:[31]],Code25)</f>
        <v>0</v>
      </c>
      <c r="BC79" s="307">
        <f>COUNTIF(ParticipationMars1[[#This Row],[1]:[31]],code21)</f>
        <v>0</v>
      </c>
      <c r="BD79" s="307">
        <f>COUNTIF(ParticipationMars1[[#This Row],[1]:[31]],Code24)</f>
        <v>0</v>
      </c>
      <c r="BE79" s="307">
        <f>COUNTIF(ParticipationMars1[[#This Row],[1]:[31]],code18)</f>
        <v>0</v>
      </c>
      <c r="BF79" s="307">
        <f>COUNTIF(ParticipationMars1[[#This Row],[1]:[31]],code19)</f>
        <v>0</v>
      </c>
      <c r="BG79" s="300">
        <f>COUNTIF(ParticipationMars1[[#This Row],[1]:[31]],code20)</f>
        <v>0</v>
      </c>
      <c r="BH79" s="297"/>
      <c r="BI79" s="297">
        <v>1</v>
      </c>
      <c r="BJ79" s="297"/>
      <c r="BK79" s="297"/>
      <c r="BL79" s="297"/>
      <c r="BM79" s="297"/>
      <c r="BN79" s="297"/>
      <c r="BO79" s="297">
        <v>3</v>
      </c>
      <c r="BP79" s="297"/>
      <c r="BQ79" s="297"/>
      <c r="BR79" s="297">
        <v>4</v>
      </c>
      <c r="BS79" s="297"/>
      <c r="BT79" s="297"/>
      <c r="BU79" s="297">
        <v>1</v>
      </c>
      <c r="BV79" s="297"/>
      <c r="BW79" s="297">
        <v>1</v>
      </c>
      <c r="BX79" s="297"/>
      <c r="BY79" s="297"/>
      <c r="BZ79" s="297"/>
      <c r="CA79" s="297"/>
      <c r="CB79" s="297">
        <v>3</v>
      </c>
      <c r="CC79" s="297"/>
      <c r="CD79" s="297"/>
      <c r="CE79" s="297"/>
      <c r="CF79" s="297"/>
      <c r="CG79" s="297"/>
      <c r="CH79" s="297"/>
      <c r="CI79" s="297"/>
      <c r="CJ79" s="297"/>
      <c r="CK79" s="297"/>
      <c r="CL79" s="297"/>
      <c r="CM79" s="297"/>
      <c r="CN79" s="307"/>
      <c r="CO79" s="300"/>
      <c r="CP79" s="165">
        <f t="shared" si="4"/>
        <v>5</v>
      </c>
      <c r="CQ79" s="165">
        <f t="shared" si="5"/>
        <v>13</v>
      </c>
      <c r="CR79" s="249">
        <f t="shared" si="6"/>
        <v>0</v>
      </c>
      <c r="CS79" s="327"/>
    </row>
    <row r="80" spans="1:97">
      <c r="A80" s="29" t="s">
        <v>606</v>
      </c>
      <c r="B80" s="339" t="str">
        <f>IFERROR(VLOOKUP(ParticipationMars1[[#This Row],[Référence]],ListeÉtudiants1[],18,FALSE),"")</f>
        <v>KANTE TIGUIDA</v>
      </c>
      <c r="C80" s="19"/>
      <c r="D80" s="19"/>
      <c r="E80" s="19"/>
      <c r="F80" s="19"/>
      <c r="G80" s="19"/>
      <c r="H80" s="19"/>
      <c r="I80" s="19"/>
      <c r="J80" s="19"/>
      <c r="K80" s="19"/>
      <c r="L80" s="19"/>
      <c r="M80" s="19"/>
      <c r="N80" s="19"/>
      <c r="O80" s="19" t="s">
        <v>527</v>
      </c>
      <c r="P80" s="19" t="s">
        <v>35</v>
      </c>
      <c r="Q80" s="19" t="s">
        <v>109</v>
      </c>
      <c r="R80" s="19"/>
      <c r="S80" s="19"/>
      <c r="T80" s="19"/>
      <c r="U80" s="19" t="s">
        <v>507</v>
      </c>
      <c r="V80" s="19" t="s">
        <v>529</v>
      </c>
      <c r="W80" s="19"/>
      <c r="X80" s="19" t="s">
        <v>488</v>
      </c>
      <c r="Y80" s="19" t="s">
        <v>35</v>
      </c>
      <c r="Z80" s="19"/>
      <c r="AA80" s="19"/>
      <c r="AB80" s="19"/>
      <c r="AC80" s="19"/>
      <c r="AD80" s="19"/>
      <c r="AE80" s="19"/>
      <c r="AF80" s="19"/>
      <c r="AG80" s="340"/>
      <c r="AH80" s="6">
        <f>COUNTIF(ParticipationMars1[[#This Row],[1]:[31]],Code1)</f>
        <v>0</v>
      </c>
      <c r="AI80" s="331">
        <f>COUNTIF(ParticipationMars1[[#This Row],[1]:[31]],code22)</f>
        <v>0</v>
      </c>
      <c r="AJ80" s="30">
        <f>COUNTIF(ParticipationMars1[[#This Row],[1]:[31]],Code2)</f>
        <v>0</v>
      </c>
      <c r="AK80" s="30">
        <f>COUNTIF(ParticipationMars1[[#This Row],[1]:[31]],Code3)</f>
        <v>0</v>
      </c>
      <c r="AL80" s="30">
        <f>COUNTIF(ParticipationMars1[[#This Row],[1]:[31]],Code4)</f>
        <v>0</v>
      </c>
      <c r="AM80" s="307">
        <f>COUNTIF(ParticipationMars1[[#This Row],[1]:[31]],Code5)</f>
        <v>0</v>
      </c>
      <c r="AN80" s="307">
        <f>COUNTIF(ParticipationMars1[[#This Row],[1]:[31]],Code23)</f>
        <v>0</v>
      </c>
      <c r="AO80" s="307">
        <f>COUNTIF(ParticipationMars1[[#This Row],[1]:[31]],Code6)</f>
        <v>0</v>
      </c>
      <c r="AP80" s="307">
        <f>COUNTIF(ParticipationMars1[[#This Row],[1]:[31]],Code7)</f>
        <v>0</v>
      </c>
      <c r="AQ80" s="307">
        <f>COUNTIF(ParticipationMars1[[#This Row],[1]:[31]],Code8)</f>
        <v>0</v>
      </c>
      <c r="AR80" s="307">
        <f>COUNTIF(ParticipationMars1[[#This Row],[1]:[31]],Code9)</f>
        <v>0</v>
      </c>
      <c r="AS80" s="307">
        <f>COUNTIF(ParticipationMars1[[#This Row],[1]:[31]],Code10)</f>
        <v>0</v>
      </c>
      <c r="AT80" s="307">
        <f>COUNTIF(ParticipationMars1[[#This Row],[1]:[31]],Code11)</f>
        <v>0</v>
      </c>
      <c r="AU80" s="307">
        <f>COUNTIF(ParticipationMars1[[#This Row],[1]:[31]],Code12)</f>
        <v>0</v>
      </c>
      <c r="AV80" s="307">
        <f>COUNTIF(ParticipationMars1[[#This Row],[1]:[31]],Code13)</f>
        <v>0</v>
      </c>
      <c r="AW80" s="307">
        <f>COUNTIF(ParticipationMars1[[#This Row],[1]:[31]],Code14)</f>
        <v>0</v>
      </c>
      <c r="AX80" s="307">
        <f>COUNTIF(ParticipationMars1[[#This Row],[1]:[31]],Code15)</f>
        <v>0</v>
      </c>
      <c r="AY80" s="307">
        <f>COUNTIF(ParticipationMars1[[#This Row],[1]:[31]],Code16)</f>
        <v>0</v>
      </c>
      <c r="AZ80" s="307">
        <f>COUNTIF(ParticipationMars1[[#This Row],[1]:[31]],Code17)</f>
        <v>0</v>
      </c>
      <c r="BA80" s="307">
        <f>COUNTIF(ParticipationMars1[[#This Row],[1]:[31]],Code26)</f>
        <v>0</v>
      </c>
      <c r="BB80" s="30">
        <f>COUNTIF(ParticipationMars1[[#This Row],[1]:[31]],Code25)</f>
        <v>0</v>
      </c>
      <c r="BC80" s="307">
        <f>COUNTIF(ParticipationMars1[[#This Row],[1]:[31]],code21)</f>
        <v>0</v>
      </c>
      <c r="BD80" s="307">
        <f>COUNTIF(ParticipationMars1[[#This Row],[1]:[31]],Code24)</f>
        <v>0</v>
      </c>
      <c r="BE80" s="307">
        <f>COUNTIF(ParticipationMars1[[#This Row],[1]:[31]],code18)</f>
        <v>0</v>
      </c>
      <c r="BF80" s="307">
        <f>COUNTIF(ParticipationMars1[[#This Row],[1]:[31]],code19)</f>
        <v>0</v>
      </c>
      <c r="BG80" s="300">
        <f>COUNTIF(ParticipationMars1[[#This Row],[1]:[31]],code20)</f>
        <v>0</v>
      </c>
      <c r="BH80" s="297"/>
      <c r="BI80" s="297">
        <v>1</v>
      </c>
      <c r="BJ80" s="297"/>
      <c r="BK80" s="297"/>
      <c r="BL80" s="297"/>
      <c r="BM80" s="297"/>
      <c r="BN80" s="297"/>
      <c r="BO80" s="297">
        <v>1</v>
      </c>
      <c r="BP80" s="297"/>
      <c r="BQ80" s="297"/>
      <c r="BR80" s="297">
        <v>2</v>
      </c>
      <c r="BS80" s="297"/>
      <c r="BT80" s="297"/>
      <c r="BU80" s="297">
        <v>1</v>
      </c>
      <c r="BV80" s="297"/>
      <c r="BW80" s="297"/>
      <c r="BX80" s="297"/>
      <c r="BY80" s="297"/>
      <c r="BZ80" s="297"/>
      <c r="CA80" s="297"/>
      <c r="CB80" s="297">
        <v>2</v>
      </c>
      <c r="CC80" s="297"/>
      <c r="CD80" s="297"/>
      <c r="CE80" s="297"/>
      <c r="CF80" s="297"/>
      <c r="CG80" s="297"/>
      <c r="CH80" s="297"/>
      <c r="CI80" s="297"/>
      <c r="CJ80" s="297"/>
      <c r="CK80" s="297"/>
      <c r="CL80" s="297"/>
      <c r="CM80" s="297"/>
      <c r="CN80" s="307"/>
      <c r="CO80" s="300"/>
      <c r="CP80" s="165">
        <f t="shared" si="4"/>
        <v>0</v>
      </c>
      <c r="CQ80" s="165">
        <f t="shared" si="5"/>
        <v>0</v>
      </c>
      <c r="CR80" s="249">
        <f t="shared" si="6"/>
        <v>0</v>
      </c>
      <c r="CS80" s="327"/>
    </row>
    <row r="81" spans="1:97">
      <c r="A81" s="29" t="s">
        <v>608</v>
      </c>
      <c r="B81" s="339" t="str">
        <f>IFERROR(VLOOKUP(ParticipationMars1[[#This Row],[Référence]],ListeÉtudiants1[],18,FALSE),"")</f>
        <v>KERMESH NELLY</v>
      </c>
      <c r="C81" s="19"/>
      <c r="D81" s="19"/>
      <c r="E81" s="19"/>
      <c r="F81" s="19"/>
      <c r="G81" s="19"/>
      <c r="H81" s="19"/>
      <c r="I81" s="19"/>
      <c r="J81" s="19"/>
      <c r="K81" s="19"/>
      <c r="L81" s="19"/>
      <c r="M81" s="19"/>
      <c r="N81" s="19"/>
      <c r="O81" s="19"/>
      <c r="P81" s="19" t="s">
        <v>507</v>
      </c>
      <c r="Q81" s="19" t="s">
        <v>109</v>
      </c>
      <c r="R81" s="19"/>
      <c r="S81" s="19"/>
      <c r="T81" s="19"/>
      <c r="U81" s="19" t="s">
        <v>109</v>
      </c>
      <c r="V81" s="19" t="s">
        <v>620</v>
      </c>
      <c r="W81" s="19" t="s">
        <v>488</v>
      </c>
      <c r="X81" s="19" t="s">
        <v>488</v>
      </c>
      <c r="Y81" s="19" t="s">
        <v>507</v>
      </c>
      <c r="Z81" s="19"/>
      <c r="AA81" s="19"/>
      <c r="AB81" s="19"/>
      <c r="AC81" s="19"/>
      <c r="AD81" s="19"/>
      <c r="AE81" s="19"/>
      <c r="AF81" s="19"/>
      <c r="AG81" s="340"/>
      <c r="AH81" s="6">
        <f>COUNTIF(ParticipationMars1[[#This Row],[1]:[31]],Code1)</f>
        <v>0</v>
      </c>
      <c r="AI81" s="331">
        <f>COUNTIF(ParticipationMars1[[#This Row],[1]:[31]],code22)</f>
        <v>0</v>
      </c>
      <c r="AJ81" s="30">
        <f>COUNTIF(ParticipationMars1[[#This Row],[1]:[31]],Code2)</f>
        <v>0</v>
      </c>
      <c r="AK81" s="30">
        <f>COUNTIF(ParticipationMars1[[#This Row],[1]:[31]],Code3)</f>
        <v>0</v>
      </c>
      <c r="AL81" s="30">
        <f>COUNTIF(ParticipationMars1[[#This Row],[1]:[31]],Code4)</f>
        <v>0</v>
      </c>
      <c r="AM81" s="307">
        <f>COUNTIF(ParticipationMars1[[#This Row],[1]:[31]],Code5)</f>
        <v>0</v>
      </c>
      <c r="AN81" s="307">
        <f>COUNTIF(ParticipationMars1[[#This Row],[1]:[31]],Code23)</f>
        <v>0</v>
      </c>
      <c r="AO81" s="307">
        <f>COUNTIF(ParticipationMars1[[#This Row],[1]:[31]],Code6)</f>
        <v>1</v>
      </c>
      <c r="AP81" s="307">
        <f>COUNTIF(ParticipationMars1[[#This Row],[1]:[31]],Code7)</f>
        <v>0</v>
      </c>
      <c r="AQ81" s="307">
        <f>COUNTIF(ParticipationMars1[[#This Row],[1]:[31]],Code8)</f>
        <v>0</v>
      </c>
      <c r="AR81" s="307">
        <f>COUNTIF(ParticipationMars1[[#This Row],[1]:[31]],Code9)</f>
        <v>0</v>
      </c>
      <c r="AS81" s="307">
        <f>COUNTIF(ParticipationMars1[[#This Row],[1]:[31]],Code10)</f>
        <v>0</v>
      </c>
      <c r="AT81" s="307">
        <f>COUNTIF(ParticipationMars1[[#This Row],[1]:[31]],Code11)</f>
        <v>0</v>
      </c>
      <c r="AU81" s="307">
        <f>COUNTIF(ParticipationMars1[[#This Row],[1]:[31]],Code12)</f>
        <v>0</v>
      </c>
      <c r="AV81" s="307">
        <f>COUNTIF(ParticipationMars1[[#This Row],[1]:[31]],Code13)</f>
        <v>0</v>
      </c>
      <c r="AW81" s="307">
        <f>COUNTIF(ParticipationMars1[[#This Row],[1]:[31]],Code14)</f>
        <v>0</v>
      </c>
      <c r="AX81" s="307">
        <f>COUNTIF(ParticipationMars1[[#This Row],[1]:[31]],Code15)</f>
        <v>0</v>
      </c>
      <c r="AY81" s="307">
        <f>COUNTIF(ParticipationMars1[[#This Row],[1]:[31]],Code16)</f>
        <v>0</v>
      </c>
      <c r="AZ81" s="307">
        <f>COUNTIF(ParticipationMars1[[#This Row],[1]:[31]],Code17)</f>
        <v>0</v>
      </c>
      <c r="BA81" s="307">
        <f>COUNTIF(ParticipationMars1[[#This Row],[1]:[31]],Code26)</f>
        <v>0</v>
      </c>
      <c r="BB81" s="30">
        <f>COUNTIF(ParticipationMars1[[#This Row],[1]:[31]],Code25)</f>
        <v>0</v>
      </c>
      <c r="BC81" s="307">
        <f>COUNTIF(ParticipationMars1[[#This Row],[1]:[31]],code21)</f>
        <v>0</v>
      </c>
      <c r="BD81" s="307">
        <f>COUNTIF(ParticipationMars1[[#This Row],[1]:[31]],Code24)</f>
        <v>0</v>
      </c>
      <c r="BE81" s="307">
        <f>COUNTIF(ParticipationMars1[[#This Row],[1]:[31]],code18)</f>
        <v>0</v>
      </c>
      <c r="BF81" s="307">
        <f>COUNTIF(ParticipationMars1[[#This Row],[1]:[31]],code19)</f>
        <v>0</v>
      </c>
      <c r="BG81" s="300">
        <f>COUNTIF(ParticipationMars1[[#This Row],[1]:[31]],code20)</f>
        <v>0</v>
      </c>
      <c r="BH81" s="297"/>
      <c r="BI81" s="297">
        <v>1</v>
      </c>
      <c r="BJ81" s="297"/>
      <c r="BK81" s="297"/>
      <c r="BL81" s="297"/>
      <c r="BM81" s="297"/>
      <c r="BN81" s="297"/>
      <c r="BO81" s="297">
        <v>2</v>
      </c>
      <c r="BP81" s="297"/>
      <c r="BQ81" s="297"/>
      <c r="BR81" s="297">
        <v>4</v>
      </c>
      <c r="BS81" s="297"/>
      <c r="BT81" s="297"/>
      <c r="BU81" s="297">
        <v>1</v>
      </c>
      <c r="BV81" s="297"/>
      <c r="BW81" s="297">
        <v>1</v>
      </c>
      <c r="BX81" s="297"/>
      <c r="BY81" s="297"/>
      <c r="BZ81" s="297"/>
      <c r="CA81" s="297"/>
      <c r="CB81" s="297">
        <v>3</v>
      </c>
      <c r="CC81" s="297"/>
      <c r="CD81" s="297"/>
      <c r="CE81" s="297"/>
      <c r="CF81" s="297"/>
      <c r="CG81" s="297"/>
      <c r="CH81" s="297"/>
      <c r="CI81" s="297"/>
      <c r="CJ81" s="297"/>
      <c r="CK81" s="297"/>
      <c r="CL81" s="297"/>
      <c r="CM81" s="297"/>
      <c r="CN81" s="307"/>
      <c r="CO81" s="300"/>
      <c r="CP81" s="165">
        <f t="shared" si="4"/>
        <v>0</v>
      </c>
      <c r="CQ81" s="165">
        <f t="shared" si="5"/>
        <v>3</v>
      </c>
      <c r="CR81" s="249">
        <f t="shared" si="6"/>
        <v>0</v>
      </c>
      <c r="CS81" s="327"/>
    </row>
    <row r="82" spans="1:97">
      <c r="A82" s="29" t="s">
        <v>609</v>
      </c>
      <c r="B82" s="339" t="str">
        <f>IFERROR(VLOOKUP(ParticipationMars1[[#This Row],[Référence]],ListeÉtudiants1[],18,FALSE),"")</f>
        <v>KESSIE INES</v>
      </c>
      <c r="C82" s="19"/>
      <c r="D82" s="19"/>
      <c r="E82" s="19"/>
      <c r="F82" s="19"/>
      <c r="G82" s="19"/>
      <c r="H82" s="19"/>
      <c r="I82" s="19"/>
      <c r="J82" s="19"/>
      <c r="K82" s="19"/>
      <c r="L82" s="19"/>
      <c r="M82" s="19"/>
      <c r="N82" s="19"/>
      <c r="O82" s="19" t="s">
        <v>527</v>
      </c>
      <c r="P82" s="19" t="s">
        <v>35</v>
      </c>
      <c r="Q82" s="19" t="s">
        <v>109</v>
      </c>
      <c r="R82" s="19"/>
      <c r="S82" s="19"/>
      <c r="T82" s="19"/>
      <c r="U82" s="19" t="s">
        <v>604</v>
      </c>
      <c r="V82" s="19" t="s">
        <v>529</v>
      </c>
      <c r="W82" s="19"/>
      <c r="X82" s="19" t="s">
        <v>488</v>
      </c>
      <c r="Y82" s="19" t="s">
        <v>507</v>
      </c>
      <c r="Z82" s="19"/>
      <c r="AA82" s="19"/>
      <c r="AB82" s="19"/>
      <c r="AC82" s="19"/>
      <c r="AD82" s="19"/>
      <c r="AE82" s="19"/>
      <c r="AF82" s="19"/>
      <c r="AG82" s="340"/>
      <c r="AH82" s="6">
        <f>COUNTIF(ParticipationMars1[[#This Row],[1]:[31]],Code1)</f>
        <v>0</v>
      </c>
      <c r="AI82" s="331">
        <f>COUNTIF(ParticipationMars1[[#This Row],[1]:[31]],code22)</f>
        <v>0</v>
      </c>
      <c r="AJ82" s="30">
        <f>COUNTIF(ParticipationMars1[[#This Row],[1]:[31]],Code2)</f>
        <v>0</v>
      </c>
      <c r="AK82" s="30">
        <f>COUNTIF(ParticipationMars1[[#This Row],[1]:[31]],Code3)</f>
        <v>0</v>
      </c>
      <c r="AL82" s="30">
        <f>COUNTIF(ParticipationMars1[[#This Row],[1]:[31]],Code4)</f>
        <v>0</v>
      </c>
      <c r="AM82" s="307">
        <f>COUNTIF(ParticipationMars1[[#This Row],[1]:[31]],Code5)</f>
        <v>0</v>
      </c>
      <c r="AN82" s="307">
        <f>COUNTIF(ParticipationMars1[[#This Row],[1]:[31]],Code23)</f>
        <v>0</v>
      </c>
      <c r="AO82" s="307">
        <f>COUNTIF(ParticipationMars1[[#This Row],[1]:[31]],Code6)</f>
        <v>0</v>
      </c>
      <c r="AP82" s="307">
        <f>COUNTIF(ParticipationMars1[[#This Row],[1]:[31]],Code7)</f>
        <v>0</v>
      </c>
      <c r="AQ82" s="307">
        <f>COUNTIF(ParticipationMars1[[#This Row],[1]:[31]],Code8)</f>
        <v>0</v>
      </c>
      <c r="AR82" s="307">
        <f>COUNTIF(ParticipationMars1[[#This Row],[1]:[31]],Code9)</f>
        <v>0</v>
      </c>
      <c r="AS82" s="307">
        <f>COUNTIF(ParticipationMars1[[#This Row],[1]:[31]],Code10)</f>
        <v>0</v>
      </c>
      <c r="AT82" s="307">
        <f>COUNTIF(ParticipationMars1[[#This Row],[1]:[31]],Code11)</f>
        <v>0</v>
      </c>
      <c r="AU82" s="307">
        <f>COUNTIF(ParticipationMars1[[#This Row],[1]:[31]],Code12)</f>
        <v>0</v>
      </c>
      <c r="AV82" s="307">
        <f>COUNTIF(ParticipationMars1[[#This Row],[1]:[31]],Code13)</f>
        <v>0</v>
      </c>
      <c r="AW82" s="307">
        <f>COUNTIF(ParticipationMars1[[#This Row],[1]:[31]],Code14)</f>
        <v>0</v>
      </c>
      <c r="AX82" s="307">
        <f>COUNTIF(ParticipationMars1[[#This Row],[1]:[31]],Code15)</f>
        <v>0</v>
      </c>
      <c r="AY82" s="307">
        <f>COUNTIF(ParticipationMars1[[#This Row],[1]:[31]],Code16)</f>
        <v>0</v>
      </c>
      <c r="AZ82" s="307">
        <f>COUNTIF(ParticipationMars1[[#This Row],[1]:[31]],Code17)</f>
        <v>0</v>
      </c>
      <c r="BA82" s="307">
        <f>COUNTIF(ParticipationMars1[[#This Row],[1]:[31]],Code26)</f>
        <v>0</v>
      </c>
      <c r="BB82" s="30">
        <f>COUNTIF(ParticipationMars1[[#This Row],[1]:[31]],Code25)</f>
        <v>0</v>
      </c>
      <c r="BC82" s="307">
        <f>COUNTIF(ParticipationMars1[[#This Row],[1]:[31]],code21)</f>
        <v>0</v>
      </c>
      <c r="BD82" s="307">
        <f>COUNTIF(ParticipationMars1[[#This Row],[1]:[31]],Code24)</f>
        <v>0</v>
      </c>
      <c r="BE82" s="307">
        <f>COUNTIF(ParticipationMars1[[#This Row],[1]:[31]],code18)</f>
        <v>0</v>
      </c>
      <c r="BF82" s="307">
        <f>COUNTIF(ParticipationMars1[[#This Row],[1]:[31]],code19)</f>
        <v>0</v>
      </c>
      <c r="BG82" s="300">
        <f>COUNTIF(ParticipationMars1[[#This Row],[1]:[31]],code20)</f>
        <v>0</v>
      </c>
      <c r="BH82" s="297"/>
      <c r="BI82" s="297">
        <v>1</v>
      </c>
      <c r="BJ82" s="297"/>
      <c r="BK82" s="297"/>
      <c r="BL82" s="297"/>
      <c r="BM82" s="297"/>
      <c r="BN82" s="297"/>
      <c r="BO82" s="297">
        <v>1</v>
      </c>
      <c r="BP82" s="297"/>
      <c r="BQ82" s="297"/>
      <c r="BR82" s="297">
        <v>1</v>
      </c>
      <c r="BS82" s="297"/>
      <c r="BT82" s="297"/>
      <c r="BU82" s="297"/>
      <c r="BV82" s="297"/>
      <c r="BW82" s="297"/>
      <c r="BX82" s="297"/>
      <c r="BY82" s="297"/>
      <c r="BZ82" s="297"/>
      <c r="CA82" s="297"/>
      <c r="CB82" s="297">
        <v>2</v>
      </c>
      <c r="CC82" s="297"/>
      <c r="CD82" s="297"/>
      <c r="CE82" s="297"/>
      <c r="CF82" s="297"/>
      <c r="CG82" s="297"/>
      <c r="CH82" s="297"/>
      <c r="CI82" s="297"/>
      <c r="CJ82" s="297"/>
      <c r="CK82" s="297"/>
      <c r="CL82" s="297"/>
      <c r="CM82" s="297"/>
      <c r="CN82" s="307"/>
      <c r="CO82" s="300"/>
      <c r="CP82" s="165">
        <f t="shared" si="4"/>
        <v>0</v>
      </c>
      <c r="CQ82" s="165">
        <f t="shared" si="5"/>
        <v>0</v>
      </c>
      <c r="CR82" s="249">
        <f t="shared" si="6"/>
        <v>0</v>
      </c>
      <c r="CS82" s="327"/>
    </row>
    <row r="83" spans="1:97">
      <c r="A83" s="29" t="s">
        <v>613</v>
      </c>
      <c r="B83" s="339" t="str">
        <f>IFERROR(VLOOKUP(ParticipationMars1[[#This Row],[Référence]],ListeÉtudiants1[],18,FALSE),"")</f>
        <v>KIFIA ALI HILDA</v>
      </c>
      <c r="C83" s="19"/>
      <c r="D83" s="19"/>
      <c r="E83" s="19"/>
      <c r="F83" s="19"/>
      <c r="G83" s="19"/>
      <c r="H83" s="19"/>
      <c r="I83" s="19"/>
      <c r="J83" s="19"/>
      <c r="K83" s="19"/>
      <c r="L83" s="19"/>
      <c r="M83" s="19"/>
      <c r="N83" s="19"/>
      <c r="O83" s="19"/>
      <c r="P83" s="19"/>
      <c r="Q83" s="19" t="s">
        <v>529</v>
      </c>
      <c r="R83" s="19"/>
      <c r="S83" s="19"/>
      <c r="T83" s="19"/>
      <c r="U83" s="19"/>
      <c r="V83" s="19"/>
      <c r="W83" s="19"/>
      <c r="X83" s="19" t="s">
        <v>488</v>
      </c>
      <c r="Y83" s="19"/>
      <c r="Z83" s="19"/>
      <c r="AA83" s="19"/>
      <c r="AB83" s="19"/>
      <c r="AC83" s="19"/>
      <c r="AD83" s="19"/>
      <c r="AE83" s="19"/>
      <c r="AF83" s="19"/>
      <c r="AG83" s="340"/>
      <c r="AH83" s="6">
        <f>COUNTIF(ParticipationMars1[[#This Row],[1]:[31]],Code1)</f>
        <v>0</v>
      </c>
      <c r="AI83" s="331">
        <f>COUNTIF(ParticipationMars1[[#This Row],[1]:[31]],code22)</f>
        <v>0</v>
      </c>
      <c r="AJ83" s="30">
        <f>COUNTIF(ParticipationMars1[[#This Row],[1]:[31]],Code2)</f>
        <v>0</v>
      </c>
      <c r="AK83" s="30">
        <f>COUNTIF(ParticipationMars1[[#This Row],[1]:[31]],Code3)</f>
        <v>0</v>
      </c>
      <c r="AL83" s="30">
        <f>COUNTIF(ParticipationMars1[[#This Row],[1]:[31]],Code4)</f>
        <v>0</v>
      </c>
      <c r="AM83" s="307">
        <f>COUNTIF(ParticipationMars1[[#This Row],[1]:[31]],Code5)</f>
        <v>1</v>
      </c>
      <c r="AN83" s="307">
        <f>COUNTIF(ParticipationMars1[[#This Row],[1]:[31]],Code23)</f>
        <v>1</v>
      </c>
      <c r="AO83" s="307">
        <f>COUNTIF(ParticipationMars1[[#This Row],[1]:[31]],Code6)</f>
        <v>0</v>
      </c>
      <c r="AP83" s="307">
        <f>COUNTIF(ParticipationMars1[[#This Row],[1]:[31]],Code7)</f>
        <v>0</v>
      </c>
      <c r="AQ83" s="307">
        <f>COUNTIF(ParticipationMars1[[#This Row],[1]:[31]],Code8)</f>
        <v>0</v>
      </c>
      <c r="AR83" s="307">
        <f>COUNTIF(ParticipationMars1[[#This Row],[1]:[31]],Code9)</f>
        <v>0</v>
      </c>
      <c r="AS83" s="307">
        <f>COUNTIF(ParticipationMars1[[#This Row],[1]:[31]],Code10)</f>
        <v>0</v>
      </c>
      <c r="AT83" s="307">
        <f>COUNTIF(ParticipationMars1[[#This Row],[1]:[31]],Code11)</f>
        <v>0</v>
      </c>
      <c r="AU83" s="307">
        <f>COUNTIF(ParticipationMars1[[#This Row],[1]:[31]],Code12)</f>
        <v>0</v>
      </c>
      <c r="AV83" s="307">
        <f>COUNTIF(ParticipationMars1[[#This Row],[1]:[31]],Code13)</f>
        <v>0</v>
      </c>
      <c r="AW83" s="307">
        <f>COUNTIF(ParticipationMars1[[#This Row],[1]:[31]],Code14)</f>
        <v>0</v>
      </c>
      <c r="AX83" s="307">
        <f>COUNTIF(ParticipationMars1[[#This Row],[1]:[31]],Code15)</f>
        <v>0</v>
      </c>
      <c r="AY83" s="307">
        <f>COUNTIF(ParticipationMars1[[#This Row],[1]:[31]],Code16)</f>
        <v>0</v>
      </c>
      <c r="AZ83" s="307">
        <f>COUNTIF(ParticipationMars1[[#This Row],[1]:[31]],Code17)</f>
        <v>0</v>
      </c>
      <c r="BA83" s="307">
        <f>COUNTIF(ParticipationMars1[[#This Row],[1]:[31]],Code26)</f>
        <v>0</v>
      </c>
      <c r="BB83" s="307">
        <f>COUNTIF(ParticipationMars1[[#This Row],[1]:[31]],Code25)</f>
        <v>0</v>
      </c>
      <c r="BC83" s="307">
        <f>COUNTIF(ParticipationMars1[[#This Row],[1]:[31]],code21)</f>
        <v>0</v>
      </c>
      <c r="BD83" s="307">
        <f>COUNTIF(ParticipationMars1[[#This Row],[1]:[31]],Code24)</f>
        <v>0</v>
      </c>
      <c r="BE83" s="307">
        <f>COUNTIF(ParticipationMars1[[#This Row],[1]:[31]],code18)</f>
        <v>0</v>
      </c>
      <c r="BF83" s="307">
        <f>COUNTIF(ParticipationMars1[[#This Row],[1]:[31]],code19)</f>
        <v>0</v>
      </c>
      <c r="BG83" s="300">
        <f>COUNTIF(ParticipationMars1[[#This Row],[1]:[31]],code20)</f>
        <v>0</v>
      </c>
      <c r="BH83" s="297"/>
      <c r="BI83" s="297">
        <v>1</v>
      </c>
      <c r="BJ83" s="297"/>
      <c r="BK83" s="297"/>
      <c r="BL83" s="297"/>
      <c r="BM83" s="297"/>
      <c r="BN83" s="297"/>
      <c r="BO83" s="297"/>
      <c r="BP83" s="297"/>
      <c r="BQ83" s="297"/>
      <c r="BR83" s="297">
        <v>1</v>
      </c>
      <c r="BS83" s="297"/>
      <c r="BT83" s="297"/>
      <c r="BU83" s="297"/>
      <c r="BV83" s="297"/>
      <c r="BW83" s="297"/>
      <c r="BX83" s="297"/>
      <c r="BY83" s="297"/>
      <c r="BZ83" s="297"/>
      <c r="CA83" s="297"/>
      <c r="CB83" s="297">
        <v>1</v>
      </c>
      <c r="CC83" s="297"/>
      <c r="CD83" s="297"/>
      <c r="CE83" s="297"/>
      <c r="CF83" s="297"/>
      <c r="CG83" s="297"/>
      <c r="CH83" s="297"/>
      <c r="CI83" s="297"/>
      <c r="CJ83" s="297"/>
      <c r="CK83" s="297"/>
      <c r="CL83" s="297"/>
      <c r="CM83" s="297"/>
      <c r="CN83" s="307"/>
      <c r="CO83" s="300"/>
      <c r="CP83" s="165">
        <f t="shared" si="4"/>
        <v>0</v>
      </c>
      <c r="CQ83" s="165">
        <f t="shared" si="5"/>
        <v>3</v>
      </c>
      <c r="CR83" s="249">
        <f t="shared" si="6"/>
        <v>0</v>
      </c>
      <c r="CS83" s="327"/>
    </row>
    <row r="84" spans="1:97">
      <c r="A84" s="29" t="s">
        <v>614</v>
      </c>
      <c r="B84" s="339" t="str">
        <f>IFERROR(VLOOKUP(ParticipationMars1[[#This Row],[Référence]],ListeÉtudiants1[],18,FALSE),"")</f>
        <v>KONATE FATOUMATA</v>
      </c>
      <c r="C84" s="19"/>
      <c r="D84" s="19"/>
      <c r="E84" s="19"/>
      <c r="F84" s="19"/>
      <c r="G84" s="19"/>
      <c r="H84" s="19"/>
      <c r="I84" s="19"/>
      <c r="J84" s="19"/>
      <c r="K84" s="19"/>
      <c r="L84" s="19"/>
      <c r="M84" s="19"/>
      <c r="N84" s="19"/>
      <c r="O84" s="19"/>
      <c r="P84" s="19"/>
      <c r="Q84" s="19" t="s">
        <v>529</v>
      </c>
      <c r="R84" s="19"/>
      <c r="S84" s="19"/>
      <c r="T84" s="19"/>
      <c r="U84" s="19"/>
      <c r="V84" s="19"/>
      <c r="W84" s="19"/>
      <c r="X84" s="19" t="s">
        <v>109</v>
      </c>
      <c r="Y84" s="19"/>
      <c r="Z84" s="19"/>
      <c r="AA84" s="19"/>
      <c r="AB84" s="19"/>
      <c r="AC84" s="19"/>
      <c r="AD84" s="19"/>
      <c r="AE84" s="19"/>
      <c r="AF84" s="19"/>
      <c r="AG84" s="340"/>
      <c r="AH84" s="6">
        <f>COUNTIF(ParticipationMars1[[#This Row],[1]:[31]],Code1)</f>
        <v>0</v>
      </c>
      <c r="AI84" s="331">
        <f>COUNTIF(ParticipationMars1[[#This Row],[1]:[31]],code22)</f>
        <v>0</v>
      </c>
      <c r="AJ84" s="30">
        <f>COUNTIF(ParticipationMars1[[#This Row],[1]:[31]],Code2)</f>
        <v>0</v>
      </c>
      <c r="AK84" s="30">
        <f>COUNTIF(ParticipationMars1[[#This Row],[1]:[31]],Code3)</f>
        <v>0</v>
      </c>
      <c r="AL84" s="30">
        <f>COUNTIF(ParticipationMars1[[#This Row],[1]:[31]],Code4)</f>
        <v>0</v>
      </c>
      <c r="AM84" s="307">
        <f>COUNTIF(ParticipationMars1[[#This Row],[1]:[31]],Code5)</f>
        <v>0</v>
      </c>
      <c r="AN84" s="307">
        <f>COUNTIF(ParticipationMars1[[#This Row],[1]:[31]],Code23)</f>
        <v>1</v>
      </c>
      <c r="AO84" s="307">
        <f>COUNTIF(ParticipationMars1[[#This Row],[1]:[31]],Code6)</f>
        <v>0</v>
      </c>
      <c r="AP84" s="307">
        <f>COUNTIF(ParticipationMars1[[#This Row],[1]:[31]],Code7)</f>
        <v>0</v>
      </c>
      <c r="AQ84" s="307">
        <f>COUNTIF(ParticipationMars1[[#This Row],[1]:[31]],Code8)</f>
        <v>0</v>
      </c>
      <c r="AR84" s="307">
        <f>COUNTIF(ParticipationMars1[[#This Row],[1]:[31]],Code9)</f>
        <v>0</v>
      </c>
      <c r="AS84" s="307">
        <f>COUNTIF(ParticipationMars1[[#This Row],[1]:[31]],Code10)</f>
        <v>0</v>
      </c>
      <c r="AT84" s="307">
        <f>COUNTIF(ParticipationMars1[[#This Row],[1]:[31]],Code11)</f>
        <v>0</v>
      </c>
      <c r="AU84" s="307">
        <f>COUNTIF(ParticipationMars1[[#This Row],[1]:[31]],Code12)</f>
        <v>0</v>
      </c>
      <c r="AV84" s="307">
        <f>COUNTIF(ParticipationMars1[[#This Row],[1]:[31]],Code13)</f>
        <v>0</v>
      </c>
      <c r="AW84" s="307">
        <f>COUNTIF(ParticipationMars1[[#This Row],[1]:[31]],Code14)</f>
        <v>0</v>
      </c>
      <c r="AX84" s="307">
        <f>COUNTIF(ParticipationMars1[[#This Row],[1]:[31]],Code15)</f>
        <v>0</v>
      </c>
      <c r="AY84" s="307">
        <f>COUNTIF(ParticipationMars1[[#This Row],[1]:[31]],Code16)</f>
        <v>0</v>
      </c>
      <c r="AZ84" s="307">
        <f>COUNTIF(ParticipationMars1[[#This Row],[1]:[31]],Code17)</f>
        <v>0</v>
      </c>
      <c r="BA84" s="307">
        <f>COUNTIF(ParticipationMars1[[#This Row],[1]:[31]],Code26)</f>
        <v>0</v>
      </c>
      <c r="BB84" s="307">
        <f>COUNTIF(ParticipationMars1[[#This Row],[1]:[31]],Code25)</f>
        <v>0</v>
      </c>
      <c r="BC84" s="307">
        <f>COUNTIF(ParticipationMars1[[#This Row],[1]:[31]],code21)</f>
        <v>0</v>
      </c>
      <c r="BD84" s="307">
        <f>COUNTIF(ParticipationMars1[[#This Row],[1]:[31]],Code24)</f>
        <v>0</v>
      </c>
      <c r="BE84" s="307">
        <f>COUNTIF(ParticipationMars1[[#This Row],[1]:[31]],code18)</f>
        <v>0</v>
      </c>
      <c r="BF84" s="307">
        <f>COUNTIF(ParticipationMars1[[#This Row],[1]:[31]],code19)</f>
        <v>0</v>
      </c>
      <c r="BG84" s="300">
        <f>COUNTIF(ParticipationMars1[[#This Row],[1]:[31]],code20)</f>
        <v>0</v>
      </c>
      <c r="BH84" s="297"/>
      <c r="BI84" s="297">
        <v>1</v>
      </c>
      <c r="BJ84" s="297"/>
      <c r="BK84" s="297"/>
      <c r="BL84" s="297"/>
      <c r="BM84" s="297"/>
      <c r="BN84" s="297"/>
      <c r="BO84" s="297"/>
      <c r="BP84" s="297"/>
      <c r="BQ84" s="297"/>
      <c r="BR84" s="297">
        <v>1</v>
      </c>
      <c r="BS84" s="297"/>
      <c r="BT84" s="297"/>
      <c r="BU84" s="297"/>
      <c r="BV84" s="297"/>
      <c r="BW84" s="297"/>
      <c r="BX84" s="297"/>
      <c r="BY84" s="297"/>
      <c r="BZ84" s="297"/>
      <c r="CA84" s="297"/>
      <c r="CB84" s="297"/>
      <c r="CC84" s="297"/>
      <c r="CD84" s="297"/>
      <c r="CE84" s="297"/>
      <c r="CF84" s="297"/>
      <c r="CG84" s="297"/>
      <c r="CH84" s="297"/>
      <c r="CI84" s="297"/>
      <c r="CJ84" s="297"/>
      <c r="CK84" s="297"/>
      <c r="CL84" s="297"/>
      <c r="CM84" s="297"/>
      <c r="CN84" s="307"/>
      <c r="CO84" s="300"/>
      <c r="CP84" s="165">
        <f t="shared" si="4"/>
        <v>0</v>
      </c>
      <c r="CQ84" s="165">
        <f t="shared" si="5"/>
        <v>1</v>
      </c>
      <c r="CR84" s="249">
        <f t="shared" si="6"/>
        <v>0</v>
      </c>
      <c r="CS84" s="327"/>
    </row>
    <row r="85" spans="1:97">
      <c r="A85" s="29" t="s">
        <v>617</v>
      </c>
      <c r="B85" s="339" t="str">
        <f>IFERROR(VLOOKUP(ParticipationMars1[[#This Row],[Référence]],ListeÉtudiants1[],18,FALSE),"")</f>
        <v>KRIR DINA</v>
      </c>
      <c r="C85" s="19"/>
      <c r="D85" s="19"/>
      <c r="E85" s="19"/>
      <c r="F85" s="19"/>
      <c r="G85" s="19"/>
      <c r="H85" s="19"/>
      <c r="I85" s="19"/>
      <c r="J85" s="19"/>
      <c r="K85" s="19"/>
      <c r="L85" s="19"/>
      <c r="M85" s="19"/>
      <c r="N85" s="19"/>
      <c r="O85" s="19"/>
      <c r="P85" s="19"/>
      <c r="Q85" s="19" t="s">
        <v>109</v>
      </c>
      <c r="R85" s="19"/>
      <c r="S85" s="19"/>
      <c r="T85" s="19"/>
      <c r="U85" s="19"/>
      <c r="V85" s="19"/>
      <c r="W85" s="19" t="s">
        <v>35</v>
      </c>
      <c r="X85" s="19" t="s">
        <v>488</v>
      </c>
      <c r="Y85" s="19"/>
      <c r="Z85" s="19"/>
      <c r="AA85" s="19"/>
      <c r="AB85" s="19"/>
      <c r="AC85" s="19"/>
      <c r="AD85" s="19"/>
      <c r="AE85" s="19"/>
      <c r="AF85" s="19"/>
      <c r="AG85" s="340"/>
      <c r="AH85" s="6">
        <f>COUNTIF(ParticipationMars1[[#This Row],[1]:[31]],Code1)</f>
        <v>0</v>
      </c>
      <c r="AI85" s="331">
        <f>COUNTIF(ParticipationMars1[[#This Row],[1]:[31]],code22)</f>
        <v>0</v>
      </c>
      <c r="AJ85" s="30">
        <f>COUNTIF(ParticipationMars1[[#This Row],[1]:[31]],Code2)</f>
        <v>0</v>
      </c>
      <c r="AK85" s="30">
        <f>COUNTIF(ParticipationMars1[[#This Row],[1]:[31]],Code3)</f>
        <v>0</v>
      </c>
      <c r="AL85" s="30">
        <f>COUNTIF(ParticipationMars1[[#This Row],[1]:[31]],Code4)</f>
        <v>0</v>
      </c>
      <c r="AM85" s="307">
        <f>COUNTIF(ParticipationMars1[[#This Row],[1]:[31]],Code5)</f>
        <v>0</v>
      </c>
      <c r="AN85" s="307">
        <f>COUNTIF(ParticipationMars1[[#This Row],[1]:[31]],Code23)</f>
        <v>2</v>
      </c>
      <c r="AO85" s="307">
        <f>COUNTIF(ParticipationMars1[[#This Row],[1]:[31]],Code6)</f>
        <v>2</v>
      </c>
      <c r="AP85" s="307">
        <f>COUNTIF(ParticipationMars1[[#This Row],[1]:[31]],Code7)</f>
        <v>0</v>
      </c>
      <c r="AQ85" s="307">
        <f>COUNTIF(ParticipationMars1[[#This Row],[1]:[31]],Code8)</f>
        <v>0</v>
      </c>
      <c r="AR85" s="307">
        <f>COUNTIF(ParticipationMars1[[#This Row],[1]:[31]],Code9)</f>
        <v>0</v>
      </c>
      <c r="AS85" s="307">
        <f>COUNTIF(ParticipationMars1[[#This Row],[1]:[31]],Code10)</f>
        <v>0</v>
      </c>
      <c r="AT85" s="307">
        <f>COUNTIF(ParticipationMars1[[#This Row],[1]:[31]],Code11)</f>
        <v>0</v>
      </c>
      <c r="AU85" s="307">
        <f>COUNTIF(ParticipationMars1[[#This Row],[1]:[31]],Code12)</f>
        <v>0</v>
      </c>
      <c r="AV85" s="307">
        <f>COUNTIF(ParticipationMars1[[#This Row],[1]:[31]],Code13)</f>
        <v>0</v>
      </c>
      <c r="AW85" s="307">
        <f>COUNTIF(ParticipationMars1[[#This Row],[1]:[31]],Code14)</f>
        <v>0</v>
      </c>
      <c r="AX85" s="307">
        <f>COUNTIF(ParticipationMars1[[#This Row],[1]:[31]],Code15)</f>
        <v>0</v>
      </c>
      <c r="AY85" s="307">
        <f>COUNTIF(ParticipationMars1[[#This Row],[1]:[31]],Code16)</f>
        <v>0</v>
      </c>
      <c r="AZ85" s="307">
        <f>COUNTIF(ParticipationMars1[[#This Row],[1]:[31]],Code17)</f>
        <v>0</v>
      </c>
      <c r="BA85" s="307">
        <f>COUNTIF(ParticipationMars1[[#This Row],[1]:[31]],Code26)</f>
        <v>0</v>
      </c>
      <c r="BB85" s="307">
        <f>COUNTIF(ParticipationMars1[[#This Row],[1]:[31]],Code25)</f>
        <v>0</v>
      </c>
      <c r="BC85" s="307">
        <f>COUNTIF(ParticipationMars1[[#This Row],[1]:[31]],code21)</f>
        <v>0</v>
      </c>
      <c r="BD85" s="307">
        <f>COUNTIF(ParticipationMars1[[#This Row],[1]:[31]],Code24)</f>
        <v>0</v>
      </c>
      <c r="BE85" s="307">
        <f>COUNTIF(ParticipationMars1[[#This Row],[1]:[31]],code18)</f>
        <v>0</v>
      </c>
      <c r="BF85" s="307">
        <f>COUNTIF(ParticipationMars1[[#This Row],[1]:[31]],code19)</f>
        <v>0</v>
      </c>
      <c r="BG85" s="300">
        <f>COUNTIF(ParticipationMars1[[#This Row],[1]:[31]],code20)</f>
        <v>0</v>
      </c>
      <c r="BH85" s="297"/>
      <c r="BI85" s="297">
        <v>1</v>
      </c>
      <c r="BJ85" s="297"/>
      <c r="BK85" s="297"/>
      <c r="BL85" s="297"/>
      <c r="BM85" s="297"/>
      <c r="BN85" s="297"/>
      <c r="BO85" s="297">
        <v>2</v>
      </c>
      <c r="BP85" s="297"/>
      <c r="BQ85" s="297"/>
      <c r="BR85" s="297">
        <v>1</v>
      </c>
      <c r="BS85" s="297"/>
      <c r="BT85" s="297"/>
      <c r="BU85" s="297"/>
      <c r="BV85" s="297"/>
      <c r="BW85" s="297"/>
      <c r="BX85" s="297"/>
      <c r="BY85" s="297"/>
      <c r="BZ85" s="297"/>
      <c r="CA85" s="297"/>
      <c r="CB85" s="297">
        <v>1</v>
      </c>
      <c r="CC85" s="297"/>
      <c r="CD85" s="297"/>
      <c r="CE85" s="297"/>
      <c r="CF85" s="297"/>
      <c r="CG85" s="297"/>
      <c r="CH85" s="297"/>
      <c r="CI85" s="297"/>
      <c r="CJ85" s="297"/>
      <c r="CK85" s="297"/>
      <c r="CL85" s="297"/>
      <c r="CM85" s="297"/>
      <c r="CN85" s="307"/>
      <c r="CO85" s="300"/>
      <c r="CP85" s="165">
        <f t="shared" si="4"/>
        <v>0</v>
      </c>
      <c r="CQ85" s="165">
        <f t="shared" si="5"/>
        <v>8</v>
      </c>
      <c r="CR85" s="249">
        <f t="shared" si="6"/>
        <v>0</v>
      </c>
      <c r="CS85" s="327"/>
    </row>
    <row r="86" spans="1:97">
      <c r="A86" s="29" t="s">
        <v>622</v>
      </c>
      <c r="B86" s="339" t="str">
        <f>IFERROR(VLOOKUP(ParticipationMars1[[#This Row],[Référence]],ListeÉtudiants1[],18,FALSE),"")</f>
        <v>LACROIX LORRY</v>
      </c>
      <c r="C86" s="19"/>
      <c r="D86" s="19"/>
      <c r="E86" s="19"/>
      <c r="F86" s="19"/>
      <c r="G86" s="19"/>
      <c r="H86" s="19"/>
      <c r="I86" s="19"/>
      <c r="J86" s="19"/>
      <c r="K86" s="19"/>
      <c r="L86" s="19"/>
      <c r="M86" s="19"/>
      <c r="N86" s="19"/>
      <c r="O86" s="19"/>
      <c r="P86" s="19"/>
      <c r="Q86" s="19"/>
      <c r="R86" s="19"/>
      <c r="S86" s="19"/>
      <c r="T86" s="19"/>
      <c r="U86" s="19"/>
      <c r="V86" s="19"/>
      <c r="W86" s="19" t="s">
        <v>108</v>
      </c>
      <c r="X86" s="19"/>
      <c r="Y86" s="19"/>
      <c r="Z86" s="19"/>
      <c r="AA86" s="19"/>
      <c r="AB86" s="19"/>
      <c r="AC86" s="19"/>
      <c r="AD86" s="19"/>
      <c r="AE86" s="19"/>
      <c r="AF86" s="19"/>
      <c r="AG86" s="340"/>
      <c r="AH86" s="6">
        <f>COUNTIF(ParticipationMars1[[#This Row],[1]:[31]],Code1)</f>
        <v>0</v>
      </c>
      <c r="AI86" s="331">
        <f>COUNTIF(ParticipationMars1[[#This Row],[1]:[31]],code22)</f>
        <v>0</v>
      </c>
      <c r="AJ86" s="30">
        <f>COUNTIF(ParticipationMars1[[#This Row],[1]:[31]],Code2)</f>
        <v>0</v>
      </c>
      <c r="AK86" s="30">
        <f>COUNTIF(ParticipationMars1[[#This Row],[1]:[31]],Code3)</f>
        <v>0</v>
      </c>
      <c r="AL86" s="30">
        <f>COUNTIF(ParticipationMars1[[#This Row],[1]:[31]],Code4)</f>
        <v>0</v>
      </c>
      <c r="AM86" s="307">
        <f>COUNTIF(ParticipationMars1[[#This Row],[1]:[31]],Code5)</f>
        <v>3</v>
      </c>
      <c r="AN86" s="307">
        <f>COUNTIF(ParticipationMars1[[#This Row],[1]:[31]],Code23)</f>
        <v>0</v>
      </c>
      <c r="AO86" s="307">
        <f>COUNTIF(ParticipationMars1[[#This Row],[1]:[31]],Code6)</f>
        <v>1</v>
      </c>
      <c r="AP86" s="307">
        <f>COUNTIF(ParticipationMars1[[#This Row],[1]:[31]],Code7)</f>
        <v>2</v>
      </c>
      <c r="AQ86" s="307">
        <f>COUNTIF(ParticipationMars1[[#This Row],[1]:[31]],Code8)</f>
        <v>0</v>
      </c>
      <c r="AR86" s="307">
        <f>COUNTIF(ParticipationMars1[[#This Row],[1]:[31]],Code9)</f>
        <v>0</v>
      </c>
      <c r="AS86" s="307">
        <f>COUNTIF(ParticipationMars1[[#This Row],[1]:[31]],Code10)</f>
        <v>0</v>
      </c>
      <c r="AT86" s="307">
        <f>COUNTIF(ParticipationMars1[[#This Row],[1]:[31]],Code11)</f>
        <v>0</v>
      </c>
      <c r="AU86" s="307">
        <f>COUNTIF(ParticipationMars1[[#This Row],[1]:[31]],Code12)</f>
        <v>0</v>
      </c>
      <c r="AV86" s="307">
        <f>COUNTIF(ParticipationMars1[[#This Row],[1]:[31]],Code13)</f>
        <v>0</v>
      </c>
      <c r="AW86" s="307">
        <f>COUNTIF(ParticipationMars1[[#This Row],[1]:[31]],Code14)</f>
        <v>0</v>
      </c>
      <c r="AX86" s="307">
        <f>COUNTIF(ParticipationMars1[[#This Row],[1]:[31]],Code15)</f>
        <v>0</v>
      </c>
      <c r="AY86" s="307">
        <f>COUNTIF(ParticipationMars1[[#This Row],[1]:[31]],Code16)</f>
        <v>0</v>
      </c>
      <c r="AZ86" s="307">
        <f>COUNTIF(ParticipationMars1[[#This Row],[1]:[31]],Code17)</f>
        <v>0</v>
      </c>
      <c r="BA86" s="307">
        <f>COUNTIF(ParticipationMars1[[#This Row],[1]:[31]],Code26)</f>
        <v>0</v>
      </c>
      <c r="BB86" s="307">
        <f>COUNTIF(ParticipationMars1[[#This Row],[1]:[31]],Code25)</f>
        <v>0</v>
      </c>
      <c r="BC86" s="307">
        <f>COUNTIF(ParticipationMars1[[#This Row],[1]:[31]],code21)</f>
        <v>0</v>
      </c>
      <c r="BD86" s="307">
        <f>COUNTIF(ParticipationMars1[[#This Row],[1]:[31]],Code24)</f>
        <v>0</v>
      </c>
      <c r="BE86" s="307">
        <f>COUNTIF(ParticipationMars1[[#This Row],[1]:[31]],code18)</f>
        <v>0</v>
      </c>
      <c r="BF86" s="307">
        <f>COUNTIF(ParticipationMars1[[#This Row],[1]:[31]],code19)</f>
        <v>0</v>
      </c>
      <c r="BG86" s="300">
        <f>COUNTIF(ParticipationMars1[[#This Row],[1]:[31]],code20)</f>
        <v>0</v>
      </c>
      <c r="BH86" s="297"/>
      <c r="BI86" s="297"/>
      <c r="BJ86" s="297"/>
      <c r="BK86" s="297"/>
      <c r="BL86" s="297"/>
      <c r="BM86" s="297"/>
      <c r="BN86" s="297"/>
      <c r="BO86" s="297"/>
      <c r="BP86" s="297"/>
      <c r="BQ86" s="297"/>
      <c r="BR86" s="297">
        <v>2</v>
      </c>
      <c r="BS86" s="297"/>
      <c r="BT86" s="297"/>
      <c r="BU86" s="297"/>
      <c r="BV86" s="297"/>
      <c r="BW86" s="297"/>
      <c r="BX86" s="297"/>
      <c r="BY86" s="297"/>
      <c r="BZ86" s="297"/>
      <c r="CA86" s="297"/>
      <c r="CB86" s="297"/>
      <c r="CC86" s="297"/>
      <c r="CD86" s="297"/>
      <c r="CE86" s="297"/>
      <c r="CF86" s="297"/>
      <c r="CG86" s="297"/>
      <c r="CH86" s="297"/>
      <c r="CI86" s="297"/>
      <c r="CJ86" s="297"/>
      <c r="CK86" s="297"/>
      <c r="CL86" s="297"/>
      <c r="CM86" s="297"/>
      <c r="CN86" s="307"/>
      <c r="CO86" s="300"/>
      <c r="CP86" s="165">
        <f t="shared" si="4"/>
        <v>10</v>
      </c>
      <c r="CQ86" s="165">
        <f t="shared" si="5"/>
        <v>17</v>
      </c>
      <c r="CR86" s="341">
        <f t="shared" si="6"/>
        <v>0</v>
      </c>
      <c r="CS86" s="327"/>
    </row>
    <row r="87" spans="1:97">
      <c r="A87" s="29" t="s">
        <v>624</v>
      </c>
      <c r="B87" s="339" t="str">
        <f>IFERROR(VLOOKUP(ParticipationMars1[[#This Row],[Référence]],ListeÉtudiants1[],18,FALSE),"")</f>
        <v>LADERVAL TATIANA</v>
      </c>
      <c r="C87" s="19"/>
      <c r="D87" s="19"/>
      <c r="E87" s="19"/>
      <c r="F87" s="19"/>
      <c r="G87" s="19"/>
      <c r="H87" s="19"/>
      <c r="I87" s="19"/>
      <c r="J87" s="19"/>
      <c r="K87" s="19"/>
      <c r="L87" s="19"/>
      <c r="M87" s="19"/>
      <c r="N87" s="19"/>
      <c r="O87" s="19"/>
      <c r="P87" s="19"/>
      <c r="Q87" s="19"/>
      <c r="R87" s="19"/>
      <c r="S87" s="19"/>
      <c r="T87" s="19"/>
      <c r="U87" s="19"/>
      <c r="V87" s="19"/>
      <c r="W87" s="19"/>
      <c r="X87" s="19" t="s">
        <v>109</v>
      </c>
      <c r="Y87" s="19"/>
      <c r="Z87" s="19"/>
      <c r="AA87" s="19"/>
      <c r="AB87" s="19"/>
      <c r="AC87" s="19"/>
      <c r="AD87" s="19"/>
      <c r="AE87" s="19"/>
      <c r="AF87" s="19"/>
      <c r="AG87" s="340"/>
      <c r="AH87" s="6">
        <f>COUNTIF(ParticipationMars1[[#This Row],[1]:[31]],Code1)</f>
        <v>0</v>
      </c>
      <c r="AI87" s="331">
        <f>COUNTIF(ParticipationMars1[[#This Row],[1]:[31]],code22)</f>
        <v>0</v>
      </c>
      <c r="AJ87" s="30">
        <f>COUNTIF(ParticipationMars1[[#This Row],[1]:[31]],Code2)</f>
        <v>0</v>
      </c>
      <c r="AK87" s="30">
        <f>COUNTIF(ParticipationMars1[[#This Row],[1]:[31]],Code3)</f>
        <v>0</v>
      </c>
      <c r="AL87" s="30">
        <f>COUNTIF(ParticipationMars1[[#This Row],[1]:[31]],Code4)</f>
        <v>0</v>
      </c>
      <c r="AM87" s="307">
        <f>COUNTIF(ParticipationMars1[[#This Row],[1]:[31]],Code5)</f>
        <v>0</v>
      </c>
      <c r="AN87" s="307">
        <f>COUNTIF(ParticipationMars1[[#This Row],[1]:[31]],Code23)</f>
        <v>0</v>
      </c>
      <c r="AO87" s="307">
        <f>COUNTIF(ParticipationMars1[[#This Row],[1]:[31]],Code6)</f>
        <v>0</v>
      </c>
      <c r="AP87" s="307">
        <f>COUNTIF(ParticipationMars1[[#This Row],[1]:[31]],Code7)</f>
        <v>0</v>
      </c>
      <c r="AQ87" s="307">
        <f>COUNTIF(ParticipationMars1[[#This Row],[1]:[31]],Code8)</f>
        <v>0</v>
      </c>
      <c r="AR87" s="307">
        <f>COUNTIF(ParticipationMars1[[#This Row],[1]:[31]],Code9)</f>
        <v>0</v>
      </c>
      <c r="AS87" s="307">
        <f>COUNTIF(ParticipationMars1[[#This Row],[1]:[31]],Code10)</f>
        <v>0</v>
      </c>
      <c r="AT87" s="307">
        <f>COUNTIF(ParticipationMars1[[#This Row],[1]:[31]],Code11)</f>
        <v>0</v>
      </c>
      <c r="AU87" s="307">
        <f>COUNTIF(ParticipationMars1[[#This Row],[1]:[31]],Code12)</f>
        <v>0</v>
      </c>
      <c r="AV87" s="307">
        <f>COUNTIF(ParticipationMars1[[#This Row],[1]:[31]],Code13)</f>
        <v>0</v>
      </c>
      <c r="AW87" s="307">
        <f>COUNTIF(ParticipationMars1[[#This Row],[1]:[31]],Code14)</f>
        <v>0</v>
      </c>
      <c r="AX87" s="307">
        <f>COUNTIF(ParticipationMars1[[#This Row],[1]:[31]],Code15)</f>
        <v>0</v>
      </c>
      <c r="AY87" s="307">
        <f>COUNTIF(ParticipationMars1[[#This Row],[1]:[31]],Code16)</f>
        <v>0</v>
      </c>
      <c r="AZ87" s="307">
        <f>COUNTIF(ParticipationMars1[[#This Row],[1]:[31]],Code17)</f>
        <v>0</v>
      </c>
      <c r="BA87" s="307">
        <f>COUNTIF(ParticipationMars1[[#This Row],[1]:[31]],Code26)</f>
        <v>0</v>
      </c>
      <c r="BB87" s="307">
        <f>COUNTIF(ParticipationMars1[[#This Row],[1]:[31]],Code25)</f>
        <v>0</v>
      </c>
      <c r="BC87" s="307">
        <f>COUNTIF(ParticipationMars1[[#This Row],[1]:[31]],code21)</f>
        <v>0</v>
      </c>
      <c r="BD87" s="307">
        <f>COUNTIF(ParticipationMars1[[#This Row],[1]:[31]],Code24)</f>
        <v>0</v>
      </c>
      <c r="BE87" s="307">
        <f>COUNTIF(ParticipationMars1[[#This Row],[1]:[31]],code18)</f>
        <v>0</v>
      </c>
      <c r="BF87" s="307">
        <f>COUNTIF(ParticipationMars1[[#This Row],[1]:[31]],code19)</f>
        <v>0</v>
      </c>
      <c r="BG87" s="300">
        <f>COUNTIF(ParticipationMars1[[#This Row],[1]:[31]],code20)</f>
        <v>0</v>
      </c>
      <c r="BH87" s="297"/>
      <c r="BI87" s="297">
        <v>1</v>
      </c>
      <c r="BJ87" s="297"/>
      <c r="BK87" s="297"/>
      <c r="BL87" s="297"/>
      <c r="BM87" s="297"/>
      <c r="BN87" s="297"/>
      <c r="BO87" s="297"/>
      <c r="BP87" s="297"/>
      <c r="BQ87" s="297"/>
      <c r="BR87" s="297"/>
      <c r="BS87" s="297"/>
      <c r="BT87" s="297"/>
      <c r="BU87" s="297"/>
      <c r="BV87" s="297"/>
      <c r="BW87" s="297"/>
      <c r="BX87" s="297"/>
      <c r="BY87" s="297"/>
      <c r="BZ87" s="297"/>
      <c r="CA87" s="297"/>
      <c r="CB87" s="297"/>
      <c r="CC87" s="297"/>
      <c r="CD87" s="297"/>
      <c r="CE87" s="297"/>
      <c r="CF87" s="297"/>
      <c r="CG87" s="297"/>
      <c r="CH87" s="297"/>
      <c r="CI87" s="297"/>
      <c r="CJ87" s="297"/>
      <c r="CK87" s="297"/>
      <c r="CL87" s="297"/>
      <c r="CM87" s="297"/>
      <c r="CN87" s="307"/>
      <c r="CO87" s="300"/>
      <c r="CP87" s="360">
        <f>SUM((AH87*1)+(AI87*1.5)+(AJ87*2)+(AK87*4)+(AP87*5)+(AQ87*6)+(AR87*7)+(AU87*2)+(AX87*3)+(AY87*4)+(AZ87*5)+(BA87*3)+(BB87*2)+(BC87*2))</f>
        <v>0</v>
      </c>
      <c r="CQ87" s="360">
        <f>SUM((AN87*1)+(AM87*2)+(AO87*3)+(AP87*4)+(AT87*5)+(AU87*7)+(AV87*7)+(AW87*7)+(AX87*4)+(AY87*3)+(AZ87*2)+(BB87*4)+(BA87*1)+(BC87*2))</f>
        <v>0</v>
      </c>
      <c r="CR87" s="341">
        <f>BD87*2</f>
        <v>0</v>
      </c>
      <c r="CS87" s="327"/>
    </row>
    <row r="88" spans="1:97">
      <c r="A88" s="29"/>
      <c r="B88" s="162" t="str">
        <f>IFERROR(VLOOKUP(ParticipationMars1[[#This Row],[Référence]],ListeÉtudiants1[],18,FALSE),"")</f>
        <v>LALARDIE EMMANUELLE</v>
      </c>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44"/>
      <c r="AH88" s="6">
        <f>COUNTIF(ParticipationMars1[[#This Row],[1]:[31]],Code1)</f>
        <v>0</v>
      </c>
      <c r="AI88" s="331">
        <f>COUNTIF(ParticipationMars1[[#This Row],[1]:[31]],code22)</f>
        <v>0</v>
      </c>
      <c r="AJ88" s="30">
        <f>COUNTIF(ParticipationMars1[[#This Row],[1]:[31]],Code2)</f>
        <v>0</v>
      </c>
      <c r="AK88" s="30">
        <f>COUNTIF(ParticipationMars1[[#This Row],[1]:[31]],Code3)</f>
        <v>0</v>
      </c>
      <c r="AL88" s="30">
        <f>COUNTIF(ParticipationMars1[[#This Row],[1]:[31]],Code4)</f>
        <v>0</v>
      </c>
      <c r="AM88" s="307">
        <f>COUNTIF(ParticipationMars1[[#This Row],[1]:[31]],Code5)</f>
        <v>1</v>
      </c>
      <c r="AN88" s="307">
        <f>COUNTIF(ParticipationMars1[[#This Row],[1]:[31]],Code23)</f>
        <v>0</v>
      </c>
      <c r="AO88" s="307">
        <f>COUNTIF(ParticipationMars1[[#This Row],[1]:[31]],Code6)</f>
        <v>0</v>
      </c>
      <c r="AP88" s="307">
        <f>COUNTIF(ParticipationMars1[[#This Row],[1]:[31]],Code7)</f>
        <v>0</v>
      </c>
      <c r="AQ88" s="307">
        <f>COUNTIF(ParticipationMars1[[#This Row],[1]:[31]],Code8)</f>
        <v>0</v>
      </c>
      <c r="AR88" s="307">
        <f>COUNTIF(ParticipationMars1[[#This Row],[1]:[31]],Code9)</f>
        <v>0</v>
      </c>
      <c r="AS88" s="307">
        <f>COUNTIF(ParticipationMars1[[#This Row],[1]:[31]],Code10)</f>
        <v>0</v>
      </c>
      <c r="AT88" s="307">
        <f>COUNTIF(ParticipationMars1[[#This Row],[1]:[31]],Code11)</f>
        <v>0</v>
      </c>
      <c r="AU88" s="307">
        <f>COUNTIF(ParticipationMars1[[#This Row],[1]:[31]],Code12)</f>
        <v>0</v>
      </c>
      <c r="AV88" s="307">
        <f>COUNTIF(ParticipationMars1[[#This Row],[1]:[31]],Code13)</f>
        <v>0</v>
      </c>
      <c r="AW88" s="307">
        <f>COUNTIF(ParticipationMars1[[#This Row],[1]:[31]],Code14)</f>
        <v>0</v>
      </c>
      <c r="AX88" s="307">
        <f>COUNTIF(ParticipationMars1[[#This Row],[1]:[31]],Code15)</f>
        <v>0</v>
      </c>
      <c r="AY88" s="307">
        <f>COUNTIF(ParticipationMars1[[#This Row],[1]:[31]],Code16)</f>
        <v>0</v>
      </c>
      <c r="AZ88" s="307">
        <f>COUNTIF(ParticipationMars1[[#This Row],[1]:[31]],Code17)</f>
        <v>0</v>
      </c>
      <c r="BA88" s="307">
        <f>COUNTIF(ParticipationMars1[[#This Row],[1]:[31]],Code26)</f>
        <v>0</v>
      </c>
      <c r="BB88" s="30">
        <f>COUNTIF(ParticipationMars1[[#This Row],[1]:[31]],Code25)</f>
        <v>0</v>
      </c>
      <c r="BC88" s="307">
        <f>COUNTIF(ParticipationMars1[[#This Row],[1]:[31]],code21)</f>
        <v>0</v>
      </c>
      <c r="BD88" s="307">
        <f>COUNTIF(ParticipationMars1[[#This Row],[1]:[31]],Code24)</f>
        <v>0</v>
      </c>
      <c r="BE88" s="307">
        <f>COUNTIF(ParticipationMars1[[#This Row],[1]:[31]],code18)</f>
        <v>0</v>
      </c>
      <c r="BF88" s="307">
        <f>COUNTIF(ParticipationMars1[[#This Row],[1]:[31]],code19)</f>
        <v>0</v>
      </c>
      <c r="BG88" s="300">
        <f>COUNTIF(ParticipationMars1[[#This Row],[1]:[31]],code20)</f>
        <v>0</v>
      </c>
      <c r="BH88" s="297"/>
      <c r="BI88" s="297"/>
      <c r="BJ88" s="297"/>
      <c r="BK88" s="297"/>
      <c r="BL88" s="297"/>
      <c r="BM88" s="297"/>
      <c r="BN88" s="297"/>
      <c r="BO88" s="297"/>
      <c r="BP88" s="297"/>
      <c r="BQ88" s="297"/>
      <c r="BR88" s="297"/>
      <c r="BS88" s="297"/>
      <c r="BT88" s="297"/>
      <c r="BU88" s="297"/>
      <c r="BV88" s="297"/>
      <c r="BW88" s="297"/>
      <c r="BX88" s="297"/>
      <c r="BY88" s="297"/>
      <c r="BZ88" s="297"/>
      <c r="CA88" s="297"/>
      <c r="CB88" s="297"/>
      <c r="CC88" s="297"/>
      <c r="CD88" s="297"/>
      <c r="CE88" s="297"/>
      <c r="CF88" s="297"/>
      <c r="CG88" s="297"/>
      <c r="CH88" s="297"/>
      <c r="CI88" s="297"/>
      <c r="CJ88" s="297"/>
      <c r="CK88" s="297"/>
      <c r="CL88" s="297"/>
      <c r="CM88" s="297"/>
      <c r="CN88" s="307"/>
      <c r="CO88" s="300"/>
      <c r="CP88" s="165">
        <f t="shared" si="4"/>
        <v>0</v>
      </c>
      <c r="CQ88" s="165">
        <f t="shared" si="5"/>
        <v>2</v>
      </c>
      <c r="CR88" s="249">
        <f t="shared" si="6"/>
        <v>0</v>
      </c>
      <c r="CS88" s="327"/>
    </row>
    <row r="89" spans="1:97" ht="14.25" thickBot="1">
      <c r="A89" s="145"/>
      <c r="B89" s="155" t="str">
        <f>IFERROR(VLOOKUP(ParticipationMars1[[#This Row],[Référence]],ListeÉtudiants1[],18,FALSE),"")</f>
        <v/>
      </c>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8"/>
      <c r="AH89" s="149">
        <f>COUNTIF(ParticipationMars1[[#This Row],[1]:[31]],Code1)</f>
        <v>0</v>
      </c>
      <c r="AI89" s="149">
        <f>COUNTIF(ParticipationMars1[[#This Row],[1]:[31]],code22)</f>
        <v>0</v>
      </c>
      <c r="AJ89" s="172">
        <f>COUNTIF(ParticipationMars1[[#This Row],[1]:[31]],Code2)</f>
        <v>0</v>
      </c>
      <c r="AK89" s="172">
        <f>COUNTIF(ParticipationMars1[[#This Row],[1]:[31]],Code3)</f>
        <v>0</v>
      </c>
      <c r="AL89" s="172">
        <f>COUNTIF(ParticipationMars1[[#This Row],[1]:[31]],Code4)</f>
        <v>0</v>
      </c>
      <c r="AM89" s="172">
        <f>COUNTIF(ParticipationMars1[[#This Row],[1]:[31]],Code5)</f>
        <v>0</v>
      </c>
      <c r="AN89" s="172">
        <f>COUNTIF(ParticipationMars1[[#This Row],[1]:[31]],Code23)</f>
        <v>0</v>
      </c>
      <c r="AO89" s="172">
        <f>COUNTIF(ParticipationMars1[[#This Row],[1]:[31]],Code6)</f>
        <v>0</v>
      </c>
      <c r="AP89" s="172">
        <f>COUNTIF(ParticipationMars1[[#This Row],[1]:[31]],Code7)</f>
        <v>0</v>
      </c>
      <c r="AQ89" s="172">
        <f>COUNTIF(ParticipationMars1[[#This Row],[1]:[31]],Code8)</f>
        <v>0</v>
      </c>
      <c r="AR89" s="172">
        <f>COUNTIF(ParticipationMars1[[#This Row],[1]:[31]],Code9)</f>
        <v>0</v>
      </c>
      <c r="AS89" s="172">
        <f>COUNTIF(ParticipationMars1[[#This Row],[1]:[31]],Code10)</f>
        <v>0</v>
      </c>
      <c r="AT89" s="172">
        <f>COUNTIF(ParticipationMars1[[#This Row],[1]:[31]],Code11)</f>
        <v>0</v>
      </c>
      <c r="AU89" s="172">
        <f>COUNTIF(ParticipationMars1[[#This Row],[1]:[31]],Code12)</f>
        <v>0</v>
      </c>
      <c r="AV89" s="172">
        <f>COUNTIF(ParticipationMars1[[#This Row],[1]:[31]],Code13)</f>
        <v>0</v>
      </c>
      <c r="AW89" s="172">
        <f>COUNTIF(ParticipationMars1[[#This Row],[1]:[31]],Code14)</f>
        <v>0</v>
      </c>
      <c r="AX89" s="172">
        <f>COUNTIF(ParticipationMars1[[#This Row],[1]:[31]],Code15)</f>
        <v>0</v>
      </c>
      <c r="AY89" s="172">
        <f>COUNTIF(ParticipationMars1[[#This Row],[1]:[31]],Code16)</f>
        <v>0</v>
      </c>
      <c r="AZ89" s="172">
        <f>COUNTIF(ParticipationMars1[[#This Row],[1]:[31]],Code17)</f>
        <v>0</v>
      </c>
      <c r="BA89" s="307">
        <f>COUNTIF(ParticipationMars1[[#This Row],[1]:[31]],Code26)</f>
        <v>0</v>
      </c>
      <c r="BB89" s="30">
        <f>COUNTIF(ParticipationMars1[[#This Row],[1]:[31]],Code25)</f>
        <v>0</v>
      </c>
      <c r="BC89" s="30">
        <f>COUNTIF(ParticipationMars1[[#This Row],[1]:[31]],code21)</f>
        <v>0</v>
      </c>
      <c r="BD89" s="30">
        <f>COUNTIF(ParticipationMars1[[#This Row],[1]:[31]],Code24)</f>
        <v>0</v>
      </c>
      <c r="BE89" s="172">
        <f>COUNTIF(ParticipationMars1[[#This Row],[1]:[31]],code18)</f>
        <v>0</v>
      </c>
      <c r="BF89" s="172">
        <f>COUNTIF(ParticipationMars1[[#This Row],[1]:[31]],code19)</f>
        <v>0</v>
      </c>
      <c r="BG89" s="173">
        <f>COUNTIF(ParticipationMars1[[#This Row],[1]:[31]],code20)</f>
        <v>0</v>
      </c>
      <c r="BH89" s="297"/>
      <c r="BI89" s="297"/>
      <c r="BJ89" s="297"/>
      <c r="BK89" s="297"/>
      <c r="BL89" s="297"/>
      <c r="BM89" s="297"/>
      <c r="BN89" s="297"/>
      <c r="BO89" s="297"/>
      <c r="BP89" s="297"/>
      <c r="BQ89" s="297"/>
      <c r="BR89" s="297"/>
      <c r="BS89" s="297"/>
      <c r="BT89" s="297"/>
      <c r="BU89" s="297"/>
      <c r="BV89" s="297"/>
      <c r="BW89" s="297"/>
      <c r="BX89" s="297"/>
      <c r="BY89" s="297"/>
      <c r="BZ89" s="297"/>
      <c r="CA89" s="297"/>
      <c r="CB89" s="297"/>
      <c r="CC89" s="297"/>
      <c r="CD89" s="297"/>
      <c r="CE89" s="297"/>
      <c r="CF89" s="297"/>
      <c r="CG89" s="297"/>
      <c r="CH89" s="297"/>
      <c r="CI89" s="297"/>
      <c r="CJ89" s="297"/>
      <c r="CK89" s="297"/>
      <c r="CL89" s="297"/>
      <c r="CM89" s="297"/>
      <c r="CN89" s="307"/>
      <c r="CO89" s="300"/>
      <c r="CP89" s="176">
        <f t="shared" si="4"/>
        <v>0</v>
      </c>
      <c r="CQ89" s="174">
        <f t="shared" si="5"/>
        <v>0</v>
      </c>
      <c r="CR89" s="361">
        <f t="shared" si="6"/>
        <v>0</v>
      </c>
      <c r="CS89" s="175"/>
    </row>
    <row r="90" spans="1:97" ht="14.25" thickTop="1"/>
  </sheetData>
  <mergeCells count="3">
    <mergeCell ref="A1:C1"/>
    <mergeCell ref="H7:I7"/>
    <mergeCell ref="AH9:AX9"/>
  </mergeCells>
  <conditionalFormatting sqref="CS89">
    <cfRule type="dataBar" priority="14">
      <dataBar>
        <cfvo type="min"/>
        <cfvo type="num" val="31"/>
        <color theme="4"/>
      </dataBar>
      <extLst>
        <ext xmlns:x14="http://schemas.microsoft.com/office/spreadsheetml/2009/9/main" uri="{B025F937-C7B1-47D3-B67F-A62EFF666E3E}">
          <x14:id>{59BF37D5-2555-4E08-8146-20ED66C96F04}</x14:id>
        </ext>
      </extLst>
    </cfRule>
  </conditionalFormatting>
  <conditionalFormatting sqref="F11:AG23">
    <cfRule type="expression" dxfId="78" priority="6">
      <formula>F11=code22</formula>
    </cfRule>
    <cfRule type="expression" dxfId="77" priority="7">
      <formula>F11=code21</formula>
    </cfRule>
    <cfRule type="expression" dxfId="76" priority="11" stopIfTrue="1">
      <formula>F11=code18</formula>
    </cfRule>
    <cfRule type="expression" dxfId="75" priority="12" stopIfTrue="1">
      <formula>F11=code20</formula>
    </cfRule>
    <cfRule type="expression" dxfId="74" priority="13" stopIfTrue="1">
      <formula>F11=code19</formula>
    </cfRule>
    <cfRule type="expression" dxfId="73" priority="15" stopIfTrue="1">
      <formula>F11=Code17</formula>
    </cfRule>
    <cfRule type="expression" dxfId="72" priority="16" stopIfTrue="1">
      <formula>F11=Code16</formula>
    </cfRule>
    <cfRule type="expression" dxfId="71" priority="17" stopIfTrue="1">
      <formula>F11=Code15</formula>
    </cfRule>
    <cfRule type="expression" dxfId="70" priority="18" stopIfTrue="1">
      <formula>F11=Code13</formula>
    </cfRule>
    <cfRule type="expression" dxfId="69" priority="19" stopIfTrue="1">
      <formula>F11=Code14</formula>
    </cfRule>
    <cfRule type="expression" dxfId="68" priority="20" stopIfTrue="1">
      <formula>F11=Code12</formula>
    </cfRule>
    <cfRule type="expression" dxfId="67" priority="21" stopIfTrue="1">
      <formula>F11=Code11</formula>
    </cfRule>
    <cfRule type="expression" dxfId="66" priority="22" stopIfTrue="1">
      <formula>F11=Code10</formula>
    </cfRule>
    <cfRule type="expression" dxfId="65" priority="24" stopIfTrue="1">
      <formula>F11=Code9</formula>
    </cfRule>
    <cfRule type="expression" dxfId="64" priority="25" stopIfTrue="1">
      <formula>F11=Code7</formula>
    </cfRule>
    <cfRule type="expression" dxfId="63" priority="26" stopIfTrue="1">
      <formula>F11=Code6</formula>
    </cfRule>
    <cfRule type="expression" dxfId="62" priority="27" stopIfTrue="1">
      <formula>F11=Code2</formula>
    </cfRule>
    <cfRule type="expression" dxfId="61" priority="28" stopIfTrue="1">
      <formula>F11=Code5</formula>
    </cfRule>
    <cfRule type="expression" dxfId="60" priority="29" stopIfTrue="1">
      <formula>F11=Code4</formula>
    </cfRule>
    <cfRule type="expression" dxfId="59" priority="30" stopIfTrue="1">
      <formula>F11=Code3</formula>
    </cfRule>
    <cfRule type="expression" dxfId="58" priority="31" stopIfTrue="1">
      <formula>F11=Code1</formula>
    </cfRule>
  </conditionalFormatting>
  <conditionalFormatting sqref="C9:AG11 AG6:AG8">
    <cfRule type="expression" dxfId="57" priority="23" stopIfTrue="1">
      <formula>C6=Code8</formula>
    </cfRule>
  </conditionalFormatting>
  <conditionalFormatting sqref="T5">
    <cfRule type="cellIs" dxfId="56" priority="10" operator="equal">
      <formula>"St1"</formula>
    </cfRule>
  </conditionalFormatting>
  <conditionalFormatting sqref="V5">
    <cfRule type="cellIs" dxfId="55" priority="9" operator="equal">
      <formula>"St2"</formula>
    </cfRule>
  </conditionalFormatting>
  <conditionalFormatting sqref="X5">
    <cfRule type="cellIs" dxfId="54" priority="8" operator="equal">
      <formula>"St3"</formula>
    </cfRule>
  </conditionalFormatting>
  <conditionalFormatting sqref="C11:E23 C26:D27 C30:D89 E24:AG47 E48:X48 Z48:AG48 E49:AG89">
    <cfRule type="expression" dxfId="53" priority="1">
      <formula>C11=Code26</formula>
    </cfRule>
    <cfRule type="expression" dxfId="52" priority="32">
      <formula>C11=Code25</formula>
    </cfRule>
    <cfRule type="expression" dxfId="51" priority="33">
      <formula>C11=Code24</formula>
    </cfRule>
    <cfRule type="expression" dxfId="50" priority="34">
      <formula>C11=Code23</formula>
    </cfRule>
    <cfRule type="expression" dxfId="49" priority="35">
      <formula>C11=code22</formula>
    </cfRule>
    <cfRule type="expression" dxfId="48" priority="36">
      <formula>C11=code21</formula>
    </cfRule>
    <cfRule type="expression" dxfId="47" priority="37" stopIfTrue="1">
      <formula>C11=code18</formula>
    </cfRule>
    <cfRule type="expression" dxfId="46" priority="38" stopIfTrue="1">
      <formula>C11=code20</formula>
    </cfRule>
    <cfRule type="expression" dxfId="45" priority="39" stopIfTrue="1">
      <formula>C11=code19</formula>
    </cfRule>
    <cfRule type="expression" dxfId="44" priority="40" stopIfTrue="1">
      <formula>C11=Code17</formula>
    </cfRule>
    <cfRule type="expression" dxfId="43" priority="41" stopIfTrue="1">
      <formula>C11=Code16</formula>
    </cfRule>
    <cfRule type="expression" dxfId="42" priority="42" stopIfTrue="1">
      <formula>C11=Code15</formula>
    </cfRule>
    <cfRule type="expression" dxfId="41" priority="43" stopIfTrue="1">
      <formula>C11=Code13</formula>
    </cfRule>
    <cfRule type="expression" dxfId="40" priority="44" stopIfTrue="1">
      <formula>C11=Code14</formula>
    </cfRule>
    <cfRule type="expression" dxfId="39" priority="45" stopIfTrue="1">
      <formula>C11=Code12</formula>
    </cfRule>
    <cfRule type="expression" dxfId="38" priority="46" stopIfTrue="1">
      <formula>C11=Code11</formula>
    </cfRule>
    <cfRule type="expression" dxfId="37" priority="47" stopIfTrue="1">
      <formula>C11=Code10</formula>
    </cfRule>
    <cfRule type="expression" dxfId="36" priority="48" stopIfTrue="1">
      <formula>C11=Code9</formula>
    </cfRule>
    <cfRule type="expression" dxfId="35" priority="49" stopIfTrue="1">
      <formula>C11=Code7</formula>
    </cfRule>
    <cfRule type="expression" dxfId="34" priority="50" stopIfTrue="1">
      <formula>C11=Code6</formula>
    </cfRule>
    <cfRule type="expression" dxfId="33" priority="51" stopIfTrue="1">
      <formula>C11=Code2</formula>
    </cfRule>
    <cfRule type="expression" dxfId="32" priority="52" stopIfTrue="1">
      <formula>C11=Code5</formula>
    </cfRule>
    <cfRule type="expression" dxfId="31" priority="53" stopIfTrue="1">
      <formula>C11=Code4</formula>
    </cfRule>
    <cfRule type="expression" dxfId="30" priority="54" stopIfTrue="1">
      <formula>C11=Code3</formula>
    </cfRule>
    <cfRule type="expression" dxfId="29" priority="55" stopIfTrue="1">
      <formula>C11=Code1</formula>
    </cfRule>
  </conditionalFormatting>
  <conditionalFormatting sqref="CS11:CS27">
    <cfRule type="dataBar" priority="56">
      <dataBar>
        <cfvo type="min"/>
        <cfvo type="num" val="31"/>
        <color theme="4"/>
      </dataBar>
      <extLst>
        <ext xmlns:x14="http://schemas.microsoft.com/office/spreadsheetml/2009/9/main" uri="{B025F937-C7B1-47D3-B67F-A62EFF666E3E}">
          <x14:id>{9ACFFAA1-6479-41CF-A59D-F092141B605F}</x14:id>
        </ext>
      </extLst>
    </cfRule>
  </conditionalFormatting>
  <conditionalFormatting sqref="F11:AG47 F48:X48 Z48:AG48 F49:AG87">
    <cfRule type="expression" dxfId="28" priority="2">
      <formula>F11=Code26</formula>
    </cfRule>
    <cfRule type="expression" dxfId="27" priority="3">
      <formula>F11=Code25</formula>
    </cfRule>
    <cfRule type="expression" dxfId="26" priority="4">
      <formula>F11=Code24</formula>
    </cfRule>
    <cfRule type="expression" dxfId="25" priority="5">
      <formula>F11=Code23</formula>
    </cfRule>
  </conditionalFormatting>
  <conditionalFormatting sqref="CS28:CS88">
    <cfRule type="dataBar" priority="57">
      <dataBar>
        <cfvo type="min"/>
        <cfvo type="num" val="31"/>
        <color theme="4"/>
      </dataBar>
      <extLst>
        <ext xmlns:x14="http://schemas.microsoft.com/office/spreadsheetml/2009/9/main" uri="{B025F937-C7B1-47D3-B67F-A62EFF666E3E}">
          <x14:id>{4B9E14C5-6AB3-44F6-AC81-EB086C5D11B3}</x14:id>
        </ext>
      </extLst>
    </cfRule>
  </conditionalFormatting>
  <conditionalFormatting sqref="CP11:CP89">
    <cfRule type="dataBar" priority="58">
      <dataBar>
        <cfvo type="min"/>
        <cfvo type="num" val="31"/>
        <color theme="4"/>
      </dataBar>
      <extLst>
        <ext xmlns:x14="http://schemas.microsoft.com/office/spreadsheetml/2009/9/main" uri="{B025F937-C7B1-47D3-B67F-A62EFF666E3E}">
          <x14:id>{83C852FE-080F-4B7C-B308-C5083A5A227B}</x14:id>
        </ext>
      </extLst>
    </cfRule>
  </conditionalFormatting>
  <conditionalFormatting sqref="CQ11:CR89">
    <cfRule type="dataBar" priority="59">
      <dataBar>
        <cfvo type="min"/>
        <cfvo type="num" val="31"/>
        <color theme="4"/>
      </dataBar>
      <extLst>
        <ext xmlns:x14="http://schemas.microsoft.com/office/spreadsheetml/2009/9/main" uri="{B025F937-C7B1-47D3-B67F-A62EFF666E3E}">
          <x14:id>{96985754-D608-49BA-ACF3-A774E05F4A4E}</x14:id>
        </ext>
      </extLst>
    </cfRule>
  </conditionalFormatting>
  <conditionalFormatting sqref="C24:D25 C28:D29">
    <cfRule type="expression" dxfId="24" priority="60">
      <formula>XFD41=Code26</formula>
    </cfRule>
    <cfRule type="expression" dxfId="23" priority="61">
      <formula>C24=Code25</formula>
    </cfRule>
    <cfRule type="expression" dxfId="22" priority="62">
      <formula>C24=Code24</formula>
    </cfRule>
    <cfRule type="expression" dxfId="21" priority="63">
      <formula>C24=Code23</formula>
    </cfRule>
    <cfRule type="expression" dxfId="20" priority="64">
      <formula>C24=code22</formula>
    </cfRule>
    <cfRule type="expression" dxfId="19" priority="65">
      <formula>C24=code21</formula>
    </cfRule>
    <cfRule type="expression" dxfId="18" priority="66" stopIfTrue="1">
      <formula>C24=code18</formula>
    </cfRule>
    <cfRule type="expression" dxfId="17" priority="67" stopIfTrue="1">
      <formula>C24=code20</formula>
    </cfRule>
    <cfRule type="expression" dxfId="16" priority="68" stopIfTrue="1">
      <formula>C24=code19</formula>
    </cfRule>
    <cfRule type="expression" dxfId="15" priority="69" stopIfTrue="1">
      <formula>C24=Code17</formula>
    </cfRule>
    <cfRule type="expression" dxfId="14" priority="70" stopIfTrue="1">
      <formula>C24=Code16</formula>
    </cfRule>
    <cfRule type="expression" dxfId="13" priority="71" stopIfTrue="1">
      <formula>C24=Code15</formula>
    </cfRule>
    <cfRule type="expression" dxfId="12" priority="72" stopIfTrue="1">
      <formula>C24=Code13</formula>
    </cfRule>
    <cfRule type="expression" dxfId="11" priority="73" stopIfTrue="1">
      <formula>C24=Code14</formula>
    </cfRule>
    <cfRule type="expression" dxfId="10" priority="74" stopIfTrue="1">
      <formula>C24=Code12</formula>
    </cfRule>
    <cfRule type="expression" dxfId="9" priority="75" stopIfTrue="1">
      <formula>C24=Code11</formula>
    </cfRule>
    <cfRule type="expression" dxfId="8" priority="76" stopIfTrue="1">
      <formula>C24=Code10</formula>
    </cfRule>
    <cfRule type="expression" dxfId="7" priority="77" stopIfTrue="1">
      <formula>C24=Code9</formula>
    </cfRule>
    <cfRule type="expression" dxfId="6" priority="78" stopIfTrue="1">
      <formula>C24=Code7</formula>
    </cfRule>
    <cfRule type="expression" dxfId="5" priority="79" stopIfTrue="1">
      <formula>C24=Code6</formula>
    </cfRule>
    <cfRule type="expression" dxfId="4" priority="80" stopIfTrue="1">
      <formula>C24=Code2</formula>
    </cfRule>
    <cfRule type="expression" dxfId="3" priority="81" stopIfTrue="1">
      <formula>C24=Code5</formula>
    </cfRule>
    <cfRule type="expression" dxfId="2" priority="82" stopIfTrue="1">
      <formula>C24=Code4</formula>
    </cfRule>
    <cfRule type="expression" dxfId="1" priority="83" stopIfTrue="1">
      <formula>C24=Code3</formula>
    </cfRule>
    <cfRule type="expression" dxfId="0" priority="84" stopIfTrue="1">
      <formula>C24=Code1</formula>
    </cfRule>
  </conditionalFormatting>
  <dataValidations count="1">
    <dataValidation type="list" errorStyle="warning" allowBlank="1" showInputMessage="1" showErrorMessage="1" errorTitle="Whoops!" error="The Student ID you entered isn't on the Student List sheet. You can click Yes to use what you entered but that Student ID won't be available on the Student Attendance Report sheet." sqref="A11:A89">
      <formula1>IDÉtudiant1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59BF37D5-2555-4E08-8146-20ED66C96F04}">
            <x14:dataBar minLength="0" maxLength="100" border="1" negativeBarBorderColorSameAsPositive="0">
              <x14:cfvo type="autoMin"/>
              <x14:cfvo type="num">
                <xm:f>31</xm:f>
              </x14:cfvo>
              <x14:borderColor theme="4"/>
              <x14:negativeFillColor rgb="FFFF0000"/>
              <x14:negativeBorderColor rgb="FFFF0000"/>
              <x14:axisColor rgb="FF000000"/>
            </x14:dataBar>
          </x14:cfRule>
          <xm:sqref>CS89</xm:sqref>
        </x14:conditionalFormatting>
        <x14:conditionalFormatting xmlns:xm="http://schemas.microsoft.com/office/excel/2006/main">
          <x14:cfRule type="dataBar" id="{9ACFFAA1-6479-41CF-A59D-F092141B605F}">
            <x14:dataBar minLength="0" maxLength="100" border="1" negativeBarBorderColorSameAsPositive="0">
              <x14:cfvo type="autoMin"/>
              <x14:cfvo type="num">
                <xm:f>31</xm:f>
              </x14:cfvo>
              <x14:borderColor theme="4"/>
              <x14:negativeFillColor rgb="FFFF0000"/>
              <x14:negativeBorderColor rgb="FFFF0000"/>
              <x14:axisColor rgb="FF000000"/>
            </x14:dataBar>
          </x14:cfRule>
          <xm:sqref>CS11:CS27</xm:sqref>
        </x14:conditionalFormatting>
        <x14:conditionalFormatting xmlns:xm="http://schemas.microsoft.com/office/excel/2006/main">
          <x14:cfRule type="dataBar" id="{4B9E14C5-6AB3-44F6-AC81-EB086C5D11B3}">
            <x14:dataBar minLength="0" maxLength="100" border="1" negativeBarBorderColorSameAsPositive="0">
              <x14:cfvo type="autoMin"/>
              <x14:cfvo type="num">
                <xm:f>31</xm:f>
              </x14:cfvo>
              <x14:borderColor theme="4"/>
              <x14:negativeFillColor rgb="FFFF0000"/>
              <x14:negativeBorderColor rgb="FFFF0000"/>
              <x14:axisColor rgb="FF000000"/>
            </x14:dataBar>
          </x14:cfRule>
          <xm:sqref>CS28:CS88</xm:sqref>
        </x14:conditionalFormatting>
        <x14:conditionalFormatting xmlns:xm="http://schemas.microsoft.com/office/excel/2006/main">
          <x14:cfRule type="dataBar" id="{83C852FE-080F-4B7C-B308-C5083A5A227B}">
            <x14:dataBar minLength="0" maxLength="100" border="1" negativeBarBorderColorSameAsPositive="0">
              <x14:cfvo type="autoMin"/>
              <x14:cfvo type="num">
                <xm:f>31</xm:f>
              </x14:cfvo>
              <x14:borderColor theme="4"/>
              <x14:negativeFillColor rgb="FFFF0000"/>
              <x14:negativeBorderColor rgb="FFFF0000"/>
              <x14:axisColor rgb="FF000000"/>
            </x14:dataBar>
          </x14:cfRule>
          <xm:sqref>CP11:CP89</xm:sqref>
        </x14:conditionalFormatting>
        <x14:conditionalFormatting xmlns:xm="http://schemas.microsoft.com/office/excel/2006/main">
          <x14:cfRule type="dataBar" id="{96985754-D608-49BA-ACF3-A774E05F4A4E}">
            <x14:dataBar minLength="0" maxLength="100" border="1" negativeBarBorderColorSameAsPositive="0">
              <x14:cfvo type="autoMin"/>
              <x14:cfvo type="num">
                <xm:f>31</xm:f>
              </x14:cfvo>
              <x14:borderColor theme="4"/>
              <x14:negativeFillColor rgb="FFFF0000"/>
              <x14:negativeBorderColor rgb="FFFF0000"/>
              <x14:axisColor rgb="FF000000"/>
            </x14:dataBar>
          </x14:cfRule>
          <xm:sqref>CQ11:CR89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6CD18CD-13F4-472B-B1AB-DDBE2AC44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69</vt:i4>
      </vt:variant>
    </vt:vector>
  </HeadingPairs>
  <TitlesOfParts>
    <vt:vector size="85" baseType="lpstr">
      <vt:lpstr>Comment utiliser ce modèle</vt:lpstr>
      <vt:lpstr>Liste des élèves</vt:lpstr>
      <vt:lpstr>Août</vt:lpstr>
      <vt:lpstr>Septembre</vt:lpstr>
      <vt:lpstr>Octobre</vt:lpstr>
      <vt:lpstr>Novembre</vt:lpstr>
      <vt:lpstr>Decembre</vt:lpstr>
      <vt:lpstr>Janvier</vt:lpstr>
      <vt:lpstr>Fevrier</vt:lpstr>
      <vt:lpstr>Mars</vt:lpstr>
      <vt:lpstr>Avril</vt:lpstr>
      <vt:lpstr>Mai</vt:lpstr>
      <vt:lpstr>Juin</vt:lpstr>
      <vt:lpstr>Juillet</vt:lpstr>
      <vt:lpstr>Rapport de présence des élèves</vt:lpstr>
      <vt:lpstr>Feuil14</vt:lpstr>
      <vt:lpstr>AnnéeCivile</vt:lpstr>
      <vt:lpstr>Code1</vt:lpstr>
      <vt:lpstr>Code10</vt:lpstr>
      <vt:lpstr>Code11</vt:lpstr>
      <vt:lpstr>Code12</vt:lpstr>
      <vt:lpstr>Code13</vt:lpstr>
      <vt:lpstr>Code14</vt:lpstr>
      <vt:lpstr>Code15</vt:lpstr>
      <vt:lpstr>Code16</vt:lpstr>
      <vt:lpstr>Code17</vt:lpstr>
      <vt:lpstr>code18</vt:lpstr>
      <vt:lpstr>code19</vt:lpstr>
      <vt:lpstr>Code2</vt:lpstr>
      <vt:lpstr>code20</vt:lpstr>
      <vt:lpstr>code21</vt:lpstr>
      <vt:lpstr>code22</vt:lpstr>
      <vt:lpstr>Code23</vt:lpstr>
      <vt:lpstr>Code24</vt:lpstr>
      <vt:lpstr>Code25</vt:lpstr>
      <vt:lpstr>Code26</vt:lpstr>
      <vt:lpstr>Code27</vt:lpstr>
      <vt:lpstr>Code28</vt:lpstr>
      <vt:lpstr>code29</vt:lpstr>
      <vt:lpstr>Code3</vt:lpstr>
      <vt:lpstr>code30</vt:lpstr>
      <vt:lpstr>Code31</vt:lpstr>
      <vt:lpstr>Code4</vt:lpstr>
      <vt:lpstr>Code5</vt:lpstr>
      <vt:lpstr>Code6</vt:lpstr>
      <vt:lpstr>Code7</vt:lpstr>
      <vt:lpstr>Code8</vt:lpstr>
      <vt:lpstr>Code9</vt:lpstr>
      <vt:lpstr>IDÉtudiant1</vt:lpstr>
      <vt:lpstr>NomÉtudiant1</vt:lpstr>
      <vt:lpstr>RechercheÉtudiant1</vt:lpstr>
      <vt:lpstr>SP</vt:lpstr>
      <vt:lpstr>TexteCléDeCouleur</vt:lpstr>
      <vt:lpstr>TexteCode1</vt:lpstr>
      <vt:lpstr>TexteCode10</vt:lpstr>
      <vt:lpstr>TexteCode11</vt:lpstr>
      <vt:lpstr>TexteCode12</vt:lpstr>
      <vt:lpstr>TexteCode13</vt:lpstr>
      <vt:lpstr>TexteCode14</vt:lpstr>
      <vt:lpstr>TexteCode15</vt:lpstr>
      <vt:lpstr>TexteCode16</vt:lpstr>
      <vt:lpstr>TexteCode17</vt:lpstr>
      <vt:lpstr>Textecode18</vt:lpstr>
      <vt:lpstr>Textecode19</vt:lpstr>
      <vt:lpstr>TexteCode2</vt:lpstr>
      <vt:lpstr>Textecode20</vt:lpstr>
      <vt:lpstr>Textecode21</vt:lpstr>
      <vt:lpstr>Textecode22</vt:lpstr>
      <vt:lpstr>Textecode23</vt:lpstr>
      <vt:lpstr>Textecode24</vt:lpstr>
      <vt:lpstr>TexteCode25</vt:lpstr>
      <vt:lpstr>TexteCode26</vt:lpstr>
      <vt:lpstr>Textecode27</vt:lpstr>
      <vt:lpstr>Textecode28</vt:lpstr>
      <vt:lpstr>Textecode29</vt:lpstr>
      <vt:lpstr>TexteCode3</vt:lpstr>
      <vt:lpstr>Textecode30</vt:lpstr>
      <vt:lpstr>Textecode31</vt:lpstr>
      <vt:lpstr>TexteCode4</vt:lpstr>
      <vt:lpstr>TexteCode5</vt:lpstr>
      <vt:lpstr>TexteCode6</vt:lpstr>
      <vt:lpstr>TexteCode7</vt:lpstr>
      <vt:lpstr>TexteCode8</vt:lpstr>
      <vt:lpstr>TexteCode9</vt:lpstr>
      <vt:lpstr>'Liste des élèves'!Titres_à_imprimer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proprietaire</dc:creator>
  <cp:keywords/>
  <cp:lastModifiedBy>proprietaire</cp:lastModifiedBy>
  <cp:lastPrinted>2017-12-24T13:14:32Z</cp:lastPrinted>
  <dcterms:created xsi:type="dcterms:W3CDTF">2017-12-24T13:14:49Z</dcterms:created>
  <dcterms:modified xsi:type="dcterms:W3CDTF">2018-04-17T21:02:49Z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TC028023699991</vt:lpwstr>
  </property>
</Properties>
</file>