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20055" windowHeight="7950" tabRatio="829" activeTab="5"/>
  </bookViews>
  <sheets>
    <sheet name="Stocks" sheetId="1" r:id="rId1"/>
    <sheet name="Facture vente" sheetId="8" r:id="rId2"/>
    <sheet name="Facture travaux" sheetId="5" r:id="rId3"/>
    <sheet name="Facture achat" sheetId="10" r:id="rId4"/>
    <sheet name="Gestion facture vente" sheetId="7" r:id="rId5"/>
    <sheet name="Gestion facture travaux" sheetId="9" r:id="rId6"/>
    <sheet name="Gestion facture achat" sheetId="11" r:id="rId7"/>
    <sheet name="Code " sheetId="2" r:id="rId8"/>
    <sheet name="Facture vierge" sheetId="12" r:id="rId9"/>
    <sheet name="essai" sheetId="3" r:id="rId10"/>
    <sheet name="Feuil1" sheetId="4" r:id="rId11"/>
  </sheets>
  <externalReferences>
    <externalReference r:id="rId12"/>
  </externalReferences>
  <calcPr calcId="125725"/>
</workbook>
</file>

<file path=xl/calcChain.xml><?xml version="1.0" encoding="utf-8"?>
<calcChain xmlns="http://schemas.openxmlformats.org/spreadsheetml/2006/main">
  <c r="F18" i="5"/>
  <c r="F19"/>
  <c r="B17"/>
  <c r="E4" i="7"/>
  <c r="C4"/>
  <c r="B4"/>
  <c r="B12" i="8"/>
  <c r="B2"/>
  <c r="B2" i="5"/>
  <c r="B3" i="10"/>
  <c r="B15" i="5"/>
  <c r="B16"/>
  <c r="B20"/>
  <c r="B21"/>
  <c r="B22"/>
  <c r="B23"/>
  <c r="B24"/>
  <c r="B25"/>
  <c r="B26"/>
  <c r="B27"/>
  <c r="B28"/>
  <c r="H34" i="12" l="1"/>
  <c r="G32"/>
  <c r="F32"/>
  <c r="I32" s="1"/>
  <c r="B32"/>
  <c r="G31"/>
  <c r="F31"/>
  <c r="I31" s="1"/>
  <c r="B31"/>
  <c r="G30"/>
  <c r="F30"/>
  <c r="I30" s="1"/>
  <c r="B30"/>
  <c r="G29"/>
  <c r="F29"/>
  <c r="I29" s="1"/>
  <c r="B29"/>
  <c r="G28"/>
  <c r="F28"/>
  <c r="I28" s="1"/>
  <c r="B28"/>
  <c r="G27"/>
  <c r="F27"/>
  <c r="I27" s="1"/>
  <c r="B27"/>
  <c r="G26"/>
  <c r="F26"/>
  <c r="I26" s="1"/>
  <c r="B26"/>
  <c r="G25"/>
  <c r="F25"/>
  <c r="I25" s="1"/>
  <c r="B25"/>
  <c r="G24"/>
  <c r="F24"/>
  <c r="I24" s="1"/>
  <c r="B24"/>
  <c r="G23"/>
  <c r="F23"/>
  <c r="I23" s="1"/>
  <c r="B23"/>
  <c r="G22"/>
  <c r="F22"/>
  <c r="I22" s="1"/>
  <c r="B22"/>
  <c r="G21"/>
  <c r="F21"/>
  <c r="I21" s="1"/>
  <c r="B21"/>
  <c r="G20"/>
  <c r="F20"/>
  <c r="I20" s="1"/>
  <c r="B20"/>
  <c r="G19"/>
  <c r="F19"/>
  <c r="I19" s="1"/>
  <c r="B19"/>
  <c r="G18"/>
  <c r="F18"/>
  <c r="I18" s="1"/>
  <c r="I33" s="1"/>
  <c r="B18"/>
  <c r="G12"/>
  <c r="G11"/>
  <c r="G10"/>
  <c r="B8"/>
  <c r="B7"/>
  <c r="B6"/>
  <c r="B5"/>
  <c r="B4"/>
  <c r="H3"/>
  <c r="B3"/>
  <c r="B2"/>
  <c r="I34" l="1"/>
  <c r="I35" s="1"/>
  <c r="M6" i="1" l="1"/>
  <c r="M8"/>
  <c r="M10"/>
  <c r="M11"/>
  <c r="M12"/>
  <c r="G5" i="8"/>
  <c r="G4"/>
  <c r="G3"/>
  <c r="D4" i="7" s="1"/>
  <c r="F5" i="5"/>
  <c r="F4"/>
  <c r="F3"/>
  <c r="G5" i="10"/>
  <c r="G4"/>
  <c r="G3"/>
  <c r="B8"/>
  <c r="H34"/>
  <c r="G32"/>
  <c r="F32"/>
  <c r="I32" s="1"/>
  <c r="B32"/>
  <c r="G31"/>
  <c r="F31"/>
  <c r="I31" s="1"/>
  <c r="B31"/>
  <c r="G30"/>
  <c r="F30"/>
  <c r="I30" s="1"/>
  <c r="B30"/>
  <c r="G29"/>
  <c r="F29"/>
  <c r="I29" s="1"/>
  <c r="B29"/>
  <c r="G28"/>
  <c r="F28"/>
  <c r="I28" s="1"/>
  <c r="B28"/>
  <c r="G27"/>
  <c r="F27"/>
  <c r="I27" s="1"/>
  <c r="B27"/>
  <c r="G26"/>
  <c r="F26"/>
  <c r="I26" s="1"/>
  <c r="B26"/>
  <c r="G25"/>
  <c r="F25"/>
  <c r="I25" s="1"/>
  <c r="B25"/>
  <c r="G24"/>
  <c r="F24"/>
  <c r="I24" s="1"/>
  <c r="B24"/>
  <c r="G23"/>
  <c r="F23"/>
  <c r="I23" s="1"/>
  <c r="B23"/>
  <c r="G22"/>
  <c r="F22"/>
  <c r="I22" s="1"/>
  <c r="B22"/>
  <c r="G21"/>
  <c r="F21"/>
  <c r="I21" s="1"/>
  <c r="B21"/>
  <c r="G20"/>
  <c r="F20"/>
  <c r="I20" s="1"/>
  <c r="B20"/>
  <c r="G19"/>
  <c r="F19"/>
  <c r="B19"/>
  <c r="G18"/>
  <c r="F18"/>
  <c r="I18" s="1"/>
  <c r="B18"/>
  <c r="B12"/>
  <c r="B11"/>
  <c r="B10"/>
  <c r="B9"/>
  <c r="B7"/>
  <c r="B6"/>
  <c r="B6" i="5"/>
  <c r="B8" i="8"/>
  <c r="B10" i="5"/>
  <c r="B9"/>
  <c r="B8"/>
  <c r="B7"/>
  <c r="B5"/>
  <c r="B4"/>
  <c r="B11" i="8"/>
  <c r="B10"/>
  <c r="B9"/>
  <c r="B7"/>
  <c r="B6"/>
  <c r="E6" i="1"/>
  <c r="E8"/>
  <c r="J6"/>
  <c r="J10"/>
  <c r="J11"/>
  <c r="J13"/>
  <c r="J14"/>
  <c r="J15"/>
  <c r="J16"/>
  <c r="J8"/>
  <c r="M13"/>
  <c r="M14"/>
  <c r="M15"/>
  <c r="M16"/>
  <c r="O8"/>
  <c r="O10"/>
  <c r="O11"/>
  <c r="O13"/>
  <c r="O14"/>
  <c r="O15"/>
  <c r="O16"/>
  <c r="O6"/>
  <c r="J41"/>
  <c r="J42"/>
  <c r="J43"/>
  <c r="M43" s="1"/>
  <c r="J44"/>
  <c r="J45"/>
  <c r="M45" s="1"/>
  <c r="J46"/>
  <c r="J47"/>
  <c r="J48"/>
  <c r="J40"/>
  <c r="I40" s="1"/>
  <c r="F7"/>
  <c r="J7" s="1"/>
  <c r="F8"/>
  <c r="F9"/>
  <c r="J9" s="1"/>
  <c r="F10"/>
  <c r="E10" s="1"/>
  <c r="G10" s="1"/>
  <c r="F11"/>
  <c r="E11" s="1"/>
  <c r="G11" s="1"/>
  <c r="F12"/>
  <c r="J12" s="1"/>
  <c r="F13"/>
  <c r="E13" s="1"/>
  <c r="G13" s="1"/>
  <c r="F14"/>
  <c r="E14" s="1"/>
  <c r="G14" s="1"/>
  <c r="F15"/>
  <c r="E15" s="1"/>
  <c r="G15" s="1"/>
  <c r="F16"/>
  <c r="E16" s="1"/>
  <c r="G16" s="1"/>
  <c r="F6"/>
  <c r="B41"/>
  <c r="B42"/>
  <c r="B43"/>
  <c r="B44"/>
  <c r="B45"/>
  <c r="B46"/>
  <c r="B47"/>
  <c r="B48"/>
  <c r="B49"/>
  <c r="B40"/>
  <c r="O47"/>
  <c r="M47"/>
  <c r="E47"/>
  <c r="G47" s="1"/>
  <c r="O46"/>
  <c r="M46"/>
  <c r="E46"/>
  <c r="G46" s="1"/>
  <c r="E45"/>
  <c r="M44"/>
  <c r="E44"/>
  <c r="G44" s="1"/>
  <c r="O44" s="1"/>
  <c r="G43"/>
  <c r="O43" s="1"/>
  <c r="E43"/>
  <c r="M42"/>
  <c r="E42"/>
  <c r="M41"/>
  <c r="E41"/>
  <c r="G41" s="1"/>
  <c r="O41" s="1"/>
  <c r="M40"/>
  <c r="E40"/>
  <c r="H39"/>
  <c r="E39"/>
  <c r="B39"/>
  <c r="G20" i="8"/>
  <c r="G21"/>
  <c r="G22"/>
  <c r="G23"/>
  <c r="G24"/>
  <c r="G25"/>
  <c r="G26"/>
  <c r="G27"/>
  <c r="G28"/>
  <c r="G29"/>
  <c r="G30"/>
  <c r="G31"/>
  <c r="G32"/>
  <c r="I19"/>
  <c r="F20"/>
  <c r="F21"/>
  <c r="I21" s="1"/>
  <c r="F22"/>
  <c r="F23"/>
  <c r="I23" s="1"/>
  <c r="F24"/>
  <c r="F25"/>
  <c r="I25" s="1"/>
  <c r="F26"/>
  <c r="F27"/>
  <c r="I27" s="1"/>
  <c r="F28"/>
  <c r="F29"/>
  <c r="I29" s="1"/>
  <c r="F30"/>
  <c r="F31"/>
  <c r="I31" s="1"/>
  <c r="F32"/>
  <c r="F18"/>
  <c r="B23" i="1"/>
  <c r="B24"/>
  <c r="B25"/>
  <c r="B26"/>
  <c r="B27"/>
  <c r="B28"/>
  <c r="B29"/>
  <c r="B30"/>
  <c r="B31"/>
  <c r="B32"/>
  <c r="B33"/>
  <c r="B22"/>
  <c r="E23"/>
  <c r="E25"/>
  <c r="E28"/>
  <c r="O33"/>
  <c r="M33"/>
  <c r="E33"/>
  <c r="G33" s="1"/>
  <c r="O32"/>
  <c r="M32"/>
  <c r="E32"/>
  <c r="G32" s="1"/>
  <c r="O31"/>
  <c r="M31"/>
  <c r="E31"/>
  <c r="G31" s="1"/>
  <c r="O30"/>
  <c r="M30"/>
  <c r="E30"/>
  <c r="G30" s="1"/>
  <c r="O29"/>
  <c r="M29"/>
  <c r="E29"/>
  <c r="G29" s="1"/>
  <c r="J28"/>
  <c r="M28" s="1"/>
  <c r="M27"/>
  <c r="E27"/>
  <c r="G27" s="1"/>
  <c r="O27" s="1"/>
  <c r="M26"/>
  <c r="E26"/>
  <c r="G26" s="1"/>
  <c r="O26" s="1"/>
  <c r="J25"/>
  <c r="M25" s="1"/>
  <c r="M24"/>
  <c r="E24"/>
  <c r="G24" s="1"/>
  <c r="O24" s="1"/>
  <c r="J23"/>
  <c r="M23" s="1"/>
  <c r="H22"/>
  <c r="E22"/>
  <c r="H34" i="8"/>
  <c r="G30" i="5"/>
  <c r="B7" i="1"/>
  <c r="B8"/>
  <c r="B9"/>
  <c r="B10"/>
  <c r="B11"/>
  <c r="B12"/>
  <c r="B13"/>
  <c r="B14"/>
  <c r="B15"/>
  <c r="B16"/>
  <c r="B20" i="8"/>
  <c r="B21"/>
  <c r="B22"/>
  <c r="B23"/>
  <c r="B24"/>
  <c r="B25"/>
  <c r="B26"/>
  <c r="B27"/>
  <c r="B28"/>
  <c r="B29"/>
  <c r="B30"/>
  <c r="B31"/>
  <c r="B32"/>
  <c r="B19"/>
  <c r="I32"/>
  <c r="I30"/>
  <c r="I28"/>
  <c r="I26"/>
  <c r="I24"/>
  <c r="I22"/>
  <c r="I20"/>
  <c r="H15" i="5"/>
  <c r="F16"/>
  <c r="H16" s="1"/>
  <c r="H17"/>
  <c r="H18"/>
  <c r="H19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 s="1"/>
  <c r="F28"/>
  <c r="H28" s="1"/>
  <c r="F14"/>
  <c r="H14" s="1"/>
  <c r="B14"/>
  <c r="B6" i="1"/>
  <c r="E6" i="4"/>
  <c r="E7"/>
  <c r="E8"/>
  <c r="E9"/>
  <c r="E10"/>
  <c r="E11"/>
  <c r="E12"/>
  <c r="E13"/>
  <c r="E14"/>
  <c r="E15"/>
  <c r="E16"/>
  <c r="E17"/>
  <c r="E18"/>
  <c r="E19"/>
  <c r="E20"/>
  <c r="I19" i="10" l="1"/>
  <c r="I33"/>
  <c r="I34" s="1"/>
  <c r="I35" s="1"/>
  <c r="E9" i="1"/>
  <c r="E7"/>
  <c r="E12"/>
  <c r="G8"/>
  <c r="I42"/>
  <c r="G42" s="1"/>
  <c r="O42" s="1"/>
  <c r="G40"/>
  <c r="O40" s="1"/>
  <c r="I45"/>
  <c r="G45" s="1"/>
  <c r="O45" s="1"/>
  <c r="I25"/>
  <c r="G25" s="1"/>
  <c r="O25" s="1"/>
  <c r="I23"/>
  <c r="G23" s="1"/>
  <c r="O23" s="1"/>
  <c r="I28"/>
  <c r="G28" s="1"/>
  <c r="O28" s="1"/>
  <c r="H29" i="5"/>
  <c r="H30" s="1"/>
  <c r="H31" s="1"/>
  <c r="I12" i="1"/>
  <c r="G12" s="1"/>
  <c r="O12" s="1"/>
  <c r="I9" l="1"/>
  <c r="G9" l="1"/>
  <c r="O9" s="1"/>
  <c r="M9"/>
  <c r="I7"/>
  <c r="B18" i="8"/>
  <c r="I18"/>
  <c r="I33" s="1"/>
  <c r="G7" i="1" l="1"/>
  <c r="O7" s="1"/>
  <c r="O17" s="1"/>
  <c r="M7"/>
  <c r="M17"/>
  <c r="I34" i="8"/>
  <c r="I35" s="1"/>
  <c r="H6" i="1"/>
</calcChain>
</file>

<file path=xl/comments1.xml><?xml version="1.0" encoding="utf-8"?>
<comments xmlns="http://schemas.openxmlformats.org/spreadsheetml/2006/main">
  <authors>
    <author>Aline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inserer code client</t>
        </r>
        <r>
          <rPr>
            <sz val="9"/>
            <color indexed="81"/>
            <rFont val="Tahoma"/>
            <family val="2"/>
          </rPr>
          <t xml:space="preserve">
taper les innitials seulement du client en minuscule et nom et prenom</t>
        </r>
      </text>
    </comment>
    <comment ref="A6" authorId="0">
      <text>
        <r>
          <rPr>
            <sz val="9"/>
            <color indexed="81"/>
            <rFont val="Tahoma"/>
            <family val="2"/>
          </rPr>
          <t xml:space="preserve">mettre sc pour scea ou et pour ETA
</t>
        </r>
      </text>
    </comment>
    <comment ref="G34" authorId="0">
      <text>
        <r>
          <rPr>
            <sz val="9"/>
            <color indexed="81"/>
            <rFont val="Tahoma"/>
            <family val="2"/>
          </rPr>
          <t xml:space="preserve">insererseulement le taux de tva
</t>
        </r>
      </text>
    </comment>
  </commentList>
</comments>
</file>

<file path=xl/comments2.xml><?xml version="1.0" encoding="utf-8"?>
<comments xmlns="http://schemas.openxmlformats.org/spreadsheetml/2006/main">
  <authors>
    <author>Aline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inserer code client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>
      <text>
        <r>
          <rPr>
            <sz val="9"/>
            <color indexed="81"/>
            <rFont val="Tahoma"/>
            <family val="2"/>
          </rPr>
          <t xml:space="preserve">mettre sc pour scea ou et pour ETA
</t>
        </r>
      </text>
    </comment>
    <comment ref="F30" authorId="0">
      <text>
        <r>
          <rPr>
            <sz val="9"/>
            <color indexed="81"/>
            <rFont val="Tahoma"/>
            <family val="2"/>
          </rPr>
          <t xml:space="preserve">insererseulement le taux de tva
</t>
        </r>
      </text>
    </comment>
    <comment ref="N34" authorId="0">
      <text>
        <r>
          <rPr>
            <sz val="9"/>
            <color indexed="81"/>
            <rFont val="Tahoma"/>
            <family val="2"/>
          </rPr>
          <t xml:space="preserve">insererseulement le taux de tva
</t>
        </r>
      </text>
    </comment>
  </commentList>
</comments>
</file>

<file path=xl/comments3.xml><?xml version="1.0" encoding="utf-8"?>
<comments xmlns="http://schemas.openxmlformats.org/spreadsheetml/2006/main">
  <authors>
    <author>Aline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inserer code client</t>
        </r>
        <r>
          <rPr>
            <sz val="9"/>
            <color indexed="81"/>
            <rFont val="Tahoma"/>
            <family val="2"/>
          </rPr>
          <t xml:space="preserve">
taper les innitials seulement du client en minuscule et nom et prenom</t>
        </r>
      </text>
    </comment>
    <comment ref="A6" authorId="0">
      <text>
        <r>
          <rPr>
            <sz val="9"/>
            <color indexed="81"/>
            <rFont val="Tahoma"/>
            <family val="2"/>
          </rPr>
          <t xml:space="preserve">mettre sc pour scea ou et pour ETA
</t>
        </r>
      </text>
    </comment>
    <comment ref="G34" authorId="0">
      <text>
        <r>
          <rPr>
            <sz val="9"/>
            <color indexed="81"/>
            <rFont val="Tahoma"/>
            <family val="2"/>
          </rPr>
          <t xml:space="preserve">insererseulement le taux de tva
</t>
        </r>
      </text>
    </comment>
  </commentList>
</comments>
</file>

<file path=xl/comments4.xml><?xml version="1.0" encoding="utf-8"?>
<comments xmlns="http://schemas.openxmlformats.org/spreadsheetml/2006/main">
  <authors>
    <author>Aline</author>
  </authors>
  <commentList>
    <comment ref="A2" authorId="0">
      <text>
        <r>
          <rPr>
            <sz val="9"/>
            <color indexed="81"/>
            <rFont val="Tahoma"/>
            <family val="2"/>
          </rPr>
          <t xml:space="preserve">mettre sc pour scea ou et pour ETA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inserer code client</t>
        </r>
        <r>
          <rPr>
            <sz val="9"/>
            <color indexed="81"/>
            <rFont val="Tahoma"/>
            <family val="2"/>
          </rPr>
          <t xml:space="preserve">
taper les innitials seulement du client en minuscule et nom et prenom</t>
        </r>
      </text>
    </comment>
    <comment ref="G34" authorId="0">
      <text>
        <r>
          <rPr>
            <sz val="9"/>
            <color indexed="81"/>
            <rFont val="Tahoma"/>
            <family val="2"/>
          </rPr>
          <t xml:space="preserve">insererseulement le taux de tva
</t>
        </r>
      </text>
    </comment>
  </commentList>
</comments>
</file>

<file path=xl/sharedStrings.xml><?xml version="1.0" encoding="utf-8"?>
<sst xmlns="http://schemas.openxmlformats.org/spreadsheetml/2006/main" count="302" uniqueCount="248">
  <si>
    <t>Gestion des Stocks</t>
  </si>
  <si>
    <t>Stocks Entées</t>
  </si>
  <si>
    <t>Stocks Sorties</t>
  </si>
  <si>
    <t>Stocks Réelles</t>
  </si>
  <si>
    <t>Valeurs Sorties</t>
  </si>
  <si>
    <t>Valeurs Restantes</t>
  </si>
  <si>
    <t>Tonnes</t>
  </si>
  <si>
    <t>€/Tonnes</t>
  </si>
  <si>
    <t>Bottes</t>
  </si>
  <si>
    <t>Code</t>
  </si>
  <si>
    <t>Produits</t>
  </si>
  <si>
    <t>pnp</t>
  </si>
  <si>
    <t>png</t>
  </si>
  <si>
    <t>Designation produit</t>
  </si>
  <si>
    <t>Code vente</t>
  </si>
  <si>
    <t>Clients</t>
  </si>
  <si>
    <t>cv2</t>
  </si>
  <si>
    <t>cv3</t>
  </si>
  <si>
    <t>cv4</t>
  </si>
  <si>
    <t>cv5</t>
  </si>
  <si>
    <t>cv6</t>
  </si>
  <si>
    <t>cv7</t>
  </si>
  <si>
    <t>cv8</t>
  </si>
  <si>
    <t>cv9</t>
  </si>
  <si>
    <t>cv10</t>
  </si>
  <si>
    <t>cv11</t>
  </si>
  <si>
    <t>cv12</t>
  </si>
  <si>
    <t>cv13</t>
  </si>
  <si>
    <t>cv14</t>
  </si>
  <si>
    <t>cv15</t>
  </si>
  <si>
    <t>cv16</t>
  </si>
  <si>
    <t>cv17</t>
  </si>
  <si>
    <t>2;;;;;;;</t>
  </si>
  <si>
    <t>Code Pressage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</si>
  <si>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</si>
  <si>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</si>
  <si>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</si>
  <si>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</si>
  <si>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</si>
  <si>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</si>
  <si>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</si>
  <si>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</si>
  <si>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</si>
  <si>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</si>
  <si>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</si>
  <si>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</si>
  <si>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</si>
  <si>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</si>
  <si>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 xml:space="preserve">Vanlauwe Thomas </t>
  </si>
  <si>
    <t>Earl Patron</t>
  </si>
  <si>
    <t>Cochaudron jean phillipe</t>
  </si>
  <si>
    <t>sebillotte</t>
  </si>
  <si>
    <t>c1</t>
  </si>
  <si>
    <t>vivian</t>
  </si>
  <si>
    <t>C1</t>
  </si>
  <si>
    <t>C7</t>
  </si>
  <si>
    <t>EMILIEN</t>
  </si>
  <si>
    <t>C3</t>
  </si>
  <si>
    <t>C4</t>
  </si>
  <si>
    <t>C5</t>
  </si>
  <si>
    <t>C6</t>
  </si>
  <si>
    <t>c3</t>
  </si>
  <si>
    <t>carole</t>
  </si>
  <si>
    <t>grande</t>
  </si>
  <si>
    <t>h</t>
  </si>
  <si>
    <t>boulanger</t>
  </si>
  <si>
    <t>Pb</t>
  </si>
  <si>
    <t>Paille de Blé</t>
  </si>
  <si>
    <t>po</t>
  </si>
  <si>
    <t>Paille d'orge</t>
  </si>
  <si>
    <t>ps</t>
  </si>
  <si>
    <t>Paille de seigle</t>
  </si>
  <si>
    <t>pp</t>
  </si>
  <si>
    <t>Paille de pois</t>
  </si>
  <si>
    <t>pc</t>
  </si>
  <si>
    <t>pb</t>
  </si>
  <si>
    <t>€</t>
  </si>
  <si>
    <t>essai</t>
  </si>
  <si>
    <t>le :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</si>
  <si>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</si>
  <si>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</si>
  <si>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</si>
  <si>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</si>
  <si>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</si>
  <si>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</si>
  <si>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</si>
  <si>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</si>
  <si>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</si>
  <si>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</si>
  <si>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</si>
  <si>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</si>
  <si>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</si>
  <si>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</si>
  <si>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</si>
  <si>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cp33</t>
  </si>
  <si>
    <t>cp34</t>
  </si>
  <si>
    <t>cp35</t>
  </si>
  <si>
    <t>89580 coulangeron</t>
  </si>
  <si>
    <t xml:space="preserve">emilien horton </t>
  </si>
  <si>
    <t>Facture n °</t>
  </si>
  <si>
    <t>Total €</t>
  </si>
  <si>
    <t>adresse</t>
  </si>
  <si>
    <t>code postale</t>
  </si>
  <si>
    <t>cv18</t>
  </si>
  <si>
    <t>cv19</t>
  </si>
  <si>
    <t>cv20</t>
  </si>
  <si>
    <t>cv21</t>
  </si>
  <si>
    <t>cv22</t>
  </si>
  <si>
    <t>cv23</t>
  </si>
  <si>
    <t>cv24</t>
  </si>
  <si>
    <t>cv25</t>
  </si>
  <si>
    <t>cv26</t>
  </si>
  <si>
    <t>cv27</t>
  </si>
  <si>
    <t>cv28</t>
  </si>
  <si>
    <t>cv29</t>
  </si>
  <si>
    <t>cv30</t>
  </si>
  <si>
    <t>cv31</t>
  </si>
  <si>
    <t>cv32</t>
  </si>
  <si>
    <t>cv33</t>
  </si>
  <si>
    <t>cv34</t>
  </si>
  <si>
    <t>cv35</t>
  </si>
  <si>
    <t>cv36</t>
  </si>
  <si>
    <t>cv37</t>
  </si>
  <si>
    <t>Designation</t>
  </si>
  <si>
    <t>Totale bottes</t>
  </si>
  <si>
    <t>Total TTC :</t>
  </si>
  <si>
    <t>Total HT :</t>
  </si>
  <si>
    <t>code travax</t>
  </si>
  <si>
    <t>travaux</t>
  </si>
  <si>
    <t>Pg</t>
  </si>
  <si>
    <t>Pressage botte cubique 120 /70</t>
  </si>
  <si>
    <t>€ / Tonne</t>
  </si>
  <si>
    <t>Total Tonnes</t>
  </si>
  <si>
    <t>ep</t>
  </si>
  <si>
    <t>Epareuse</t>
  </si>
  <si>
    <t>lm</t>
  </si>
  <si>
    <t>Location Maniscope</t>
  </si>
  <si>
    <t>lt</t>
  </si>
  <si>
    <t>Location tracteur</t>
  </si>
  <si>
    <t>lb</t>
  </si>
  <si>
    <t>Location benne</t>
  </si>
  <si>
    <t>vt</t>
  </si>
  <si>
    <t>he</t>
  </si>
  <si>
    <t>cj</t>
  </si>
  <si>
    <t>code tva</t>
  </si>
  <si>
    <t>taux tva</t>
  </si>
  <si>
    <t>2018.01.001</t>
  </si>
  <si>
    <t>pl</t>
  </si>
  <si>
    <t>Paille de Lin</t>
  </si>
  <si>
    <t>Paille de Colza</t>
  </si>
  <si>
    <t>Tva : 5,5 %</t>
  </si>
  <si>
    <t>Tva : 7,5 %</t>
  </si>
  <si>
    <t>Tva : 10 %</t>
  </si>
  <si>
    <t>Tva : 20 %</t>
  </si>
  <si>
    <t>mo</t>
  </si>
  <si>
    <t>Main d'œuvre</t>
  </si>
  <si>
    <t>Facture travaux</t>
  </si>
  <si>
    <t>Facture vente</t>
  </si>
  <si>
    <t>Stocks Escamps</t>
  </si>
  <si>
    <t>Prix unitaire</t>
  </si>
  <si>
    <t>CHARREY</t>
  </si>
  <si>
    <t>89110 MARROLES SUR LIGNIERES</t>
  </si>
  <si>
    <t>cf</t>
  </si>
  <si>
    <t>HORTON Emilien</t>
  </si>
  <si>
    <t>10 rue des prés verdeaux</t>
  </si>
  <si>
    <t>89580 COULANGERON</t>
  </si>
  <si>
    <t xml:space="preserve"> Mr CHAPELLIER Françis</t>
  </si>
  <si>
    <t>Stocks X</t>
  </si>
  <si>
    <t>n° facture</t>
  </si>
  <si>
    <t>montant</t>
  </si>
  <si>
    <t>Gestion Facture Vente</t>
  </si>
  <si>
    <t>Gestion Facture Travaux</t>
  </si>
  <si>
    <t>clients</t>
  </si>
  <si>
    <t>Total:</t>
  </si>
  <si>
    <t>bc</t>
  </si>
  <si>
    <t>Broyage de cailloux</t>
  </si>
  <si>
    <t>bv</t>
  </si>
  <si>
    <t>bb</t>
  </si>
  <si>
    <t>Broyage de branche</t>
  </si>
  <si>
    <t>fa</t>
  </si>
  <si>
    <t>Fauchage de prairie</t>
  </si>
  <si>
    <t xml:space="preserve">Fanage </t>
  </si>
  <si>
    <t>an</t>
  </si>
  <si>
    <t>Andainage</t>
  </si>
  <si>
    <t>Broyage végètale</t>
  </si>
  <si>
    <t>sc</t>
  </si>
  <si>
    <t>SCEA HORTON</t>
  </si>
  <si>
    <t>9 rue des saulers</t>
  </si>
  <si>
    <t>89 240 Escamps</t>
  </si>
  <si>
    <t>Numéro Siret:</t>
  </si>
  <si>
    <t>et</t>
  </si>
  <si>
    <t>ETA HORTON</t>
  </si>
  <si>
    <t>89 580 Coulangeron</t>
  </si>
  <si>
    <t>E mail: emilienhorton@hotmail.fr</t>
  </si>
  <si>
    <t>E mail:emilienhorton@hotmail.fr</t>
  </si>
  <si>
    <t>code</t>
  </si>
  <si>
    <t>facture</t>
  </si>
  <si>
    <t>Gestion facture achat</t>
  </si>
  <si>
    <t>HORTON EMILIEN</t>
  </si>
  <si>
    <t>11 rue des prés verdeaux</t>
  </si>
  <si>
    <t>SC</t>
  </si>
  <si>
    <t>HE</t>
  </si>
  <si>
    <t>or</t>
  </si>
  <si>
    <t>Orge</t>
  </si>
  <si>
    <t>bl</t>
  </si>
  <si>
    <t>Blé</t>
  </si>
  <si>
    <t>Lin</t>
  </si>
  <si>
    <t>li</t>
  </si>
  <si>
    <t>le</t>
  </si>
  <si>
    <t>Lentille</t>
  </si>
  <si>
    <t>Colza</t>
  </si>
  <si>
    <t>Co</t>
  </si>
  <si>
    <t>av</t>
  </si>
  <si>
    <t>Avoine</t>
  </si>
  <si>
    <t>pbp</t>
  </si>
  <si>
    <t>Paille de blé petite botte</t>
  </si>
  <si>
    <t>pop</t>
  </si>
  <si>
    <t>Paille d'orge petite botte</t>
  </si>
  <si>
    <t>plp</t>
  </si>
  <si>
    <t>Paille de lin petite botte</t>
  </si>
  <si>
    <t>Client</t>
  </si>
  <si>
    <t>Date</t>
  </si>
  <si>
    <t>Facture</t>
  </si>
  <si>
    <t>Montant</t>
  </si>
  <si>
    <t>Fournisseur</t>
  </si>
  <si>
    <t>Regler</t>
  </si>
  <si>
    <t>Le :</t>
  </si>
  <si>
    <t>Facture n°</t>
  </si>
  <si>
    <t>Le:</t>
  </si>
  <si>
    <t>Foin Paquet petite botte</t>
  </si>
  <si>
    <t>fcu</t>
  </si>
  <si>
    <t>Foin botte cubique 120 / 70</t>
  </si>
  <si>
    <t>psp</t>
  </si>
  <si>
    <t>Paille de seigle petite bottes</t>
  </si>
  <si>
    <t>fpb</t>
  </si>
  <si>
    <t>Total</t>
  </si>
  <si>
    <t>pour réparation de la charrue avec soudure</t>
  </si>
  <si>
    <t>et petite fourniture.</t>
  </si>
  <si>
    <t>ca</t>
  </si>
  <si>
    <t>CHOCAT ALAIN</t>
  </si>
  <si>
    <t>9 Rue des coudres</t>
  </si>
  <si>
    <t>89560 CHASTENAY</t>
  </si>
  <si>
    <t>CA</t>
  </si>
  <si>
    <t>18-02-001</t>
  </si>
  <si>
    <t>Centre agrée : CER France</t>
  </si>
  <si>
    <t xml:space="preserve">Payement sous 30 jours ou fin de mois a compter de reception de cette facture, </t>
  </si>
  <si>
    <t>en vous remercient  de votre confiance</t>
  </si>
  <si>
    <t>Numéro TVA Intracommunautaire: FR9543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</si>
</sst>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</numFmts>
  <fonts count="27">
    <font>
      <sz val="11"/>
      <color theme="1"/>
      <name val="Calibri"/>
      <family val="2"/>
      <scheme val="minor"/>
    </font>
    <font>
      <b/>
      <i/>
      <sz val="22"/>
      <color theme="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4"/>
      <name val="Calibri"/>
      <family val="2"/>
      <scheme val="minor"/>
    </font>
    <font>
      <sz val="16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u/>
      <sz val="13.2"/>
      <color theme="10"/>
      <name val="Calibri"/>
      <family val="2"/>
    </font>
    <font>
      <b/>
      <i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7" fillId="0" borderId="0" xfId="0" applyFont="1"/>
    <xf numFmtId="164" fontId="0" fillId="0" borderId="0" xfId="0" applyNumberFormat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/>
    </xf>
    <xf numFmtId="2" fontId="0" fillId="0" borderId="0" xfId="0" applyNumberFormat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3" xfId="0" applyBorder="1"/>
    <xf numFmtId="0" fontId="0" fillId="0" borderId="25" xfId="0" applyBorder="1"/>
    <xf numFmtId="0" fontId="0" fillId="0" borderId="17" xfId="0" applyBorder="1"/>
    <xf numFmtId="0" fontId="0" fillId="0" borderId="18" xfId="0" applyBorder="1"/>
    <xf numFmtId="0" fontId="0" fillId="0" borderId="26" xfId="0" applyBorder="1"/>
    <xf numFmtId="0" fontId="0" fillId="0" borderId="11" xfId="0" applyBorder="1"/>
    <xf numFmtId="0" fontId="11" fillId="0" borderId="27" xfId="0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0" fillId="2" borderId="23" xfId="0" applyFill="1" applyBorder="1"/>
    <xf numFmtId="0" fontId="7" fillId="3" borderId="23" xfId="0" applyFont="1" applyFill="1" applyBorder="1"/>
    <xf numFmtId="0" fontId="7" fillId="3" borderId="17" xfId="0" applyFont="1" applyFill="1" applyBorder="1"/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0" fontId="0" fillId="0" borderId="0" xfId="0" applyNumberFormat="1"/>
    <xf numFmtId="44" fontId="0" fillId="0" borderId="21" xfId="1" applyFont="1" applyBorder="1"/>
    <xf numFmtId="44" fontId="0" fillId="0" borderId="35" xfId="1" applyFont="1" applyBorder="1"/>
    <xf numFmtId="44" fontId="0" fillId="0" borderId="1" xfId="1" applyFont="1" applyBorder="1" applyAlignment="1">
      <alignment horizontal="center" vertical="center"/>
    </xf>
    <xf numFmtId="44" fontId="0" fillId="0" borderId="28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4" fillId="6" borderId="9" xfId="0" applyNumberFormat="1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0" fillId="9" borderId="23" xfId="0" applyFill="1" applyBorder="1"/>
    <xf numFmtId="0" fontId="0" fillId="8" borderId="23" xfId="0" applyFill="1" applyBorder="1"/>
    <xf numFmtId="0" fontId="0" fillId="2" borderId="0" xfId="0" applyFill="1" applyBorder="1"/>
    <xf numFmtId="0" fontId="0" fillId="0" borderId="0" xfId="0" applyFill="1" applyBorder="1"/>
    <xf numFmtId="44" fontId="0" fillId="0" borderId="25" xfId="1" applyFont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164" fontId="0" fillId="2" borderId="9" xfId="0" applyNumberFormat="1" applyFont="1" applyFill="1" applyBorder="1" applyAlignment="1">
      <alignment horizontal="center" vertical="center"/>
    </xf>
    <xf numFmtId="0" fontId="0" fillId="8" borderId="1" xfId="0" applyFill="1" applyBorder="1"/>
    <xf numFmtId="0" fontId="0" fillId="8" borderId="0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64" fontId="0" fillId="8" borderId="9" xfId="0" applyNumberFormat="1" applyFill="1" applyBorder="1" applyAlignment="1">
      <alignment horizontal="center" vertical="center"/>
    </xf>
    <xf numFmtId="0" fontId="0" fillId="9" borderId="1" xfId="0" applyFill="1" applyBorder="1"/>
    <xf numFmtId="0" fontId="0" fillId="9" borderId="0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164" fontId="0" fillId="9" borderId="9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4" fontId="0" fillId="0" borderId="35" xfId="1" applyFont="1" applyBorder="1" applyAlignment="1">
      <alignment horizontal="center" vertical="center"/>
    </xf>
    <xf numFmtId="44" fontId="0" fillId="0" borderId="0" xfId="1" applyFont="1" applyBorder="1"/>
    <xf numFmtId="44" fontId="0" fillId="0" borderId="0" xfId="1" applyFont="1" applyBorder="1" applyAlignment="1">
      <alignment horizontal="center" vertical="center"/>
    </xf>
    <xf numFmtId="44" fontId="0" fillId="0" borderId="30" xfId="2" applyNumberFormat="1" applyFont="1" applyBorder="1"/>
    <xf numFmtId="164" fontId="0" fillId="0" borderId="0" xfId="2" applyNumberFormat="1" applyFont="1" applyBorder="1"/>
    <xf numFmtId="0" fontId="15" fillId="0" borderId="0" xfId="3" applyAlignment="1" applyProtection="1">
      <alignment horizontal="center" vertical="center"/>
    </xf>
    <xf numFmtId="0" fontId="0" fillId="10" borderId="0" xfId="0" applyFill="1" applyAlignment="1">
      <alignment horizontal="center" vertical="center"/>
    </xf>
    <xf numFmtId="0" fontId="15" fillId="10" borderId="0" xfId="3" applyFill="1" applyAlignment="1" applyProtection="1">
      <alignment horizontal="center" vertical="center"/>
    </xf>
    <xf numFmtId="0" fontId="0" fillId="5" borderId="0" xfId="0" applyFill="1" applyAlignment="1">
      <alignment horizontal="center" vertical="center"/>
    </xf>
    <xf numFmtId="0" fontId="15" fillId="5" borderId="0" xfId="3" applyFill="1" applyAlignment="1" applyProtection="1">
      <alignment horizontal="center" vertical="center"/>
    </xf>
    <xf numFmtId="0" fontId="7" fillId="0" borderId="12" xfId="0" applyFont="1" applyBorder="1"/>
    <xf numFmtId="0" fontId="7" fillId="4" borderId="41" xfId="0" applyFont="1" applyFill="1" applyBorder="1" applyAlignment="1">
      <alignment horizontal="center" vertical="center"/>
    </xf>
    <xf numFmtId="164" fontId="0" fillId="9" borderId="42" xfId="0" applyNumberFormat="1" applyFill="1" applyBorder="1" applyAlignment="1">
      <alignment horizontal="center" vertical="center"/>
    </xf>
    <xf numFmtId="0" fontId="7" fillId="0" borderId="23" xfId="0" applyFont="1" applyBorder="1"/>
    <xf numFmtId="164" fontId="13" fillId="4" borderId="42" xfId="0" applyNumberFormat="1" applyFont="1" applyFill="1" applyBorder="1" applyAlignment="1">
      <alignment horizontal="center" vertical="center"/>
    </xf>
    <xf numFmtId="164" fontId="0" fillId="8" borderId="42" xfId="0" applyNumberFormat="1" applyFill="1" applyBorder="1" applyAlignment="1">
      <alignment horizontal="center" vertical="center"/>
    </xf>
    <xf numFmtId="0" fontId="0" fillId="2" borderId="23" xfId="0" applyFont="1" applyFill="1" applyBorder="1"/>
    <xf numFmtId="164" fontId="0" fillId="2" borderId="42" xfId="0" applyNumberFormat="1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0" fillId="2" borderId="1" xfId="0" applyFill="1" applyBorder="1"/>
    <xf numFmtId="0" fontId="7" fillId="0" borderId="23" xfId="0" applyFont="1" applyFill="1" applyBorder="1"/>
    <xf numFmtId="0" fontId="7" fillId="0" borderId="43" xfId="0" applyFont="1" applyBorder="1" applyAlignment="1">
      <alignment horizontal="center" vertical="center"/>
    </xf>
    <xf numFmtId="0" fontId="0" fillId="9" borderId="44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8" borderId="44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44" fontId="0" fillId="0" borderId="0" xfId="1" applyFont="1" applyFill="1" applyBorder="1"/>
    <xf numFmtId="0" fontId="0" fillId="0" borderId="13" xfId="0" applyBorder="1"/>
    <xf numFmtId="165" fontId="0" fillId="0" borderId="0" xfId="1" applyNumberFormat="1" applyFont="1" applyBorder="1"/>
    <xf numFmtId="0" fontId="7" fillId="0" borderId="0" xfId="0" applyFont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45" xfId="0" applyFont="1" applyBorder="1"/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0" fillId="2" borderId="1" xfId="0" applyFont="1" applyFill="1" applyBorder="1"/>
    <xf numFmtId="0" fontId="0" fillId="0" borderId="4" xfId="0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7" fillId="0" borderId="45" xfId="0" applyNumberFormat="1" applyFont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0" fillId="9" borderId="2" xfId="0" applyNumberForma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0" fillId="8" borderId="0" xfId="0" applyNumberForma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Font="1" applyFill="1" applyBorder="1" applyAlignment="1">
      <alignment horizontal="center" vertical="center"/>
    </xf>
    <xf numFmtId="0" fontId="7" fillId="0" borderId="6" xfId="0" applyFont="1" applyBorder="1"/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20" fillId="0" borderId="6" xfId="0" applyNumberFormat="1" applyFont="1" applyFill="1" applyBorder="1" applyAlignment="1">
      <alignment horizontal="right" vertical="center"/>
    </xf>
    <xf numFmtId="164" fontId="0" fillId="12" borderId="9" xfId="0" applyNumberFormat="1" applyFont="1" applyFill="1" applyBorder="1" applyAlignment="1">
      <alignment horizontal="center" vertical="center"/>
    </xf>
    <xf numFmtId="164" fontId="20" fillId="12" borderId="6" xfId="0" applyNumberFormat="1" applyFont="1" applyFill="1" applyBorder="1" applyAlignment="1">
      <alignment horizontal="center" vertical="center"/>
    </xf>
    <xf numFmtId="164" fontId="0" fillId="13" borderId="9" xfId="0" applyNumberFormat="1" applyFill="1" applyBorder="1" applyAlignment="1">
      <alignment horizontal="center" vertical="center"/>
    </xf>
    <xf numFmtId="164" fontId="20" fillId="13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7" xfId="0" applyFont="1" applyBorder="1"/>
    <xf numFmtId="0" fontId="7" fillId="0" borderId="4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21" fillId="0" borderId="12" xfId="0" applyFont="1" applyBorder="1"/>
    <xf numFmtId="0" fontId="21" fillId="0" borderId="13" xfId="0" applyFont="1" applyBorder="1"/>
    <xf numFmtId="0" fontId="0" fillId="0" borderId="24" xfId="0" applyBorder="1"/>
    <xf numFmtId="0" fontId="15" fillId="0" borderId="0" xfId="3" applyBorder="1" applyAlignment="1" applyProtection="1"/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0" fillId="10" borderId="23" xfId="0" applyFill="1" applyBorder="1"/>
    <xf numFmtId="0" fontId="0" fillId="10" borderId="0" xfId="0" applyFill="1" applyBorder="1"/>
    <xf numFmtId="0" fontId="3" fillId="14" borderId="10" xfId="0" applyFont="1" applyFill="1" applyBorder="1" applyAlignment="1">
      <alignment horizontal="center" vertical="center"/>
    </xf>
    <xf numFmtId="0" fontId="0" fillId="14" borderId="9" xfId="0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7" fillId="14" borderId="14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24" fillId="0" borderId="0" xfId="3" applyFont="1" applyAlignment="1" applyProtection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0" fontId="25" fillId="2" borderId="0" xfId="0" applyFont="1" applyFill="1" applyAlignment="1">
      <alignment horizontal="center"/>
    </xf>
    <xf numFmtId="14" fontId="25" fillId="2" borderId="0" xfId="0" applyNumberFormat="1" applyFont="1" applyFill="1" applyAlignment="1">
      <alignment horizontal="center"/>
    </xf>
    <xf numFmtId="164" fontId="25" fillId="2" borderId="0" xfId="0" applyNumberFormat="1" applyFont="1" applyFill="1" applyAlignment="1">
      <alignment horizontal="center" vertical="center"/>
    </xf>
    <xf numFmtId="0" fontId="7" fillId="3" borderId="0" xfId="0" applyFont="1" applyFill="1" applyBorder="1"/>
    <xf numFmtId="0" fontId="0" fillId="3" borderId="0" xfId="0" applyFill="1" applyBorder="1"/>
    <xf numFmtId="0" fontId="11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44" fontId="0" fillId="0" borderId="0" xfId="2" applyNumberFormat="1" applyFont="1" applyBorder="1"/>
    <xf numFmtId="14" fontId="0" fillId="0" borderId="0" xfId="0" applyNumberFormat="1"/>
    <xf numFmtId="0" fontId="0" fillId="0" borderId="42" xfId="0" applyBorder="1" applyAlignment="1">
      <alignment horizontal="center" vertical="center"/>
    </xf>
    <xf numFmtId="44" fontId="0" fillId="0" borderId="16" xfId="1" applyFont="1" applyBorder="1"/>
    <xf numFmtId="0" fontId="0" fillId="0" borderId="23" xfId="0" applyFill="1" applyBorder="1"/>
    <xf numFmtId="44" fontId="0" fillId="0" borderId="42" xfId="1" applyFont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8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PERSONAL"/>
    </sheetNames>
    <definedNames>
      <definedName name="enregistré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tabColor rgb="FFFFFF00"/>
  </sheetPr>
  <dimension ref="A1:O49"/>
  <sheetViews>
    <sheetView zoomScale="120" zoomScaleNormal="120" workbookViewId="0">
      <pane ySplit="5" topLeftCell="A6" activePane="bottomLeft" state="frozen"/>
      <selection pane="bottomLeft" activeCell="L12" sqref="L12"/>
    </sheetView>
  </sheetViews>
  <sheetFormatPr baseColWidth="10" defaultRowHeight="15"/>
  <cols>
    <col min="1" max="1" width="4.42578125" customWidth="1"/>
    <col min="2" max="10" width="11.42578125" style="2"/>
    <col min="11" max="11" width="1.7109375" style="2" hidden="1" customWidth="1"/>
    <col min="12" max="12" width="13.7109375" style="20" customWidth="1"/>
    <col min="13" max="13" width="12.140625" style="2" customWidth="1"/>
    <col min="14" max="14" width="11.42578125" style="20"/>
    <col min="15" max="15" width="11.42578125" style="2"/>
  </cols>
  <sheetData>
    <row r="1" spans="1:15" ht="29.25" thickBot="1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2"/>
    </row>
    <row r="2" spans="1:15" ht="18">
      <c r="B2" s="102"/>
      <c r="C2" s="103" t="s">
        <v>157</v>
      </c>
      <c r="D2" s="103"/>
      <c r="E2" s="100"/>
      <c r="F2" s="101" t="s">
        <v>156</v>
      </c>
      <c r="G2" s="101"/>
      <c r="H2" s="99"/>
    </row>
    <row r="3" spans="1:15" ht="15.75" thickBot="1"/>
    <row r="4" spans="1:15" ht="21">
      <c r="A4" s="228" t="s">
        <v>13</v>
      </c>
      <c r="B4" s="229"/>
      <c r="C4" s="229"/>
      <c r="D4" s="230"/>
      <c r="E4" s="225" t="s">
        <v>1</v>
      </c>
      <c r="F4" s="234"/>
      <c r="G4" s="225" t="s">
        <v>2</v>
      </c>
      <c r="H4" s="234"/>
      <c r="I4" s="225" t="s">
        <v>3</v>
      </c>
      <c r="J4" s="234"/>
      <c r="K4" s="6"/>
      <c r="L4" s="225" t="s">
        <v>5</v>
      </c>
      <c r="M4" s="235"/>
      <c r="N4" s="225" t="s">
        <v>4</v>
      </c>
      <c r="O4" s="226"/>
    </row>
    <row r="5" spans="1:15" ht="21" customHeight="1" thickBot="1">
      <c r="A5" s="231"/>
      <c r="B5" s="232"/>
      <c r="C5" s="232"/>
      <c r="D5" s="233"/>
      <c r="E5" s="7" t="s">
        <v>6</v>
      </c>
      <c r="F5" s="182" t="s">
        <v>8</v>
      </c>
      <c r="G5" s="7" t="s">
        <v>6</v>
      </c>
      <c r="H5" s="184" t="s">
        <v>8</v>
      </c>
      <c r="I5" s="7" t="s">
        <v>6</v>
      </c>
      <c r="J5" s="184" t="s">
        <v>8</v>
      </c>
      <c r="K5" s="7"/>
      <c r="L5" s="21" t="s">
        <v>7</v>
      </c>
      <c r="M5" s="7" t="s">
        <v>76</v>
      </c>
      <c r="N5" s="21" t="s">
        <v>7</v>
      </c>
      <c r="O5" s="8" t="s">
        <v>76</v>
      </c>
    </row>
    <row r="6" spans="1:15" s="19" customFormat="1" ht="15" customHeight="1">
      <c r="A6" s="15"/>
      <c r="B6" s="214" t="str">
        <f>IF(A6="","",VLOOKUP(A6,'Code '!$A$3:$B$42,2,FALSE))</f>
        <v/>
      </c>
      <c r="C6" s="214"/>
      <c r="D6" s="214"/>
      <c r="E6" s="16" t="str">
        <f>IF(A6="","",SUM(F6*0.3))</f>
        <v/>
      </c>
      <c r="F6" s="183" t="str">
        <f t="shared" ref="F6:F15" si="0">IF(A6="","",SUM(F22+F39))</f>
        <v/>
      </c>
      <c r="G6" s="125"/>
      <c r="H6" s="185" t="str">
        <f>IF(J6="","",SUM(J6-'Facture vente'!$H$19))</f>
        <v/>
      </c>
      <c r="I6" s="64"/>
      <c r="J6" s="189" t="str">
        <f t="shared" ref="J6:J7" si="1">IF(A6="","",SUM(F6-H6))</f>
        <v/>
      </c>
      <c r="K6" s="64"/>
      <c r="L6" s="68"/>
      <c r="M6" s="166" t="str">
        <f t="shared" ref="M6:M11" si="2">IF(A6="","",SUM(I6*L6))</f>
        <v/>
      </c>
      <c r="N6" s="68"/>
      <c r="O6" s="164" t="str">
        <f>IF(A6="","",SUM(G6*N6))</f>
        <v/>
      </c>
    </row>
    <row r="7" spans="1:15" ht="20.100000000000001" customHeight="1">
      <c r="A7" s="86" t="s">
        <v>230</v>
      </c>
      <c r="B7" s="216" t="str">
        <f>IF(A7="","",VLOOKUP(A7,'Code '!$A$3:$B$42,2,FALSE))</f>
        <v>Foin botte cubique 120 / 70</v>
      </c>
      <c r="C7" s="216"/>
      <c r="D7" s="217"/>
      <c r="E7" s="87">
        <f>SUM(F7*0.4)</f>
        <v>20</v>
      </c>
      <c r="F7" s="183">
        <f t="shared" si="0"/>
        <v>50</v>
      </c>
      <c r="G7" s="90">
        <f>SUM(E7-I7)</f>
        <v>1.5999999999999979</v>
      </c>
      <c r="H7" s="186">
        <v>4</v>
      </c>
      <c r="I7" s="89">
        <f>SUM(J7*0.4)</f>
        <v>18.400000000000002</v>
      </c>
      <c r="J7" s="189">
        <f t="shared" si="1"/>
        <v>46</v>
      </c>
      <c r="K7" s="89"/>
      <c r="L7" s="91">
        <v>180</v>
      </c>
      <c r="M7" s="166">
        <f t="shared" si="2"/>
        <v>3312.0000000000005</v>
      </c>
      <c r="N7" s="91">
        <v>130</v>
      </c>
      <c r="O7" s="164">
        <f t="shared" ref="O7:O16" si="3">IF(A7="","",SUM(G7*N7))</f>
        <v>207.99999999999972</v>
      </c>
    </row>
    <row r="8" spans="1:15" s="19" customFormat="1">
      <c r="A8" s="15"/>
      <c r="B8" s="214" t="str">
        <f>IF(A8="","",VLOOKUP(A8,'Code '!$A$3:$B$42,2,FALSE))</f>
        <v/>
      </c>
      <c r="C8" s="214"/>
      <c r="D8" s="215"/>
      <c r="E8" s="16" t="str">
        <f>IF(A8="","",SUM(F8*0.3))</f>
        <v/>
      </c>
      <c r="F8" s="183" t="str">
        <f t="shared" si="0"/>
        <v/>
      </c>
      <c r="G8" s="17" t="e">
        <f t="shared" ref="G8:G16" si="4">SUM(E8-I8)</f>
        <v>#VALUE!</v>
      </c>
      <c r="H8" s="187"/>
      <c r="I8" s="13"/>
      <c r="J8" s="189" t="str">
        <f>IF(A8="","",SUM(F8-H8))</f>
        <v/>
      </c>
      <c r="K8" s="13"/>
      <c r="L8" s="18"/>
      <c r="M8" s="166" t="str">
        <f t="shared" si="2"/>
        <v/>
      </c>
      <c r="N8" s="18"/>
      <c r="O8" s="164" t="str">
        <f t="shared" si="3"/>
        <v/>
      </c>
    </row>
    <row r="9" spans="1:15" ht="18" customHeight="1">
      <c r="A9" s="80" t="s">
        <v>234</v>
      </c>
      <c r="B9" s="218" t="str">
        <f>IF(A9="","",VLOOKUP(A9,'Code '!$A$3:$B$42,2,FALSE))</f>
        <v>Foin Paquet petite botte</v>
      </c>
      <c r="C9" s="218"/>
      <c r="D9" s="219"/>
      <c r="E9" s="124">
        <f>SUM(F9*0.4)</f>
        <v>90</v>
      </c>
      <c r="F9" s="183">
        <f t="shared" si="0"/>
        <v>225</v>
      </c>
      <c r="G9" s="84">
        <f>SUM(E9-I9)</f>
        <v>81.2</v>
      </c>
      <c r="H9" s="186">
        <v>203</v>
      </c>
      <c r="I9" s="83">
        <f>SUM(J9*0.4)</f>
        <v>8.8000000000000007</v>
      </c>
      <c r="J9" s="189">
        <f t="shared" ref="J9:J16" si="5">IF(A9="","",SUM(F9-H9))</f>
        <v>22</v>
      </c>
      <c r="K9" s="83"/>
      <c r="L9" s="85">
        <v>220</v>
      </c>
      <c r="M9" s="166">
        <f t="shared" si="2"/>
        <v>1936.0000000000002</v>
      </c>
      <c r="N9" s="85">
        <v>200</v>
      </c>
      <c r="O9" s="164">
        <f t="shared" si="3"/>
        <v>16240</v>
      </c>
    </row>
    <row r="10" spans="1:15" s="19" customFormat="1">
      <c r="A10" s="15"/>
      <c r="B10" s="214" t="str">
        <f>IF(A10="","",VLOOKUP(A10,'Code '!$A$3:$B$42,2,FALSE))</f>
        <v/>
      </c>
      <c r="C10" s="214"/>
      <c r="D10" s="215"/>
      <c r="E10" s="16" t="e">
        <f>SUM(F10*0.4)</f>
        <v>#VALUE!</v>
      </c>
      <c r="F10" s="183" t="str">
        <f t="shared" si="0"/>
        <v/>
      </c>
      <c r="G10" s="16" t="e">
        <f t="shared" si="4"/>
        <v>#VALUE!</v>
      </c>
      <c r="H10" s="188"/>
      <c r="I10" s="14"/>
      <c r="J10" s="189" t="str">
        <f t="shared" si="5"/>
        <v/>
      </c>
      <c r="K10" s="13"/>
      <c r="L10" s="18"/>
      <c r="M10" s="166" t="str">
        <f t="shared" si="2"/>
        <v/>
      </c>
      <c r="N10" s="18"/>
      <c r="O10" s="164" t="str">
        <f t="shared" si="3"/>
        <v/>
      </c>
    </row>
    <row r="11" spans="1:15" s="19" customFormat="1">
      <c r="A11" s="15"/>
      <c r="B11" s="214" t="str">
        <f>IF(A11="","",VLOOKUP(A11,'Code '!$A$3:$B$42,2,FALSE))</f>
        <v/>
      </c>
      <c r="C11" s="214"/>
      <c r="D11" s="215"/>
      <c r="E11" s="16" t="e">
        <f t="shared" ref="E11" si="6">SUM(F11*0.3)</f>
        <v>#VALUE!</v>
      </c>
      <c r="F11" s="183" t="str">
        <f t="shared" si="0"/>
        <v/>
      </c>
      <c r="G11" s="16" t="e">
        <f t="shared" si="4"/>
        <v>#VALUE!</v>
      </c>
      <c r="H11" s="188"/>
      <c r="I11" s="14"/>
      <c r="J11" s="189" t="str">
        <f t="shared" si="5"/>
        <v/>
      </c>
      <c r="K11" s="13"/>
      <c r="L11" s="18"/>
      <c r="M11" s="166" t="str">
        <f t="shared" si="2"/>
        <v/>
      </c>
      <c r="N11" s="18"/>
      <c r="O11" s="164" t="str">
        <f t="shared" si="3"/>
        <v/>
      </c>
    </row>
    <row r="12" spans="1:15" s="24" customFormat="1">
      <c r="A12" s="113" t="s">
        <v>75</v>
      </c>
      <c r="B12" s="236" t="str">
        <f>IF(A12="","",VLOOKUP(A12,'Code '!$A$3:$B$42,2,FALSE))</f>
        <v>Paille de Blé</v>
      </c>
      <c r="C12" s="236"/>
      <c r="D12" s="237"/>
      <c r="E12" s="76">
        <f>SUM(F12*0.3)</f>
        <v>72</v>
      </c>
      <c r="F12" s="183">
        <f t="shared" si="0"/>
        <v>240</v>
      </c>
      <c r="G12" s="58">
        <f t="shared" si="4"/>
        <v>48.6</v>
      </c>
      <c r="H12" s="186">
        <v>162</v>
      </c>
      <c r="I12" s="78">
        <f>SUM(J12*0.3)</f>
        <v>23.4</v>
      </c>
      <c r="J12" s="189">
        <f t="shared" si="5"/>
        <v>78</v>
      </c>
      <c r="K12" s="78"/>
      <c r="L12" s="79">
        <v>60</v>
      </c>
      <c r="M12" s="166">
        <f>IF(A12="","",SUM(I12*L12))</f>
        <v>1404</v>
      </c>
      <c r="N12" s="79">
        <v>35</v>
      </c>
      <c r="O12" s="164">
        <f t="shared" si="3"/>
        <v>1701</v>
      </c>
    </row>
    <row r="13" spans="1:15" s="19" customFormat="1">
      <c r="A13" s="15"/>
      <c r="B13" s="214" t="str">
        <f>IF(A13="","",VLOOKUP(A13,'Code '!$A$3:$B$42,2,FALSE))</f>
        <v/>
      </c>
      <c r="C13" s="214"/>
      <c r="D13" s="215"/>
      <c r="E13" s="16" t="e">
        <f t="shared" ref="E13:E16" si="7">SUM(F13*0.3)</f>
        <v>#VALUE!</v>
      </c>
      <c r="F13" s="183" t="str">
        <f t="shared" si="0"/>
        <v/>
      </c>
      <c r="G13" s="17" t="e">
        <f t="shared" si="4"/>
        <v>#VALUE!</v>
      </c>
      <c r="H13" s="186"/>
      <c r="I13" s="13"/>
      <c r="J13" s="189" t="str">
        <f t="shared" si="5"/>
        <v/>
      </c>
      <c r="K13" s="13"/>
      <c r="L13" s="18"/>
      <c r="M13" s="166" t="str">
        <f t="shared" ref="M13:M16" si="8">IF(A13="","",SUM(J13*L13))</f>
        <v/>
      </c>
      <c r="N13" s="18"/>
      <c r="O13" s="164" t="str">
        <f t="shared" si="3"/>
        <v/>
      </c>
    </row>
    <row r="14" spans="1:15" s="19" customFormat="1">
      <c r="A14" s="15"/>
      <c r="B14" s="214" t="str">
        <f>IF(A14="","",VLOOKUP(A14,'Code '!$A$3:$B$42,2,FALSE))</f>
        <v/>
      </c>
      <c r="C14" s="214"/>
      <c r="D14" s="215"/>
      <c r="E14" s="16" t="e">
        <f t="shared" si="7"/>
        <v>#VALUE!</v>
      </c>
      <c r="F14" s="183" t="str">
        <f t="shared" si="0"/>
        <v/>
      </c>
      <c r="G14" s="17" t="e">
        <f t="shared" si="4"/>
        <v>#VALUE!</v>
      </c>
      <c r="H14" s="186"/>
      <c r="I14" s="13"/>
      <c r="J14" s="189" t="str">
        <f t="shared" si="5"/>
        <v/>
      </c>
      <c r="K14" s="13"/>
      <c r="L14" s="18"/>
      <c r="M14" s="166" t="str">
        <f t="shared" si="8"/>
        <v/>
      </c>
      <c r="N14" s="18"/>
      <c r="O14" s="164" t="str">
        <f t="shared" si="3"/>
        <v/>
      </c>
    </row>
    <row r="15" spans="1:15" s="19" customFormat="1">
      <c r="A15" s="15"/>
      <c r="B15" s="214" t="str">
        <f>IF(A15="","",VLOOKUP(A15,'Code '!$A$3:$B$42,2,FALSE))</f>
        <v/>
      </c>
      <c r="C15" s="214"/>
      <c r="D15" s="215"/>
      <c r="E15" s="16" t="e">
        <f t="shared" si="7"/>
        <v>#VALUE!</v>
      </c>
      <c r="F15" s="183" t="str">
        <f t="shared" si="0"/>
        <v/>
      </c>
      <c r="G15" s="17" t="e">
        <f t="shared" si="4"/>
        <v>#VALUE!</v>
      </c>
      <c r="H15" s="186"/>
      <c r="I15" s="13"/>
      <c r="J15" s="189" t="str">
        <f t="shared" si="5"/>
        <v/>
      </c>
      <c r="K15" s="13"/>
      <c r="L15" s="18"/>
      <c r="M15" s="166" t="str">
        <f t="shared" si="8"/>
        <v/>
      </c>
      <c r="N15" s="18"/>
      <c r="O15" s="164" t="str">
        <f t="shared" si="3"/>
        <v/>
      </c>
    </row>
    <row r="16" spans="1:15" s="19" customFormat="1">
      <c r="A16" s="15"/>
      <c r="B16" s="214" t="str">
        <f>IF(A16="","",VLOOKUP(A16,'Code '!$A$3:$B$42,2,FALSE))</f>
        <v/>
      </c>
      <c r="C16" s="214"/>
      <c r="D16" s="215"/>
      <c r="E16" s="16" t="e">
        <f t="shared" si="7"/>
        <v>#VALUE!</v>
      </c>
      <c r="F16" s="183" t="str">
        <f>IF(A16="","",SUM(F32+#REF!))</f>
        <v/>
      </c>
      <c r="G16" s="17" t="e">
        <f t="shared" si="4"/>
        <v>#VALUE!</v>
      </c>
      <c r="H16" s="186"/>
      <c r="I16" s="13"/>
      <c r="J16" s="189" t="str">
        <f t="shared" si="5"/>
        <v/>
      </c>
      <c r="K16" s="13"/>
      <c r="L16" s="18"/>
      <c r="M16" s="166" t="str">
        <f t="shared" si="8"/>
        <v/>
      </c>
      <c r="N16" s="18"/>
      <c r="O16" s="164" t="str">
        <f t="shared" si="3"/>
        <v/>
      </c>
    </row>
    <row r="17" spans="1:15" s="19" customFormat="1">
      <c r="A17" s="157"/>
      <c r="B17" s="227"/>
      <c r="C17" s="227"/>
      <c r="D17" s="227"/>
      <c r="E17" s="157"/>
      <c r="F17" s="158"/>
      <c r="G17" s="139"/>
      <c r="H17" s="159"/>
      <c r="I17" s="139"/>
      <c r="J17" s="139"/>
      <c r="K17" s="139"/>
      <c r="L17" s="163" t="s">
        <v>173</v>
      </c>
      <c r="M17" s="167">
        <f>SUM(M7:M16)</f>
        <v>6652.0000000000009</v>
      </c>
      <c r="N17" s="160"/>
      <c r="O17" s="165">
        <f>SUM(O7:O16)</f>
        <v>18149</v>
      </c>
    </row>
    <row r="18" spans="1:15" s="19" customFormat="1">
      <c r="A18" s="155"/>
      <c r="B18" s="214"/>
      <c r="C18" s="214"/>
      <c r="D18" s="214"/>
      <c r="E18" s="123"/>
      <c r="F18" s="156"/>
      <c r="G18" s="123"/>
      <c r="H18" s="143"/>
      <c r="I18" s="123"/>
      <c r="J18" s="123"/>
      <c r="K18" s="123"/>
      <c r="L18" s="151"/>
      <c r="M18" s="161"/>
      <c r="N18" s="151"/>
      <c r="O18" s="162"/>
    </row>
    <row r="19" spans="1:15" s="19" customFormat="1">
      <c r="A19" s="155"/>
      <c r="B19" s="214"/>
      <c r="C19" s="214"/>
      <c r="D19" s="214"/>
      <c r="E19" s="123"/>
      <c r="F19" s="156"/>
      <c r="G19" s="123"/>
      <c r="H19" s="143"/>
      <c r="I19" s="123"/>
      <c r="J19" s="123"/>
      <c r="K19" s="123"/>
      <c r="L19" s="151"/>
      <c r="M19" s="161"/>
      <c r="N19" s="151"/>
      <c r="O19" s="162"/>
    </row>
    <row r="20" spans="1:15" ht="28.5">
      <c r="F20" s="207" t="s">
        <v>158</v>
      </c>
      <c r="G20" s="208"/>
      <c r="H20" s="208"/>
      <c r="I20" s="208"/>
      <c r="J20" s="208"/>
    </row>
    <row r="21" spans="1:15" ht="15.75" thickBot="1"/>
    <row r="22" spans="1:15" ht="15.75" thickBot="1">
      <c r="A22" s="104" t="s">
        <v>147</v>
      </c>
      <c r="B22" s="209" t="str">
        <f>IF(A22="","",VLOOKUP(A22,'Code '!A3:E40,2,FALSE))</f>
        <v>Paille de Lin</v>
      </c>
      <c r="C22" s="209"/>
      <c r="D22" s="209"/>
      <c r="E22" s="115">
        <f t="shared" ref="E22:E27" si="9">SUM(F22*0.3)</f>
        <v>0</v>
      </c>
      <c r="F22" s="66"/>
      <c r="G22" s="11"/>
      <c r="H22" s="67" t="str">
        <f>IF(J22="","",SUM(J22-'Facture vente'!$H$19))</f>
        <v/>
      </c>
      <c r="I22" s="64"/>
      <c r="J22" s="64"/>
      <c r="K22" s="64"/>
      <c r="L22" s="68"/>
      <c r="M22" s="69"/>
      <c r="N22" s="68"/>
      <c r="O22" s="105"/>
    </row>
    <row r="23" spans="1:15" ht="15.75" thickBot="1">
      <c r="A23" s="70" t="s">
        <v>11</v>
      </c>
      <c r="B23" s="212" t="e">
        <f>IF(A23="","",VLOOKUP(A23,'Code '!A3:E40,2,FALSE))</f>
        <v>#N/A</v>
      </c>
      <c r="C23" s="212"/>
      <c r="D23" s="212"/>
      <c r="E23" s="116">
        <f>SUM(F23*0.4)</f>
        <v>20</v>
      </c>
      <c r="F23" s="88">
        <v>50</v>
      </c>
      <c r="G23" s="89">
        <f>SUM(E23-I23)</f>
        <v>0.79999999999999716</v>
      </c>
      <c r="H23" s="90">
        <v>2</v>
      </c>
      <c r="I23" s="89">
        <f>SUM(J23*0.4)</f>
        <v>19.200000000000003</v>
      </c>
      <c r="J23" s="89">
        <f>SUM(F23-H23)</f>
        <v>48</v>
      </c>
      <c r="K23" s="89"/>
      <c r="L23" s="91">
        <v>90</v>
      </c>
      <c r="M23" s="91">
        <f>SUM(J23*L23)</f>
        <v>4320</v>
      </c>
      <c r="N23" s="91">
        <v>90</v>
      </c>
      <c r="O23" s="106">
        <f>SUM(G23*N23)</f>
        <v>71.999999999999744</v>
      </c>
    </row>
    <row r="24" spans="1:15" ht="15.75" thickBot="1">
      <c r="A24" s="107"/>
      <c r="B24" s="209" t="str">
        <f>IF(A24="","",VLOOKUP(A24,'Code '!A5:E42,2,FALSE))</f>
        <v/>
      </c>
      <c r="C24" s="209"/>
      <c r="D24" s="209"/>
      <c r="E24" s="117">
        <f t="shared" si="9"/>
        <v>0</v>
      </c>
      <c r="F24" s="65"/>
      <c r="G24" s="13">
        <f t="shared" ref="G24" si="10">SUM(E24-I24)</f>
        <v>0</v>
      </c>
      <c r="H24" s="56"/>
      <c r="I24" s="13"/>
      <c r="J24" s="13"/>
      <c r="K24" s="13"/>
      <c r="L24" s="18"/>
      <c r="M24" s="62">
        <f t="shared" ref="M24:M28" si="11">SUM(J24*L24)</f>
        <v>0</v>
      </c>
      <c r="N24" s="18"/>
      <c r="O24" s="108">
        <f t="shared" ref="O24:O28" si="12">SUM(G24*N24)</f>
        <v>0</v>
      </c>
    </row>
    <row r="25" spans="1:15" ht="15.75" thickBot="1">
      <c r="A25" s="71" t="s">
        <v>12</v>
      </c>
      <c r="B25" s="213" t="e">
        <f>IF(A25="","",VLOOKUP(A25,'Code '!A6:E43,2,FALSE))</f>
        <v>#N/A</v>
      </c>
      <c r="C25" s="213"/>
      <c r="D25" s="213"/>
      <c r="E25" s="118">
        <f>SUM(F25*0.4)</f>
        <v>90</v>
      </c>
      <c r="F25" s="82">
        <v>225</v>
      </c>
      <c r="G25" s="83">
        <f>SUM(E25-I25)</f>
        <v>9.5999999999999943</v>
      </c>
      <c r="H25" s="84">
        <v>24</v>
      </c>
      <c r="I25" s="83">
        <f>SUM(J25*0.4)</f>
        <v>80.400000000000006</v>
      </c>
      <c r="J25" s="83">
        <f>SUM(F25-H25)</f>
        <v>201</v>
      </c>
      <c r="K25" s="83"/>
      <c r="L25" s="85">
        <v>90</v>
      </c>
      <c r="M25" s="85">
        <f t="shared" si="11"/>
        <v>18090</v>
      </c>
      <c r="N25" s="85">
        <v>90</v>
      </c>
      <c r="O25" s="109">
        <f t="shared" si="12"/>
        <v>863.99999999999955</v>
      </c>
    </row>
    <row r="26" spans="1:15" ht="15.75" thickBot="1">
      <c r="A26" s="114"/>
      <c r="B26" s="209" t="str">
        <f>IF(A26="","",VLOOKUP(A26,'Code '!A7:E44,2,FALSE))</f>
        <v/>
      </c>
      <c r="C26" s="209"/>
      <c r="D26" s="209"/>
      <c r="E26" s="117">
        <f>SUM(F26*0.4)</f>
        <v>0</v>
      </c>
      <c r="F26" s="65"/>
      <c r="G26" s="65">
        <f t="shared" ref="G26:G33" si="13">SUM(E26-I26)</f>
        <v>0</v>
      </c>
      <c r="H26" s="92"/>
      <c r="I26" s="14"/>
      <c r="J26" s="13"/>
      <c r="K26" s="13"/>
      <c r="L26" s="18"/>
      <c r="M26" s="62">
        <f t="shared" si="11"/>
        <v>0</v>
      </c>
      <c r="N26" s="18"/>
      <c r="O26" s="108">
        <f t="shared" si="12"/>
        <v>0</v>
      </c>
    </row>
    <row r="27" spans="1:15" ht="15.75" thickBot="1">
      <c r="A27" s="107"/>
      <c r="B27" s="209" t="str">
        <f>IF(A27="","",VLOOKUP(A27,'Code '!A8:E45,2,FALSE))</f>
        <v/>
      </c>
      <c r="C27" s="209"/>
      <c r="D27" s="209"/>
      <c r="E27" s="117">
        <f t="shared" si="9"/>
        <v>0</v>
      </c>
      <c r="F27" s="65"/>
      <c r="G27" s="65">
        <f t="shared" si="13"/>
        <v>0</v>
      </c>
      <c r="H27" s="92"/>
      <c r="I27" s="14"/>
      <c r="J27" s="13"/>
      <c r="K27" s="13"/>
      <c r="L27" s="18"/>
      <c r="M27" s="62">
        <f t="shared" si="11"/>
        <v>0</v>
      </c>
      <c r="N27" s="18"/>
      <c r="O27" s="108">
        <f t="shared" si="12"/>
        <v>0</v>
      </c>
    </row>
    <row r="28" spans="1:15" ht="15.75" thickBot="1">
      <c r="A28" s="110" t="s">
        <v>75</v>
      </c>
      <c r="B28" s="211" t="str">
        <f>IF(A28="","",VLOOKUP(A28,'Code '!A9:E46,2,FALSE))</f>
        <v>Paille de Blé</v>
      </c>
      <c r="C28" s="211"/>
      <c r="D28" s="211"/>
      <c r="E28" s="119">
        <f>SUM(F28*0.3)</f>
        <v>72</v>
      </c>
      <c r="F28" s="77">
        <v>240</v>
      </c>
      <c r="G28" s="59">
        <f t="shared" si="13"/>
        <v>48.6</v>
      </c>
      <c r="H28" s="58">
        <v>162</v>
      </c>
      <c r="I28" s="78">
        <f>SUM(J28*0.3)</f>
        <v>23.4</v>
      </c>
      <c r="J28" s="78">
        <f>SUM(F28-H28)</f>
        <v>78</v>
      </c>
      <c r="K28" s="78"/>
      <c r="L28" s="79">
        <v>40</v>
      </c>
      <c r="M28" s="79">
        <f t="shared" si="11"/>
        <v>3120</v>
      </c>
      <c r="N28" s="79">
        <v>35</v>
      </c>
      <c r="O28" s="111">
        <f t="shared" si="12"/>
        <v>1701</v>
      </c>
    </row>
    <row r="29" spans="1:15" ht="15.75" thickBot="1">
      <c r="A29" s="107"/>
      <c r="B29" s="209" t="str">
        <f>IF(A29="","",VLOOKUP(A29,'Code '!A10:E47,2,FALSE))</f>
        <v/>
      </c>
      <c r="C29" s="209"/>
      <c r="D29" s="209"/>
      <c r="E29" s="117">
        <f t="shared" ref="E29:E33" si="14">SUM(F29*0.3)</f>
        <v>0</v>
      </c>
      <c r="F29" s="65"/>
      <c r="G29" s="13">
        <f t="shared" si="13"/>
        <v>0</v>
      </c>
      <c r="H29" s="57"/>
      <c r="I29" s="13"/>
      <c r="J29" s="13"/>
      <c r="K29" s="13"/>
      <c r="L29" s="18"/>
      <c r="M29" s="63">
        <f t="shared" ref="M29:M31" si="15">SUM(I31*N31)</f>
        <v>0</v>
      </c>
      <c r="N29" s="18"/>
      <c r="O29" s="112">
        <f t="shared" ref="O29:O33" si="16">SUM(I29*N29)</f>
        <v>0</v>
      </c>
    </row>
    <row r="30" spans="1:15" ht="15.75" thickBot="1">
      <c r="A30" s="107"/>
      <c r="B30" s="209" t="str">
        <f>IF(A30="","",VLOOKUP(A30,'Code '!A11:E48,2,FALSE))</f>
        <v/>
      </c>
      <c r="C30" s="209"/>
      <c r="D30" s="209"/>
      <c r="E30" s="117">
        <f t="shared" si="14"/>
        <v>0</v>
      </c>
      <c r="F30" s="65"/>
      <c r="G30" s="13">
        <f t="shared" si="13"/>
        <v>0</v>
      </c>
      <c r="H30" s="57"/>
      <c r="I30" s="13"/>
      <c r="J30" s="13"/>
      <c r="K30" s="13"/>
      <c r="L30" s="18"/>
      <c r="M30" s="63">
        <f t="shared" si="15"/>
        <v>0</v>
      </c>
      <c r="N30" s="18"/>
      <c r="O30" s="112">
        <f t="shared" si="16"/>
        <v>0</v>
      </c>
    </row>
    <row r="31" spans="1:15" ht="15.75" thickBot="1">
      <c r="A31" s="107"/>
      <c r="B31" s="209" t="str">
        <f>IF(A31="","",VLOOKUP(A31,'Code '!A12:E49,2,FALSE))</f>
        <v/>
      </c>
      <c r="C31" s="209"/>
      <c r="D31" s="209"/>
      <c r="E31" s="117">
        <f t="shared" si="14"/>
        <v>0</v>
      </c>
      <c r="F31" s="65"/>
      <c r="G31" s="13">
        <f t="shared" si="13"/>
        <v>0</v>
      </c>
      <c r="H31" s="57"/>
      <c r="I31" s="13"/>
      <c r="J31" s="13"/>
      <c r="K31" s="13"/>
      <c r="L31" s="18"/>
      <c r="M31" s="63">
        <f t="shared" si="15"/>
        <v>0</v>
      </c>
      <c r="N31" s="18"/>
      <c r="O31" s="112">
        <f t="shared" si="16"/>
        <v>0</v>
      </c>
    </row>
    <row r="32" spans="1:15" ht="15.75" thickBot="1">
      <c r="A32" s="107"/>
      <c r="B32" s="209" t="str">
        <f>IF(A32="","",VLOOKUP(A32,'Code '!A13:E50,2,FALSE))</f>
        <v/>
      </c>
      <c r="C32" s="209"/>
      <c r="D32" s="209"/>
      <c r="E32" s="117">
        <f t="shared" si="14"/>
        <v>0</v>
      </c>
      <c r="F32" s="65"/>
      <c r="G32" s="13">
        <f t="shared" si="13"/>
        <v>0</v>
      </c>
      <c r="H32" s="57"/>
      <c r="I32" s="13"/>
      <c r="J32" s="13"/>
      <c r="K32" s="13"/>
      <c r="L32" s="18"/>
      <c r="M32" s="63" t="e">
        <f>SUM(#REF!*#REF!)</f>
        <v>#REF!</v>
      </c>
      <c r="N32" s="18"/>
      <c r="O32" s="112">
        <f t="shared" si="16"/>
        <v>0</v>
      </c>
    </row>
    <row r="33" spans="1:15">
      <c r="A33" s="169"/>
      <c r="B33" s="210" t="str">
        <f>IF(A33="","",VLOOKUP(A33,'Code '!A14:E51,2,FALSE))</f>
        <v/>
      </c>
      <c r="C33" s="210"/>
      <c r="D33" s="210"/>
      <c r="E33" s="170">
        <f t="shared" si="14"/>
        <v>0</v>
      </c>
      <c r="F33" s="171"/>
      <c r="G33" s="22">
        <f t="shared" si="13"/>
        <v>0</v>
      </c>
      <c r="H33" s="172"/>
      <c r="I33" s="22"/>
      <c r="J33" s="22"/>
      <c r="K33" s="22"/>
      <c r="L33" s="23"/>
      <c r="M33" s="75" t="e">
        <f>SUM(#REF!*#REF!)</f>
        <v>#REF!</v>
      </c>
      <c r="N33" s="23"/>
      <c r="O33" s="173">
        <f t="shared" si="16"/>
        <v>0</v>
      </c>
    </row>
    <row r="35" spans="1:15" ht="15.75">
      <c r="J35" s="179"/>
    </row>
    <row r="36" spans="1:15">
      <c r="F36" s="223" t="s">
        <v>167</v>
      </c>
      <c r="G36" s="224"/>
      <c r="H36" s="224"/>
      <c r="I36" s="224"/>
      <c r="J36" s="224"/>
    </row>
    <row r="37" spans="1:15">
      <c r="F37" s="224"/>
      <c r="G37" s="224"/>
      <c r="H37" s="224"/>
      <c r="I37" s="224"/>
      <c r="J37" s="224"/>
    </row>
    <row r="39" spans="1:15" ht="15.75" thickBot="1">
      <c r="A39" s="126" t="s">
        <v>147</v>
      </c>
      <c r="B39" s="239" t="e">
        <f>IF(A39="","",VLOOKUP(A39,'Code '!A34:E71,2,FALSE))</f>
        <v>#N/A</v>
      </c>
      <c r="C39" s="239"/>
      <c r="D39" s="239"/>
      <c r="E39" s="127">
        <f t="shared" ref="E39" si="17">SUM(F39*0.3)</f>
        <v>0</v>
      </c>
      <c r="F39" s="128"/>
      <c r="G39" s="44"/>
      <c r="H39" s="139" t="str">
        <f>IF(J39="","",SUM(J39-'Facture vente'!$H$19))</f>
        <v/>
      </c>
      <c r="I39" s="129"/>
      <c r="J39" s="129"/>
      <c r="K39" s="129"/>
      <c r="L39" s="144"/>
      <c r="M39" s="130"/>
      <c r="N39" s="149"/>
      <c r="O39" s="131"/>
    </row>
    <row r="40" spans="1:15" ht="15.75" thickBot="1">
      <c r="A40" s="86" t="s">
        <v>11</v>
      </c>
      <c r="B40" s="212" t="e">
        <f>IF(A40="","",VLOOKUP(A40,'Code '!A3:E40,2,FALSE))</f>
        <v>#N/A</v>
      </c>
      <c r="C40" s="212"/>
      <c r="D40" s="212"/>
      <c r="E40" s="116">
        <f>SUM(F40*0.4)</f>
        <v>0</v>
      </c>
      <c r="F40" s="88"/>
      <c r="G40" s="89">
        <f>SUM(E40-I40)</f>
        <v>0</v>
      </c>
      <c r="H40" s="140">
        <v>0</v>
      </c>
      <c r="I40" s="89">
        <f>SUM(J40*0.4)</f>
        <v>0</v>
      </c>
      <c r="J40" s="89">
        <f>IF(A40="","",SUM(F40-H40))</f>
        <v>0</v>
      </c>
      <c r="K40" s="89"/>
      <c r="L40" s="145">
        <v>90</v>
      </c>
      <c r="M40" s="91">
        <f>SUM(J40*L40)</f>
        <v>0</v>
      </c>
      <c r="N40" s="150">
        <v>90</v>
      </c>
      <c r="O40" s="91">
        <f>SUM(G40*N40)</f>
        <v>0</v>
      </c>
    </row>
    <row r="41" spans="1:15" ht="15.75" thickBot="1">
      <c r="A41" s="15"/>
      <c r="B41" s="209" t="str">
        <f>IF(A41="","",VLOOKUP(A41,'Code '!A4:E41,2,FALSE))</f>
        <v/>
      </c>
      <c r="C41" s="209"/>
      <c r="D41" s="209"/>
      <c r="E41" s="117">
        <f t="shared" ref="E41" si="18">SUM(F41*0.3)</f>
        <v>0</v>
      </c>
      <c r="F41" s="65"/>
      <c r="G41" s="13">
        <f t="shared" ref="G41" si="19">SUM(E41-I41)</f>
        <v>0</v>
      </c>
      <c r="H41" s="141"/>
      <c r="I41" s="13"/>
      <c r="J41" s="89" t="str">
        <f t="shared" ref="J41:J48" si="20">IF(A41="","",SUM(F41-H41))</f>
        <v/>
      </c>
      <c r="K41" s="13"/>
      <c r="L41" s="146"/>
      <c r="M41" s="62" t="e">
        <f t="shared" ref="M41:M45" si="21">SUM(J41*L41)</f>
        <v>#VALUE!</v>
      </c>
      <c r="N41" s="151"/>
      <c r="O41" s="154">
        <f t="shared" ref="O41:O45" si="22">SUM(G41*N41)</f>
        <v>0</v>
      </c>
    </row>
    <row r="42" spans="1:15" ht="15.75" thickBot="1">
      <c r="A42" s="80" t="s">
        <v>12</v>
      </c>
      <c r="B42" s="240" t="e">
        <f>IF(A42="","",VLOOKUP(A42,'Code '!A5:E42,2,FALSE))</f>
        <v>#N/A</v>
      </c>
      <c r="C42" s="240"/>
      <c r="D42" s="240"/>
      <c r="E42" s="137">
        <f>SUM(F42*0.4)</f>
        <v>0</v>
      </c>
      <c r="F42" s="81"/>
      <c r="G42" s="83">
        <f>SUM(E42-I42)</f>
        <v>0</v>
      </c>
      <c r="H42" s="81"/>
      <c r="I42" s="83">
        <f>SUM(J42*0.4)</f>
        <v>0</v>
      </c>
      <c r="J42" s="89">
        <f t="shared" si="20"/>
        <v>0</v>
      </c>
      <c r="K42" s="83"/>
      <c r="L42" s="147">
        <v>90</v>
      </c>
      <c r="M42" s="85">
        <f t="shared" si="21"/>
        <v>0</v>
      </c>
      <c r="N42" s="152">
        <v>90</v>
      </c>
      <c r="O42" s="85">
        <f t="shared" si="22"/>
        <v>0</v>
      </c>
    </row>
    <row r="43" spans="1:15" ht="15.75" thickBot="1">
      <c r="A43" s="132"/>
      <c r="B43" s="209" t="str">
        <f>IF(A43="","",VLOOKUP(A43,'Code '!A6:E43,2,FALSE))</f>
        <v/>
      </c>
      <c r="C43" s="209"/>
      <c r="D43" s="209"/>
      <c r="E43" s="13">
        <f>SUM(F43*0.4)</f>
        <v>0</v>
      </c>
      <c r="F43" s="16"/>
      <c r="G43" s="13">
        <f t="shared" ref="G43:G47" si="23">SUM(E43-I43)</f>
        <v>0</v>
      </c>
      <c r="H43" s="92"/>
      <c r="I43" s="13"/>
      <c r="J43" s="89" t="str">
        <f t="shared" si="20"/>
        <v/>
      </c>
      <c r="K43" s="13"/>
      <c r="L43" s="146"/>
      <c r="M43" s="62" t="e">
        <f t="shared" si="21"/>
        <v>#VALUE!</v>
      </c>
      <c r="N43" s="151"/>
      <c r="O43" s="61">
        <f t="shared" si="22"/>
        <v>0</v>
      </c>
    </row>
    <row r="44" spans="1:15" ht="15.75" thickBot="1">
      <c r="A44" s="15"/>
      <c r="B44" s="209" t="str">
        <f>IF(A44="","",VLOOKUP(A44,'Code '!A7:E44,2,FALSE))</f>
        <v/>
      </c>
      <c r="C44" s="209"/>
      <c r="D44" s="209"/>
      <c r="E44" s="13">
        <f t="shared" ref="E44" si="24">SUM(F44*0.3)</f>
        <v>0</v>
      </c>
      <c r="F44" s="16"/>
      <c r="G44" s="13">
        <f t="shared" si="23"/>
        <v>0</v>
      </c>
      <c r="H44" s="92"/>
      <c r="I44" s="13"/>
      <c r="J44" s="89" t="str">
        <f t="shared" si="20"/>
        <v/>
      </c>
      <c r="K44" s="13"/>
      <c r="L44" s="146"/>
      <c r="M44" s="62" t="e">
        <f t="shared" si="21"/>
        <v>#VALUE!</v>
      </c>
      <c r="N44" s="151"/>
      <c r="O44" s="61">
        <f t="shared" si="22"/>
        <v>0</v>
      </c>
    </row>
    <row r="45" spans="1:15" ht="15.75" thickBot="1">
      <c r="A45" s="133" t="s">
        <v>75</v>
      </c>
      <c r="B45" s="211" t="str">
        <f>IF(A45="","",VLOOKUP(A45,'Code '!A8:E45,2,FALSE))</f>
        <v>Paille de Blé</v>
      </c>
      <c r="C45" s="211"/>
      <c r="D45" s="211"/>
      <c r="E45" s="78">
        <f>SUM(F45*0.3)</f>
        <v>0</v>
      </c>
      <c r="F45" s="76"/>
      <c r="G45" s="59">
        <f t="shared" si="23"/>
        <v>0</v>
      </c>
      <c r="H45" s="142"/>
      <c r="I45" s="78">
        <f>SUM(J45*0.3)</f>
        <v>0</v>
      </c>
      <c r="J45" s="89">
        <f t="shared" si="20"/>
        <v>0</v>
      </c>
      <c r="K45" s="78"/>
      <c r="L45" s="148">
        <v>40</v>
      </c>
      <c r="M45" s="79">
        <f t="shared" si="21"/>
        <v>0</v>
      </c>
      <c r="N45" s="153">
        <v>35</v>
      </c>
      <c r="O45" s="79">
        <f t="shared" si="22"/>
        <v>0</v>
      </c>
    </row>
    <row r="46" spans="1:15" ht="15.75" thickBot="1">
      <c r="A46" s="15"/>
      <c r="B46" s="209" t="str">
        <f>IF(A46="","",VLOOKUP(A46,'Code '!A9:E46,2,FALSE))</f>
        <v/>
      </c>
      <c r="C46" s="209"/>
      <c r="D46" s="209"/>
      <c r="E46" s="13">
        <f t="shared" ref="E46:E47" si="25">SUM(F46*0.3)</f>
        <v>0</v>
      </c>
      <c r="F46" s="16"/>
      <c r="G46" s="13">
        <f t="shared" si="23"/>
        <v>0</v>
      </c>
      <c r="H46" s="143"/>
      <c r="I46" s="13"/>
      <c r="J46" s="89" t="str">
        <f t="shared" si="20"/>
        <v/>
      </c>
      <c r="K46" s="13"/>
      <c r="L46" s="146"/>
      <c r="M46" s="63">
        <f t="shared" ref="M46" si="26">SUM(I48*N48)</f>
        <v>0</v>
      </c>
      <c r="N46" s="151"/>
      <c r="O46" s="60">
        <f t="shared" ref="O46:O47" si="27">SUM(I46*N46)</f>
        <v>0</v>
      </c>
    </row>
    <row r="47" spans="1:15" ht="15.75" thickBot="1">
      <c r="A47" s="15"/>
      <c r="B47" s="209" t="str">
        <f>IF(A47="","",VLOOKUP(A47,'Code '!A10:E47,2,FALSE))</f>
        <v/>
      </c>
      <c r="C47" s="209"/>
      <c r="D47" s="209"/>
      <c r="E47" s="13">
        <f t="shared" si="25"/>
        <v>0</v>
      </c>
      <c r="F47" s="16"/>
      <c r="G47" s="13">
        <f t="shared" si="23"/>
        <v>0</v>
      </c>
      <c r="H47" s="143"/>
      <c r="I47" s="13"/>
      <c r="J47" s="89" t="str">
        <f t="shared" si="20"/>
        <v/>
      </c>
      <c r="K47" s="13"/>
      <c r="L47" s="146"/>
      <c r="M47" s="63" t="e">
        <f>SUM(#REF!*#REF!)</f>
        <v>#REF!</v>
      </c>
      <c r="N47" s="151"/>
      <c r="O47" s="60">
        <f t="shared" si="27"/>
        <v>0</v>
      </c>
    </row>
    <row r="48" spans="1:15">
      <c r="A48" s="168"/>
      <c r="B48" s="210" t="str">
        <f>IF(A48="","",VLOOKUP(A48,'Code '!A11:E48,2,FALSE))</f>
        <v/>
      </c>
      <c r="C48" s="210"/>
      <c r="D48" s="210"/>
      <c r="E48" s="138"/>
      <c r="F48" s="134"/>
      <c r="G48" s="138"/>
      <c r="H48" s="134"/>
      <c r="I48" s="138"/>
      <c r="J48" s="135" t="str">
        <f t="shared" si="20"/>
        <v/>
      </c>
      <c r="K48" s="134"/>
      <c r="L48" s="136"/>
      <c r="M48" s="138"/>
      <c r="N48" s="136"/>
      <c r="O48" s="138"/>
    </row>
    <row r="49" spans="2:4">
      <c r="B49" s="238" t="str">
        <f>IF(A49="","",VLOOKUP(A49,'Code '!A16:E53,2,FALSE))</f>
        <v/>
      </c>
      <c r="C49" s="238"/>
      <c r="D49" s="238"/>
    </row>
  </sheetData>
  <mergeCells count="46">
    <mergeCell ref="B49:D49"/>
    <mergeCell ref="B48:D4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A1:O1"/>
    <mergeCell ref="F36:J37"/>
    <mergeCell ref="N4:O4"/>
    <mergeCell ref="B16:D16"/>
    <mergeCell ref="B17:D17"/>
    <mergeCell ref="B18:D18"/>
    <mergeCell ref="B19:D19"/>
    <mergeCell ref="A4:D5"/>
    <mergeCell ref="E4:F4"/>
    <mergeCell ref="G4:H4"/>
    <mergeCell ref="I4:J4"/>
    <mergeCell ref="L4:M4"/>
    <mergeCell ref="B11:D11"/>
    <mergeCell ref="B12:D12"/>
    <mergeCell ref="B13:D13"/>
    <mergeCell ref="B14:D14"/>
    <mergeCell ref="B15:D15"/>
    <mergeCell ref="B6:D6"/>
    <mergeCell ref="B7:D7"/>
    <mergeCell ref="B8:D8"/>
    <mergeCell ref="B9:D9"/>
    <mergeCell ref="B10:D10"/>
    <mergeCell ref="F20:J20"/>
    <mergeCell ref="B32:D32"/>
    <mergeCell ref="B33:D33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</mergeCells>
  <hyperlinks>
    <hyperlink ref="C2:D2" location="'Facture vente'!A1" display="'Facture vente'!A1"/>
    <hyperlink ref="F2:H2" location="'Facture travaux'!A1" display="'Facture travaux'!A1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0"/>
  <dimension ref="B5:H10"/>
  <sheetViews>
    <sheetView workbookViewId="0">
      <selection activeCell="C8" sqref="C8"/>
    </sheetView>
  </sheetViews>
  <sheetFormatPr baseColWidth="10" defaultRowHeight="15"/>
  <sheetData>
    <row r="5" spans="2:8">
      <c r="B5" t="s">
        <v>52</v>
      </c>
      <c r="C5" t="s">
        <v>53</v>
      </c>
      <c r="D5" t="s">
        <v>65</v>
      </c>
      <c r="E5">
        <v>53</v>
      </c>
      <c r="F5" t="s">
        <v>63</v>
      </c>
      <c r="G5">
        <v>89800</v>
      </c>
      <c r="H5" t="s">
        <v>64</v>
      </c>
    </row>
    <row r="6" spans="2:8">
      <c r="B6" t="s">
        <v>61</v>
      </c>
      <c r="C6" t="s">
        <v>62</v>
      </c>
    </row>
    <row r="10" spans="2:8">
      <c r="B10" t="s">
        <v>55</v>
      </c>
      <c r="C10" t="s">
        <v>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/>
  <dimension ref="D5:E20"/>
  <sheetViews>
    <sheetView workbookViewId="0">
      <selection activeCell="E6" sqref="E6"/>
    </sheetView>
  </sheetViews>
  <sheetFormatPr baseColWidth="10" defaultRowHeight="15"/>
  <sheetData>
    <row r="5" spans="4:5">
      <c r="D5" t="s">
        <v>54</v>
      </c>
      <c r="E5" t="s">
        <v>77</v>
      </c>
    </row>
    <row r="6" spans="4:5">
      <c r="E6" t="str">
        <f>IF(D6="","",VLOOKUP(D6,essai!$B$5:$C$15,2,FALSE))</f>
        <v/>
      </c>
    </row>
    <row r="7" spans="4:5">
      <c r="D7" t="s">
        <v>57</v>
      </c>
      <c r="E7" t="str">
        <f>IF(D7="","",VLOOKUP(D7,essai!$B$5:$C$15,2,FALSE))</f>
        <v>carole</v>
      </c>
    </row>
    <row r="8" spans="4:5">
      <c r="D8" t="s">
        <v>58</v>
      </c>
      <c r="E8" t="e">
        <f>IF(D8="","",VLOOKUP(D8,essai!$B$5:$C$15,2,FALSE))</f>
        <v>#N/A</v>
      </c>
    </row>
    <row r="9" spans="4:5">
      <c r="D9" t="s">
        <v>59</v>
      </c>
      <c r="E9" t="e">
        <f>IF(D9="","",VLOOKUP(D9,essai!$B$5:$C$15,2,FALSE))</f>
        <v>#N/A</v>
      </c>
    </row>
    <row r="10" spans="4:5">
      <c r="D10" t="s">
        <v>60</v>
      </c>
      <c r="E10" t="e">
        <f>IF(D10="","",VLOOKUP(D10,essai!$B$5:$C$15,2,FALSE))</f>
        <v>#N/A</v>
      </c>
    </row>
    <row r="11" spans="4:5">
      <c r="D11" t="s">
        <v>55</v>
      </c>
      <c r="E11" t="str">
        <f>IF(D11="","",VLOOKUP(D11,essai!$B$5:$C$15,2,FALSE))</f>
        <v>EMILIEN</v>
      </c>
    </row>
    <row r="12" spans="4:5">
      <c r="E12" t="str">
        <f>IF(D12="","",VLOOKUP(D12,essai!$B$5:$C$15,2,FALSE))</f>
        <v/>
      </c>
    </row>
    <row r="13" spans="4:5">
      <c r="E13" t="str">
        <f>IF(D13="","",VLOOKUP(D13,essai!$B$5:$C$15,2,FALSE))</f>
        <v/>
      </c>
    </row>
    <row r="14" spans="4:5">
      <c r="E14" t="str">
        <f>IF(D14="","",VLOOKUP(D14,essai!$B$5:$C$15,2,FALSE))</f>
        <v/>
      </c>
    </row>
    <row r="15" spans="4:5">
      <c r="E15" t="str">
        <f>IF(D15="","",VLOOKUP(D15,essai!$B$5:$C$15,2,FALSE))</f>
        <v/>
      </c>
    </row>
    <row r="16" spans="4:5">
      <c r="E16" t="str">
        <f>IF(D16="","",VLOOKUP(D16,essai!$B$5:$C$15,2,FALSE))</f>
        <v/>
      </c>
    </row>
    <row r="17" spans="5:5">
      <c r="E17" t="str">
        <f>IF(D17="","",VLOOKUP(D17,essai!$B$5:$C$15,2,FALSE))</f>
        <v/>
      </c>
    </row>
    <row r="18" spans="5:5">
      <c r="E18" t="str">
        <f>IF(D18="","",VLOOKUP(D18,essai!$B$5:$C$15,2,FALSE))</f>
        <v/>
      </c>
    </row>
    <row r="19" spans="5:5">
      <c r="E19" t="str">
        <f>IF(D19="","",VLOOKUP(D19,essai!$B$5:$C$15,2,FALSE))</f>
        <v/>
      </c>
    </row>
    <row r="20" spans="5:5">
      <c r="E20" t="str">
        <f>IF(D20="","",VLOOKUP(D20,essai!$B$5:$C$15,2,FALSE))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>
    <tabColor rgb="FF00B050"/>
  </sheetPr>
  <dimension ref="A2:I39"/>
  <sheetViews>
    <sheetView view="pageLayout" topLeftCell="A16" zoomScaleNormal="100" workbookViewId="0">
      <selection activeCell="I35" sqref="I35"/>
    </sheetView>
  </sheetViews>
  <sheetFormatPr baseColWidth="10" defaultRowHeight="15"/>
  <cols>
    <col min="1" max="1" width="2.5703125" customWidth="1"/>
    <col min="4" max="4" width="9.5703125" customWidth="1"/>
    <col min="5" max="5" width="1" customWidth="1"/>
    <col min="6" max="6" width="10.5703125" customWidth="1"/>
    <col min="7" max="7" width="14.42578125" customWidth="1"/>
    <col min="8" max="8" width="14" customWidth="1"/>
    <col min="9" max="9" width="11.85546875" bestFit="1" customWidth="1"/>
    <col min="10" max="10" width="2.7109375" customWidth="1"/>
    <col min="13" max="13" width="3" customWidth="1"/>
    <col min="14" max="14" width="8.5703125" customWidth="1"/>
    <col min="15" max="15" width="11.42578125" customWidth="1"/>
    <col min="16" max="16" width="13.42578125" customWidth="1"/>
    <col min="17" max="17" width="14" customWidth="1"/>
  </cols>
  <sheetData>
    <row r="2" spans="1:8" ht="18.75">
      <c r="A2" t="s">
        <v>228</v>
      </c>
      <c r="B2" s="202">
        <f ca="1">TODAY()</f>
        <v>43205</v>
      </c>
      <c r="C2" s="9"/>
      <c r="E2" s="1"/>
    </row>
    <row r="3" spans="1:8" ht="18.75">
      <c r="C3" s="9"/>
      <c r="F3" s="19" t="s">
        <v>142</v>
      </c>
      <c r="G3" s="9" t="str">
        <f>VLOOKUP(F3,'Code '!$G$3:$L$40,2,FALSE)</f>
        <v>HORTON Emilien</v>
      </c>
    </row>
    <row r="4" spans="1:8" ht="18.75">
      <c r="C4" s="9"/>
      <c r="G4" s="9" t="str">
        <f>VLOOKUP(F3,'Code '!$G$3:$L$40,3,FALSE)</f>
        <v>10 rue des prés verdeaux</v>
      </c>
    </row>
    <row r="5" spans="1:8" ht="18.75">
      <c r="C5" s="9"/>
      <c r="G5" s="9" t="str">
        <f>VLOOKUP(F3,'Code '!$G$3:$L$40,4,FALSE)</f>
        <v>89580 COULANGERON</v>
      </c>
    </row>
    <row r="6" spans="1:8" ht="18.75">
      <c r="A6" s="178" t="s">
        <v>190</v>
      </c>
      <c r="B6" s="9" t="str">
        <f>VLOOKUP(A6,'Code '!$AC$9:$AD$13,2,FALSE)</f>
        <v>ETA HORTON</v>
      </c>
      <c r="C6" s="9"/>
    </row>
    <row r="7" spans="1:8" ht="18.75">
      <c r="A7" s="9"/>
      <c r="B7" s="9" t="str">
        <f>VLOOKUP(A6,'Code '!$AC$9:$AE$13,3,FALSE)</f>
        <v>10 rue des prés verdeaux</v>
      </c>
      <c r="C7" s="9"/>
    </row>
    <row r="8" spans="1:8" ht="18.75">
      <c r="A8" s="9"/>
      <c r="B8" s="9" t="str">
        <f>VLOOKUP(A6,'Code '!AC9:AF13,4,FALSE)</f>
        <v>89 580 Coulangeron</v>
      </c>
      <c r="C8" s="9"/>
      <c r="G8" s="25" t="s">
        <v>99</v>
      </c>
      <c r="H8">
        <v>40</v>
      </c>
    </row>
    <row r="9" spans="1:8" ht="18.75">
      <c r="A9" s="9"/>
      <c r="B9" s="9">
        <f>VLOOKUP(A6,'Code '!$AC$9:$AG$13,5,FALSE)</f>
        <v>0</v>
      </c>
    </row>
    <row r="10" spans="1:8" ht="18.75">
      <c r="A10" s="9"/>
      <c r="B10" s="9">
        <f>VLOOKUP(A6,'Code '!$AC$9:$AH$13,6,FALSE)</f>
        <v>0</v>
      </c>
    </row>
    <row r="11" spans="1:8" ht="18.75">
      <c r="A11" s="9"/>
      <c r="B11" s="9" t="str">
        <f>VLOOKUP(A6,'Code '!$AC$9:$AI$13,7,FALSE)</f>
        <v>E mail:emilienhorton@hotmail.fr</v>
      </c>
    </row>
    <row r="12" spans="1:8">
      <c r="B12" t="str">
        <f>VLOOKUP(A6,'Code '!AC9:AJ13,8,FALSE)</f>
        <v>Numéro Siret:</v>
      </c>
    </row>
    <row r="16" spans="1:8" ht="15.75" thickBot="1"/>
    <row r="17" spans="1:9" ht="18.75">
      <c r="A17" s="241" t="s">
        <v>123</v>
      </c>
      <c r="B17" s="242"/>
      <c r="C17" s="242"/>
      <c r="D17" s="242"/>
      <c r="E17" s="243"/>
      <c r="F17" s="50" t="s">
        <v>131</v>
      </c>
      <c r="G17" s="50" t="s">
        <v>132</v>
      </c>
      <c r="H17" s="50" t="s">
        <v>124</v>
      </c>
      <c r="I17" s="49" t="s">
        <v>100</v>
      </c>
    </row>
    <row r="18" spans="1:9">
      <c r="A18" s="42"/>
      <c r="B18" s="5" t="str">
        <f>IF(A18="","",VLOOKUP(A18,'Code '!$A$3:$C$40,2,FALSE))</f>
        <v/>
      </c>
      <c r="C18" s="5"/>
      <c r="D18" s="5"/>
      <c r="E18" s="5"/>
      <c r="F18" s="54" t="str">
        <f>IF(A18="","",VLOOKUP(A18,'Code '!A3:D40,4,FALSE))</f>
        <v/>
      </c>
      <c r="G18" s="3"/>
      <c r="H18" s="44"/>
      <c r="I18" s="74" t="str">
        <f t="shared" ref="I18:I32" si="0">IF(F18="","",SUM(G18*F18))</f>
        <v/>
      </c>
    </row>
    <row r="19" spans="1:9">
      <c r="A19" s="42" t="s">
        <v>230</v>
      </c>
      <c r="B19" s="5" t="str">
        <f>IF(A19="","",VLOOKUP(A19,'Code '!$A$3:$C$40,2,FALSE))</f>
        <v>Foin botte cubique 120 / 70</v>
      </c>
      <c r="C19" s="5"/>
      <c r="D19" s="5"/>
      <c r="E19" s="5"/>
      <c r="F19" s="54">
        <v>55</v>
      </c>
      <c r="G19" s="3">
        <v>20</v>
      </c>
      <c r="H19" s="12">
        <v>70</v>
      </c>
      <c r="I19" s="74">
        <f t="shared" si="0"/>
        <v>1100</v>
      </c>
    </row>
    <row r="20" spans="1:9">
      <c r="A20" s="42"/>
      <c r="B20" s="5" t="str">
        <f>IF(A20="","",VLOOKUP(A20,'Code '!$A$3:$C$40,2,FALSE))</f>
        <v/>
      </c>
      <c r="C20" s="5"/>
      <c r="D20" s="5"/>
      <c r="E20" s="5"/>
      <c r="F20" s="54" t="str">
        <f>IF(A20="","",VLOOKUP(A20,'Code '!A5:D42,4,FALSE))</f>
        <v/>
      </c>
      <c r="G20" s="3" t="str">
        <f>IF(H20="","",SUM(H20*'Code '!C5:C42))</f>
        <v/>
      </c>
      <c r="H20" s="12"/>
      <c r="I20" s="74" t="str">
        <f t="shared" si="0"/>
        <v/>
      </c>
    </row>
    <row r="21" spans="1:9">
      <c r="A21" s="42"/>
      <c r="B21" s="5" t="str">
        <f>IF(A21="","",VLOOKUP(A21,'Code '!$A$3:$C$40,2,FALSE))</f>
        <v/>
      </c>
      <c r="C21" s="5"/>
      <c r="D21" s="5"/>
      <c r="E21" s="5"/>
      <c r="F21" s="54" t="str">
        <f>IF(A21="","",VLOOKUP(A21,'Code '!A6:D43,4,FALSE))</f>
        <v/>
      </c>
      <c r="G21" s="3" t="str">
        <f>IF(H21="","",SUM(H21*'Code '!C8:C43))</f>
        <v/>
      </c>
      <c r="H21" s="12"/>
      <c r="I21" s="74" t="str">
        <f t="shared" si="0"/>
        <v/>
      </c>
    </row>
    <row r="22" spans="1:9">
      <c r="A22" s="42"/>
      <c r="B22" s="5" t="str">
        <f>IF(A22="","",VLOOKUP(A22,'Code '!$A$3:$C$40,2,FALSE))</f>
        <v/>
      </c>
      <c r="C22" s="5"/>
      <c r="D22" s="5"/>
      <c r="E22" s="5"/>
      <c r="F22" s="54" t="str">
        <f>IF(A22="","",VLOOKUP(A22,'Code '!A7:D44,4,FALSE))</f>
        <v/>
      </c>
      <c r="G22" s="3" t="str">
        <f>IF(H22="","",SUM(H22*'Code '!C8:C44))</f>
        <v/>
      </c>
      <c r="H22" s="12"/>
      <c r="I22" s="74" t="str">
        <f t="shared" si="0"/>
        <v/>
      </c>
    </row>
    <row r="23" spans="1:9">
      <c r="A23" s="42"/>
      <c r="B23" s="5" t="str">
        <f>IF(A23="","",VLOOKUP(A23,'Code '!$A$3:$C$40,2,FALSE))</f>
        <v/>
      </c>
      <c r="C23" s="5"/>
      <c r="D23" s="5"/>
      <c r="E23" s="5"/>
      <c r="F23" s="54" t="str">
        <f>IF(A23="","",VLOOKUP(A23,'Code '!A8:D45,4,FALSE))</f>
        <v/>
      </c>
      <c r="G23" s="3" t="str">
        <f>IF(H23="","",SUM(H23*'Code '!C8:C45))</f>
        <v/>
      </c>
      <c r="H23" s="12"/>
      <c r="I23" s="74" t="str">
        <f t="shared" si="0"/>
        <v/>
      </c>
    </row>
    <row r="24" spans="1:9">
      <c r="A24" s="42"/>
      <c r="B24" s="5" t="str">
        <f>IF(A24="","",VLOOKUP(A24,'Code '!$A$3:$C$40,2,FALSE))</f>
        <v/>
      </c>
      <c r="C24" s="5"/>
      <c r="D24" s="5"/>
      <c r="E24" s="5"/>
      <c r="F24" s="54" t="str">
        <f>IF(A24="","",VLOOKUP(A24,'Code '!A9:D46,4,FALSE))</f>
        <v/>
      </c>
      <c r="G24" s="3" t="str">
        <f>IF(H24="","",SUM(H24*'Code '!C9:C46))</f>
        <v/>
      </c>
      <c r="H24" s="12"/>
      <c r="I24" s="74" t="str">
        <f t="shared" si="0"/>
        <v/>
      </c>
    </row>
    <row r="25" spans="1:9">
      <c r="A25" s="42"/>
      <c r="B25" s="5" t="str">
        <f>IF(A25="","",VLOOKUP(A25,'Code '!$A$3:$C$40,2,FALSE))</f>
        <v/>
      </c>
      <c r="C25" s="5"/>
      <c r="D25" s="5"/>
      <c r="E25" s="5"/>
      <c r="F25" s="54" t="str">
        <f>IF(A25="","",VLOOKUP(A25,'Code '!A10:D47,4,FALSE))</f>
        <v/>
      </c>
      <c r="G25" s="3" t="str">
        <f>IF(H25="","",SUM(H25*'Code '!C10:C47))</f>
        <v/>
      </c>
      <c r="H25" s="12"/>
      <c r="I25" s="74" t="str">
        <f t="shared" si="0"/>
        <v/>
      </c>
    </row>
    <row r="26" spans="1:9">
      <c r="A26" s="42"/>
      <c r="B26" s="5" t="str">
        <f>IF(A26="","",VLOOKUP(A26,'Code '!$A$3:$C$40,2,FALSE))</f>
        <v/>
      </c>
      <c r="C26" s="5"/>
      <c r="D26" s="5"/>
      <c r="E26" s="5"/>
      <c r="F26" s="54" t="str">
        <f>IF(A26="","",VLOOKUP(A26,'Code '!A11:D48,4,FALSE))</f>
        <v/>
      </c>
      <c r="G26" s="3" t="str">
        <f>IF(H26="","",SUM(H26*'Code '!C11:C48))</f>
        <v/>
      </c>
      <c r="H26" s="12"/>
      <c r="I26" s="74" t="str">
        <f t="shared" si="0"/>
        <v/>
      </c>
    </row>
    <row r="27" spans="1:9">
      <c r="A27" s="42"/>
      <c r="B27" s="5" t="str">
        <f>IF(A27="","",VLOOKUP(A27,'Code '!$A$3:$C$40,2,FALSE))</f>
        <v/>
      </c>
      <c r="C27" s="5"/>
      <c r="D27" s="5"/>
      <c r="E27" s="5"/>
      <c r="F27" s="54" t="str">
        <f>IF(A27="","",VLOOKUP(A27,'Code '!A12:D49,4,FALSE))</f>
        <v/>
      </c>
      <c r="G27" s="3" t="str">
        <f>IF(H27="","",SUM(H27*'Code '!C12:C49))</f>
        <v/>
      </c>
      <c r="H27" s="12"/>
      <c r="I27" s="74" t="str">
        <f t="shared" si="0"/>
        <v/>
      </c>
    </row>
    <row r="28" spans="1:9">
      <c r="A28" s="42"/>
      <c r="B28" s="5" t="str">
        <f>IF(A28="","",VLOOKUP(A28,'Code '!$A$3:$C$40,2,FALSE))</f>
        <v/>
      </c>
      <c r="C28" s="5"/>
      <c r="D28" s="5"/>
      <c r="E28" s="5"/>
      <c r="F28" s="54" t="str">
        <f>IF(A28="","",VLOOKUP(A28,'Code '!A13:D50,4,FALSE))</f>
        <v/>
      </c>
      <c r="G28" s="3" t="str">
        <f>IF(H28="","",SUM(H28*'Code '!C13:C50))</f>
        <v/>
      </c>
      <c r="H28" s="12"/>
      <c r="I28" s="74" t="str">
        <f t="shared" si="0"/>
        <v/>
      </c>
    </row>
    <row r="29" spans="1:9">
      <c r="A29" s="42"/>
      <c r="B29" s="5" t="str">
        <f>IF(A29="","",VLOOKUP(A29,'Code '!$A$3:$C$40,2,FALSE))</f>
        <v/>
      </c>
      <c r="C29" s="5"/>
      <c r="D29" s="5"/>
      <c r="E29" s="5"/>
      <c r="F29" s="54" t="str">
        <f>IF(A29="","",VLOOKUP(A29,'Code '!A14:D51,4,FALSE))</f>
        <v/>
      </c>
      <c r="G29" s="3" t="str">
        <f>IF(H29="","",SUM(H29*'Code '!C14:C51))</f>
        <v/>
      </c>
      <c r="H29" s="12"/>
      <c r="I29" s="74" t="str">
        <f t="shared" si="0"/>
        <v/>
      </c>
    </row>
    <row r="30" spans="1:9">
      <c r="A30" s="42"/>
      <c r="B30" s="5" t="str">
        <f>IF(A30="","",VLOOKUP(A30,'Code '!$A$3:$C$40,2,FALSE))</f>
        <v/>
      </c>
      <c r="C30" s="5"/>
      <c r="D30" s="5"/>
      <c r="E30" s="5"/>
      <c r="F30" s="54" t="str">
        <f>IF(A30="","",VLOOKUP(A30,'Code '!A15:D52,4,FALSE))</f>
        <v/>
      </c>
      <c r="G30" s="3" t="str">
        <f>IF(H30="","",SUM(H30*'Code '!C15:C52))</f>
        <v/>
      </c>
      <c r="H30" s="12"/>
      <c r="I30" s="74" t="str">
        <f t="shared" si="0"/>
        <v/>
      </c>
    </row>
    <row r="31" spans="1:9">
      <c r="A31" s="42"/>
      <c r="B31" s="5" t="str">
        <f>IF(A31="","",VLOOKUP(A31,'Code '!$A$3:$C$40,2,FALSE))</f>
        <v/>
      </c>
      <c r="C31" s="5"/>
      <c r="D31" s="5"/>
      <c r="E31" s="5"/>
      <c r="F31" s="54" t="str">
        <f>IF(A31="","",VLOOKUP(A31,'Code '!A16:D53,4,FALSE))</f>
        <v/>
      </c>
      <c r="G31" s="3" t="str">
        <f>IF(H31="","",SUM(H31*'Code '!C16:C53))</f>
        <v/>
      </c>
      <c r="H31" s="12"/>
      <c r="I31" s="74" t="str">
        <f t="shared" si="0"/>
        <v/>
      </c>
    </row>
    <row r="32" spans="1:9" ht="15.75" thickBot="1">
      <c r="A32" s="43"/>
      <c r="B32" s="35" t="str">
        <f>IF(A32="","",VLOOKUP(A32,'Code '!$A$3:$C$40,2,FALSE))</f>
        <v/>
      </c>
      <c r="C32" s="35"/>
      <c r="D32" s="35"/>
      <c r="E32" s="35"/>
      <c r="F32" s="55" t="str">
        <f>IF(A32="","",VLOOKUP(A32,'Code '!A17:D54,4,FALSE))</f>
        <v/>
      </c>
      <c r="G32" s="3" t="str">
        <f>IF(H32="","",SUM(H32*'Code '!C17:C54))</f>
        <v/>
      </c>
      <c r="H32" s="12"/>
      <c r="I32" s="94" t="str">
        <f t="shared" si="0"/>
        <v/>
      </c>
    </row>
    <row r="33" spans="7:9" ht="18.75">
      <c r="G33" s="121"/>
      <c r="H33" s="38" t="s">
        <v>126</v>
      </c>
      <c r="I33" s="53">
        <f>SUM(I18:I32)</f>
        <v>1100</v>
      </c>
    </row>
    <row r="34" spans="7:9" ht="18.75">
      <c r="G34" s="19">
        <v>10</v>
      </c>
      <c r="H34" s="39" t="str">
        <f>VLOOKUP(G34,'Code '!AC3:AD6,2,FALSE)</f>
        <v>Tva : 10 %</v>
      </c>
      <c r="I34" s="97">
        <f>SUM(I33/100*G34)</f>
        <v>110</v>
      </c>
    </row>
    <row r="35" spans="7:9" ht="19.5" thickBot="1">
      <c r="H35" s="40" t="s">
        <v>125</v>
      </c>
      <c r="I35" s="52">
        <f>SUM(I33+I34)</f>
        <v>1210</v>
      </c>
    </row>
    <row r="39" spans="7:9">
      <c r="I39" s="51"/>
    </row>
  </sheetData>
  <mergeCells count="1">
    <mergeCell ref="A17:E17"/>
  </mergeCells>
  <pageMargins left="0.7" right="0.7" top="0.75" bottom="0.75" header="0.3" footer="0.3"/>
  <pageSetup paperSize="9" orientation="portrait" r:id="rId1"/>
  <ignoredErrors>
    <ignoredError sqref="I1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>
    <tabColor rgb="FF00B0F0"/>
  </sheetPr>
  <dimension ref="A1:P39"/>
  <sheetViews>
    <sheetView view="pageLayout" zoomScaleNormal="100" workbookViewId="0">
      <selection activeCell="E1" sqref="E1"/>
    </sheetView>
  </sheetViews>
  <sheetFormatPr baseColWidth="10" defaultRowHeight="15"/>
  <cols>
    <col min="1" max="1" width="2.28515625" customWidth="1"/>
    <col min="3" max="3" width="9.5703125" customWidth="1"/>
    <col min="4" max="4" width="12" customWidth="1"/>
    <col min="5" max="5" width="12.5703125" customWidth="1"/>
    <col min="6" max="6" width="12.7109375" customWidth="1"/>
    <col min="7" max="7" width="15.28515625" customWidth="1"/>
    <col min="9" max="9" width="3" customWidth="1"/>
    <col min="13" max="13" width="13.85546875" customWidth="1"/>
    <col min="14" max="14" width="11.28515625" customWidth="1"/>
    <col min="15" max="15" width="12.140625" bestFit="1" customWidth="1"/>
    <col min="26" max="26" width="7.140625" customWidth="1"/>
  </cols>
  <sheetData>
    <row r="1" spans="1:15">
      <c r="A1" s="197"/>
    </row>
    <row r="2" spans="1:15" ht="18.75">
      <c r="A2" t="s">
        <v>228</v>
      </c>
      <c r="B2" s="202">
        <f ca="1">TODAY()</f>
        <v>43205</v>
      </c>
      <c r="E2" s="1"/>
      <c r="I2" s="178"/>
      <c r="J2" s="9"/>
      <c r="K2" s="9"/>
      <c r="M2" s="1"/>
    </row>
    <row r="3" spans="1:15" ht="18.75">
      <c r="E3" s="19" t="s">
        <v>242</v>
      </c>
      <c r="F3" s="9" t="str">
        <f>VLOOKUP(E3,'Code '!$N$3:$S$39,2,FALSE)</f>
        <v>CHOCAT ALAIN</v>
      </c>
      <c r="G3" s="27"/>
      <c r="I3" s="9"/>
      <c r="J3" s="9"/>
      <c r="K3" s="9"/>
      <c r="N3" s="26"/>
      <c r="O3" s="27"/>
    </row>
    <row r="4" spans="1:15" ht="18.75">
      <c r="A4" s="178" t="s">
        <v>200</v>
      </c>
      <c r="B4" s="9" t="str">
        <f>VLOOKUP(A4,'Code '!$AC$9:$AD$13,2,FALSE)</f>
        <v>SCEA HORTON</v>
      </c>
      <c r="C4" s="9"/>
      <c r="F4" s="9" t="str">
        <f>VLOOKUP(E3,'Code '!$N$3:$R$39,3,FALSE)</f>
        <v>9 Rue des coudres</v>
      </c>
      <c r="I4" s="9"/>
      <c r="J4" s="9"/>
      <c r="K4" s="9"/>
    </row>
    <row r="5" spans="1:15" ht="18.75">
      <c r="A5" s="9"/>
      <c r="B5" s="9" t="str">
        <f>VLOOKUP(A4,'Code '!$AC$9:$AE$13,3,FALSE)</f>
        <v>9 rue des saulers</v>
      </c>
      <c r="C5" s="9"/>
      <c r="F5" s="9" t="str">
        <f>VLOOKUP(E3,'Code '!$N$3:$Q$39,4,FALSE)</f>
        <v>89560 CHASTENAY</v>
      </c>
      <c r="I5" s="9"/>
      <c r="J5" s="9"/>
      <c r="K5" s="9"/>
    </row>
    <row r="6" spans="1:15" ht="18.75">
      <c r="A6" s="9"/>
      <c r="B6" s="9" t="str">
        <f>VLOOKUP(A4,'Code '!AC9:AF13,4,FALSE)</f>
        <v>89 240 Escamps</v>
      </c>
      <c r="C6" s="9"/>
      <c r="G6" s="28"/>
      <c r="I6" s="9"/>
      <c r="J6" s="9"/>
      <c r="K6" s="9"/>
      <c r="O6" s="28"/>
    </row>
    <row r="7" spans="1:15" ht="18.75">
      <c r="A7" s="9"/>
      <c r="B7" s="9">
        <f>VLOOKUP(A4,'Code '!$AC$9:$AG$13,5,FALSE)</f>
        <v>0</v>
      </c>
      <c r="C7" s="9"/>
      <c r="I7" s="9"/>
      <c r="J7" s="9"/>
      <c r="K7" s="9"/>
    </row>
    <row r="8" spans="1:15" ht="18.75">
      <c r="A8" s="9"/>
      <c r="B8" s="9">
        <f>VLOOKUP(A4,'Code '!$AC$9:$AH$13,6,FALSE)</f>
        <v>0</v>
      </c>
      <c r="C8" s="9"/>
      <c r="F8" t="s">
        <v>99</v>
      </c>
      <c r="G8" t="s">
        <v>243</v>
      </c>
      <c r="J8" s="9"/>
      <c r="K8" s="9"/>
    </row>
    <row r="9" spans="1:15" ht="18.75">
      <c r="A9" s="9"/>
      <c r="B9" s="9" t="str">
        <f>VLOOKUP(A4,'Code '!$AC$9:$AI$13,7,FALSE)</f>
        <v>E mail: emilienhorton@hotmail.fr</v>
      </c>
      <c r="C9" s="9"/>
      <c r="M9" s="19"/>
      <c r="N9" s="9"/>
    </row>
    <row r="10" spans="1:15" ht="18.75">
      <c r="B10" s="9" t="str">
        <f>VLOOKUP(A4,'Code '!$AC$9:$AJ$13,8,FALSE)</f>
        <v>Numéro TVA Intracommunautaire: FR9543</v>
      </c>
      <c r="C10" s="9"/>
      <c r="N10" s="9"/>
    </row>
    <row r="11" spans="1:15" ht="18.75">
      <c r="N11" s="9"/>
    </row>
    <row r="12" spans="1:15" ht="19.5" thickBot="1">
      <c r="F12" s="9"/>
      <c r="N12" s="9"/>
    </row>
    <row r="13" spans="1:15" ht="18.75">
      <c r="A13" s="241" t="s">
        <v>123</v>
      </c>
      <c r="B13" s="242"/>
      <c r="C13" s="242"/>
      <c r="D13" s="242"/>
      <c r="E13" s="243"/>
      <c r="F13" s="50" t="s">
        <v>159</v>
      </c>
      <c r="G13" s="50" t="s">
        <v>235</v>
      </c>
      <c r="H13" s="49" t="s">
        <v>100</v>
      </c>
    </row>
    <row r="14" spans="1:15" ht="18.75">
      <c r="A14" s="42"/>
      <c r="B14" s="244" t="str">
        <f>IF(A14="","",VLOOKUP(A14,'Code '!$V$3:$Y$40,2,FALSE))</f>
        <v/>
      </c>
      <c r="C14" s="244"/>
      <c r="D14" s="244"/>
      <c r="E14" s="245"/>
      <c r="F14" s="4" t="str">
        <f>IF(A14="","",VLOOKUP(A14,'Code '!$V$3:$Y$40,3,FALSE))</f>
        <v/>
      </c>
      <c r="G14" s="44"/>
      <c r="H14" s="45" t="str">
        <f>IF(F14="","",SUM(G14*F14))</f>
        <v/>
      </c>
    </row>
    <row r="15" spans="1:15" ht="18.75">
      <c r="A15" s="42" t="s">
        <v>174</v>
      </c>
      <c r="B15" s="246" t="str">
        <f>IF(A15="","",VLOOKUP(A15,'Code '!$V$3:$Y$40,2,FALSE))</f>
        <v>Broyage de cailloux</v>
      </c>
      <c r="C15" s="246"/>
      <c r="D15" s="246"/>
      <c r="E15" s="247"/>
      <c r="F15" s="96">
        <v>165</v>
      </c>
      <c r="G15" s="12">
        <v>10</v>
      </c>
      <c r="H15" s="46">
        <f>IF(F15="","",SUM(G15*F15))</f>
        <v>1650</v>
      </c>
    </row>
    <row r="16" spans="1:15" ht="18.75">
      <c r="A16" s="42"/>
      <c r="B16" s="246" t="str">
        <f>IF(A16="","",VLOOKUP(A16,'Code '!$V$3:$Y$40,2,FALSE))</f>
        <v/>
      </c>
      <c r="C16" s="246"/>
      <c r="D16" s="246"/>
      <c r="E16" s="247"/>
      <c r="F16" s="4" t="str">
        <f>IF(A16="","",VLOOKUP(A16,'Code '!$V$3:$Y$40,3,FALSE))</f>
        <v/>
      </c>
      <c r="G16" s="12"/>
      <c r="H16" s="45" t="str">
        <f t="shared" ref="H16:H28" si="0">IF(F16="","",SUM(G16*F16))</f>
        <v/>
      </c>
    </row>
    <row r="17" spans="1:16" ht="18.75">
      <c r="A17" s="42" t="s">
        <v>154</v>
      </c>
      <c r="B17" s="246" t="str">
        <f>IF(A17="","",VLOOKUP(A17,'Code '!$V$3:$Y$40,2,FALSE))</f>
        <v>Main d'œuvre</v>
      </c>
      <c r="C17" s="246"/>
      <c r="D17" s="246"/>
      <c r="E17" s="247"/>
      <c r="F17" s="96">
        <v>45</v>
      </c>
      <c r="G17" s="12">
        <v>3</v>
      </c>
      <c r="H17" s="206">
        <f>IF(F17="","",SUM(G17*F17))</f>
        <v>135</v>
      </c>
      <c r="I17" s="251"/>
      <c r="J17" s="251"/>
      <c r="K17" s="251"/>
      <c r="L17" s="251"/>
      <c r="M17" s="251"/>
      <c r="N17" s="198"/>
      <c r="O17" s="198"/>
      <c r="P17" s="198"/>
    </row>
    <row r="18" spans="1:16" ht="18.75">
      <c r="A18" s="42"/>
      <c r="B18" s="246" t="s">
        <v>236</v>
      </c>
      <c r="C18" s="246"/>
      <c r="D18" s="246"/>
      <c r="E18" s="247"/>
      <c r="F18" s="4" t="str">
        <f>IF(A18="","",VLOOKUP(A18,'Code '!$V$3:$Y$40,3,FALSE))</f>
        <v/>
      </c>
      <c r="G18" s="12"/>
      <c r="H18" s="203" t="str">
        <f t="shared" si="0"/>
        <v/>
      </c>
      <c r="I18" s="196"/>
      <c r="J18" s="248"/>
      <c r="K18" s="248"/>
      <c r="L18" s="248"/>
      <c r="M18" s="248"/>
      <c r="N18" s="4"/>
      <c r="O18" s="4"/>
      <c r="P18" s="4"/>
    </row>
    <row r="19" spans="1:16" ht="18.75">
      <c r="A19" s="42"/>
      <c r="B19" s="246" t="s">
        <v>237</v>
      </c>
      <c r="C19" s="246"/>
      <c r="D19" s="246"/>
      <c r="E19" s="247"/>
      <c r="F19" s="4" t="str">
        <f>IF(A19="","",VLOOKUP(A19,'Code '!$V$3:$Y$40,3,FALSE))</f>
        <v/>
      </c>
      <c r="G19" s="12"/>
      <c r="H19" s="203" t="str">
        <f>IF(F19="","",SUM(G19*F19))</f>
        <v/>
      </c>
      <c r="I19" s="196"/>
      <c r="J19" s="248"/>
      <c r="K19" s="248"/>
      <c r="L19" s="248"/>
      <c r="M19" s="248"/>
      <c r="N19" s="4"/>
      <c r="O19" s="4"/>
      <c r="P19" s="199"/>
    </row>
    <row r="20" spans="1:16" ht="18.75">
      <c r="A20" s="42"/>
      <c r="B20" s="246" t="str">
        <f>IF(A20="","",VLOOKUP(A20,'Code '!$V$3:$Y$40,2,FALSE))</f>
        <v/>
      </c>
      <c r="C20" s="246"/>
      <c r="D20" s="246"/>
      <c r="E20" s="247"/>
      <c r="F20" s="4" t="str">
        <f>IF(A20="","",VLOOKUP(A20,'Code '!$V$3:$Y$40,3,FALSE))</f>
        <v/>
      </c>
      <c r="G20" s="12"/>
      <c r="H20" s="203" t="str">
        <f t="shared" si="0"/>
        <v/>
      </c>
      <c r="I20" s="196"/>
      <c r="J20" s="248"/>
      <c r="K20" s="248"/>
      <c r="L20" s="248"/>
      <c r="M20" s="248"/>
      <c r="N20" s="4"/>
      <c r="O20" s="4"/>
      <c r="P20" s="4"/>
    </row>
    <row r="21" spans="1:16" ht="18.75">
      <c r="A21" s="42"/>
      <c r="B21" s="246" t="str">
        <f>IF(A21="","",VLOOKUP(A21,'Code '!$V$3:$Y$40,2,FALSE))</f>
        <v/>
      </c>
      <c r="C21" s="246"/>
      <c r="D21" s="246"/>
      <c r="E21" s="247"/>
      <c r="F21" s="4" t="str">
        <f>IF(A21="","",VLOOKUP(A21,'Code '!$V$3:$Y$40,3,FALSE))</f>
        <v/>
      </c>
      <c r="G21" s="12"/>
      <c r="H21" s="203" t="str">
        <f t="shared" si="0"/>
        <v/>
      </c>
      <c r="I21" s="196"/>
      <c r="J21" s="248"/>
      <c r="K21" s="248"/>
      <c r="L21" s="248"/>
      <c r="M21" s="248"/>
      <c r="N21" s="4"/>
      <c r="O21" s="4"/>
      <c r="P21" s="4"/>
    </row>
    <row r="22" spans="1:16" ht="18.75">
      <c r="A22" s="42"/>
      <c r="B22" s="246" t="str">
        <f>IF(A22="","",VLOOKUP(A22,'Code '!$V$3:$Y$40,2,FALSE))</f>
        <v/>
      </c>
      <c r="C22" s="246"/>
      <c r="D22" s="246"/>
      <c r="E22" s="247"/>
      <c r="F22" s="4" t="str">
        <f>IF(A22="","",VLOOKUP(A22,'Code '!$V$3:$Y$40,3,FALSE))</f>
        <v/>
      </c>
      <c r="G22" s="12"/>
      <c r="H22" s="203" t="str">
        <f t="shared" si="0"/>
        <v/>
      </c>
      <c r="I22" s="196"/>
      <c r="J22" s="248"/>
      <c r="K22" s="248"/>
      <c r="L22" s="248"/>
      <c r="M22" s="248"/>
      <c r="N22" s="4"/>
      <c r="O22" s="4"/>
      <c r="P22" s="4"/>
    </row>
    <row r="23" spans="1:16" ht="18.75">
      <c r="A23" s="42"/>
      <c r="B23" s="246" t="str">
        <f>IF(A23="","",VLOOKUP(A23,'Code '!$V$3:$Y$40,2,FALSE))</f>
        <v/>
      </c>
      <c r="C23" s="246"/>
      <c r="D23" s="246"/>
      <c r="E23" s="247"/>
      <c r="F23" s="4" t="str">
        <f>IF(A23="","",VLOOKUP(A23,'Code '!$V$3:$Y$40,3,FALSE))</f>
        <v/>
      </c>
      <c r="G23" s="12"/>
      <c r="H23" s="203" t="str">
        <f t="shared" si="0"/>
        <v/>
      </c>
      <c r="I23" s="196"/>
      <c r="J23" s="248"/>
      <c r="K23" s="248"/>
      <c r="L23" s="248"/>
      <c r="M23" s="248"/>
      <c r="N23" s="4"/>
      <c r="O23" s="4"/>
      <c r="P23" s="4"/>
    </row>
    <row r="24" spans="1:16" ht="18.75">
      <c r="A24" s="42"/>
      <c r="B24" s="246" t="str">
        <f>IF(A24="","",VLOOKUP(A24,'Code '!$V$3:$Y$40,2,FALSE))</f>
        <v/>
      </c>
      <c r="C24" s="246"/>
      <c r="D24" s="246"/>
      <c r="E24" s="247"/>
      <c r="F24" s="4" t="str">
        <f>IF(A24="","",VLOOKUP(A24,'Code '!$V$3:$Y$40,3,FALSE))</f>
        <v/>
      </c>
      <c r="G24" s="12"/>
      <c r="H24" s="203" t="str">
        <f t="shared" si="0"/>
        <v/>
      </c>
      <c r="I24" s="196"/>
      <c r="J24" s="248"/>
      <c r="K24" s="248"/>
      <c r="L24" s="248"/>
      <c r="M24" s="248"/>
      <c r="N24" s="4"/>
      <c r="O24" s="4"/>
      <c r="P24" s="4"/>
    </row>
    <row r="25" spans="1:16" ht="18.75">
      <c r="A25" s="42"/>
      <c r="B25" s="246" t="str">
        <f>IF(A25="","",VLOOKUP(A25,'Code '!$V$3:$Y$40,2,FALSE))</f>
        <v/>
      </c>
      <c r="C25" s="246"/>
      <c r="D25" s="246"/>
      <c r="E25" s="247"/>
      <c r="F25" s="4" t="str">
        <f>IF(A25="","",VLOOKUP(A25,'Code '!$V$3:$Y$40,3,FALSE))</f>
        <v/>
      </c>
      <c r="G25" s="12"/>
      <c r="H25" s="203" t="str">
        <f t="shared" si="0"/>
        <v/>
      </c>
      <c r="I25" s="196"/>
      <c r="J25" s="248"/>
      <c r="K25" s="248"/>
      <c r="L25" s="248"/>
      <c r="M25" s="248"/>
      <c r="N25" s="4"/>
      <c r="O25" s="4"/>
      <c r="P25" s="4"/>
    </row>
    <row r="26" spans="1:16" ht="18.75">
      <c r="A26" s="42"/>
      <c r="B26" s="246" t="str">
        <f>IF(A26="","",VLOOKUP(A26,'Code '!$V$3:$Y$40,2,FALSE))</f>
        <v/>
      </c>
      <c r="C26" s="246"/>
      <c r="D26" s="246"/>
      <c r="E26" s="247"/>
      <c r="F26" s="4" t="str">
        <f>IF(A26="","",VLOOKUP(A26,'Code '!$V$3:$Y$40,3,FALSE))</f>
        <v/>
      </c>
      <c r="G26" s="12"/>
      <c r="H26" s="203" t="str">
        <f t="shared" si="0"/>
        <v/>
      </c>
      <c r="I26" s="196"/>
      <c r="J26" s="248"/>
      <c r="K26" s="248"/>
      <c r="L26" s="248"/>
      <c r="M26" s="248"/>
      <c r="N26" s="4"/>
      <c r="O26" s="4"/>
      <c r="P26" s="4"/>
    </row>
    <row r="27" spans="1:16" ht="18.75">
      <c r="A27" s="42"/>
      <c r="B27" s="246" t="str">
        <f>IF(A27="","",VLOOKUP(A27,'Code '!$V$3:$Y$40,2,FALSE))</f>
        <v/>
      </c>
      <c r="C27" s="246"/>
      <c r="D27" s="246"/>
      <c r="E27" s="247"/>
      <c r="F27" s="4" t="str">
        <f>IF(A27="","",VLOOKUP(A27,'Code '!$V$3:$Y$40,3,FALSE))</f>
        <v/>
      </c>
      <c r="G27" s="12"/>
      <c r="H27" s="203" t="str">
        <f t="shared" si="0"/>
        <v/>
      </c>
      <c r="I27" s="196"/>
      <c r="J27" s="248"/>
      <c r="K27" s="248"/>
      <c r="L27" s="248"/>
      <c r="M27" s="248"/>
      <c r="N27" s="4"/>
      <c r="O27" s="4"/>
      <c r="P27" s="4"/>
    </row>
    <row r="28" spans="1:16" ht="19.5" thickBot="1">
      <c r="A28" s="43"/>
      <c r="B28" s="249" t="str">
        <f>IF(A28="","",VLOOKUP(A28,'Code '!$V$3:$Y$40,2,FALSE))</f>
        <v/>
      </c>
      <c r="C28" s="249"/>
      <c r="D28" s="249"/>
      <c r="E28" s="250"/>
      <c r="F28" s="93" t="str">
        <f>IF(A28="","",VLOOKUP(A28,'Code '!$V$3:$Y$40,3,FALSE))</f>
        <v/>
      </c>
      <c r="G28" s="47"/>
      <c r="H28" s="48" t="str">
        <f t="shared" si="0"/>
        <v/>
      </c>
      <c r="I28" s="196"/>
      <c r="J28" s="248"/>
      <c r="K28" s="248"/>
      <c r="L28" s="248"/>
      <c r="M28" s="248"/>
      <c r="N28" s="4"/>
      <c r="O28" s="4"/>
      <c r="P28" s="4"/>
    </row>
    <row r="29" spans="1:16" ht="18.75">
      <c r="G29" s="38" t="s">
        <v>126</v>
      </c>
      <c r="H29" s="204">
        <f>SUM(H14:H28)</f>
        <v>1785</v>
      </c>
      <c r="I29" s="196"/>
      <c r="J29" s="248"/>
      <c r="K29" s="248"/>
      <c r="L29" s="248"/>
      <c r="M29" s="248"/>
      <c r="N29" s="4"/>
      <c r="O29" s="4"/>
      <c r="P29" s="4"/>
    </row>
    <row r="30" spans="1:16" ht="18.75">
      <c r="F30" s="19">
        <v>20</v>
      </c>
      <c r="G30" s="39" t="str">
        <f>VLOOKUP(F30,'Code '!AC3:AE6,2,FALSE)</f>
        <v>Tva : 20 %</v>
      </c>
      <c r="H30" s="97">
        <f>SUM(H29/100*F30)</f>
        <v>357</v>
      </c>
      <c r="I30" s="196"/>
      <c r="J30" s="248"/>
      <c r="K30" s="248"/>
      <c r="L30" s="248"/>
      <c r="M30" s="248"/>
      <c r="N30" s="4"/>
      <c r="O30" s="4"/>
      <c r="P30" s="4"/>
    </row>
    <row r="31" spans="1:16" ht="19.5" thickBot="1">
      <c r="B31" t="s">
        <v>244</v>
      </c>
      <c r="G31" s="40" t="s">
        <v>125</v>
      </c>
      <c r="H31" s="52">
        <f>SUM(H29+H30)</f>
        <v>2142</v>
      </c>
      <c r="I31" s="196"/>
      <c r="J31" s="248"/>
      <c r="K31" s="248"/>
      <c r="L31" s="248"/>
      <c r="M31" s="248"/>
      <c r="N31" s="4"/>
      <c r="O31" s="4"/>
      <c r="P31" s="4"/>
    </row>
    <row r="32" spans="1:16" ht="18.75">
      <c r="I32" s="196"/>
      <c r="J32" s="248"/>
      <c r="K32" s="248"/>
      <c r="L32" s="248"/>
      <c r="M32" s="248"/>
      <c r="N32" s="4"/>
      <c r="O32" s="4"/>
      <c r="P32" s="4"/>
    </row>
    <row r="33" spans="2:16" ht="18.75">
      <c r="I33" s="5"/>
      <c r="J33" s="5"/>
      <c r="K33" s="5"/>
      <c r="L33" s="5"/>
      <c r="M33" s="5"/>
      <c r="N33" s="5"/>
      <c r="O33" s="200"/>
      <c r="P33" s="95"/>
    </row>
    <row r="34" spans="2:16" ht="18.75">
      <c r="I34" s="5"/>
      <c r="J34" s="5"/>
      <c r="K34" s="5"/>
      <c r="L34" s="5"/>
      <c r="M34" s="5"/>
      <c r="N34" s="155"/>
      <c r="O34" s="200"/>
      <c r="P34" s="201"/>
    </row>
    <row r="35" spans="2:16" ht="18.75">
      <c r="B35" t="s">
        <v>245</v>
      </c>
      <c r="I35" s="5"/>
      <c r="J35" s="5"/>
      <c r="K35" s="5"/>
      <c r="L35" s="5"/>
      <c r="M35" s="5"/>
      <c r="N35" s="5"/>
      <c r="O35" s="200"/>
      <c r="P35" s="95"/>
    </row>
    <row r="36" spans="2:16">
      <c r="B36" t="s">
        <v>246</v>
      </c>
    </row>
    <row r="39" spans="2:16">
      <c r="H39" s="51"/>
      <c r="P39" s="51"/>
    </row>
  </sheetData>
  <sheetProtection sheet="1" objects="1" scenarios="1"/>
  <mergeCells count="32">
    <mergeCell ref="B18:E18"/>
    <mergeCell ref="B19:E19"/>
    <mergeCell ref="I17:M17"/>
    <mergeCell ref="J18:M18"/>
    <mergeCell ref="J19:M19"/>
    <mergeCell ref="B28:E28"/>
    <mergeCell ref="B26:E26"/>
    <mergeCell ref="B27:E27"/>
    <mergeCell ref="J20:M20"/>
    <mergeCell ref="J21:M21"/>
    <mergeCell ref="J27:M27"/>
    <mergeCell ref="B25:E25"/>
    <mergeCell ref="B20:E20"/>
    <mergeCell ref="B21:E21"/>
    <mergeCell ref="B22:E22"/>
    <mergeCell ref="B23:E23"/>
    <mergeCell ref="B24:E24"/>
    <mergeCell ref="J32:M32"/>
    <mergeCell ref="J22:M22"/>
    <mergeCell ref="J23:M23"/>
    <mergeCell ref="J24:M24"/>
    <mergeCell ref="J25:M25"/>
    <mergeCell ref="J26:M26"/>
    <mergeCell ref="J28:M28"/>
    <mergeCell ref="J29:M29"/>
    <mergeCell ref="J30:M30"/>
    <mergeCell ref="J31:M31"/>
    <mergeCell ref="A13:E13"/>
    <mergeCell ref="B14:E14"/>
    <mergeCell ref="B15:E15"/>
    <mergeCell ref="B16:E16"/>
    <mergeCell ref="B17:E17"/>
  </mergeCells>
  <pageMargins left="0.7" right="0.7" top="0.75" bottom="0.75" header="0.3" footer="0.3"/>
  <pageSetup paperSize="9" orientation="portrait" r:id="rId1"/>
  <headerFooter>
    <oddHeader>&amp;C&amp;"Consolas,Gras italique"&amp;24FACTURE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>
    <tabColor rgb="FF7030A0"/>
  </sheetPr>
  <dimension ref="A2:I39"/>
  <sheetViews>
    <sheetView view="pageLayout" zoomScaleNormal="100" workbookViewId="0">
      <selection activeCell="G10" sqref="G10"/>
    </sheetView>
  </sheetViews>
  <sheetFormatPr baseColWidth="10" defaultRowHeight="15"/>
  <cols>
    <col min="1" max="1" width="2.85546875" customWidth="1"/>
    <col min="4" max="4" width="4" customWidth="1"/>
    <col min="5" max="5" width="4.85546875" customWidth="1"/>
    <col min="7" max="7" width="14" customWidth="1"/>
    <col min="8" max="8" width="15.140625" customWidth="1"/>
  </cols>
  <sheetData>
    <row r="2" spans="1:8">
      <c r="E2" s="1"/>
    </row>
    <row r="3" spans="1:8" ht="18.75">
      <c r="A3" t="s">
        <v>226</v>
      </c>
      <c r="B3" s="202">
        <f ca="1">TODAY()</f>
        <v>43205</v>
      </c>
      <c r="F3" s="19" t="s">
        <v>142</v>
      </c>
      <c r="G3" s="9" t="str">
        <f>VLOOKUP(F3,'Code '!$G$3:$L$40,2,FALSE)</f>
        <v>HORTON Emilien</v>
      </c>
      <c r="H3" s="27"/>
    </row>
    <row r="4" spans="1:8" ht="18.75">
      <c r="G4" s="9" t="str">
        <f>VLOOKUP(F3,'Code '!$G$3:$L$40,3,FALSE)</f>
        <v>10 rue des prés verdeaux</v>
      </c>
    </row>
    <row r="5" spans="1:8" ht="18.75">
      <c r="G5" s="9" t="str">
        <f>VLOOKUP(F3,'Code '!$G$3:$L$40,4,FALSE)</f>
        <v>89580 COULANGERON</v>
      </c>
    </row>
    <row r="6" spans="1:8" ht="18.75">
      <c r="A6" s="178" t="s">
        <v>185</v>
      </c>
      <c r="B6" s="9" t="str">
        <f>VLOOKUP(A6,'Code '!$AC$9:$AD$13,2,FALSE)</f>
        <v>SCEA HORTON</v>
      </c>
      <c r="C6" s="9"/>
      <c r="G6" s="25"/>
    </row>
    <row r="7" spans="1:8" ht="18.75">
      <c r="A7" s="9"/>
      <c r="B7" s="9" t="str">
        <f>VLOOKUP(A6,'Code '!$AC$9:$AE$13,3,FALSE)</f>
        <v>9 rue des saulers</v>
      </c>
      <c r="C7" s="9"/>
    </row>
    <row r="8" spans="1:8" ht="18.75">
      <c r="A8" s="9"/>
      <c r="B8" s="9" t="str">
        <f>VLOOKUP(A6,'Code '!$AC$9:$AF$13,4,FALSE)</f>
        <v>89 240 Escamps</v>
      </c>
      <c r="C8" s="9"/>
    </row>
    <row r="9" spans="1:8" ht="18.75">
      <c r="A9" s="9"/>
      <c r="B9" s="9">
        <f>VLOOKUP(A6,'Code '!$AC$9:$AG$13,5,FALSE)</f>
        <v>0</v>
      </c>
      <c r="C9" s="9"/>
      <c r="G9" t="s">
        <v>227</v>
      </c>
    </row>
    <row r="10" spans="1:8" ht="18.75">
      <c r="A10" s="9"/>
      <c r="B10" s="9">
        <f>VLOOKUP(A6,'Code '!$AC$9:$AH$13,6,FALSE)</f>
        <v>0</v>
      </c>
      <c r="C10" s="9"/>
    </row>
    <row r="11" spans="1:8" ht="18.75">
      <c r="A11" s="9"/>
      <c r="B11" s="9" t="str">
        <f>VLOOKUP(A6,'Code '!$AC$9:$AI$13,7,FALSE)</f>
        <v>E mail: emilienhorton@hotmail.fr</v>
      </c>
      <c r="C11" s="9"/>
    </row>
    <row r="12" spans="1:8" ht="18.75">
      <c r="B12" s="9" t="str">
        <f>VLOOKUP(A6,'Code '!$AC$9:$AJ$13,8,FALSE)</f>
        <v>Numéro TVA Intracommunautaire: FR9543</v>
      </c>
      <c r="C12" s="9"/>
    </row>
    <row r="16" spans="1:8" ht="15.75" thickBot="1"/>
    <row r="17" spans="1:9" ht="18.75">
      <c r="A17" s="241" t="s">
        <v>123</v>
      </c>
      <c r="B17" s="242"/>
      <c r="C17" s="242"/>
      <c r="D17" s="242"/>
      <c r="E17" s="243"/>
      <c r="F17" s="50" t="s">
        <v>131</v>
      </c>
      <c r="G17" s="50" t="s">
        <v>132</v>
      </c>
      <c r="H17" s="50" t="s">
        <v>124</v>
      </c>
      <c r="I17" s="49" t="s">
        <v>100</v>
      </c>
    </row>
    <row r="18" spans="1:9">
      <c r="A18" s="42" t="s">
        <v>11</v>
      </c>
      <c r="B18" s="5" t="e">
        <f>IF(A18="","",VLOOKUP(A18,'Code '!$A$3:$C$40,2,FALSE))</f>
        <v>#N/A</v>
      </c>
      <c r="C18" s="5"/>
      <c r="D18" s="5"/>
      <c r="E18" s="5"/>
      <c r="F18" s="54" t="e">
        <f>IF(A18="","",VLOOKUP(A18,'Code '!A3:D40,4,FALSE))</f>
        <v>#N/A</v>
      </c>
      <c r="G18" s="3">
        <f>IF(H18="","",SUM(H18*'Code '!C3:C40))</f>
        <v>0</v>
      </c>
      <c r="H18" s="44">
        <v>10</v>
      </c>
      <c r="I18" s="74" t="e">
        <f>IF(F18="","",SUM(G18*F18))</f>
        <v>#N/A</v>
      </c>
    </row>
    <row r="19" spans="1:9">
      <c r="A19" s="42" t="s">
        <v>147</v>
      </c>
      <c r="B19" s="5" t="str">
        <f>IF(A19="","",VLOOKUP(A19,'Code '!$A$3:$C$40,2,FALSE))</f>
        <v>Paille de Lin</v>
      </c>
      <c r="C19" s="5"/>
      <c r="D19" s="5"/>
      <c r="E19" s="5"/>
      <c r="F19" s="54">
        <f>IF(A19="","",VLOOKUP(A19,'Code '!A4:D41,4,FALSE))</f>
        <v>150</v>
      </c>
      <c r="G19" s="3">
        <f>IF(H19="","",SUM(H19*'Code '!C4:C41))</f>
        <v>0</v>
      </c>
      <c r="H19" s="12">
        <v>100</v>
      </c>
      <c r="I19" s="74">
        <f>IF(F19="","",SUM(G19*F19))</f>
        <v>0</v>
      </c>
    </row>
    <row r="20" spans="1:9">
      <c r="A20" s="42"/>
      <c r="B20" s="5" t="str">
        <f>IF(A20="","",VLOOKUP(A20,'Code '!$A$3:$C$40,2,FALSE))</f>
        <v/>
      </c>
      <c r="C20" s="5"/>
      <c r="D20" s="5"/>
      <c r="E20" s="5"/>
      <c r="F20" s="54" t="str">
        <f>IF(A20="","",VLOOKUP(A20,'Code '!A5:D42,4,FALSE))</f>
        <v/>
      </c>
      <c r="G20" s="3" t="str">
        <f>IF(H20="","",SUM(H20*'Code '!C5:C42))</f>
        <v/>
      </c>
      <c r="H20" s="12"/>
      <c r="I20" s="74" t="str">
        <f t="shared" ref="I20:I32" si="0">IF(F20="","",SUM(G20*F20))</f>
        <v/>
      </c>
    </row>
    <row r="21" spans="1:9">
      <c r="A21" s="42"/>
      <c r="B21" s="5" t="str">
        <f>IF(A21="","",VLOOKUP(A21,'Code '!$A$3:$C$40,2,FALSE))</f>
        <v/>
      </c>
      <c r="C21" s="5"/>
      <c r="D21" s="5"/>
      <c r="E21" s="5"/>
      <c r="F21" s="54" t="str">
        <f>IF(A21="","",VLOOKUP(A21,'Code '!A6:D43,4,FALSE))</f>
        <v/>
      </c>
      <c r="G21" s="3" t="str">
        <f>IF(H21="","",SUM(H21*'Code '!C8:C43))</f>
        <v/>
      </c>
      <c r="H21" s="12"/>
      <c r="I21" s="74" t="str">
        <f t="shared" si="0"/>
        <v/>
      </c>
    </row>
    <row r="22" spans="1:9">
      <c r="A22" s="42"/>
      <c r="B22" s="5" t="str">
        <f>IF(A22="","",VLOOKUP(A22,'Code '!$A$3:$C$40,2,FALSE))</f>
        <v/>
      </c>
      <c r="C22" s="5"/>
      <c r="D22" s="5"/>
      <c r="E22" s="5"/>
      <c r="F22" s="54" t="str">
        <f>IF(A22="","",VLOOKUP(A22,'Code '!A7:D44,4,FALSE))</f>
        <v/>
      </c>
      <c r="G22" s="3" t="str">
        <f>IF(H22="","",SUM(H22*'Code '!C8:C44))</f>
        <v/>
      </c>
      <c r="H22" s="12"/>
      <c r="I22" s="74" t="str">
        <f t="shared" si="0"/>
        <v/>
      </c>
    </row>
    <row r="23" spans="1:9">
      <c r="A23" s="42"/>
      <c r="B23" s="5" t="str">
        <f>IF(A23="","",VLOOKUP(A23,'Code '!$A$3:$C$40,2,FALSE))</f>
        <v/>
      </c>
      <c r="C23" s="5"/>
      <c r="D23" s="5"/>
      <c r="E23" s="5"/>
      <c r="F23" s="54" t="str">
        <f>IF(A23="","",VLOOKUP(A23,'Code '!A8:D45,4,FALSE))</f>
        <v/>
      </c>
      <c r="G23" s="3" t="str">
        <f>IF(H23="","",SUM(H23*'Code '!C8:C45))</f>
        <v/>
      </c>
      <c r="H23" s="12"/>
      <c r="I23" s="74" t="str">
        <f t="shared" si="0"/>
        <v/>
      </c>
    </row>
    <row r="24" spans="1:9">
      <c r="A24" s="42"/>
      <c r="B24" s="5" t="str">
        <f>IF(A24="","",VLOOKUP(A24,'Code '!$A$3:$C$40,2,FALSE))</f>
        <v/>
      </c>
      <c r="C24" s="5"/>
      <c r="D24" s="5"/>
      <c r="E24" s="5"/>
      <c r="F24" s="54" t="str">
        <f>IF(A24="","",VLOOKUP(A24,'Code '!A9:D46,4,FALSE))</f>
        <v/>
      </c>
      <c r="G24" s="3" t="str">
        <f>IF(H24="","",SUM(H24*'Code '!C9:C46))</f>
        <v/>
      </c>
      <c r="H24" s="12"/>
      <c r="I24" s="74" t="str">
        <f t="shared" si="0"/>
        <v/>
      </c>
    </row>
    <row r="25" spans="1:9">
      <c r="A25" s="42"/>
      <c r="B25" s="5" t="str">
        <f>IF(A25="","",VLOOKUP(A25,'Code '!$A$3:$C$40,2,FALSE))</f>
        <v/>
      </c>
      <c r="C25" s="5"/>
      <c r="D25" s="5"/>
      <c r="E25" s="5"/>
      <c r="F25" s="54" t="str">
        <f>IF(A25="","",VLOOKUP(A25,'Code '!A10:D47,4,FALSE))</f>
        <v/>
      </c>
      <c r="G25" s="3" t="str">
        <f>IF(H25="","",SUM(H25*'Code '!C10:C47))</f>
        <v/>
      </c>
      <c r="H25" s="12"/>
      <c r="I25" s="74" t="str">
        <f t="shared" si="0"/>
        <v/>
      </c>
    </row>
    <row r="26" spans="1:9">
      <c r="A26" s="42"/>
      <c r="B26" s="5" t="str">
        <f>IF(A26="","",VLOOKUP(A26,'Code '!$A$3:$C$40,2,FALSE))</f>
        <v/>
      </c>
      <c r="C26" s="5"/>
      <c r="D26" s="5"/>
      <c r="E26" s="5"/>
      <c r="F26" s="54" t="str">
        <f>IF(A26="","",VLOOKUP(A26,'Code '!A11:D48,4,FALSE))</f>
        <v/>
      </c>
      <c r="G26" s="3" t="str">
        <f>IF(H26="","",SUM(H26*'Code '!C11:C48))</f>
        <v/>
      </c>
      <c r="H26" s="12"/>
      <c r="I26" s="74" t="str">
        <f t="shared" si="0"/>
        <v/>
      </c>
    </row>
    <row r="27" spans="1:9">
      <c r="A27" s="42"/>
      <c r="B27" s="5" t="str">
        <f>IF(A27="","",VLOOKUP(A27,'Code '!$A$3:$C$40,2,FALSE))</f>
        <v/>
      </c>
      <c r="C27" s="5"/>
      <c r="D27" s="5"/>
      <c r="E27" s="5"/>
      <c r="F27" s="54" t="str">
        <f>IF(A27="","",VLOOKUP(A27,'Code '!A12:D49,4,FALSE))</f>
        <v/>
      </c>
      <c r="G27" s="3" t="str">
        <f>IF(H27="","",SUM(H27*'Code '!C12:C49))</f>
        <v/>
      </c>
      <c r="H27" s="12"/>
      <c r="I27" s="74" t="str">
        <f t="shared" si="0"/>
        <v/>
      </c>
    </row>
    <row r="28" spans="1:9">
      <c r="A28" s="42"/>
      <c r="B28" s="5" t="str">
        <f>IF(A28="","",VLOOKUP(A28,'Code '!$A$3:$C$40,2,FALSE))</f>
        <v/>
      </c>
      <c r="C28" s="5"/>
      <c r="D28" s="5"/>
      <c r="E28" s="5"/>
      <c r="F28" s="54" t="str">
        <f>IF(A28="","",VLOOKUP(A28,'Code '!A13:D50,4,FALSE))</f>
        <v/>
      </c>
      <c r="G28" s="3" t="str">
        <f>IF(H28="","",SUM(H28*'Code '!C13:C50))</f>
        <v/>
      </c>
      <c r="H28" s="12"/>
      <c r="I28" s="74" t="str">
        <f t="shared" si="0"/>
        <v/>
      </c>
    </row>
    <row r="29" spans="1:9">
      <c r="A29" s="42"/>
      <c r="B29" s="5" t="str">
        <f>IF(A29="","",VLOOKUP(A29,'Code '!$A$3:$C$40,2,FALSE))</f>
        <v/>
      </c>
      <c r="C29" s="5"/>
      <c r="D29" s="5"/>
      <c r="E29" s="5"/>
      <c r="F29" s="54" t="str">
        <f>IF(A29="","",VLOOKUP(A29,'Code '!A14:D51,4,FALSE))</f>
        <v/>
      </c>
      <c r="G29" s="3" t="str">
        <f>IF(H29="","",SUM(H29*'Code '!C14:C51))</f>
        <v/>
      </c>
      <c r="H29" s="12"/>
      <c r="I29" s="74" t="str">
        <f t="shared" si="0"/>
        <v/>
      </c>
    </row>
    <row r="30" spans="1:9">
      <c r="A30" s="42"/>
      <c r="B30" s="5" t="str">
        <f>IF(A30="","",VLOOKUP(A30,'Code '!$A$3:$C$40,2,FALSE))</f>
        <v/>
      </c>
      <c r="C30" s="5"/>
      <c r="D30" s="5"/>
      <c r="E30" s="5"/>
      <c r="F30" s="54" t="str">
        <f>IF(A30="","",VLOOKUP(A30,'Code '!A15:D52,4,FALSE))</f>
        <v/>
      </c>
      <c r="G30" s="3" t="str">
        <f>IF(H30="","",SUM(H30*'Code '!C15:C52))</f>
        <v/>
      </c>
      <c r="H30" s="12"/>
      <c r="I30" s="74" t="str">
        <f t="shared" si="0"/>
        <v/>
      </c>
    </row>
    <row r="31" spans="1:9">
      <c r="A31" s="42"/>
      <c r="B31" s="5" t="str">
        <f>IF(A31="","",VLOOKUP(A31,'Code '!$A$3:$C$40,2,FALSE))</f>
        <v/>
      </c>
      <c r="C31" s="5"/>
      <c r="D31" s="5"/>
      <c r="E31" s="5"/>
      <c r="F31" s="54" t="str">
        <f>IF(A31="","",VLOOKUP(A31,'Code '!A16:D53,4,FALSE))</f>
        <v/>
      </c>
      <c r="G31" s="3" t="str">
        <f>IF(H31="","",SUM(H31*'Code '!C16:C53))</f>
        <v/>
      </c>
      <c r="H31" s="12"/>
      <c r="I31" s="74" t="str">
        <f t="shared" si="0"/>
        <v/>
      </c>
    </row>
    <row r="32" spans="1:9" ht="15.75" thickBot="1">
      <c r="A32" s="43"/>
      <c r="B32" s="35" t="str">
        <f>IF(A32="","",VLOOKUP(A32,'Code '!$A$3:$C$40,2,FALSE))</f>
        <v/>
      </c>
      <c r="C32" s="35"/>
      <c r="D32" s="35"/>
      <c r="E32" s="35"/>
      <c r="F32" s="55" t="str">
        <f>IF(A32="","",VLOOKUP(A32,'Code '!A17:D54,4,FALSE))</f>
        <v/>
      </c>
      <c r="G32" s="3" t="str">
        <f>IF(H32="","",SUM(H32*'Code '!C17:C54))</f>
        <v/>
      </c>
      <c r="H32" s="12"/>
      <c r="I32" s="94" t="str">
        <f t="shared" si="0"/>
        <v/>
      </c>
    </row>
    <row r="33" spans="7:9" ht="18.75">
      <c r="G33" s="121"/>
      <c r="H33" s="38" t="s">
        <v>126</v>
      </c>
      <c r="I33" s="53" t="e">
        <f>SUM(I18:I32)</f>
        <v>#N/A</v>
      </c>
    </row>
    <row r="34" spans="7:9" ht="18.75">
      <c r="G34" s="19">
        <v>10</v>
      </c>
      <c r="H34" s="39" t="str">
        <f>VLOOKUP(G34,'Code '!AC3:AD6,2,FALSE)</f>
        <v>Tva : 10 %</v>
      </c>
      <c r="I34" s="97" t="e">
        <f>SUM(I33/100*G34)</f>
        <v>#N/A</v>
      </c>
    </row>
    <row r="35" spans="7:9" ht="19.5" thickBot="1">
      <c r="H35" s="40" t="s">
        <v>125</v>
      </c>
      <c r="I35" s="52" t="e">
        <f>SUM(I33+I34)</f>
        <v>#N/A</v>
      </c>
    </row>
    <row r="39" spans="7:9">
      <c r="I39" s="51"/>
    </row>
  </sheetData>
  <mergeCells count="1">
    <mergeCell ref="A17:E17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>
    <tabColor rgb="FF00B050"/>
  </sheetPr>
  <dimension ref="A1:N10"/>
  <sheetViews>
    <sheetView zoomScaleNormal="100" workbookViewId="0">
      <selection activeCell="E4" sqref="E4"/>
    </sheetView>
  </sheetViews>
  <sheetFormatPr baseColWidth="10" defaultRowHeight="15"/>
  <cols>
    <col min="1" max="1" width="15.5703125" customWidth="1"/>
    <col min="2" max="2" width="11.7109375" customWidth="1"/>
    <col min="3" max="3" width="50.42578125" customWidth="1"/>
    <col min="4" max="4" width="29.85546875" customWidth="1"/>
    <col min="5" max="5" width="16.85546875" customWidth="1"/>
  </cols>
  <sheetData>
    <row r="1" spans="1:14" ht="31.5">
      <c r="A1" s="252" t="s">
        <v>170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3" spans="1:14" ht="23.25">
      <c r="A3" s="193" t="s">
        <v>222</v>
      </c>
      <c r="B3" s="193" t="s">
        <v>221</v>
      </c>
      <c r="C3" s="194" t="s">
        <v>224</v>
      </c>
      <c r="D3" s="195" t="s">
        <v>220</v>
      </c>
      <c r="E3" s="193" t="s">
        <v>223</v>
      </c>
      <c r="F3" s="193" t="s">
        <v>225</v>
      </c>
    </row>
    <row r="4" spans="1:14" ht="19.5" thickBot="1">
      <c r="A4">
        <v>40</v>
      </c>
      <c r="B4" s="202">
        <f ca="1">TODAY()</f>
        <v>43205</v>
      </c>
      <c r="C4" s="9" t="e">
        <f>VLOOKUP("'Facture vente'!A6",'Code '!$AC$9:$AD$13,2,FALSE)</f>
        <v>#N/A</v>
      </c>
      <c r="D4" s="9" t="e">
        <f>VLOOKUP('Facture vente'!G3,'Code '!$G$3:$L$40,2,FALSE)</f>
        <v>#N/A</v>
      </c>
      <c r="E4" s="52" t="e">
        <f>SUM(E2+E3)</f>
        <v>#VALUE!</v>
      </c>
    </row>
    <row r="5" spans="1:14">
      <c r="A5" s="190"/>
      <c r="C5" s="191"/>
      <c r="D5" s="192"/>
    </row>
    <row r="6" spans="1:14">
      <c r="A6" s="190"/>
      <c r="C6" s="191"/>
      <c r="D6" s="192"/>
    </row>
    <row r="7" spans="1:14">
      <c r="A7" s="190"/>
      <c r="C7" s="191"/>
      <c r="D7" s="192"/>
    </row>
    <row r="8" spans="1:14">
      <c r="A8" s="1"/>
      <c r="C8" s="191"/>
      <c r="D8" s="192"/>
    </row>
    <row r="9" spans="1:14">
      <c r="A9" s="1"/>
      <c r="C9" s="191"/>
      <c r="D9" s="192"/>
    </row>
    <row r="10" spans="1:14">
      <c r="A10" s="1"/>
      <c r="C10" s="191"/>
      <c r="D10" s="192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>
    <tabColor rgb="FF00B0F0"/>
  </sheetPr>
  <dimension ref="A1:P4"/>
  <sheetViews>
    <sheetView tabSelected="1" workbookViewId="0">
      <selection activeCell="C5" sqref="C5"/>
    </sheetView>
  </sheetViews>
  <sheetFormatPr baseColWidth="10" defaultRowHeight="15"/>
  <sheetData>
    <row r="1" spans="1:16" ht="31.5">
      <c r="A1" s="252" t="s">
        <v>171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4" spans="1:16">
      <c r="A4" t="s">
        <v>168</v>
      </c>
      <c r="B4" t="s">
        <v>172</v>
      </c>
      <c r="C4" t="s">
        <v>169</v>
      </c>
    </row>
  </sheetData>
  <mergeCells count="1">
    <mergeCell ref="A1:P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>
    <tabColor rgb="FF7030A0"/>
  </sheetPr>
  <dimension ref="A1"/>
  <sheetViews>
    <sheetView workbookViewId="0"/>
  </sheetViews>
  <sheetFormatPr baseColWidth="10" defaultRowHeight="15"/>
  <sheetData>
    <row r="1" spans="1:1">
      <c r="A1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>
    <tabColor theme="1"/>
  </sheetPr>
  <dimension ref="A1:AJ40"/>
  <sheetViews>
    <sheetView topLeftCell="Y2" zoomScaleNormal="100" workbookViewId="0">
      <selection activeCell="AD11" sqref="AD11"/>
    </sheetView>
  </sheetViews>
  <sheetFormatPr baseColWidth="10" defaultRowHeight="15"/>
  <cols>
    <col min="7" max="7" width="14.140625" customWidth="1"/>
    <col min="14" max="14" width="14.7109375" customWidth="1"/>
    <col min="22" max="22" width="12.5703125" customWidth="1"/>
  </cols>
  <sheetData>
    <row r="1" spans="1:36" ht="15.75" thickBot="1"/>
    <row r="2" spans="1:36" s="10" customFormat="1" ht="18.75">
      <c r="A2" s="29" t="s">
        <v>9</v>
      </c>
      <c r="B2" s="30" t="s">
        <v>10</v>
      </c>
      <c r="C2" s="30"/>
      <c r="D2" s="30"/>
      <c r="E2" s="31"/>
      <c r="G2" s="29" t="s">
        <v>14</v>
      </c>
      <c r="H2" s="30" t="s">
        <v>15</v>
      </c>
      <c r="I2" s="30" t="s">
        <v>101</v>
      </c>
      <c r="J2" s="30" t="s">
        <v>102</v>
      </c>
      <c r="K2" s="30"/>
      <c r="L2" s="31"/>
      <c r="N2" s="29" t="s">
        <v>33</v>
      </c>
      <c r="O2" s="30" t="s">
        <v>15</v>
      </c>
      <c r="P2" s="30" t="s">
        <v>101</v>
      </c>
      <c r="Q2" s="30" t="s">
        <v>102</v>
      </c>
      <c r="R2" s="30"/>
      <c r="S2" s="31"/>
      <c r="V2" s="29" t="s">
        <v>127</v>
      </c>
      <c r="W2" s="30" t="s">
        <v>128</v>
      </c>
      <c r="X2" s="30"/>
      <c r="Y2" s="31"/>
      <c r="AC2" s="29" t="s">
        <v>144</v>
      </c>
      <c r="AD2" s="30"/>
      <c r="AE2" s="31" t="s">
        <v>145</v>
      </c>
    </row>
    <row r="3" spans="1:36">
      <c r="A3" s="205" t="s">
        <v>234</v>
      </c>
      <c r="B3" s="73" t="s">
        <v>229</v>
      </c>
      <c r="C3" s="73"/>
      <c r="D3" s="120"/>
      <c r="E3" s="33"/>
      <c r="G3" s="32" t="s">
        <v>162</v>
      </c>
      <c r="H3" s="5" t="s">
        <v>166</v>
      </c>
      <c r="I3" s="5" t="s">
        <v>160</v>
      </c>
      <c r="J3" s="73" t="s">
        <v>161</v>
      </c>
      <c r="K3" s="5"/>
      <c r="L3" s="33"/>
      <c r="N3" s="32" t="s">
        <v>141</v>
      </c>
      <c r="O3" s="5" t="s">
        <v>48</v>
      </c>
      <c r="P3" s="5"/>
      <c r="Q3" s="5"/>
      <c r="R3" s="5"/>
      <c r="S3" s="33"/>
      <c r="V3" s="32" t="s">
        <v>129</v>
      </c>
      <c r="W3" s="5" t="s">
        <v>130</v>
      </c>
      <c r="X3" s="122">
        <v>6</v>
      </c>
      <c r="Y3" s="33"/>
      <c r="AC3" s="32">
        <v>5.5</v>
      </c>
      <c r="AD3" s="5" t="s">
        <v>150</v>
      </c>
      <c r="AE3" s="33">
        <v>5.5</v>
      </c>
    </row>
    <row r="4" spans="1:36">
      <c r="A4" s="205" t="s">
        <v>230</v>
      </c>
      <c r="B4" s="73" t="s">
        <v>231</v>
      </c>
      <c r="C4" s="73"/>
      <c r="D4" s="120"/>
      <c r="E4" s="33"/>
      <c r="G4" s="32" t="s">
        <v>16</v>
      </c>
      <c r="H4" s="5"/>
      <c r="I4" s="5"/>
      <c r="J4" s="5"/>
      <c r="K4" s="5"/>
      <c r="L4" s="33"/>
      <c r="N4" s="32" t="s">
        <v>133</v>
      </c>
      <c r="O4" s="5" t="s">
        <v>49</v>
      </c>
      <c r="P4" s="5"/>
      <c r="Q4" s="5"/>
      <c r="R4" s="5"/>
      <c r="S4" s="33"/>
      <c r="V4" s="32" t="s">
        <v>133</v>
      </c>
      <c r="W4" s="5" t="s">
        <v>134</v>
      </c>
      <c r="X4" s="5"/>
      <c r="Y4" s="33"/>
      <c r="AC4" s="32">
        <v>7.5</v>
      </c>
      <c r="AD4" s="5" t="s">
        <v>151</v>
      </c>
      <c r="AE4" s="33">
        <v>7.5</v>
      </c>
    </row>
    <row r="5" spans="1:36">
      <c r="A5" s="32" t="s">
        <v>214</v>
      </c>
      <c r="B5" s="73" t="s">
        <v>215</v>
      </c>
      <c r="C5" s="5"/>
      <c r="D5" s="120"/>
      <c r="E5" s="33"/>
      <c r="G5" s="32" t="s">
        <v>17</v>
      </c>
      <c r="H5" s="5"/>
      <c r="I5" s="5"/>
      <c r="J5" s="5"/>
      <c r="K5" s="5"/>
      <c r="L5" s="33"/>
      <c r="N5" s="32" t="s">
        <v>143</v>
      </c>
      <c r="O5" s="5" t="s">
        <v>50</v>
      </c>
      <c r="P5" s="5"/>
      <c r="Q5" s="5"/>
      <c r="R5" s="5"/>
      <c r="S5" s="33"/>
      <c r="V5" s="32" t="s">
        <v>135</v>
      </c>
      <c r="W5" s="73" t="s">
        <v>136</v>
      </c>
      <c r="X5" s="5"/>
      <c r="Y5" s="33"/>
      <c r="AC5" s="32">
        <v>10</v>
      </c>
      <c r="AD5" s="5" t="s">
        <v>152</v>
      </c>
      <c r="AE5" s="33">
        <v>10</v>
      </c>
    </row>
    <row r="6" spans="1:36" ht="15.75" thickBot="1">
      <c r="A6" s="32" t="s">
        <v>216</v>
      </c>
      <c r="B6" s="73" t="s">
        <v>217</v>
      </c>
      <c r="C6" s="5"/>
      <c r="D6" s="120"/>
      <c r="E6" s="33"/>
      <c r="G6" s="32" t="s">
        <v>18</v>
      </c>
      <c r="H6" s="5"/>
      <c r="I6" s="5"/>
      <c r="J6" s="5"/>
      <c r="K6" s="5"/>
      <c r="L6" s="33"/>
      <c r="N6" s="32" t="s">
        <v>34</v>
      </c>
      <c r="O6" s="5" t="s">
        <v>51</v>
      </c>
      <c r="P6" s="5"/>
      <c r="Q6" s="5"/>
      <c r="R6" s="5"/>
      <c r="S6" s="33"/>
      <c r="V6" s="32" t="s">
        <v>137</v>
      </c>
      <c r="W6" s="73" t="s">
        <v>138</v>
      </c>
      <c r="X6" s="5"/>
      <c r="Y6" s="33"/>
      <c r="AC6" s="34">
        <v>20</v>
      </c>
      <c r="AD6" s="35" t="s">
        <v>153</v>
      </c>
      <c r="AE6" s="36">
        <v>20</v>
      </c>
    </row>
    <row r="7" spans="1:36" ht="15.75" thickBot="1">
      <c r="A7" s="32" t="s">
        <v>218</v>
      </c>
      <c r="B7" s="73" t="s">
        <v>219</v>
      </c>
      <c r="C7" s="5"/>
      <c r="D7" s="120"/>
      <c r="E7" s="33"/>
      <c r="G7" s="32" t="s">
        <v>19</v>
      </c>
      <c r="H7" s="5"/>
      <c r="I7" s="5"/>
      <c r="J7" s="5"/>
      <c r="K7" s="5"/>
      <c r="L7" s="33"/>
      <c r="N7" s="32" t="s">
        <v>35</v>
      </c>
      <c r="O7" s="5"/>
      <c r="P7" s="5"/>
      <c r="Q7" s="5"/>
      <c r="R7" s="5"/>
      <c r="S7" s="33"/>
      <c r="V7" s="32" t="s">
        <v>139</v>
      </c>
      <c r="W7" s="73" t="s">
        <v>140</v>
      </c>
      <c r="X7" s="5"/>
      <c r="Y7" s="33"/>
    </row>
    <row r="8" spans="1:36" ht="21">
      <c r="A8" s="205" t="s">
        <v>232</v>
      </c>
      <c r="B8" s="73" t="s">
        <v>233</v>
      </c>
      <c r="C8" s="73"/>
      <c r="D8" s="120"/>
      <c r="E8" s="33"/>
      <c r="G8" s="32" t="s">
        <v>20</v>
      </c>
      <c r="H8" s="5"/>
      <c r="I8" s="5"/>
      <c r="J8" s="5"/>
      <c r="K8" s="5"/>
      <c r="L8" s="33"/>
      <c r="N8" s="32" t="s">
        <v>36</v>
      </c>
      <c r="O8" s="5"/>
      <c r="P8" s="5"/>
      <c r="Q8" s="5"/>
      <c r="R8" s="5"/>
      <c r="S8" s="33"/>
      <c r="V8" s="32" t="s">
        <v>154</v>
      </c>
      <c r="W8" s="73" t="s">
        <v>155</v>
      </c>
      <c r="X8" s="98">
        <v>45</v>
      </c>
      <c r="Y8" s="33"/>
      <c r="AC8" s="174" t="s">
        <v>195</v>
      </c>
      <c r="AD8" s="175" t="s">
        <v>196</v>
      </c>
      <c r="AE8" s="121"/>
      <c r="AF8" s="121"/>
      <c r="AG8" s="121"/>
      <c r="AH8" s="121"/>
      <c r="AI8" s="121"/>
      <c r="AJ8" s="176"/>
    </row>
    <row r="9" spans="1:36" ht="18">
      <c r="A9" s="205"/>
      <c r="B9" s="73"/>
      <c r="C9" s="73"/>
      <c r="D9" s="120"/>
      <c r="E9" s="33"/>
      <c r="G9" s="32" t="s">
        <v>21</v>
      </c>
      <c r="H9" s="5"/>
      <c r="I9" s="5"/>
      <c r="J9" s="5"/>
      <c r="K9" s="5"/>
      <c r="L9" s="33"/>
      <c r="N9" s="32" t="s">
        <v>37</v>
      </c>
      <c r="O9" s="5"/>
      <c r="P9" s="5"/>
      <c r="Q9" s="5"/>
      <c r="R9" s="5"/>
      <c r="S9" s="33"/>
      <c r="V9" s="32" t="s">
        <v>174</v>
      </c>
      <c r="W9" s="73" t="s">
        <v>175</v>
      </c>
      <c r="X9" s="95">
        <v>165</v>
      </c>
      <c r="Y9" s="33"/>
      <c r="AC9" s="32" t="s">
        <v>185</v>
      </c>
      <c r="AD9" s="5" t="s">
        <v>186</v>
      </c>
      <c r="AE9" s="5" t="s">
        <v>187</v>
      </c>
      <c r="AF9" s="5" t="s">
        <v>188</v>
      </c>
      <c r="AG9" s="5"/>
      <c r="AH9" s="177"/>
      <c r="AI9" s="5" t="s">
        <v>193</v>
      </c>
      <c r="AJ9" s="33" t="s">
        <v>247</v>
      </c>
    </row>
    <row r="10" spans="1:36">
      <c r="A10" s="205"/>
      <c r="B10" s="73"/>
      <c r="C10" s="73"/>
      <c r="D10" s="120"/>
      <c r="E10" s="33"/>
      <c r="G10" s="32" t="s">
        <v>22</v>
      </c>
      <c r="H10" s="5"/>
      <c r="I10" s="5"/>
      <c r="J10" s="5"/>
      <c r="K10" s="5"/>
      <c r="L10" s="33"/>
      <c r="N10" s="32" t="s">
        <v>38</v>
      </c>
      <c r="O10" s="5"/>
      <c r="P10" s="5"/>
      <c r="Q10" s="5"/>
      <c r="R10" s="5"/>
      <c r="S10" s="33"/>
      <c r="V10" s="32" t="s">
        <v>176</v>
      </c>
      <c r="W10" s="73" t="s">
        <v>184</v>
      </c>
      <c r="X10" s="5"/>
      <c r="Y10" s="33"/>
      <c r="AC10" s="32" t="s">
        <v>190</v>
      </c>
      <c r="AD10" s="5" t="s">
        <v>191</v>
      </c>
      <c r="AE10" s="5" t="s">
        <v>164</v>
      </c>
      <c r="AF10" s="5" t="s">
        <v>192</v>
      </c>
      <c r="AG10" s="5"/>
      <c r="AH10" s="5"/>
      <c r="AI10" s="5" t="s">
        <v>194</v>
      </c>
      <c r="AJ10" s="33" t="s">
        <v>189</v>
      </c>
    </row>
    <row r="11" spans="1:36">
      <c r="A11" s="205"/>
      <c r="B11" s="73"/>
      <c r="C11" s="73"/>
      <c r="D11" s="120"/>
      <c r="E11" s="33"/>
      <c r="G11" s="32" t="s">
        <v>23</v>
      </c>
      <c r="H11" s="5"/>
      <c r="I11" s="5"/>
      <c r="J11" s="5"/>
      <c r="K11" s="5"/>
      <c r="L11" s="33"/>
      <c r="N11" s="32" t="s">
        <v>39</v>
      </c>
      <c r="O11" s="5"/>
      <c r="P11" s="5"/>
      <c r="Q11" s="5"/>
      <c r="R11" s="5"/>
      <c r="S11" s="33"/>
      <c r="V11" s="32" t="s">
        <v>177</v>
      </c>
      <c r="W11" s="73" t="s">
        <v>178</v>
      </c>
      <c r="X11" s="5"/>
      <c r="Y11" s="33"/>
      <c r="AC11" s="32" t="s">
        <v>142</v>
      </c>
      <c r="AD11" s="73" t="s">
        <v>198</v>
      </c>
      <c r="AE11" s="5" t="s">
        <v>199</v>
      </c>
      <c r="AF11" s="5" t="s">
        <v>192</v>
      </c>
      <c r="AG11" s="5"/>
      <c r="AH11" s="5"/>
      <c r="AI11" s="5" t="s">
        <v>194</v>
      </c>
      <c r="AJ11" s="33"/>
    </row>
    <row r="12" spans="1:36">
      <c r="A12" s="205"/>
      <c r="B12" s="73"/>
      <c r="C12" s="73"/>
      <c r="D12" s="120"/>
      <c r="E12" s="33"/>
      <c r="G12" s="32" t="s">
        <v>24</v>
      </c>
      <c r="H12" s="5"/>
      <c r="I12" s="5"/>
      <c r="J12" s="5"/>
      <c r="K12" s="5"/>
      <c r="L12" s="33"/>
      <c r="N12" s="32" t="s">
        <v>40</v>
      </c>
      <c r="O12" s="5"/>
      <c r="P12" s="5"/>
      <c r="Q12" s="5"/>
      <c r="R12" s="5"/>
      <c r="S12" s="33"/>
      <c r="V12" s="32" t="s">
        <v>179</v>
      </c>
      <c r="W12" s="73" t="s">
        <v>180</v>
      </c>
      <c r="X12" s="5"/>
      <c r="Y12" s="33"/>
      <c r="AC12" s="32"/>
      <c r="AD12" s="5"/>
      <c r="AE12" s="5"/>
      <c r="AF12" s="5"/>
      <c r="AG12" s="5"/>
      <c r="AH12" s="5"/>
      <c r="AI12" s="5"/>
      <c r="AJ12" s="33"/>
    </row>
    <row r="13" spans="1:36" ht="15.75" thickBot="1">
      <c r="A13" s="205"/>
      <c r="B13" s="73"/>
      <c r="C13" s="73"/>
      <c r="D13" s="120"/>
      <c r="E13" s="33"/>
      <c r="G13" s="32" t="s">
        <v>25</v>
      </c>
      <c r="H13" s="5"/>
      <c r="I13" s="5"/>
      <c r="J13" s="5"/>
      <c r="K13" s="5"/>
      <c r="L13" s="33"/>
      <c r="N13" s="32" t="s">
        <v>41</v>
      </c>
      <c r="O13" s="5"/>
      <c r="P13" s="5"/>
      <c r="Q13" s="5"/>
      <c r="R13" s="5"/>
      <c r="S13" s="33"/>
      <c r="V13" s="32" t="s">
        <v>179</v>
      </c>
      <c r="W13" s="73" t="s">
        <v>181</v>
      </c>
      <c r="X13" s="5"/>
      <c r="Y13" s="33"/>
      <c r="AC13" s="34"/>
      <c r="AD13" s="35"/>
      <c r="AE13" s="35"/>
      <c r="AF13" s="35"/>
      <c r="AG13" s="35"/>
      <c r="AH13" s="35"/>
      <c r="AI13" s="35"/>
      <c r="AJ13" s="36"/>
    </row>
    <row r="14" spans="1:36">
      <c r="A14" s="205"/>
      <c r="B14" s="73"/>
      <c r="C14" s="73"/>
      <c r="D14" s="120"/>
      <c r="E14" s="33"/>
      <c r="G14" s="32" t="s">
        <v>26</v>
      </c>
      <c r="H14" s="5"/>
      <c r="I14" s="5"/>
      <c r="J14" s="5"/>
      <c r="K14" s="5"/>
      <c r="L14" s="33"/>
      <c r="N14" s="32" t="s">
        <v>42</v>
      </c>
      <c r="O14" s="5"/>
      <c r="P14" s="5"/>
      <c r="Q14" s="5"/>
      <c r="R14" s="5"/>
      <c r="S14" s="33"/>
      <c r="V14" s="32" t="s">
        <v>182</v>
      </c>
      <c r="W14" s="73" t="s">
        <v>183</v>
      </c>
      <c r="X14" s="5"/>
      <c r="Y14" s="33"/>
    </row>
    <row r="15" spans="1:36">
      <c r="A15" s="205"/>
      <c r="B15" s="73"/>
      <c r="C15" s="73"/>
      <c r="D15" s="120"/>
      <c r="E15" s="33"/>
      <c r="G15" s="32" t="s">
        <v>27</v>
      </c>
      <c r="H15" s="5"/>
      <c r="I15" s="5"/>
      <c r="J15" s="5"/>
      <c r="K15" s="5"/>
      <c r="L15" s="33"/>
      <c r="N15" s="32" t="s">
        <v>43</v>
      </c>
      <c r="O15" s="5"/>
      <c r="P15" s="5"/>
      <c r="Q15" s="5"/>
      <c r="R15" s="5"/>
      <c r="S15" s="33"/>
      <c r="V15" s="32"/>
      <c r="W15" s="5"/>
      <c r="X15" s="5"/>
      <c r="Y15" s="33"/>
    </row>
    <row r="16" spans="1:36">
      <c r="A16" s="205"/>
      <c r="B16" s="73"/>
      <c r="C16" s="73"/>
      <c r="D16" s="120"/>
      <c r="E16" s="33"/>
      <c r="G16" s="32" t="s">
        <v>28</v>
      </c>
      <c r="H16" s="5"/>
      <c r="I16" s="5"/>
      <c r="J16" s="5"/>
      <c r="K16" s="5"/>
      <c r="L16" s="33"/>
      <c r="N16" s="32" t="s">
        <v>44</v>
      </c>
      <c r="O16" s="5"/>
      <c r="P16" s="5"/>
      <c r="Q16" s="5"/>
      <c r="R16" s="5"/>
      <c r="S16" s="33"/>
      <c r="V16" s="32"/>
      <c r="W16" s="5"/>
      <c r="X16" s="5"/>
      <c r="Y16" s="33"/>
    </row>
    <row r="17" spans="1:25">
      <c r="A17" s="205"/>
      <c r="B17" s="73"/>
      <c r="C17" s="73"/>
      <c r="D17" s="120"/>
      <c r="E17" s="33"/>
      <c r="G17" s="32" t="s">
        <v>29</v>
      </c>
      <c r="H17" s="5"/>
      <c r="I17" s="5"/>
      <c r="J17" s="5"/>
      <c r="K17" s="5"/>
      <c r="L17" s="33"/>
      <c r="N17" s="32" t="s">
        <v>45</v>
      </c>
      <c r="O17" s="5"/>
      <c r="P17" s="5"/>
      <c r="Q17" s="5"/>
      <c r="R17" s="5"/>
      <c r="S17" s="33"/>
      <c r="V17" s="32"/>
      <c r="W17" s="5"/>
      <c r="X17" s="5"/>
      <c r="Y17" s="33"/>
    </row>
    <row r="18" spans="1:25">
      <c r="A18" s="205"/>
      <c r="B18" s="73"/>
      <c r="C18" s="73"/>
      <c r="D18" s="120"/>
      <c r="E18" s="33"/>
      <c r="G18" s="32" t="s">
        <v>30</v>
      </c>
      <c r="H18" s="5"/>
      <c r="I18" s="5"/>
      <c r="J18" s="5"/>
      <c r="K18" s="5"/>
      <c r="L18" s="33"/>
      <c r="N18" s="32" t="s">
        <v>46</v>
      </c>
      <c r="O18" s="5"/>
      <c r="P18" s="5"/>
      <c r="Q18" s="5"/>
      <c r="R18" s="5"/>
      <c r="S18" s="33"/>
      <c r="V18" s="32"/>
      <c r="W18" s="5"/>
      <c r="X18" s="5"/>
      <c r="Y18" s="33"/>
    </row>
    <row r="19" spans="1:25">
      <c r="A19" s="205"/>
      <c r="B19" s="73"/>
      <c r="C19" s="73"/>
      <c r="D19" s="120"/>
      <c r="E19" s="33"/>
      <c r="G19" s="32" t="s">
        <v>31</v>
      </c>
      <c r="H19" s="5" t="s">
        <v>32</v>
      </c>
      <c r="I19" s="5"/>
      <c r="J19" s="5"/>
      <c r="K19" s="5"/>
      <c r="L19" s="33"/>
      <c r="N19" s="32" t="s">
        <v>47</v>
      </c>
      <c r="O19" s="5"/>
      <c r="P19" s="5"/>
      <c r="Q19" s="5"/>
      <c r="R19" s="5"/>
      <c r="S19" s="33"/>
      <c r="V19" s="32"/>
      <c r="W19" s="5"/>
      <c r="X19" s="5"/>
      <c r="Y19" s="33"/>
    </row>
    <row r="20" spans="1:25">
      <c r="A20" s="41" t="s">
        <v>66</v>
      </c>
      <c r="B20" s="72" t="s">
        <v>67</v>
      </c>
      <c r="C20" s="73">
        <v>0.3</v>
      </c>
      <c r="D20" s="120">
        <v>40</v>
      </c>
      <c r="E20" s="33"/>
      <c r="G20" s="32" t="s">
        <v>103</v>
      </c>
      <c r="H20" s="5"/>
      <c r="I20" s="5"/>
      <c r="J20" s="5"/>
      <c r="K20" s="5"/>
      <c r="L20" s="33"/>
      <c r="N20" s="32" t="s">
        <v>79</v>
      </c>
      <c r="O20" s="5"/>
      <c r="P20" s="5"/>
      <c r="Q20" s="5"/>
      <c r="R20" s="5"/>
      <c r="S20" s="33"/>
      <c r="V20" s="32"/>
      <c r="W20" s="5"/>
      <c r="X20" s="5"/>
      <c r="Y20" s="33"/>
    </row>
    <row r="21" spans="1:25">
      <c r="A21" s="41" t="s">
        <v>68</v>
      </c>
      <c r="B21" s="72" t="s">
        <v>69</v>
      </c>
      <c r="C21" s="73">
        <v>0.3</v>
      </c>
      <c r="D21" s="120">
        <v>40</v>
      </c>
      <c r="E21" s="33"/>
      <c r="G21" s="32" t="s">
        <v>104</v>
      </c>
      <c r="H21" s="5"/>
      <c r="I21" s="5"/>
      <c r="J21" s="5"/>
      <c r="K21" s="5"/>
      <c r="L21" s="33"/>
      <c r="N21" s="32" t="s">
        <v>80</v>
      </c>
      <c r="O21" s="5"/>
      <c r="P21" s="5"/>
      <c r="Q21" s="5"/>
      <c r="R21" s="5"/>
      <c r="S21" s="33"/>
      <c r="V21" s="32"/>
      <c r="W21" s="5"/>
      <c r="X21" s="5"/>
      <c r="Y21" s="33"/>
    </row>
    <row r="22" spans="1:25">
      <c r="A22" s="41" t="s">
        <v>70</v>
      </c>
      <c r="B22" s="72" t="s">
        <v>71</v>
      </c>
      <c r="C22" s="73">
        <v>0.3</v>
      </c>
      <c r="D22" s="120">
        <v>40</v>
      </c>
      <c r="E22" s="33"/>
      <c r="G22" s="32" t="s">
        <v>105</v>
      </c>
      <c r="H22" s="5"/>
      <c r="I22" s="5"/>
      <c r="J22" s="5"/>
      <c r="K22" s="5"/>
      <c r="L22" s="33"/>
      <c r="N22" s="32" t="s">
        <v>81</v>
      </c>
      <c r="O22" s="5"/>
      <c r="P22" s="5"/>
      <c r="Q22" s="5"/>
      <c r="R22" s="5"/>
      <c r="S22" s="33"/>
      <c r="V22" s="32"/>
      <c r="W22" s="5"/>
      <c r="X22" s="5"/>
      <c r="Y22" s="33"/>
    </row>
    <row r="23" spans="1:25">
      <c r="A23" s="41" t="s">
        <v>72</v>
      </c>
      <c r="B23" s="72" t="s">
        <v>73</v>
      </c>
      <c r="C23" s="73">
        <v>0.3</v>
      </c>
      <c r="D23" s="120">
        <v>40</v>
      </c>
      <c r="E23" s="33"/>
      <c r="G23" s="32" t="s">
        <v>106</v>
      </c>
      <c r="H23" s="5"/>
      <c r="I23" s="5"/>
      <c r="J23" s="5"/>
      <c r="K23" s="5"/>
      <c r="L23" s="33"/>
      <c r="N23" s="32" t="s">
        <v>82</v>
      </c>
      <c r="O23" s="5"/>
      <c r="P23" s="5"/>
      <c r="Q23" s="5"/>
      <c r="R23" s="5"/>
      <c r="S23" s="33"/>
      <c r="V23" s="32"/>
      <c r="W23" s="5"/>
      <c r="X23" s="5"/>
      <c r="Y23" s="33"/>
    </row>
    <row r="24" spans="1:25">
      <c r="A24" s="41" t="s">
        <v>74</v>
      </c>
      <c r="B24" s="72" t="s">
        <v>149</v>
      </c>
      <c r="C24" s="73">
        <v>0.3</v>
      </c>
      <c r="D24" s="120">
        <v>40</v>
      </c>
      <c r="E24" s="33"/>
      <c r="G24" s="32" t="s">
        <v>107</v>
      </c>
      <c r="H24" s="5"/>
      <c r="I24" s="5"/>
      <c r="J24" s="5"/>
      <c r="K24" s="5"/>
      <c r="L24" s="33"/>
      <c r="N24" s="32" t="s">
        <v>83</v>
      </c>
      <c r="O24" s="5"/>
      <c r="P24" s="5"/>
      <c r="Q24" s="5"/>
      <c r="R24" s="5"/>
      <c r="S24" s="33"/>
      <c r="V24" s="32"/>
      <c r="W24" s="5"/>
      <c r="X24" s="5"/>
      <c r="Y24" s="33"/>
    </row>
    <row r="25" spans="1:25">
      <c r="A25" s="41" t="s">
        <v>147</v>
      </c>
      <c r="B25" s="72" t="s">
        <v>148</v>
      </c>
      <c r="C25" s="73">
        <v>0.3</v>
      </c>
      <c r="D25" s="120">
        <v>150</v>
      </c>
      <c r="E25" s="33"/>
      <c r="G25" s="32" t="s">
        <v>108</v>
      </c>
      <c r="H25" s="5"/>
      <c r="I25" s="5"/>
      <c r="J25" s="5"/>
      <c r="K25" s="5"/>
      <c r="L25" s="33"/>
      <c r="N25" s="32" t="s">
        <v>84</v>
      </c>
      <c r="O25" s="5"/>
      <c r="P25" s="5"/>
      <c r="Q25" s="5"/>
      <c r="R25" s="5"/>
      <c r="S25" s="33"/>
      <c r="V25" s="32"/>
      <c r="W25" s="5"/>
      <c r="X25" s="5"/>
      <c r="Y25" s="33"/>
    </row>
    <row r="26" spans="1:25">
      <c r="A26" s="180" t="s">
        <v>202</v>
      </c>
      <c r="B26" s="181" t="s">
        <v>203</v>
      </c>
      <c r="C26" s="5"/>
      <c r="D26" s="5"/>
      <c r="E26" s="33"/>
      <c r="G26" s="32" t="s">
        <v>109</v>
      </c>
      <c r="H26" s="5"/>
      <c r="I26" s="5"/>
      <c r="J26" s="5"/>
      <c r="K26" s="5"/>
      <c r="L26" s="33"/>
      <c r="N26" s="32" t="s">
        <v>85</v>
      </c>
      <c r="O26" s="5"/>
      <c r="P26" s="5"/>
      <c r="Q26" s="5"/>
      <c r="R26" s="5"/>
      <c r="S26" s="33"/>
      <c r="V26" s="32"/>
      <c r="W26" s="5"/>
      <c r="X26" s="5"/>
      <c r="Y26" s="33"/>
    </row>
    <row r="27" spans="1:25">
      <c r="A27" s="180" t="s">
        <v>204</v>
      </c>
      <c r="B27" s="181" t="s">
        <v>205</v>
      </c>
      <c r="C27" s="5"/>
      <c r="D27" s="5"/>
      <c r="E27" s="33"/>
      <c r="G27" s="32" t="s">
        <v>110</v>
      </c>
      <c r="H27" s="5"/>
      <c r="I27" s="5"/>
      <c r="J27" s="5"/>
      <c r="K27" s="5"/>
      <c r="L27" s="33"/>
      <c r="N27" s="32" t="s">
        <v>86</v>
      </c>
      <c r="O27" s="5"/>
      <c r="P27" s="5"/>
      <c r="Q27" s="5"/>
      <c r="R27" s="5"/>
      <c r="S27" s="33"/>
      <c r="V27" s="32"/>
      <c r="W27" s="5"/>
      <c r="X27" s="5"/>
      <c r="Y27" s="33"/>
    </row>
    <row r="28" spans="1:25">
      <c r="A28" s="180" t="s">
        <v>207</v>
      </c>
      <c r="B28" s="181" t="s">
        <v>206</v>
      </c>
      <c r="C28" s="5"/>
      <c r="D28" s="5"/>
      <c r="E28" s="33"/>
      <c r="G28" s="32" t="s">
        <v>111</v>
      </c>
      <c r="H28" s="5"/>
      <c r="I28" s="5"/>
      <c r="J28" s="5"/>
      <c r="K28" s="5"/>
      <c r="L28" s="33"/>
      <c r="N28" s="32" t="s">
        <v>87</v>
      </c>
      <c r="O28" s="5"/>
      <c r="P28" s="5"/>
      <c r="Q28" s="5"/>
      <c r="R28" s="5"/>
      <c r="S28" s="33"/>
      <c r="V28" s="32"/>
      <c r="W28" s="5"/>
      <c r="X28" s="5"/>
      <c r="Y28" s="33"/>
    </row>
    <row r="29" spans="1:25">
      <c r="A29" s="180" t="s">
        <v>208</v>
      </c>
      <c r="B29" s="181" t="s">
        <v>209</v>
      </c>
      <c r="C29" s="5"/>
      <c r="D29" s="5"/>
      <c r="E29" s="33"/>
      <c r="G29" s="32" t="s">
        <v>112</v>
      </c>
      <c r="H29" s="5"/>
      <c r="I29" s="5"/>
      <c r="J29" s="5"/>
      <c r="K29" s="5"/>
      <c r="L29" s="33"/>
      <c r="N29" s="32" t="s">
        <v>88</v>
      </c>
      <c r="O29" s="5"/>
      <c r="P29" s="5"/>
      <c r="Q29" s="5"/>
      <c r="R29" s="5"/>
      <c r="S29" s="33"/>
      <c r="V29" s="32"/>
      <c r="W29" s="5"/>
      <c r="X29" s="5"/>
      <c r="Y29" s="33"/>
    </row>
    <row r="30" spans="1:25">
      <c r="A30" s="180" t="s">
        <v>211</v>
      </c>
      <c r="B30" s="181" t="s">
        <v>210</v>
      </c>
      <c r="C30" s="5"/>
      <c r="D30" s="5"/>
      <c r="E30" s="33"/>
      <c r="G30" s="32" t="s">
        <v>113</v>
      </c>
      <c r="H30" s="5"/>
      <c r="I30" s="5"/>
      <c r="J30" s="5"/>
      <c r="K30" s="5"/>
      <c r="L30" s="33"/>
      <c r="N30" s="32" t="s">
        <v>89</v>
      </c>
      <c r="O30" s="5"/>
      <c r="P30" s="5"/>
      <c r="Q30" s="5"/>
      <c r="R30" s="5"/>
      <c r="S30" s="33"/>
      <c r="V30" s="32"/>
      <c r="W30" s="5"/>
      <c r="X30" s="5"/>
      <c r="Y30" s="33"/>
    </row>
    <row r="31" spans="1:25">
      <c r="A31" s="180" t="s">
        <v>212</v>
      </c>
      <c r="B31" s="181" t="s">
        <v>213</v>
      </c>
      <c r="C31" s="5"/>
      <c r="D31" s="5"/>
      <c r="E31" s="33"/>
      <c r="G31" s="32" t="s">
        <v>114</v>
      </c>
      <c r="H31" s="5"/>
      <c r="I31" s="5"/>
      <c r="J31" s="5"/>
      <c r="K31" s="5"/>
      <c r="L31" s="33"/>
      <c r="N31" s="32" t="s">
        <v>90</v>
      </c>
      <c r="O31" s="5"/>
      <c r="P31" s="5"/>
      <c r="Q31" s="5"/>
      <c r="R31" s="5"/>
      <c r="S31" s="33"/>
      <c r="V31" s="32"/>
      <c r="W31" s="5"/>
      <c r="X31" s="5"/>
      <c r="Y31" s="33"/>
    </row>
    <row r="32" spans="1:25">
      <c r="D32" s="5"/>
      <c r="E32" s="33"/>
      <c r="G32" s="32" t="s">
        <v>115</v>
      </c>
      <c r="H32" s="5"/>
      <c r="I32" s="5"/>
      <c r="J32" s="5"/>
      <c r="K32" s="5"/>
      <c r="L32" s="33"/>
      <c r="N32" s="32" t="s">
        <v>91</v>
      </c>
      <c r="O32" s="5"/>
      <c r="P32" s="5"/>
      <c r="Q32" s="5"/>
      <c r="R32" s="5"/>
      <c r="S32" s="33"/>
      <c r="V32" s="32"/>
      <c r="W32" s="5"/>
      <c r="X32" s="5"/>
      <c r="Y32" s="33"/>
    </row>
    <row r="33" spans="1:25">
      <c r="D33" s="5"/>
      <c r="E33" s="33"/>
      <c r="G33" s="32" t="s">
        <v>116</v>
      </c>
      <c r="H33" s="5"/>
      <c r="I33" s="5"/>
      <c r="J33" s="5"/>
      <c r="K33" s="5"/>
      <c r="L33" s="33"/>
      <c r="N33" s="32" t="s">
        <v>92</v>
      </c>
      <c r="O33" s="5"/>
      <c r="P33" s="5"/>
      <c r="Q33" s="5"/>
      <c r="R33" s="5"/>
      <c r="S33" s="33"/>
      <c r="V33" s="32"/>
      <c r="W33" s="5"/>
      <c r="X33" s="5"/>
      <c r="Y33" s="33"/>
    </row>
    <row r="34" spans="1:25">
      <c r="D34" s="5"/>
      <c r="E34" s="33"/>
      <c r="G34" s="32" t="s">
        <v>117</v>
      </c>
      <c r="H34" s="5"/>
      <c r="I34" s="5"/>
      <c r="J34" s="5"/>
      <c r="K34" s="5"/>
      <c r="L34" s="33"/>
      <c r="N34" s="32" t="s">
        <v>93</v>
      </c>
      <c r="O34" s="5"/>
      <c r="P34" s="5"/>
      <c r="Q34" s="5"/>
      <c r="R34" s="5"/>
      <c r="S34" s="33"/>
      <c r="V34" s="32"/>
      <c r="W34" s="5"/>
      <c r="X34" s="5"/>
      <c r="Y34" s="33"/>
    </row>
    <row r="35" spans="1:25">
      <c r="A35" s="32"/>
      <c r="B35" s="5"/>
      <c r="C35" s="5"/>
      <c r="D35" s="5"/>
      <c r="E35" s="33"/>
      <c r="G35" s="32" t="s">
        <v>118</v>
      </c>
      <c r="H35" s="5"/>
      <c r="I35" s="5"/>
      <c r="J35" s="5"/>
      <c r="K35" s="5"/>
      <c r="L35" s="33"/>
      <c r="N35" s="32" t="s">
        <v>94</v>
      </c>
      <c r="O35" s="5"/>
      <c r="P35" s="5"/>
      <c r="Q35" s="5"/>
      <c r="R35" s="5"/>
      <c r="S35" s="33"/>
      <c r="V35" s="32"/>
      <c r="W35" s="5"/>
      <c r="X35" s="5"/>
      <c r="Y35" s="33"/>
    </row>
    <row r="36" spans="1:25">
      <c r="A36" s="32"/>
      <c r="B36" s="5"/>
      <c r="C36" s="5"/>
      <c r="D36" s="5"/>
      <c r="E36" s="33"/>
      <c r="G36" s="32" t="s">
        <v>119</v>
      </c>
      <c r="H36" s="5"/>
      <c r="I36" s="5"/>
      <c r="J36" s="5"/>
      <c r="K36" s="5"/>
      <c r="L36" s="33"/>
      <c r="N36" s="32" t="s">
        <v>95</v>
      </c>
      <c r="O36" s="5"/>
      <c r="P36" s="5"/>
      <c r="Q36" s="5"/>
      <c r="R36" s="5"/>
      <c r="S36" s="33"/>
      <c r="V36" s="32"/>
      <c r="W36" s="5"/>
      <c r="X36" s="5"/>
      <c r="Y36" s="33"/>
    </row>
    <row r="37" spans="1:25">
      <c r="A37" s="32"/>
      <c r="B37" s="5"/>
      <c r="C37" s="5"/>
      <c r="D37" s="5"/>
      <c r="E37" s="33"/>
      <c r="G37" s="32" t="s">
        <v>120</v>
      </c>
      <c r="H37" s="5"/>
      <c r="I37" s="5"/>
      <c r="J37" s="5"/>
      <c r="K37" s="5"/>
      <c r="L37" s="33"/>
      <c r="N37" s="32" t="s">
        <v>96</v>
      </c>
      <c r="O37" s="5"/>
      <c r="P37" s="5"/>
      <c r="Q37" s="5"/>
      <c r="R37" s="5"/>
      <c r="S37" s="33"/>
      <c r="V37" s="32"/>
      <c r="W37" s="5"/>
      <c r="X37" s="5"/>
      <c r="Y37" s="33"/>
    </row>
    <row r="38" spans="1:25">
      <c r="A38" s="32"/>
      <c r="B38" s="5"/>
      <c r="C38" s="5"/>
      <c r="D38" s="5"/>
      <c r="E38" s="33"/>
      <c r="G38" s="32" t="s">
        <v>121</v>
      </c>
      <c r="H38" s="5"/>
      <c r="I38" s="5"/>
      <c r="J38" s="5"/>
      <c r="K38" s="5"/>
      <c r="L38" s="33"/>
      <c r="N38" s="32" t="s">
        <v>238</v>
      </c>
      <c r="O38" s="5" t="s">
        <v>239</v>
      </c>
      <c r="P38" s="5" t="s">
        <v>240</v>
      </c>
      <c r="Q38" s="73" t="s">
        <v>241</v>
      </c>
      <c r="R38" s="5"/>
      <c r="S38" s="33"/>
      <c r="V38" s="32"/>
      <c r="W38" s="5"/>
      <c r="X38" s="5"/>
      <c r="Y38" s="33"/>
    </row>
    <row r="39" spans="1:25" ht="15.75" thickBot="1">
      <c r="A39" s="32"/>
      <c r="B39" s="5"/>
      <c r="C39" s="5"/>
      <c r="D39" s="5"/>
      <c r="E39" s="33"/>
      <c r="G39" s="32" t="s">
        <v>122</v>
      </c>
      <c r="H39" s="5"/>
      <c r="I39" s="5"/>
      <c r="J39" s="5"/>
      <c r="K39" s="5"/>
      <c r="L39" s="33"/>
      <c r="N39" s="32" t="s">
        <v>142</v>
      </c>
      <c r="O39" s="5" t="s">
        <v>98</v>
      </c>
      <c r="P39" s="5"/>
      <c r="Q39" s="5" t="s">
        <v>97</v>
      </c>
      <c r="R39" s="5"/>
      <c r="S39" s="33"/>
      <c r="V39" s="32"/>
      <c r="W39" s="5"/>
      <c r="X39" s="5"/>
      <c r="Y39" s="33"/>
    </row>
    <row r="40" spans="1:25" ht="15.75" thickBot="1">
      <c r="A40" s="34"/>
      <c r="B40" s="35"/>
      <c r="C40" s="35"/>
      <c r="D40" s="35"/>
      <c r="E40" s="36"/>
      <c r="G40" s="37" t="s">
        <v>142</v>
      </c>
      <c r="H40" s="35" t="s">
        <v>163</v>
      </c>
      <c r="I40" s="35" t="s">
        <v>164</v>
      </c>
      <c r="J40" s="35" t="s">
        <v>165</v>
      </c>
      <c r="K40" s="35"/>
      <c r="L40" s="36"/>
      <c r="N40" s="34"/>
      <c r="O40" s="35"/>
      <c r="P40" s="35"/>
      <c r="Q40" s="35"/>
      <c r="R40" s="35"/>
      <c r="S40" s="36"/>
      <c r="V40" s="34"/>
      <c r="W40" s="35"/>
      <c r="X40" s="35"/>
      <c r="Y40" s="3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2:I39"/>
  <sheetViews>
    <sheetView view="pageLayout" topLeftCell="A4" zoomScaleNormal="100" workbookViewId="0">
      <selection activeCell="A18" sqref="A18"/>
    </sheetView>
  </sheetViews>
  <sheetFormatPr baseColWidth="10" defaultRowHeight="15"/>
  <cols>
    <col min="1" max="1" width="3.42578125" customWidth="1"/>
    <col min="4" max="4" width="7.5703125" customWidth="1"/>
    <col min="5" max="5" width="4.5703125" customWidth="1"/>
    <col min="6" max="6" width="13.140625" customWidth="1"/>
    <col min="8" max="8" width="13" customWidth="1"/>
  </cols>
  <sheetData>
    <row r="2" spans="1:8" ht="18.75">
      <c r="A2" s="178" t="s">
        <v>190</v>
      </c>
      <c r="B2" s="9" t="str">
        <f>VLOOKUP(A2,'Code '!$AC$9:$AD$13,2,FALSE)</f>
        <v>ETA HORTON</v>
      </c>
      <c r="C2" s="9"/>
      <c r="E2" s="1"/>
    </row>
    <row r="3" spans="1:8" ht="18.75">
      <c r="A3" s="9"/>
      <c r="B3" s="9" t="str">
        <f>VLOOKUP(A2,'Code '!$AC$9:$AE$13,3,FALSE)</f>
        <v>10 rue des prés verdeaux</v>
      </c>
      <c r="C3" s="9"/>
      <c r="G3" s="26" t="s">
        <v>78</v>
      </c>
      <c r="H3" s="27">
        <f ca="1">TODAY()</f>
        <v>43205</v>
      </c>
    </row>
    <row r="4" spans="1:8" ht="18.75">
      <c r="A4" s="9"/>
      <c r="B4" s="9" t="str">
        <f>VLOOKUP(A2,'Code '!$AC$9:$AF$13,4,FALSE)</f>
        <v>89 580 Coulangeron</v>
      </c>
      <c r="C4" s="9"/>
    </row>
    <row r="5" spans="1:8" ht="18.75">
      <c r="A5" s="9"/>
      <c r="B5" s="9">
        <f>VLOOKUP(A2,'Code '!$AC$9:$AG$13,5,FALSE)</f>
        <v>0</v>
      </c>
      <c r="C5" s="9"/>
    </row>
    <row r="6" spans="1:8" ht="18.75">
      <c r="A6" s="9"/>
      <c r="B6" s="9">
        <f>VLOOKUP(A2,'Code '!$AC$9:$AH$13,6,FALSE)</f>
        <v>0</v>
      </c>
      <c r="C6" s="9"/>
      <c r="G6" s="25" t="s">
        <v>99</v>
      </c>
      <c r="H6" t="s">
        <v>146</v>
      </c>
    </row>
    <row r="7" spans="1:8" ht="18.75">
      <c r="A7" s="9"/>
      <c r="B7" s="9" t="str">
        <f>VLOOKUP(A2,'Code '!$AC$9:$AI$13,7,FALSE)</f>
        <v>E mail:emilienhorton@hotmail.fr</v>
      </c>
      <c r="C7" s="9"/>
    </row>
    <row r="8" spans="1:8" ht="18.75">
      <c r="B8" s="9" t="str">
        <f>VLOOKUP(A2,'Code '!$AC$9:$AJ$13,8,FALSE)</f>
        <v>Numéro Siret:</v>
      </c>
      <c r="C8" s="9"/>
    </row>
    <row r="10" spans="1:8" ht="18.75">
      <c r="F10" s="19" t="s">
        <v>201</v>
      </c>
      <c r="G10" s="9" t="e">
        <f>VLOOKUP(F10,'Code '!P3:U40,2,FALSE)</f>
        <v>#N/A</v>
      </c>
    </row>
    <row r="11" spans="1:8" ht="18.75">
      <c r="G11" s="9" t="e">
        <f>VLOOKUP(F10,'Code '!P3:U40,3,FALSE)</f>
        <v>#N/A</v>
      </c>
    </row>
    <row r="12" spans="1:8" ht="18.75">
      <c r="G12" s="9" t="e">
        <f>VLOOKUP(F10,'Code '!P3:U40,4,FALSE)</f>
        <v>#N/A</v>
      </c>
    </row>
    <row r="16" spans="1:8" ht="15.75" thickBot="1"/>
    <row r="17" spans="1:9" ht="18.75">
      <c r="A17" s="241" t="s">
        <v>123</v>
      </c>
      <c r="B17" s="242"/>
      <c r="C17" s="242"/>
      <c r="D17" s="242"/>
      <c r="E17" s="243"/>
      <c r="F17" s="50"/>
      <c r="G17" s="50"/>
      <c r="H17" s="50"/>
      <c r="I17" s="49"/>
    </row>
    <row r="18" spans="1:9">
      <c r="A18" s="42" t="s">
        <v>11</v>
      </c>
      <c r="B18" s="5" t="e">
        <f>IF(A18="","",VLOOKUP(A18,'Code '!$A$3:$C$40,2,FALSE))</f>
        <v>#N/A</v>
      </c>
      <c r="C18" s="5"/>
      <c r="D18" s="5"/>
      <c r="E18" s="5"/>
      <c r="F18" s="54" t="e">
        <f>IF(A18="","",VLOOKUP(A18,'Code '!J3:M40,4,FALSE))</f>
        <v>#N/A</v>
      </c>
      <c r="G18" s="3">
        <f>IF(H18="","",SUM(H18*'Code '!L3:L40))</f>
        <v>0</v>
      </c>
      <c r="H18" s="44">
        <v>10</v>
      </c>
      <c r="I18" s="74" t="e">
        <f t="shared" ref="I18:I32" si="0">IF(F18="","",SUM(G18*F18))</f>
        <v>#N/A</v>
      </c>
    </row>
    <row r="19" spans="1:9">
      <c r="A19" s="42" t="s">
        <v>147</v>
      </c>
      <c r="B19" s="5" t="str">
        <f>IF(A19="","",VLOOKUP(A19,'Code '!$A$3:$C$40,2,FALSE))</f>
        <v>Paille de Lin</v>
      </c>
      <c r="C19" s="5"/>
      <c r="D19" s="5"/>
      <c r="E19" s="5"/>
      <c r="F19" s="54" t="e">
        <f>IF(A19="","",VLOOKUP(A19,'Code '!J4:M41,4,FALSE))</f>
        <v>#N/A</v>
      </c>
      <c r="G19" s="3">
        <f>IF(H19="","",SUM(H19*'Code '!L4:L41))</f>
        <v>0</v>
      </c>
      <c r="H19" s="12">
        <v>100</v>
      </c>
      <c r="I19" s="74" t="e">
        <f t="shared" si="0"/>
        <v>#N/A</v>
      </c>
    </row>
    <row r="20" spans="1:9">
      <c r="A20" s="42"/>
      <c r="B20" s="5" t="str">
        <f>IF(A20="","",VLOOKUP(A20,'Code '!$A$3:$C$40,2,FALSE))</f>
        <v/>
      </c>
      <c r="C20" s="5"/>
      <c r="D20" s="5"/>
      <c r="E20" s="5"/>
      <c r="F20" s="54" t="str">
        <f>IF(A20="","",VLOOKUP(A20,'Code '!J5:M42,4,FALSE))</f>
        <v/>
      </c>
      <c r="G20" s="3" t="str">
        <f>IF(H20="","",SUM(H20*'Code '!L5:L42))</f>
        <v/>
      </c>
      <c r="H20" s="12"/>
      <c r="I20" s="74" t="str">
        <f t="shared" si="0"/>
        <v/>
      </c>
    </row>
    <row r="21" spans="1:9">
      <c r="A21" s="42"/>
      <c r="B21" s="5" t="str">
        <f>IF(A21="","",VLOOKUP(A21,'Code '!$A$3:$C$40,2,FALSE))</f>
        <v/>
      </c>
      <c r="C21" s="5"/>
      <c r="D21" s="5"/>
      <c r="E21" s="5"/>
      <c r="F21" s="54" t="str">
        <f>IF(A21="","",VLOOKUP(A21,'Code '!J6:M43,4,FALSE))</f>
        <v/>
      </c>
      <c r="G21" s="3" t="str">
        <f>IF(H21="","",SUM(H21*'Code '!L6:L43))</f>
        <v/>
      </c>
      <c r="H21" s="12"/>
      <c r="I21" s="74" t="str">
        <f t="shared" si="0"/>
        <v/>
      </c>
    </row>
    <row r="22" spans="1:9">
      <c r="A22" s="42"/>
      <c r="B22" s="5" t="str">
        <f>IF(A22="","",VLOOKUP(A22,'Code '!$A$3:$C$40,2,FALSE))</f>
        <v/>
      </c>
      <c r="C22" s="5"/>
      <c r="D22" s="5"/>
      <c r="E22" s="5"/>
      <c r="F22" s="54" t="str">
        <f>IF(A22="","",VLOOKUP(A22,'Code '!J7:M44,4,FALSE))</f>
        <v/>
      </c>
      <c r="G22" s="3" t="str">
        <f>IF(H22="","",SUM(H22*'Code '!L7:L44))</f>
        <v/>
      </c>
      <c r="H22" s="12"/>
      <c r="I22" s="74" t="str">
        <f t="shared" si="0"/>
        <v/>
      </c>
    </row>
    <row r="23" spans="1:9">
      <c r="A23" s="42"/>
      <c r="B23" s="5" t="str">
        <f>IF(A23="","",VLOOKUP(A23,'Code '!$A$3:$C$40,2,FALSE))</f>
        <v/>
      </c>
      <c r="C23" s="5"/>
      <c r="D23" s="5"/>
      <c r="E23" s="5"/>
      <c r="F23" s="54" t="str">
        <f>IF(A23="","",VLOOKUP(A23,'Code '!J8:M45,4,FALSE))</f>
        <v/>
      </c>
      <c r="G23" s="3" t="str">
        <f>IF(H23="","",SUM(H23*'Code '!L8:L45))</f>
        <v/>
      </c>
      <c r="H23" s="12"/>
      <c r="I23" s="74" t="str">
        <f t="shared" si="0"/>
        <v/>
      </c>
    </row>
    <row r="24" spans="1:9">
      <c r="A24" s="42"/>
      <c r="B24" s="5" t="str">
        <f>IF(A24="","",VLOOKUP(A24,'Code '!$A$3:$C$40,2,FALSE))</f>
        <v/>
      </c>
      <c r="C24" s="5"/>
      <c r="D24" s="5"/>
      <c r="E24" s="5"/>
      <c r="F24" s="54" t="str">
        <f>IF(A24="","",VLOOKUP(A24,'Code '!J9:M46,4,FALSE))</f>
        <v/>
      </c>
      <c r="G24" s="3" t="str">
        <f>IF(H24="","",SUM(H24*'Code '!L9:L46))</f>
        <v/>
      </c>
      <c r="H24" s="12"/>
      <c r="I24" s="74" t="str">
        <f t="shared" si="0"/>
        <v/>
      </c>
    </row>
    <row r="25" spans="1:9">
      <c r="A25" s="42"/>
      <c r="B25" s="5" t="str">
        <f>IF(A25="","",VLOOKUP(A25,'Code '!$A$3:$C$40,2,FALSE))</f>
        <v/>
      </c>
      <c r="C25" s="5"/>
      <c r="D25" s="5"/>
      <c r="E25" s="5"/>
      <c r="F25" s="54" t="str">
        <f>IF(A25="","",VLOOKUP(A25,'Code '!J10:M47,4,FALSE))</f>
        <v/>
      </c>
      <c r="G25" s="3" t="str">
        <f>IF(H25="","",SUM(H25*'Code '!L10:L47))</f>
        <v/>
      </c>
      <c r="H25" s="12"/>
      <c r="I25" s="74" t="str">
        <f t="shared" si="0"/>
        <v/>
      </c>
    </row>
    <row r="26" spans="1:9">
      <c r="A26" s="42"/>
      <c r="B26" s="5" t="str">
        <f>IF(A26="","",VLOOKUP(A26,'Code '!$A$3:$C$40,2,FALSE))</f>
        <v/>
      </c>
      <c r="C26" s="5"/>
      <c r="D26" s="5"/>
      <c r="E26" s="5"/>
      <c r="F26" s="54" t="str">
        <f>IF(A26="","",VLOOKUP(A26,'Code '!J11:M48,4,FALSE))</f>
        <v/>
      </c>
      <c r="G26" s="3" t="str">
        <f>IF(H26="","",SUM(H26*'Code '!L11:L48))</f>
        <v/>
      </c>
      <c r="H26" s="12"/>
      <c r="I26" s="74" t="str">
        <f t="shared" si="0"/>
        <v/>
      </c>
    </row>
    <row r="27" spans="1:9">
      <c r="A27" s="42"/>
      <c r="B27" s="5" t="str">
        <f>IF(A27="","",VLOOKUP(A27,'Code '!$A$3:$C$40,2,FALSE))</f>
        <v/>
      </c>
      <c r="C27" s="5"/>
      <c r="D27" s="5"/>
      <c r="E27" s="5"/>
      <c r="F27" s="54" t="str">
        <f>IF(A27="","",VLOOKUP(A27,'Code '!J12:M49,4,FALSE))</f>
        <v/>
      </c>
      <c r="G27" s="3" t="str">
        <f>IF(H27="","",SUM(H27*'Code '!L12:L49))</f>
        <v/>
      </c>
      <c r="H27" s="12"/>
      <c r="I27" s="74" t="str">
        <f t="shared" si="0"/>
        <v/>
      </c>
    </row>
    <row r="28" spans="1:9">
      <c r="A28" s="42"/>
      <c r="B28" s="5" t="str">
        <f>IF(A28="","",VLOOKUP(A28,'Code '!$A$3:$C$40,2,FALSE))</f>
        <v/>
      </c>
      <c r="C28" s="5"/>
      <c r="D28" s="5"/>
      <c r="E28" s="5"/>
      <c r="F28" s="54" t="str">
        <f>IF(A28="","",VLOOKUP(A28,'Code '!J13:M50,4,FALSE))</f>
        <v/>
      </c>
      <c r="G28" s="3" t="str">
        <f>IF(H28="","",SUM(H28*'Code '!L13:L50))</f>
        <v/>
      </c>
      <c r="H28" s="12"/>
      <c r="I28" s="74" t="str">
        <f t="shared" si="0"/>
        <v/>
      </c>
    </row>
    <row r="29" spans="1:9">
      <c r="A29" s="42"/>
      <c r="B29" s="5" t="str">
        <f>IF(A29="","",VLOOKUP(A29,'Code '!$A$3:$C$40,2,FALSE))</f>
        <v/>
      </c>
      <c r="C29" s="5"/>
      <c r="D29" s="5"/>
      <c r="E29" s="5"/>
      <c r="F29" s="54" t="str">
        <f>IF(A29="","",VLOOKUP(A29,'Code '!J14:M51,4,FALSE))</f>
        <v/>
      </c>
      <c r="G29" s="3" t="str">
        <f>IF(H29="","",SUM(H29*'Code '!L14:L51))</f>
        <v/>
      </c>
      <c r="H29" s="12"/>
      <c r="I29" s="74" t="str">
        <f t="shared" si="0"/>
        <v/>
      </c>
    </row>
    <row r="30" spans="1:9">
      <c r="A30" s="42"/>
      <c r="B30" s="5" t="str">
        <f>IF(A30="","",VLOOKUP(A30,'Code '!$A$3:$C$40,2,FALSE))</f>
        <v/>
      </c>
      <c r="C30" s="5"/>
      <c r="D30" s="5"/>
      <c r="E30" s="5"/>
      <c r="F30" s="54" t="str">
        <f>IF(A30="","",VLOOKUP(A30,'Code '!J15:M52,4,FALSE))</f>
        <v/>
      </c>
      <c r="G30" s="3" t="str">
        <f>IF(H30="","",SUM(H30*'Code '!L15:L52))</f>
        <v/>
      </c>
      <c r="H30" s="12"/>
      <c r="I30" s="74" t="str">
        <f t="shared" si="0"/>
        <v/>
      </c>
    </row>
    <row r="31" spans="1:9">
      <c r="A31" s="42"/>
      <c r="B31" s="5" t="str">
        <f>IF(A31="","",VLOOKUP(A31,'Code '!$A$3:$C$40,2,FALSE))</f>
        <v/>
      </c>
      <c r="C31" s="5"/>
      <c r="D31" s="5"/>
      <c r="E31" s="5"/>
      <c r="F31" s="54" t="str">
        <f>IF(A31="","",VLOOKUP(A31,'Code '!J16:M53,4,FALSE))</f>
        <v/>
      </c>
      <c r="G31" s="3" t="str">
        <f>IF(H31="","",SUM(H31*'Code '!L16:L53))</f>
        <v/>
      </c>
      <c r="H31" s="12"/>
      <c r="I31" s="74" t="str">
        <f t="shared" si="0"/>
        <v/>
      </c>
    </row>
    <row r="32" spans="1:9" ht="15.75" thickBot="1">
      <c r="A32" s="43"/>
      <c r="B32" s="35" t="str">
        <f>IF(A32="","",VLOOKUP(A32,'Code '!$A$3:$C$40,2,FALSE))</f>
        <v/>
      </c>
      <c r="C32" s="35"/>
      <c r="D32" s="35"/>
      <c r="E32" s="35"/>
      <c r="F32" s="55" t="str">
        <f>IF(A32="","",VLOOKUP(A32,'Code '!J17:M54,4,FALSE))</f>
        <v/>
      </c>
      <c r="G32" s="3" t="str">
        <f>IF(H32="","",SUM(H32*'Code '!L17:L54))</f>
        <v/>
      </c>
      <c r="H32" s="12"/>
      <c r="I32" s="94" t="str">
        <f t="shared" si="0"/>
        <v/>
      </c>
    </row>
    <row r="33" spans="7:9" ht="18.75">
      <c r="G33" s="121"/>
      <c r="H33" s="38" t="s">
        <v>126</v>
      </c>
      <c r="I33" s="53" t="e">
        <f>SUM(I18:I32)</f>
        <v>#N/A</v>
      </c>
    </row>
    <row r="34" spans="7:9" ht="18.75">
      <c r="G34" s="19">
        <v>10</v>
      </c>
      <c r="H34" s="39" t="e">
        <f>VLOOKUP(G34,'Code '!AL3:AM6,2,FALSE)</f>
        <v>#N/A</v>
      </c>
      <c r="I34" s="97" t="e">
        <f>SUM(I33/100*G34)</f>
        <v>#N/A</v>
      </c>
    </row>
    <row r="35" spans="7:9" ht="19.5" thickBot="1">
      <c r="H35" s="40" t="s">
        <v>125</v>
      </c>
      <c r="I35" s="52" t="e">
        <f>SUM(I33+I34)</f>
        <v>#N/A</v>
      </c>
    </row>
    <row r="39" spans="7:9">
      <c r="I39" s="51"/>
    </row>
  </sheetData>
  <mergeCells count="1">
    <mergeCell ref="A17:E17"/>
  </mergeCells>
  <pageMargins left="0.7" right="0.7" top="0.75" bottom="0.75" header="0.3" footer="0.3"/>
  <pageSetup paperSize="9" orientation="portrait" r:id="rId1"/>
  <headerFooter>
    <oddHeader>&amp;C&amp;"-,Gras"&amp;24FACTURE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Stocks</vt:lpstr>
      <vt:lpstr>Facture vente</vt:lpstr>
      <vt:lpstr>Facture travaux</vt:lpstr>
      <vt:lpstr>Facture achat</vt:lpstr>
      <vt:lpstr>Gestion facture vente</vt:lpstr>
      <vt:lpstr>Gestion facture travaux</vt:lpstr>
      <vt:lpstr>Gestion facture achat</vt:lpstr>
      <vt:lpstr>Code </vt:lpstr>
      <vt:lpstr>Facture vierge</vt:lpstr>
      <vt:lpstr>essai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</dc:creator>
  <cp:lastModifiedBy>Aline</cp:lastModifiedBy>
  <cp:lastPrinted>2018-02-07T21:04:26Z</cp:lastPrinted>
  <dcterms:created xsi:type="dcterms:W3CDTF">2018-01-05T06:03:11Z</dcterms:created>
  <dcterms:modified xsi:type="dcterms:W3CDTF">2018-04-15T20:08:01Z</dcterms:modified>
</cp:coreProperties>
</file>