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honyAUGUSTO\Desktop\MACH 1\Kimoco\"/>
    </mc:Choice>
  </mc:AlternateContent>
  <bookViews>
    <workbookView xWindow="0" yWindow="0" windowWidth="13680" windowHeight="9465" tabRatio="737" firstSheet="3" activeTab="8" xr2:uid="{00000000-000D-0000-FFFF-FFFF00000000}"/>
  </bookViews>
  <sheets>
    <sheet name="OUVERTURES 2018" sheetId="1" state="hidden" r:id="rId1"/>
    <sheet name="DROITS D'ENTREES" sheetId="3" state="hidden" r:id="rId2"/>
    <sheet name="PREVISIONNEL 2018" sheetId="2" state="hidden" r:id="rId3"/>
    <sheet name="CA TOTAL 2018" sheetId="13" r:id="rId4"/>
    <sheet name="WOK 2018" sheetId="6" r:id="rId5"/>
    <sheet name="SUSHI 2018" sheetId="7" r:id="rId6"/>
    <sheet name="LISTE DETAILS FOURNISSEURS" sheetId="5" state="hidden" r:id="rId7"/>
    <sheet name="SUSHI 2017" sheetId="4" r:id="rId8"/>
    <sheet name="SP" sheetId="10" r:id="rId9"/>
  </sheets>
  <definedNames>
    <definedName name="_xlnm._FilterDatabase" localSheetId="3" hidden="1">'CA TOTAL 2018'!$A$4:$C$4</definedName>
    <definedName name="_xlnm._FilterDatabase" localSheetId="6" hidden="1">'LISTE DETAILS FOURNISSEURS'!$A$3:$F$3</definedName>
    <definedName name="_xlnm._FilterDatabase" localSheetId="0" hidden="1">'OUVERTURES 2018'!$L$5:$N$15</definedName>
    <definedName name="_xlnm._FilterDatabase" localSheetId="2" hidden="1">'PREVISIONNEL 2018'!$A$7:$K$7</definedName>
    <definedName name="_xlnm._FilterDatabase" localSheetId="7" hidden="1">'SUSHI 2017'!$A$4:$R$4</definedName>
    <definedName name="_xlnm._FilterDatabase" localSheetId="5" hidden="1">'SUSHI 2018'!$A$4:$R$4</definedName>
    <definedName name="NuméroBac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7" l="1"/>
  <c r="I28" i="1"/>
  <c r="D39" i="1"/>
  <c r="D40" i="1"/>
  <c r="D41" i="1"/>
  <c r="D42" i="1"/>
  <c r="I39" i="1"/>
  <c r="I40" i="1"/>
  <c r="I41" i="1"/>
  <c r="I42" i="1"/>
  <c r="K31" i="1"/>
  <c r="K32" i="1"/>
  <c r="K33" i="1"/>
  <c r="K34" i="1"/>
  <c r="L34" i="1" s="1"/>
  <c r="K35" i="1"/>
  <c r="K36" i="1"/>
  <c r="K37" i="1"/>
  <c r="L37" i="1" s="1"/>
  <c r="K38" i="1"/>
  <c r="L38" i="1" s="1"/>
  <c r="K39" i="1"/>
  <c r="K40" i="1"/>
  <c r="K41" i="1"/>
  <c r="K42" i="1"/>
  <c r="D36" i="1"/>
  <c r="D37" i="1"/>
  <c r="D38" i="1"/>
  <c r="I36" i="1"/>
  <c r="I37" i="1"/>
  <c r="I38" i="1"/>
  <c r="L36" i="1"/>
  <c r="C36" i="2" l="1"/>
  <c r="C31" i="2"/>
  <c r="C37" i="2"/>
  <c r="C32" i="2"/>
  <c r="C30" i="2"/>
  <c r="C27" i="2"/>
  <c r="C23" i="2"/>
  <c r="C15" i="2"/>
  <c r="C29" i="2"/>
  <c r="C26" i="2"/>
  <c r="C25" i="2"/>
  <c r="C24" i="2"/>
  <c r="C21" i="2"/>
  <c r="C16" i="2"/>
  <c r="K1" i="13"/>
  <c r="C17" i="2"/>
  <c r="C18" i="2"/>
  <c r="C19" i="2"/>
  <c r="C20" i="2"/>
  <c r="C34" i="2"/>
  <c r="C35" i="2"/>
  <c r="C38" i="2"/>
  <c r="C39" i="2"/>
  <c r="C41" i="2"/>
  <c r="C42" i="2"/>
  <c r="C46" i="2"/>
  <c r="C50" i="2"/>
  <c r="C54" i="2"/>
  <c r="B55" i="2"/>
  <c r="C55" i="2" s="1"/>
  <c r="B54" i="2"/>
  <c r="B53" i="2"/>
  <c r="C53" i="2" s="1"/>
  <c r="B52" i="2"/>
  <c r="C52" i="2" s="1"/>
  <c r="B51" i="2"/>
  <c r="C51" i="2" s="1"/>
  <c r="B50" i="2"/>
  <c r="B49" i="2"/>
  <c r="C49" i="2" s="1"/>
  <c r="B48" i="2"/>
  <c r="C48" i="2" s="1"/>
  <c r="B47" i="2"/>
  <c r="C47" i="2" s="1"/>
  <c r="B46" i="2"/>
  <c r="B45" i="2"/>
  <c r="C45" i="2" s="1"/>
  <c r="B44" i="2"/>
  <c r="C44" i="2" s="1"/>
  <c r="B43" i="2"/>
  <c r="C43" i="2" s="1"/>
  <c r="B41" i="2"/>
  <c r="B40" i="2"/>
  <c r="C40" i="2" s="1"/>
  <c r="B37" i="2"/>
  <c r="I35" i="1"/>
  <c r="L33" i="1"/>
  <c r="L35" i="1"/>
  <c r="C14" i="7"/>
  <c r="C13" i="7"/>
  <c r="C10" i="7"/>
  <c r="C9" i="7"/>
  <c r="C8" i="7"/>
  <c r="C6" i="7"/>
  <c r="H1" i="6" l="1"/>
  <c r="E1" i="6"/>
  <c r="F24" i="6"/>
  <c r="E24" i="6"/>
  <c r="D24" i="6" s="1"/>
  <c r="C24" i="6"/>
  <c r="B24" i="6"/>
  <c r="B29" i="6"/>
  <c r="C29" i="6"/>
  <c r="E29" i="6"/>
  <c r="F29" i="6" s="1"/>
  <c r="D29" i="6"/>
  <c r="B28" i="6"/>
  <c r="C28" i="6"/>
  <c r="E28" i="6"/>
  <c r="D28" i="6"/>
  <c r="F28" i="6"/>
  <c r="B27" i="6"/>
  <c r="C27" i="6"/>
  <c r="E27" i="6"/>
  <c r="D27" i="6" s="1"/>
  <c r="B26" i="6"/>
  <c r="C26" i="6"/>
  <c r="E26" i="6"/>
  <c r="D26" i="6" s="1"/>
  <c r="F26" i="6"/>
  <c r="B25" i="6"/>
  <c r="C25" i="6"/>
  <c r="E25" i="6"/>
  <c r="D25" i="6"/>
  <c r="F25" i="6"/>
  <c r="C49" i="13"/>
  <c r="C48" i="13"/>
  <c r="C47" i="13"/>
  <c r="C46" i="13"/>
  <c r="C45" i="13"/>
  <c r="C44" i="13"/>
  <c r="C43" i="13"/>
  <c r="C42" i="13"/>
  <c r="C41" i="13"/>
  <c r="C40" i="13"/>
  <c r="E23" i="6"/>
  <c r="F23" i="6" s="1"/>
  <c r="C23" i="6"/>
  <c r="B23" i="6"/>
  <c r="E22" i="6"/>
  <c r="F22" i="6" s="1"/>
  <c r="C22" i="6"/>
  <c r="B22" i="6"/>
  <c r="E21" i="6"/>
  <c r="D21" i="6" s="1"/>
  <c r="C21" i="6"/>
  <c r="B21" i="6"/>
  <c r="E20" i="6"/>
  <c r="F20" i="6" s="1"/>
  <c r="C20" i="6"/>
  <c r="B20" i="6"/>
  <c r="E19" i="6"/>
  <c r="F19" i="6" s="1"/>
  <c r="C19" i="6"/>
  <c r="B19" i="6"/>
  <c r="E18" i="6"/>
  <c r="F18" i="6" s="1"/>
  <c r="C18" i="6"/>
  <c r="B18" i="6"/>
  <c r="E17" i="6"/>
  <c r="D17" i="6" s="1"/>
  <c r="C17" i="6"/>
  <c r="B17" i="6"/>
  <c r="E16" i="6"/>
  <c r="F16" i="6" s="1"/>
  <c r="D16" i="6"/>
  <c r="C16" i="6"/>
  <c r="B16" i="6"/>
  <c r="E15" i="6"/>
  <c r="F15" i="6" s="1"/>
  <c r="C15" i="6"/>
  <c r="B15" i="6"/>
  <c r="E14" i="6"/>
  <c r="F14" i="6" s="1"/>
  <c r="C14" i="6"/>
  <c r="B14" i="6"/>
  <c r="E13" i="6"/>
  <c r="D13" i="6" s="1"/>
  <c r="C13" i="6"/>
  <c r="B13" i="6"/>
  <c r="E12" i="6"/>
  <c r="F12" i="6" s="1"/>
  <c r="C12" i="6"/>
  <c r="B12" i="6"/>
  <c r="E11" i="6"/>
  <c r="F11" i="6" s="1"/>
  <c r="C11" i="6"/>
  <c r="B11" i="6"/>
  <c r="E10" i="6"/>
  <c r="F10" i="6" s="1"/>
  <c r="C10" i="6"/>
  <c r="B10" i="6"/>
  <c r="E9" i="6"/>
  <c r="D9" i="6" s="1"/>
  <c r="C9" i="6"/>
  <c r="B9" i="6"/>
  <c r="E8" i="6"/>
  <c r="F8" i="6" s="1"/>
  <c r="D8" i="6"/>
  <c r="C8" i="6"/>
  <c r="B8" i="6"/>
  <c r="E7" i="6"/>
  <c r="F7" i="6" s="1"/>
  <c r="C7" i="6"/>
  <c r="B7" i="6"/>
  <c r="E6" i="6"/>
  <c r="F6" i="6" s="1"/>
  <c r="C6" i="6"/>
  <c r="B6" i="6"/>
  <c r="E5" i="6"/>
  <c r="D5" i="6" s="1"/>
  <c r="C5" i="6"/>
  <c r="B5" i="6"/>
  <c r="F27" i="6" l="1"/>
  <c r="D12" i="6"/>
  <c r="D20" i="6"/>
  <c r="D10" i="6"/>
  <c r="D18" i="6"/>
  <c r="D6" i="6"/>
  <c r="D14" i="6"/>
  <c r="D22" i="6"/>
  <c r="F5" i="6"/>
  <c r="D7" i="6"/>
  <c r="F9" i="6"/>
  <c r="D11" i="6"/>
  <c r="F13" i="6"/>
  <c r="D15" i="6"/>
  <c r="F17" i="6"/>
  <c r="D19" i="6"/>
  <c r="F21" i="6"/>
  <c r="D23" i="6"/>
  <c r="C39" i="7"/>
  <c r="C40" i="7"/>
  <c r="C41" i="7"/>
  <c r="C42" i="7"/>
  <c r="C43" i="7"/>
  <c r="C44" i="7"/>
  <c r="C45" i="7"/>
  <c r="C46" i="7"/>
  <c r="C47" i="7"/>
  <c r="C48" i="7"/>
  <c r="C7" i="7"/>
  <c r="C11" i="7"/>
  <c r="C12" i="7"/>
  <c r="C15" i="7"/>
  <c r="C16" i="7"/>
  <c r="C17" i="7"/>
  <c r="C18" i="7"/>
  <c r="C19" i="7"/>
  <c r="C20" i="7"/>
  <c r="C21" i="7"/>
  <c r="C22" i="7"/>
  <c r="C23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5" i="7"/>
  <c r="B6" i="7"/>
  <c r="B7" i="7"/>
  <c r="B8" i="7"/>
  <c r="B9" i="13" s="1"/>
  <c r="C9" i="13" s="1"/>
  <c r="B9" i="7"/>
  <c r="B10" i="13" s="1"/>
  <c r="C10" i="13" s="1"/>
  <c r="B10" i="7"/>
  <c r="B11" i="13" s="1"/>
  <c r="B11" i="7"/>
  <c r="B12" i="7"/>
  <c r="B13" i="13" s="1"/>
  <c r="C13" i="13" s="1"/>
  <c r="B13" i="7"/>
  <c r="B14" i="13" s="1"/>
  <c r="B14" i="7"/>
  <c r="B15" i="13" s="1"/>
  <c r="B15" i="7"/>
  <c r="B16" i="13" s="1"/>
  <c r="B16" i="7"/>
  <c r="B17" i="13" s="1"/>
  <c r="B17" i="7"/>
  <c r="B18" i="13" s="1"/>
  <c r="B18" i="7"/>
  <c r="B19" i="13" s="1"/>
  <c r="B19" i="7"/>
  <c r="B20" i="7"/>
  <c r="B21" i="13" s="1"/>
  <c r="B21" i="7"/>
  <c r="B22" i="13" s="1"/>
  <c r="C22" i="13" s="1"/>
  <c r="B22" i="7"/>
  <c r="B23" i="13" s="1"/>
  <c r="B23" i="7"/>
  <c r="B24" i="7"/>
  <c r="B25" i="13" s="1"/>
  <c r="C25" i="13" s="1"/>
  <c r="B25" i="7"/>
  <c r="B26" i="13" s="1"/>
  <c r="B26" i="7"/>
  <c r="B27" i="13" s="1"/>
  <c r="B27" i="7"/>
  <c r="B28" i="13" s="1"/>
  <c r="B28" i="7"/>
  <c r="B29" i="7"/>
  <c r="B30" i="13" s="1"/>
  <c r="B30" i="7"/>
  <c r="B31" i="13" s="1"/>
  <c r="B31" i="7"/>
  <c r="B32" i="13" s="1"/>
  <c r="B32" i="7"/>
  <c r="B33" i="13" s="1"/>
  <c r="C33" i="13" s="1"/>
  <c r="B33" i="7"/>
  <c r="B34" i="13" s="1"/>
  <c r="B34" i="7"/>
  <c r="B35" i="13" s="1"/>
  <c r="B35" i="7"/>
  <c r="B36" i="13" s="1"/>
  <c r="B36" i="7"/>
  <c r="B37" i="13" s="1"/>
  <c r="B37" i="7"/>
  <c r="B38" i="7"/>
  <c r="B39" i="13" s="1"/>
  <c r="B39" i="7"/>
  <c r="B40" i="13" s="1"/>
  <c r="B40" i="7"/>
  <c r="B41" i="13" s="1"/>
  <c r="B8" i="2" s="1"/>
  <c r="B41" i="7"/>
  <c r="B42" i="13" s="1"/>
  <c r="B42" i="7"/>
  <c r="B43" i="13" s="1"/>
  <c r="B36" i="2" s="1"/>
  <c r="B43" i="7"/>
  <c r="B44" i="13" s="1"/>
  <c r="B44" i="7"/>
  <c r="B45" i="13" s="1"/>
  <c r="B45" i="7"/>
  <c r="B46" i="13" s="1"/>
  <c r="B46" i="7"/>
  <c r="B47" i="13" s="1"/>
  <c r="B47" i="7"/>
  <c r="B48" i="13" s="1"/>
  <c r="B48" i="7"/>
  <c r="B49" i="13" s="1"/>
  <c r="B5" i="7"/>
  <c r="B6" i="13" s="1"/>
  <c r="C30" i="13" l="1"/>
  <c r="B33" i="2"/>
  <c r="C33" i="2" s="1"/>
  <c r="C37" i="13"/>
  <c r="B24" i="2"/>
  <c r="C21" i="13"/>
  <c r="B16" i="2"/>
  <c r="C17" i="13"/>
  <c r="B25" i="2"/>
  <c r="C6" i="13"/>
  <c r="B23" i="2"/>
  <c r="C34" i="13"/>
  <c r="B26" i="2"/>
  <c r="C14" i="13"/>
  <c r="B14" i="2"/>
  <c r="C14" i="2" s="1"/>
  <c r="C36" i="13"/>
  <c r="B22" i="2"/>
  <c r="C22" i="2" s="1"/>
  <c r="C32" i="13"/>
  <c r="B13" i="2"/>
  <c r="C13" i="2" s="1"/>
  <c r="C28" i="13"/>
  <c r="B31" i="2"/>
  <c r="C16" i="13"/>
  <c r="B28" i="2"/>
  <c r="C28" i="2" s="1"/>
  <c r="C26" i="13"/>
  <c r="B11" i="2"/>
  <c r="C11" i="2" s="1"/>
  <c r="C18" i="13"/>
  <c r="B32" i="2"/>
  <c r="C39" i="13"/>
  <c r="B27" i="2"/>
  <c r="C35" i="13"/>
  <c r="B10" i="2"/>
  <c r="C10" i="2" s="1"/>
  <c r="C31" i="13"/>
  <c r="B9" i="2"/>
  <c r="C9" i="2" s="1"/>
  <c r="C27" i="13"/>
  <c r="B21" i="2"/>
  <c r="C23" i="13"/>
  <c r="B15" i="2"/>
  <c r="C19" i="13"/>
  <c r="B30" i="2"/>
  <c r="C15" i="13"/>
  <c r="B12" i="2"/>
  <c r="C12" i="2" s="1"/>
  <c r="C11" i="13"/>
  <c r="B29" i="2"/>
  <c r="B29" i="13"/>
  <c r="C29" i="13" s="1"/>
  <c r="B38" i="13"/>
  <c r="C38" i="13" s="1"/>
  <c r="B24" i="13"/>
  <c r="C24" i="13" s="1"/>
  <c r="B20" i="13"/>
  <c r="C20" i="13" s="1"/>
  <c r="B12" i="13"/>
  <c r="C12" i="13" s="1"/>
  <c r="B8" i="13"/>
  <c r="C8" i="13" s="1"/>
  <c r="B7" i="13"/>
  <c r="E1" i="7"/>
  <c r="I34" i="1"/>
  <c r="M9" i="1"/>
  <c r="M10" i="1"/>
  <c r="M11" i="1"/>
  <c r="K8" i="1"/>
  <c r="K7" i="1"/>
  <c r="K9" i="1"/>
  <c r="K10" i="1"/>
  <c r="M1" i="13" l="1"/>
  <c r="C7" i="13"/>
  <c r="H1" i="13" s="1"/>
  <c r="K29" i="1"/>
  <c r="L29" i="1" s="1"/>
  <c r="N29" i="1" s="1"/>
  <c r="K30" i="1"/>
  <c r="L30" i="1" s="1"/>
  <c r="N30" i="1" s="1"/>
  <c r="L31" i="1" l="1"/>
  <c r="N31" i="1" s="1"/>
  <c r="I30" i="1"/>
  <c r="D12" i="1"/>
  <c r="I12" i="1"/>
  <c r="M12" i="1"/>
  <c r="D14" i="1"/>
  <c r="I14" i="1"/>
  <c r="M14" i="1"/>
  <c r="D19" i="1"/>
  <c r="I19" i="1"/>
  <c r="M19" i="1"/>
  <c r="I33" i="1"/>
  <c r="M22" i="1"/>
  <c r="M18" i="1"/>
  <c r="M8" i="1"/>
  <c r="M6" i="1"/>
  <c r="I31" i="1"/>
  <c r="I29" i="1" l="1"/>
  <c r="E39" i="4" l="1"/>
  <c r="E41" i="4"/>
  <c r="E42" i="4"/>
  <c r="L8" i="1"/>
  <c r="K26" i="1" l="1"/>
  <c r="L26" i="1" s="1"/>
  <c r="L32" i="1"/>
  <c r="I32" i="1" l="1"/>
  <c r="E48" i="7" l="1"/>
  <c r="D48" i="7" s="1"/>
  <c r="E49" i="7"/>
  <c r="D49" i="7" s="1"/>
  <c r="E50" i="7"/>
  <c r="F50" i="7" s="1"/>
  <c r="E51" i="7"/>
  <c r="D51" i="7" s="1"/>
  <c r="E42" i="7"/>
  <c r="D42" i="7" s="1"/>
  <c r="E46" i="7"/>
  <c r="F46" i="7" s="1"/>
  <c r="E47" i="7"/>
  <c r="F47" i="7" s="1"/>
  <c r="E43" i="7"/>
  <c r="D43" i="7" s="1"/>
  <c r="E40" i="7"/>
  <c r="D40" i="7" s="1"/>
  <c r="E41" i="7"/>
  <c r="D41" i="7" s="1"/>
  <c r="E39" i="7"/>
  <c r="F39" i="7" s="1"/>
  <c r="E44" i="7"/>
  <c r="D44" i="7" s="1"/>
  <c r="E45" i="7"/>
  <c r="D45" i="7" s="1"/>
  <c r="E5" i="7"/>
  <c r="E38" i="7"/>
  <c r="D38" i="7" s="1"/>
  <c r="E14" i="7"/>
  <c r="E12" i="7"/>
  <c r="E15" i="7"/>
  <c r="E27" i="7"/>
  <c r="E37" i="7"/>
  <c r="E7" i="7"/>
  <c r="E22" i="7"/>
  <c r="E18" i="7"/>
  <c r="E11" i="7"/>
  <c r="E6" i="7"/>
  <c r="E9" i="7"/>
  <c r="E28" i="7"/>
  <c r="E19" i="7"/>
  <c r="E32" i="7"/>
  <c r="E25" i="7"/>
  <c r="E21" i="7"/>
  <c r="E23" i="7"/>
  <c r="E16" i="7"/>
  <c r="E29" i="7"/>
  <c r="E35" i="7"/>
  <c r="E31" i="7"/>
  <c r="E24" i="7"/>
  <c r="E26" i="7"/>
  <c r="E34" i="7"/>
  <c r="E33" i="7"/>
  <c r="E20" i="7"/>
  <c r="E17" i="7"/>
  <c r="E13" i="7"/>
  <c r="E8" i="7"/>
  <c r="E30" i="7"/>
  <c r="E36" i="7"/>
  <c r="E10" i="7"/>
  <c r="F41" i="7" l="1"/>
  <c r="D46" i="7"/>
  <c r="F44" i="7"/>
  <c r="F43" i="7"/>
  <c r="F45" i="7"/>
  <c r="F40" i="7"/>
  <c r="F42" i="7"/>
  <c r="D50" i="7"/>
  <c r="F49" i="7"/>
  <c r="F51" i="7"/>
  <c r="F48" i="7"/>
  <c r="D39" i="7"/>
  <c r="D47" i="7"/>
  <c r="D24" i="7"/>
  <c r="F24" i="7"/>
  <c r="F16" i="7"/>
  <c r="D16" i="7"/>
  <c r="F6" i="7"/>
  <c r="D6" i="7"/>
  <c r="F7" i="7"/>
  <c r="D7" i="7"/>
  <c r="F5" i="7"/>
  <c r="D5" i="7"/>
  <c r="F36" i="7"/>
  <c r="D36" i="7"/>
  <c r="F17" i="7"/>
  <c r="D17" i="7"/>
  <c r="D26" i="7"/>
  <c r="F26" i="7"/>
  <c r="F29" i="7"/>
  <c r="D29" i="7"/>
  <c r="D25" i="7"/>
  <c r="F25" i="7"/>
  <c r="F9" i="7"/>
  <c r="D9" i="7"/>
  <c r="F22" i="7"/>
  <c r="D22" i="7"/>
  <c r="D32" i="7"/>
  <c r="F32" i="7"/>
  <c r="F10" i="7"/>
  <c r="D10" i="7"/>
  <c r="F13" i="7"/>
  <c r="D13" i="7"/>
  <c r="D34" i="7"/>
  <c r="F34" i="7"/>
  <c r="F35" i="7"/>
  <c r="D35" i="7"/>
  <c r="F21" i="7"/>
  <c r="D21" i="7"/>
  <c r="F28" i="7"/>
  <c r="D28" i="7"/>
  <c r="D18" i="7"/>
  <c r="F18" i="7"/>
  <c r="F27" i="7"/>
  <c r="D27" i="7"/>
  <c r="F30" i="7"/>
  <c r="D30" i="7"/>
  <c r="F20" i="7"/>
  <c r="D20" i="7"/>
  <c r="F8" i="7"/>
  <c r="D8" i="7"/>
  <c r="D33" i="7"/>
  <c r="F33" i="7"/>
  <c r="D31" i="7"/>
  <c r="F31" i="7"/>
  <c r="D23" i="7"/>
  <c r="F23" i="7"/>
  <c r="F19" i="7"/>
  <c r="D19" i="7"/>
  <c r="F11" i="7"/>
  <c r="D11" i="7"/>
  <c r="D37" i="7"/>
  <c r="F37" i="7"/>
  <c r="F15" i="7"/>
  <c r="D15" i="7"/>
  <c r="F12" i="7"/>
  <c r="D12" i="7"/>
  <c r="F14" i="7"/>
  <c r="D14" i="7"/>
  <c r="F38" i="7"/>
  <c r="K11" i="1"/>
  <c r="K13" i="1"/>
  <c r="K15" i="1"/>
  <c r="K16" i="1"/>
  <c r="K18" i="1"/>
  <c r="L18" i="1" s="1"/>
  <c r="K20" i="1"/>
  <c r="K21" i="1"/>
  <c r="K22" i="1"/>
  <c r="K23" i="1"/>
  <c r="K24" i="1"/>
  <c r="K17" i="1"/>
  <c r="K27" i="1"/>
  <c r="L27" i="1" s="1"/>
  <c r="K25" i="1"/>
  <c r="L25" i="1" s="1"/>
  <c r="I25" i="1"/>
  <c r="I26" i="1"/>
  <c r="I22" i="1"/>
  <c r="L22" i="1" l="1"/>
  <c r="N22" i="1" s="1"/>
  <c r="H1" i="7"/>
  <c r="J9" i="2"/>
  <c r="J10" i="2"/>
  <c r="J11" i="2"/>
  <c r="J12" i="2"/>
  <c r="J13" i="2"/>
  <c r="J14" i="2"/>
  <c r="J15" i="2"/>
  <c r="J16" i="2"/>
  <c r="J18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5" i="2"/>
  <c r="J36" i="2"/>
  <c r="J37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17" i="2"/>
  <c r="J19" i="2"/>
  <c r="J20" i="2"/>
  <c r="J34" i="2"/>
  <c r="J38" i="2"/>
  <c r="J56" i="2"/>
  <c r="C44" i="4"/>
  <c r="C43" i="4"/>
  <c r="B12" i="4"/>
  <c r="B16" i="4"/>
  <c r="B45" i="4"/>
  <c r="B46" i="4"/>
  <c r="B10" i="4"/>
  <c r="B8" i="4"/>
  <c r="L11" i="1"/>
  <c r="L16" i="1"/>
  <c r="L13" i="1"/>
  <c r="N13" i="1" s="1"/>
  <c r="I20" i="1"/>
  <c r="I16" i="1"/>
  <c r="I13" i="1"/>
  <c r="L20" i="1" l="1"/>
  <c r="N20" i="1" s="1"/>
  <c r="L15" i="1"/>
  <c r="N15" i="1" s="1"/>
  <c r="B32" i="5"/>
  <c r="E31" i="4"/>
  <c r="D31" i="4" s="1"/>
  <c r="E35" i="4"/>
  <c r="D35" i="4" s="1"/>
  <c r="E24" i="4"/>
  <c r="D24" i="4" s="1"/>
  <c r="E26" i="4"/>
  <c r="D26" i="4" s="1"/>
  <c r="E21" i="4"/>
  <c r="D21" i="4" s="1"/>
  <c r="C42" i="4"/>
  <c r="B42" i="4" s="1"/>
  <c r="C14" i="4"/>
  <c r="B14" i="4" s="1"/>
  <c r="C15" i="4"/>
  <c r="B15" i="4" s="1"/>
  <c r="C29" i="4"/>
  <c r="B29" i="4" s="1"/>
  <c r="E17" i="4"/>
  <c r="F17" i="4" s="1"/>
  <c r="E18" i="4"/>
  <c r="F18" i="4" s="1"/>
  <c r="E13" i="4"/>
  <c r="F13" i="4" s="1"/>
  <c r="E22" i="4"/>
  <c r="F22" i="4" s="1"/>
  <c r="E23" i="4"/>
  <c r="F23" i="4" s="1"/>
  <c r="E9" i="4"/>
  <c r="F9" i="4" s="1"/>
  <c r="C8" i="2"/>
  <c r="C5" i="2" s="1"/>
  <c r="C32" i="4" l="1"/>
  <c r="B32" i="4" s="1"/>
  <c r="E36" i="4"/>
  <c r="D36" i="4" s="1"/>
  <c r="C24" i="4"/>
  <c r="B24" i="4" s="1"/>
  <c r="C34" i="4"/>
  <c r="B34" i="4" s="1"/>
  <c r="D41" i="4"/>
  <c r="E15" i="4"/>
  <c r="F15" i="4" s="1"/>
  <c r="C38" i="4"/>
  <c r="B38" i="4" s="1"/>
  <c r="C39" i="4"/>
  <c r="B39" i="4" s="1"/>
  <c r="E28" i="4"/>
  <c r="D28" i="4" s="1"/>
  <c r="E30" i="4"/>
  <c r="D30" i="4" s="1"/>
  <c r="C26" i="4"/>
  <c r="B26" i="4" s="1"/>
  <c r="C27" i="4"/>
  <c r="B27" i="4" s="1"/>
  <c r="E33" i="4"/>
  <c r="D33" i="4" s="1"/>
  <c r="C31" i="4"/>
  <c r="B31" i="4" s="1"/>
  <c r="E6" i="4"/>
  <c r="F6" i="4" s="1"/>
  <c r="C19" i="4"/>
  <c r="B19" i="4" s="1"/>
  <c r="E29" i="4"/>
  <c r="F29" i="4" s="1"/>
  <c r="C37" i="4"/>
  <c r="B37" i="4" s="1"/>
  <c r="C11" i="4"/>
  <c r="B11" i="4" s="1"/>
  <c r="E7" i="4"/>
  <c r="D7" i="4" s="1"/>
  <c r="E25" i="4"/>
  <c r="D25" i="4" s="1"/>
  <c r="C40" i="4"/>
  <c r="B40" i="4" s="1"/>
  <c r="B5" i="2"/>
  <c r="J8" i="2"/>
  <c r="C5" i="4"/>
  <c r="C9" i="4"/>
  <c r="B9" i="4" s="1"/>
  <c r="E40" i="4"/>
  <c r="D40" i="4" s="1"/>
  <c r="C35" i="4"/>
  <c r="B35" i="4" s="1"/>
  <c r="C20" i="4"/>
  <c r="B20" i="4" s="1"/>
  <c r="C6" i="4"/>
  <c r="B6" i="4" s="1"/>
  <c r="C17" i="4"/>
  <c r="B17" i="4" s="1"/>
  <c r="E19" i="4"/>
  <c r="F19" i="4" s="1"/>
  <c r="E14" i="4"/>
  <c r="F14" i="4" s="1"/>
  <c r="E37" i="4"/>
  <c r="D37" i="4" s="1"/>
  <c r="E38" i="4"/>
  <c r="D38" i="4" s="1"/>
  <c r="E34" i="4"/>
  <c r="D34" i="4" s="1"/>
  <c r="E32" i="4"/>
  <c r="F32" i="4" s="1"/>
  <c r="E11" i="4"/>
  <c r="D11" i="4" s="1"/>
  <c r="F39" i="4"/>
  <c r="C41" i="4"/>
  <c r="B41" i="4" s="1"/>
  <c r="D42" i="4"/>
  <c r="C7" i="4"/>
  <c r="B7" i="4" s="1"/>
  <c r="C28" i="4"/>
  <c r="B28" i="4" s="1"/>
  <c r="C36" i="4"/>
  <c r="B36" i="4" s="1"/>
  <c r="C21" i="4"/>
  <c r="B21" i="4" s="1"/>
  <c r="C25" i="4"/>
  <c r="B25" i="4" s="1"/>
  <c r="C30" i="4"/>
  <c r="B30" i="4" s="1"/>
  <c r="E27" i="4"/>
  <c r="D27" i="4" s="1"/>
  <c r="C33" i="4"/>
  <c r="B33" i="4" s="1"/>
  <c r="C23" i="4"/>
  <c r="B23" i="4" s="1"/>
  <c r="C22" i="4"/>
  <c r="B22" i="4" s="1"/>
  <c r="C13" i="4"/>
  <c r="B13" i="4" s="1"/>
  <c r="C18" i="4"/>
  <c r="B18" i="4" s="1"/>
  <c r="E5" i="4"/>
  <c r="D9" i="4"/>
  <c r="D23" i="4"/>
  <c r="D22" i="4"/>
  <c r="D13" i="4"/>
  <c r="D18" i="4"/>
  <c r="D17" i="4"/>
  <c r="D29" i="4"/>
  <c r="D15" i="4"/>
  <c r="F41" i="4"/>
  <c r="F36" i="4"/>
  <c r="F21" i="4"/>
  <c r="F30" i="4"/>
  <c r="F26" i="4"/>
  <c r="F24" i="4"/>
  <c r="F35" i="4"/>
  <c r="F31" i="4"/>
  <c r="E20" i="4"/>
  <c r="B26" i="5" l="1"/>
  <c r="B28" i="5"/>
  <c r="B21" i="5"/>
  <c r="F25" i="4"/>
  <c r="B54" i="5"/>
  <c r="B10" i="5"/>
  <c r="B52" i="5"/>
  <c r="B17" i="5"/>
  <c r="F33" i="4"/>
  <c r="F28" i="4"/>
  <c r="B53" i="5"/>
  <c r="B27" i="5"/>
  <c r="B45" i="5"/>
  <c r="B25" i="5"/>
  <c r="B6" i="5"/>
  <c r="B7" i="5"/>
  <c r="B44" i="5"/>
  <c r="D32" i="4"/>
  <c r="B48" i="5"/>
  <c r="B47" i="5"/>
  <c r="B19" i="5"/>
  <c r="B20" i="5"/>
  <c r="B50" i="5"/>
  <c r="B9" i="5"/>
  <c r="B12" i="5"/>
  <c r="B11" i="5"/>
  <c r="B46" i="5"/>
  <c r="B49" i="5"/>
  <c r="B8" i="5"/>
  <c r="B22" i="5"/>
  <c r="B42" i="5"/>
  <c r="B23" i="5"/>
  <c r="B18" i="5"/>
  <c r="B51" i="5"/>
  <c r="B13" i="5"/>
  <c r="D14" i="4"/>
  <c r="D6" i="4"/>
  <c r="F42" i="4"/>
  <c r="F11" i="4"/>
  <c r="F37" i="4"/>
  <c r="F7" i="4"/>
  <c r="B5" i="4"/>
  <c r="B16" i="5" s="1"/>
  <c r="H1" i="4"/>
  <c r="F34" i="4"/>
  <c r="D39" i="4"/>
  <c r="F38" i="4"/>
  <c r="F27" i="4"/>
  <c r="D19" i="4"/>
  <c r="F40" i="4"/>
  <c r="F20" i="4"/>
  <c r="D20" i="4"/>
  <c r="D5" i="4"/>
  <c r="F5" i="4"/>
  <c r="B43" i="5" l="1"/>
  <c r="B24" i="5"/>
  <c r="E1" i="4"/>
  <c r="K6" i="1"/>
  <c r="L6" i="1" s="1"/>
  <c r="B29" i="5"/>
  <c r="B14" i="5"/>
  <c r="F5" i="2"/>
  <c r="G5" i="2"/>
  <c r="H5" i="2"/>
  <c r="I5" i="2"/>
  <c r="B40" i="5" l="1"/>
  <c r="B31" i="5"/>
  <c r="B41" i="5"/>
  <c r="B15" i="5"/>
  <c r="B30" i="5"/>
  <c r="B33" i="5"/>
  <c r="B4" i="5"/>
  <c r="B34" i="5"/>
  <c r="F3" i="2"/>
  <c r="B36" i="5"/>
  <c r="L21" i="1"/>
  <c r="B37" i="5"/>
  <c r="L23" i="1"/>
  <c r="B39" i="5"/>
  <c r="L24" i="1"/>
  <c r="M3" i="1"/>
  <c r="J5" i="2"/>
  <c r="A5" i="2" s="1"/>
  <c r="I7" i="1"/>
  <c r="I9" i="1"/>
  <c r="I10" i="1"/>
  <c r="I21" i="1"/>
  <c r="I24" i="1"/>
  <c r="L7" i="1"/>
  <c r="L10" i="1"/>
  <c r="I8" i="1"/>
  <c r="I23" i="1"/>
  <c r="I6" i="1"/>
  <c r="I17" i="1"/>
  <c r="I27" i="1"/>
  <c r="I18" i="1"/>
  <c r="H3" i="1"/>
  <c r="B3" i="1"/>
  <c r="N8" i="1" l="1"/>
  <c r="L9" i="1"/>
  <c r="N9" i="1" s="1"/>
  <c r="N10" i="1"/>
  <c r="N24" i="1"/>
  <c r="N6" i="1"/>
  <c r="N21" i="1"/>
  <c r="N23" i="1"/>
  <c r="N7" i="1"/>
  <c r="N18" i="1"/>
  <c r="L17" i="1"/>
  <c r="N27" i="1"/>
  <c r="K3" i="1"/>
  <c r="I3" i="1"/>
  <c r="L3" i="1" l="1"/>
  <c r="N3" i="1" l="1"/>
  <c r="A3" i="1" s="1"/>
  <c r="E1" i="13"/>
</calcChain>
</file>

<file path=xl/sharedStrings.xml><?xml version="1.0" encoding="utf-8"?>
<sst xmlns="http://schemas.openxmlformats.org/spreadsheetml/2006/main" count="529" uniqueCount="309">
  <si>
    <t>PREVISIONS D'OUVERTURES 2018</t>
  </si>
  <si>
    <t>BENEFICE TOTAL :</t>
  </si>
  <si>
    <t>NOMBRE D'OUVERTURE 2018 :</t>
  </si>
  <si>
    <t>COÛT TOTAL DES IMMOBILISATIONS HT :</t>
  </si>
  <si>
    <t>TVA :</t>
  </si>
  <si>
    <t>ENCAISSEMENT KIMOCO A L'ANNEE :</t>
  </si>
  <si>
    <t>SITE</t>
  </si>
  <si>
    <t>VISITE</t>
  </si>
  <si>
    <t>PLAN</t>
  </si>
  <si>
    <t>VALIDATION ADHERANT</t>
  </si>
  <si>
    <t>COMMANDE COSMO</t>
  </si>
  <si>
    <t>DIMENSION Lxl</t>
  </si>
  <si>
    <t>DATE DE LIVRAISON</t>
  </si>
  <si>
    <t>VALEUR HT</t>
  </si>
  <si>
    <t>VALEUR TTC</t>
  </si>
  <si>
    <t>CA DE LA MAREE</t>
  </si>
  <si>
    <t>CA PREVISIONNEL DU STAND</t>
  </si>
  <si>
    <t>COMMISSION PREVISIONNEL DU STAND</t>
  </si>
  <si>
    <t>DROIT D'ENTREE</t>
  </si>
  <si>
    <t>ENCAISSEMENT</t>
  </si>
  <si>
    <t>INTERMARCHE PLEURTUIT</t>
  </si>
  <si>
    <t>Faites le 06/12/17</t>
  </si>
  <si>
    <t>OK</t>
  </si>
  <si>
    <t>Le 16/12/17</t>
  </si>
  <si>
    <t>Passée le 08/12/17</t>
  </si>
  <si>
    <t>4000x2000</t>
  </si>
  <si>
    <t>Faites le 10/11/17</t>
  </si>
  <si>
    <t>LECLERC PLESSIS BELLEVILLE</t>
  </si>
  <si>
    <t>Faites le 07/12/17</t>
  </si>
  <si>
    <t>En Attente</t>
  </si>
  <si>
    <t>-</t>
  </si>
  <si>
    <t>4000x2500</t>
  </si>
  <si>
    <t>CARREFOUR CUSSET</t>
  </si>
  <si>
    <t>Faites le 19/12/17</t>
  </si>
  <si>
    <t>REPRISE STAND</t>
  </si>
  <si>
    <t>Reprise de Stand Sushishop</t>
  </si>
  <si>
    <t>LECLERC BOURG EN BRESSE</t>
  </si>
  <si>
    <t>Faites le 21/12/17</t>
  </si>
  <si>
    <t>Le 23/12/17</t>
  </si>
  <si>
    <t>Passée le 23/12/18</t>
  </si>
  <si>
    <t>3020x3100</t>
  </si>
  <si>
    <t>GEANT CASINO ARLES</t>
  </si>
  <si>
    <t>Faites le 12/10/17</t>
  </si>
  <si>
    <t>Le 01/12/17</t>
  </si>
  <si>
    <t>Passée le 01/12/17</t>
  </si>
  <si>
    <t>5000x2500</t>
  </si>
  <si>
    <t>GEANT CASINO BOE</t>
  </si>
  <si>
    <t>GEANT CASINO BESANCON</t>
  </si>
  <si>
    <t>GEANT CASINO ANNONAY</t>
  </si>
  <si>
    <t>LECLERC GAILLAC</t>
  </si>
  <si>
    <t>Faites le 16/12/17</t>
  </si>
  <si>
    <t>INTERMARCHE St JULIEN</t>
  </si>
  <si>
    <t>Faites le 05/10/17</t>
  </si>
  <si>
    <t>Le 05/10/17</t>
  </si>
  <si>
    <t>Le 09/10/17</t>
  </si>
  <si>
    <t>Colonne3</t>
  </si>
  <si>
    <t>Colonne4</t>
  </si>
  <si>
    <t>Colonne5</t>
  </si>
  <si>
    <t>DROITS D'ENTREES  :</t>
  </si>
  <si>
    <t>COMMISSION PREVISIONNEL DES STANDS:</t>
  </si>
  <si>
    <t>PREVISIONNEL CA TOTAL DES STANDS :</t>
  </si>
  <si>
    <t>CA REEL</t>
  </si>
  <si>
    <t>COMMISSION REEL</t>
  </si>
  <si>
    <t xml:space="preserve">GEANT QUIMPER CORNOUAILLE          </t>
  </si>
  <si>
    <t xml:space="preserve">SM CASINO CANNES PONT DE GABRES    </t>
  </si>
  <si>
    <t xml:space="preserve">GEANT BORDEAUX VILLENAVE D'ORNON   </t>
  </si>
  <si>
    <t xml:space="preserve">GEANT LA FOUX GASSIN               </t>
  </si>
  <si>
    <t xml:space="preserve">SM CASINO MOUANS SARTOUX           </t>
  </si>
  <si>
    <t xml:space="preserve">SM CASINO ANTIBES BADINE           </t>
  </si>
  <si>
    <t xml:space="preserve">SM CASINO TASSIN LA DEMI LUNE 2    </t>
  </si>
  <si>
    <t xml:space="preserve">SM CASINO BORDEAUX TALENCE         </t>
  </si>
  <si>
    <t xml:space="preserve">GEANT ALBERTVILLE                  </t>
  </si>
  <si>
    <t xml:space="preserve">GEANT ANNECY SEYNOD                </t>
  </si>
  <si>
    <t xml:space="preserve">GEANT VILLEFRANCHE SUR SAONE       </t>
  </si>
  <si>
    <t xml:space="preserve">GEANT CLERMONT FERRAND             </t>
  </si>
  <si>
    <t xml:space="preserve">GEANT ST LOUIS                     </t>
  </si>
  <si>
    <t xml:space="preserve">GEANT ST ANDRE DE CUBZAC           </t>
  </si>
  <si>
    <t xml:space="preserve">SM CASINO MERIGNAC ARLAC           </t>
  </si>
  <si>
    <t xml:space="preserve">GEANT TOULOUSE FENOUILLET          </t>
  </si>
  <si>
    <t xml:space="preserve">GEANT AMIENS GLISY                      </t>
  </si>
  <si>
    <t>GEANT NIORT CHAURAY</t>
  </si>
  <si>
    <t xml:space="preserve">GEANT NIMES COSTIERES              </t>
  </si>
  <si>
    <t xml:space="preserve">SM CASINO TOULON LA VALETTE        </t>
  </si>
  <si>
    <t xml:space="preserve">GEANT SALON DE PROVENCE            </t>
  </si>
  <si>
    <t xml:space="preserve">GEANT BEZIERS                      </t>
  </si>
  <si>
    <t xml:space="preserve">SM CASINO MAISONS LAFFITTE         </t>
  </si>
  <si>
    <t xml:space="preserve">GEANT AURILLAC                     </t>
  </si>
  <si>
    <t xml:space="preserve">GEANT FREJUS                       </t>
  </si>
  <si>
    <t xml:space="preserve">SM CASINO MONTPELLIER GANGES        </t>
  </si>
  <si>
    <t xml:space="preserve">SM CASINO ST ETIENNE NORD          </t>
  </si>
  <si>
    <t xml:space="preserve">SM CASINO AIX EST                  </t>
  </si>
  <si>
    <t xml:space="preserve">GEANT ANGERS ESPACE ANJOU          </t>
  </si>
  <si>
    <t>GEANT ANGOULEME</t>
  </si>
  <si>
    <t>GEANT GAP</t>
  </si>
  <si>
    <t>GEANT POITIERS</t>
  </si>
  <si>
    <t>LECLERC CHARTRON</t>
  </si>
  <si>
    <t>INTERMARCHE SERRES CASTET</t>
  </si>
  <si>
    <t>CA REEL DES STANDS</t>
  </si>
  <si>
    <t>COMMISSION REEL DES STANDS</t>
  </si>
  <si>
    <t xml:space="preserve">SM CASINO MARSEILLE VALMANTE                 </t>
  </si>
  <si>
    <t xml:space="preserve">SM CASINO MARSEILLE LES CAILLOLS             </t>
  </si>
  <si>
    <t>DROITS D'ENTREES HT :</t>
  </si>
  <si>
    <t>1ERE ANNEE</t>
  </si>
  <si>
    <t>2EME ANNEE</t>
  </si>
  <si>
    <t>3EME ANNEE</t>
  </si>
  <si>
    <t>4EME ANNEE</t>
  </si>
  <si>
    <t>ANNEE</t>
  </si>
  <si>
    <t>2eme Année</t>
  </si>
  <si>
    <t>3eme Année</t>
  </si>
  <si>
    <t>4eme Année</t>
  </si>
  <si>
    <t>5eme Année</t>
  </si>
  <si>
    <t>&lt;200 000</t>
  </si>
  <si>
    <t>&lt;300 000</t>
  </si>
  <si>
    <t>&lt;500 000</t>
  </si>
  <si>
    <t>&lt;600 000</t>
  </si>
  <si>
    <t>&lt;800 000</t>
  </si>
  <si>
    <t xml:space="preserve">CHIFFRES D'AFFAIRES </t>
  </si>
  <si>
    <t>DROITS D'ENTREES HT 2018</t>
  </si>
  <si>
    <t>CA NET TTC 2017</t>
  </si>
  <si>
    <t>MAGASINS</t>
  </si>
  <si>
    <t>CA CAISSE</t>
  </si>
  <si>
    <t>CA TOTAL 2017</t>
  </si>
  <si>
    <t>CA INSUFFISANT</t>
  </si>
  <si>
    <t>CA MOYEN 2017</t>
  </si>
  <si>
    <t>CA SUFFISANT</t>
  </si>
  <si>
    <t>01.2017</t>
  </si>
  <si>
    <t>02.2017</t>
  </si>
  <si>
    <t>03.2017</t>
  </si>
  <si>
    <t>04.2017</t>
  </si>
  <si>
    <t>05.2017</t>
  </si>
  <si>
    <t>06.2017</t>
  </si>
  <si>
    <t>07.2017</t>
  </si>
  <si>
    <t>08.2017</t>
  </si>
  <si>
    <t>09.2017</t>
  </si>
  <si>
    <t>10.2017</t>
  </si>
  <si>
    <t>11.2017</t>
  </si>
  <si>
    <t>12.2017</t>
  </si>
  <si>
    <t xml:space="preserve">13819-GEANT SALON DE PROVENCE            </t>
  </si>
  <si>
    <t xml:space="preserve">73338-GEANT ALBERTVILLE                  </t>
  </si>
  <si>
    <t xml:space="preserve">74343-GEANT ANNECY SEYNOD                </t>
  </si>
  <si>
    <t xml:space="preserve">69879-GEANT VILLEFRANCHE SUR SAONE       </t>
  </si>
  <si>
    <t xml:space="preserve">31845-GEANT TOULOUSE FENOUILLET          </t>
  </si>
  <si>
    <t xml:space="preserve">63815-GEANT CLERMONT FERRAND             </t>
  </si>
  <si>
    <t xml:space="preserve">83820-GEANT FREJUS                       </t>
  </si>
  <si>
    <t xml:space="preserve">83835-GEANT LA FOUX GASSIN               </t>
  </si>
  <si>
    <t xml:space="preserve">79322-GEANT NIORT                        </t>
  </si>
  <si>
    <t xml:space="preserve">49350-GEANT ANGERS ESPACE ANJOU          </t>
  </si>
  <si>
    <t xml:space="preserve">80205-GEANT AMIENS                       </t>
  </si>
  <si>
    <t xml:space="preserve">30222-GEANT NIMES COSTIERES              </t>
  </si>
  <si>
    <t xml:space="preserve">33880-GEANT BORDEAUX VILLENAVE D ORNON   </t>
  </si>
  <si>
    <t xml:space="preserve">29301-GEANT QUIMPER CORNOUAILLE          </t>
  </si>
  <si>
    <t xml:space="preserve">68809-GEANT ST LOUIS                     </t>
  </si>
  <si>
    <t xml:space="preserve">34811-GEANT BEZIERS                      </t>
  </si>
  <si>
    <t xml:space="preserve">33334-GEANT ST ANDRE DE CUBZAC           </t>
  </si>
  <si>
    <t xml:space="preserve">15333-GEANT AURILLAC                     </t>
  </si>
  <si>
    <t xml:space="preserve">16331-GEANT ANGOULEME CHAMPNIERS         </t>
  </si>
  <si>
    <t xml:space="preserve">86319-GEANT POITIERS                     </t>
  </si>
  <si>
    <t xml:space="preserve">05340-GEANT GAP                          </t>
  </si>
  <si>
    <t xml:space="preserve">06987-SM CASINO CANNES PONT DE GABRES    </t>
  </si>
  <si>
    <t xml:space="preserve">06817-SM CASINO MOUANS SARTOUX           </t>
  </si>
  <si>
    <t xml:space="preserve">06923-SM CASINO ANTIBES BADINE           </t>
  </si>
  <si>
    <t xml:space="preserve">42952-SM CASINO ST ETIENNE NORD          </t>
  </si>
  <si>
    <t xml:space="preserve">78494-SM CASINO MAISONS LAFFITTE         </t>
  </si>
  <si>
    <t xml:space="preserve">13625-SM CASINO AIX EST                  </t>
  </si>
  <si>
    <t xml:space="preserve">33914-SM CASINO BORDEAUX TALENCE         </t>
  </si>
  <si>
    <t xml:space="preserve">33748-SM CASINO MERIGNAC ARLAC           </t>
  </si>
  <si>
    <t xml:space="preserve">34812-SM CASINO MONTPELLIER NORD         </t>
  </si>
  <si>
    <t xml:space="preserve">83955-SM CASINO TOULON LA VALETTE        </t>
  </si>
  <si>
    <t xml:space="preserve">69165-SM CASINO TASSIN LA DEMI LUNE 2    </t>
  </si>
  <si>
    <t>LECLERC ROCHE DU SUD</t>
  </si>
  <si>
    <t>INTERMARCHE ROUEN St MARC</t>
  </si>
  <si>
    <t>INTERMARCHE NANTES</t>
  </si>
  <si>
    <t>Faites le 15/11/17</t>
  </si>
  <si>
    <t>Le 30/12/17</t>
  </si>
  <si>
    <t>INTERMARCHE CREST</t>
  </si>
  <si>
    <t>5000x2600</t>
  </si>
  <si>
    <t>Faites le 30/11/17</t>
  </si>
  <si>
    <t>INTERMARCHE ALES</t>
  </si>
  <si>
    <t>Faites le 12/12/17</t>
  </si>
  <si>
    <t>INTERMARCHE LUNEL</t>
  </si>
  <si>
    <t>Faites le 20/12/17</t>
  </si>
  <si>
    <t xml:space="preserve">GEANT NIORT                        </t>
  </si>
  <si>
    <t xml:space="preserve">GEANT AMIENS                       </t>
  </si>
  <si>
    <t xml:space="preserve">GEANT BORDEAUX VILLENAVE D ORNON   </t>
  </si>
  <si>
    <t xml:space="preserve">GEANT ANGOULEME CHAMPNIERS         </t>
  </si>
  <si>
    <t xml:space="preserve">GEANT POITIERS                     </t>
  </si>
  <si>
    <t xml:space="preserve">GEANT GAP                          </t>
  </si>
  <si>
    <t xml:space="preserve">SM CASINO MONTPELLIER NORD         </t>
  </si>
  <si>
    <t>INTERMARCHE ST JULIEN</t>
  </si>
  <si>
    <t>LECLERC CHARTRONS</t>
  </si>
  <si>
    <t>VOLUME POISSON</t>
  </si>
  <si>
    <t>ENTIER</t>
  </si>
  <si>
    <t>CONGELE</t>
  </si>
  <si>
    <t>VOLUME PRODUITS ASIATIQUES</t>
  </si>
  <si>
    <t>RIZ</t>
  </si>
  <si>
    <t>SEC</t>
  </si>
  <si>
    <t>CARREFOUR AUBERVILLIER</t>
  </si>
  <si>
    <t xml:space="preserve">STANDS </t>
  </si>
  <si>
    <t>OUVERTURES 1ER SEMESTRE</t>
  </si>
  <si>
    <t>COMMANDE TYPE</t>
  </si>
  <si>
    <t>N/A</t>
  </si>
  <si>
    <t>CA 2017</t>
  </si>
  <si>
    <t>CA ESTIME 2018</t>
  </si>
  <si>
    <t xml:space="preserve">13854-SM CASINO MARSEILLE VALMANTE                 </t>
  </si>
  <si>
    <t xml:space="preserve">13855-SM CASINO MARSEILLE LES CAILLOLS             </t>
  </si>
  <si>
    <t>CAISSE</t>
  </si>
  <si>
    <t>CA STANDS</t>
  </si>
  <si>
    <t>8400 Payé 2017 4eme Année - Renouvellement 06.2018 ?</t>
  </si>
  <si>
    <t>4000 a prelever 1ere ou 2eme Année ?</t>
  </si>
  <si>
    <t>Renouvellement 2eme Année en Sept</t>
  </si>
  <si>
    <t>14000€ Payé pour 4eme Année en 2017</t>
  </si>
  <si>
    <t>5% sur CA de Juin 17 a Juin 18, puis mensuel 4%</t>
  </si>
  <si>
    <t>5% CA mensuel pour Droit d'entrée</t>
  </si>
  <si>
    <t>5 Prélevements de 3000€ 1ere Année / et 3 Prélevements de 4000</t>
  </si>
  <si>
    <t>10000€ 2ème Année a partir de 10.18</t>
  </si>
  <si>
    <t xml:space="preserve">CA REEL </t>
  </si>
  <si>
    <t>INTERMARCHE VAUX SUR MER</t>
  </si>
  <si>
    <t>5500x3500</t>
  </si>
  <si>
    <t>COMMENTAIRES</t>
  </si>
  <si>
    <t>INTERMARCHE PLEURTRUIT</t>
  </si>
  <si>
    <t>CARREFOUR AUBERVILLIERS</t>
  </si>
  <si>
    <t>LECLERC MONTAUBAN</t>
  </si>
  <si>
    <t>Faites le 15/01/18</t>
  </si>
  <si>
    <t>01.2018</t>
  </si>
  <si>
    <t>02.2018</t>
  </si>
  <si>
    <t>03.2018</t>
  </si>
  <si>
    <t>04.2018</t>
  </si>
  <si>
    <t>05.2018</t>
  </si>
  <si>
    <t>06.2018</t>
  </si>
  <si>
    <t>07.2018</t>
  </si>
  <si>
    <t>08.2018</t>
  </si>
  <si>
    <t>09.2018</t>
  </si>
  <si>
    <t>10.2018</t>
  </si>
  <si>
    <t>11.2018</t>
  </si>
  <si>
    <t>12.2018</t>
  </si>
  <si>
    <t>&lt;400000</t>
  </si>
  <si>
    <t>&lt;700 000</t>
  </si>
  <si>
    <t>&gt;800000</t>
  </si>
  <si>
    <t>1ere   Année</t>
  </si>
  <si>
    <t>Commission Totale (KIMOCO + GDC)</t>
  </si>
  <si>
    <t>LECLERC NARBONNE</t>
  </si>
  <si>
    <t>Faites le 19/01/18</t>
  </si>
  <si>
    <t>Le 18/01/18</t>
  </si>
  <si>
    <t>Sushis a la place vitrine fruits legumes</t>
  </si>
  <si>
    <t>Latéral gauche</t>
  </si>
  <si>
    <t>LECLERC VOLVIC</t>
  </si>
  <si>
    <t>LECLERC ST EULALIE</t>
  </si>
  <si>
    <t>CA TOTAL 2018</t>
  </si>
  <si>
    <t>CA MOYEN 2018</t>
  </si>
  <si>
    <t>Faites le 24/10/17</t>
  </si>
  <si>
    <t>LECLERC CLERMONT FERRAND</t>
  </si>
  <si>
    <t>INTERMARCHE FOIX</t>
  </si>
  <si>
    <t>INTERMARCHE CESTAS</t>
  </si>
  <si>
    <t>LECLERC TRELISSAC</t>
  </si>
  <si>
    <t>Faites le 25/01/18</t>
  </si>
  <si>
    <t>INTERMARCHE CRAPONNE</t>
  </si>
  <si>
    <t>LECLERC CARPENTRAS</t>
  </si>
  <si>
    <t>05340 - GEANT GAP</t>
  </si>
  <si>
    <t>13314 - GEANT AIX EN PROVENCE</t>
  </si>
  <si>
    <t>13819 - GEANT SALON DE PROVENCE</t>
  </si>
  <si>
    <t>16331 - GEANT ANGOULEME CHAMPNIERS</t>
  </si>
  <si>
    <t>29301 - GEANT QUIMPER CORNOUAILLE</t>
  </si>
  <si>
    <t>30222 - GEANT NIMES COSTIERES</t>
  </si>
  <si>
    <t>31845 - GEANT TOULOUSE FENOUILLET</t>
  </si>
  <si>
    <t>33334 - GEANT ST ANDRE DE CUBZAC</t>
  </si>
  <si>
    <t>33880 - GEANT BORDEAUX VILLENAVE D ORNON</t>
  </si>
  <si>
    <t>34811 - GEANT BEZIERS</t>
  </si>
  <si>
    <t>49350 - GEANT ANGERS ESPACE ANJOU</t>
  </si>
  <si>
    <t>63815 - GEANT CLERMONT FERRAND</t>
  </si>
  <si>
    <t>69879 - GEANT VILLEFRANCHE SUR SAONE</t>
  </si>
  <si>
    <t>73338 - GEANT ALBERTVILLE</t>
  </si>
  <si>
    <t>74343 - GEANT ANNECY SEYNOD</t>
  </si>
  <si>
    <t>80205 - GEANT AMIENS</t>
  </si>
  <si>
    <t>83820 - GEANT FREJUS</t>
  </si>
  <si>
    <t>83835 - GEANT LA FOUX GASSIN</t>
  </si>
  <si>
    <t>86319 - GEANT POITIERS</t>
  </si>
  <si>
    <t>TOTAL HM</t>
  </si>
  <si>
    <t>TOTAL SM</t>
  </si>
  <si>
    <t>CA 2018</t>
  </si>
  <si>
    <t>Faites le 07/02/18</t>
  </si>
  <si>
    <t>Faites le 14/02/18</t>
  </si>
  <si>
    <t>Faites le 02/02/18</t>
  </si>
  <si>
    <t>Faites le 08/02/18</t>
  </si>
  <si>
    <t>Faites le 16/02/18</t>
  </si>
  <si>
    <t>Faites le 01/03/18</t>
  </si>
  <si>
    <t>Passage de Geant à 15%</t>
  </si>
  <si>
    <t>Passage de Géant à 15%</t>
  </si>
  <si>
    <t>COMMISSION %AGE KIMOCO</t>
  </si>
  <si>
    <t>COMMISSION %AGE GDC</t>
  </si>
  <si>
    <t>FERMETURE</t>
  </si>
  <si>
    <t>LECLERC FREYMING</t>
  </si>
  <si>
    <t>LECLERC ANDREZIEUX</t>
  </si>
  <si>
    <t>Le 16/02/18</t>
  </si>
  <si>
    <t>Le 02/02/18</t>
  </si>
  <si>
    <t>Le 14/02/18</t>
  </si>
  <si>
    <t>Le 28/02/18</t>
  </si>
  <si>
    <t>Le 19/02/18</t>
  </si>
  <si>
    <t>Le 01/03/18</t>
  </si>
  <si>
    <t>Le 08/02/18</t>
  </si>
  <si>
    <t>LECLERC MARMANDE</t>
  </si>
  <si>
    <t>Le 06/02/18</t>
  </si>
  <si>
    <t>Le 19.02.18</t>
  </si>
  <si>
    <t>Le 11.01.18</t>
  </si>
  <si>
    <t>Le 07/02/18</t>
  </si>
  <si>
    <t>Le 28/01/18</t>
  </si>
  <si>
    <t>2000X4500</t>
  </si>
  <si>
    <t>LECLERC</t>
  </si>
  <si>
    <t>2500X4000</t>
  </si>
  <si>
    <t>INTERMARCHE JUVIGNAC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</si>
</sst>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.0\ &quot;€&quot;"/>
    <numFmt numFmtId="166" formatCode="_(&quot;$&quot;* #,##0.00_);_(&quot;$&quot;* \(#,##0.00\);_(&quot;$&quot;* &quot;-&quot;??_);_(@_)"/>
    <numFmt numFmtId="167" formatCode="_-* #,##0.00\ [$€-40C]_-;\-* #,##0.00\ [$€-40C]_-;_-* &quot;-&quot;??\ [$€-40C]_-;_-@_-"/>
  </numFmts>
  <fonts count="3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3" tint="0.1499679555650502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6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48"/>
      <color theme="3" tint="0.14996795556505021"/>
      <name val="Calibri Light"/>
      <family val="2"/>
      <scheme val="major"/>
    </font>
    <font>
      <sz val="10"/>
      <name val="Arial"/>
      <family val="2"/>
    </font>
    <font>
      <b/>
      <sz val="20"/>
      <name val="Calibri Light"/>
      <family val="2"/>
      <scheme val="maj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2" fillId="0" borderId="0"/>
    <xf numFmtId="9" fontId="22" fillId="0" borderId="0" applyFont="0" applyFill="0" applyBorder="0" applyAlignment="0" applyProtection="0"/>
    <xf numFmtId="0" fontId="23" fillId="0" borderId="0"/>
    <xf numFmtId="43" fontId="1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284">
    <xf numFmtId="0" fontId="0" fillId="0" borderId="0" xfId="0"/>
    <xf numFmtId="164" fontId="7" fillId="0" borderId="4" xfId="4" applyNumberFormat="1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5" fillId="0" borderId="10" xfId="1" applyFont="1" applyBorder="1" applyAlignment="1"/>
    <xf numFmtId="0" fontId="1" fillId="0" borderId="11" xfId="1" applyBorder="1" applyAlignment="1"/>
    <xf numFmtId="0" fontId="1" fillId="0" borderId="12" xfId="1" applyBorder="1" applyAlignment="1"/>
    <xf numFmtId="0" fontId="1" fillId="0" borderId="12" xfId="1" applyBorder="1" applyAlignment="1">
      <alignment vertical="center"/>
    </xf>
    <xf numFmtId="164" fontId="1" fillId="0" borderId="12" xfId="1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6" fillId="3" borderId="5" xfId="2" applyFont="1" applyFill="1" applyBorder="1" applyAlignment="1" applyProtection="1">
      <alignment horizontal="left" vertical="center" indent="1"/>
      <protection locked="0"/>
    </xf>
    <xf numFmtId="0" fontId="6" fillId="3" borderId="6" xfId="2" applyFont="1" applyFill="1" applyBorder="1" applyAlignment="1" applyProtection="1">
      <alignment horizontal="left" vertical="center" indent="1"/>
      <protection locked="0"/>
    </xf>
    <xf numFmtId="0" fontId="6" fillId="3" borderId="4" xfId="2" applyFont="1" applyFill="1" applyBorder="1" applyAlignment="1" applyProtection="1">
      <alignment horizontal="left" vertical="center" indent="1"/>
      <protection locked="0"/>
    </xf>
    <xf numFmtId="164" fontId="0" fillId="3" borderId="4" xfId="0" applyNumberFormat="1" applyFill="1" applyBorder="1" applyAlignment="1" applyProtection="1">
      <alignment vertical="center"/>
      <protection locked="0"/>
    </xf>
    <xf numFmtId="164" fontId="6" fillId="3" borderId="4" xfId="2" applyNumberFormat="1" applyFont="1" applyFill="1" applyBorder="1" applyAlignment="1" applyProtection="1">
      <alignment horizontal="left" vertical="center" indent="1"/>
      <protection locked="0"/>
    </xf>
    <xf numFmtId="0" fontId="0" fillId="3" borderId="4" xfId="0" applyFill="1" applyBorder="1" applyAlignment="1" applyProtection="1">
      <alignment vertical="center"/>
      <protection locked="0"/>
    </xf>
    <xf numFmtId="164" fontId="7" fillId="4" borderId="5" xfId="4" applyNumberFormat="1" applyFont="1" applyFill="1" applyBorder="1" applyAlignment="1">
      <alignment horizontal="center" vertical="center"/>
    </xf>
    <xf numFmtId="0" fontId="7" fillId="4" borderId="6" xfId="4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64" fontId="7" fillId="4" borderId="4" xfId="4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164" fontId="8" fillId="0" borderId="5" xfId="4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 indent="1"/>
    </xf>
    <xf numFmtId="0" fontId="9" fillId="0" borderId="4" xfId="0" applyFont="1" applyFill="1" applyBorder="1" applyAlignment="1">
      <alignment horizontal="left" vertical="center" wrapText="1" indent="1"/>
    </xf>
    <xf numFmtId="1" fontId="9" fillId="0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right" vertical="center"/>
    </xf>
    <xf numFmtId="164" fontId="9" fillId="0" borderId="4" xfId="0" applyNumberFormat="1" applyFont="1" applyBorder="1" applyAlignment="1">
      <alignment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6" fillId="3" borderId="0" xfId="2" applyNumberFormat="1" applyFont="1" applyFill="1" applyBorder="1" applyAlignment="1" applyProtection="1">
      <alignment horizontal="left" vertical="center" indent="1"/>
      <protection locked="0"/>
    </xf>
    <xf numFmtId="0" fontId="6" fillId="3" borderId="0" xfId="2" applyFont="1" applyFill="1" applyBorder="1" applyAlignment="1" applyProtection="1">
      <alignment horizontal="left" vertical="center" indent="1"/>
      <protection locked="0"/>
    </xf>
    <xf numFmtId="0" fontId="6" fillId="3" borderId="13" xfId="2" applyFont="1" applyFill="1" applyBorder="1" applyAlignment="1" applyProtection="1">
      <alignment horizontal="left" vertical="center" indent="1"/>
      <protection locked="0"/>
    </xf>
    <xf numFmtId="164" fontId="6" fillId="3" borderId="4" xfId="2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15" fillId="5" borderId="4" xfId="5" applyFont="1" applyFill="1" applyBorder="1"/>
    <xf numFmtId="43" fontId="19" fillId="0" borderId="0" xfId="0" applyNumberFormat="1" applyFont="1"/>
    <xf numFmtId="43" fontId="20" fillId="0" borderId="0" xfId="0" applyNumberFormat="1" applyFont="1"/>
    <xf numFmtId="43" fontId="21" fillId="0" borderId="0" xfId="0" applyNumberFormat="1" applyFont="1"/>
    <xf numFmtId="0" fontId="0" fillId="0" borderId="0" xfId="5" applyFont="1" applyFill="1" applyBorder="1"/>
    <xf numFmtId="0" fontId="0" fillId="6" borderId="0" xfId="0" applyFill="1"/>
    <xf numFmtId="164" fontId="0" fillId="0" borderId="0" xfId="0" applyNumberFormat="1" applyAlignment="1">
      <alignment horizontal="right"/>
    </xf>
    <xf numFmtId="164" fontId="0" fillId="6" borderId="0" xfId="0" applyNumberFormat="1" applyFill="1" applyAlignment="1">
      <alignment horizontal="right"/>
    </xf>
    <xf numFmtId="0" fontId="0" fillId="6" borderId="4" xfId="5" applyFont="1" applyFill="1" applyBorder="1"/>
    <xf numFmtId="0" fontId="15" fillId="5" borderId="4" xfId="5" applyNumberFormat="1" applyFont="1" applyFill="1" applyBorder="1"/>
    <xf numFmtId="2" fontId="15" fillId="5" borderId="4" xfId="5" applyNumberFormat="1" applyFont="1" applyFill="1" applyBorder="1"/>
    <xf numFmtId="9" fontId="6" fillId="3" borderId="4" xfId="6" applyFont="1" applyFill="1" applyBorder="1" applyAlignment="1" applyProtection="1">
      <alignment horizontal="center" vertical="center"/>
      <protection locked="0"/>
    </xf>
    <xf numFmtId="0" fontId="9" fillId="7" borderId="4" xfId="0" applyFont="1" applyFill="1" applyBorder="1" applyAlignment="1">
      <alignment vertical="center"/>
    </xf>
    <xf numFmtId="164" fontId="1" fillId="0" borderId="4" xfId="1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4" xfId="1" applyFont="1" applyBorder="1" applyAlignment="1" applyProtection="1">
      <alignment horizontal="center" vertical="center"/>
      <protection locked="0"/>
    </xf>
    <xf numFmtId="0" fontId="10" fillId="2" borderId="4" xfId="3" applyFont="1" applyFill="1" applyBorder="1" applyAlignment="1" applyProtection="1">
      <alignment horizontal="center" vertical="center"/>
      <protection locked="0"/>
    </xf>
    <xf numFmtId="164" fontId="7" fillId="4" borderId="4" xfId="4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164" fontId="1" fillId="0" borderId="4" xfId="1" applyNumberFormat="1" applyBorder="1" applyAlignment="1" applyProtection="1">
      <alignment vertical="center"/>
      <protection locked="0"/>
    </xf>
    <xf numFmtId="9" fontId="1" fillId="0" borderId="4" xfId="6" applyFont="1" applyBorder="1" applyAlignment="1" applyProtection="1">
      <alignment horizontal="center" vertical="center"/>
      <protection locked="0"/>
    </xf>
    <xf numFmtId="164" fontId="10" fillId="2" borderId="4" xfId="0" applyNumberFormat="1" applyFont="1" applyFill="1" applyBorder="1" applyAlignment="1" applyProtection="1">
      <alignment horizontal="center" vertical="center"/>
      <protection locked="0"/>
    </xf>
    <xf numFmtId="9" fontId="10" fillId="2" borderId="4" xfId="6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164" fontId="7" fillId="4" borderId="4" xfId="0" applyNumberFormat="1" applyFont="1" applyFill="1" applyBorder="1" applyAlignment="1" applyProtection="1">
      <alignment horizontal="center" vertical="center"/>
      <protection locked="0"/>
    </xf>
    <xf numFmtId="9" fontId="7" fillId="4" borderId="4" xfId="6" applyFont="1" applyFill="1" applyBorder="1" applyAlignment="1" applyProtection="1">
      <alignment horizontal="center" vertical="center"/>
      <protection locked="0"/>
    </xf>
    <xf numFmtId="164" fontId="7" fillId="4" borderId="4" xfId="0" applyNumberFormat="1" applyFont="1" applyFill="1" applyBorder="1" applyAlignment="1" applyProtection="1">
      <alignment vertical="center"/>
      <protection locked="0"/>
    </xf>
    <xf numFmtId="164" fontId="9" fillId="0" borderId="4" xfId="0" applyNumberFormat="1" applyFont="1" applyFill="1" applyBorder="1" applyAlignment="1" applyProtection="1">
      <alignment horizontal="center" vertical="center"/>
      <protection locked="0"/>
    </xf>
    <xf numFmtId="9" fontId="9" fillId="0" borderId="4" xfId="6" applyFont="1" applyFill="1" applyBorder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vertical="center"/>
      <protection locked="0"/>
    </xf>
    <xf numFmtId="164" fontId="18" fillId="0" borderId="4" xfId="0" applyNumberFormat="1" applyFont="1" applyFill="1" applyBorder="1" applyAlignment="1" applyProtection="1">
      <alignment horizontal="center" vertical="center"/>
      <protection locked="0"/>
    </xf>
    <xf numFmtId="164" fontId="9" fillId="0" borderId="4" xfId="0" applyNumberFormat="1" applyFont="1" applyFill="1" applyBorder="1" applyAlignment="1" applyProtection="1">
      <alignment vertical="center"/>
      <protection locked="0"/>
    </xf>
    <xf numFmtId="9" fontId="9" fillId="7" borderId="4" xfId="6" applyFont="1" applyFill="1" applyBorder="1" applyAlignment="1" applyProtection="1">
      <alignment horizontal="center" vertical="center"/>
      <protection locked="0"/>
    </xf>
    <xf numFmtId="164" fontId="9" fillId="7" borderId="4" xfId="0" applyNumberFormat="1" applyFont="1" applyFill="1" applyBorder="1" applyAlignment="1" applyProtection="1">
      <alignment vertical="center"/>
      <protection locked="0"/>
    </xf>
    <xf numFmtId="9" fontId="9" fillId="0" borderId="4" xfId="6" applyFont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0" borderId="0" xfId="0" applyNumberFormat="1"/>
    <xf numFmtId="0" fontId="15" fillId="5" borderId="4" xfId="5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 indent="1"/>
    </xf>
    <xf numFmtId="0" fontId="9" fillId="0" borderId="17" xfId="0" applyFont="1" applyFill="1" applyBorder="1" applyAlignment="1">
      <alignment horizontal="left" vertical="center" wrapText="1" indent="1"/>
    </xf>
    <xf numFmtId="1" fontId="9" fillId="0" borderId="17" xfId="0" applyNumberFormat="1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right" vertical="center"/>
    </xf>
    <xf numFmtId="164" fontId="9" fillId="0" borderId="17" xfId="0" applyNumberFormat="1" applyFont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right" vertical="center"/>
    </xf>
    <xf numFmtId="0" fontId="6" fillId="3" borderId="18" xfId="2" applyFont="1" applyFill="1" applyBorder="1" applyAlignment="1">
      <alignment horizontal="left" vertical="center" indent="1"/>
    </xf>
    <xf numFmtId="0" fontId="9" fillId="8" borderId="18" xfId="0" applyFont="1" applyFill="1" applyBorder="1" applyAlignment="1">
      <alignment horizontal="left" vertical="center" wrapText="1"/>
    </xf>
    <xf numFmtId="0" fontId="9" fillId="0" borderId="18" xfId="5" applyNumberFormat="1" applyFont="1" applyBorder="1" applyAlignment="1">
      <alignment horizontal="left" vertical="center"/>
    </xf>
    <xf numFmtId="0" fontId="9" fillId="8" borderId="18" xfId="5" applyNumberFormat="1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0" fontId="9" fillId="7" borderId="18" xfId="5" applyNumberFormat="1" applyFont="1" applyFill="1" applyBorder="1" applyAlignment="1">
      <alignment horizontal="left" vertical="center"/>
    </xf>
    <xf numFmtId="0" fontId="9" fillId="0" borderId="15" xfId="5" applyNumberFormat="1" applyFont="1" applyBorder="1" applyAlignment="1">
      <alignment horizontal="left" vertical="center"/>
    </xf>
    <xf numFmtId="165" fontId="15" fillId="5" borderId="4" xfId="5" applyNumberFormat="1" applyFont="1" applyFill="1" applyBorder="1" applyAlignment="1">
      <alignment horizontal="right"/>
    </xf>
    <xf numFmtId="165" fontId="15" fillId="5" borderId="4" xfId="5" applyNumberFormat="1" applyFont="1" applyFill="1" applyBorder="1"/>
    <xf numFmtId="165" fontId="17" fillId="0" borderId="0" xfId="0" applyNumberFormat="1" applyFont="1" applyAlignment="1">
      <alignment horizontal="right"/>
    </xf>
    <xf numFmtId="165" fontId="18" fillId="0" borderId="0" xfId="0" applyNumberFormat="1" applyFont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9" fillId="9" borderId="5" xfId="0" applyFont="1" applyFill="1" applyBorder="1" applyAlignment="1">
      <alignment horizontal="left" vertical="center" wrapText="1" indent="1"/>
    </xf>
    <xf numFmtId="0" fontId="9" fillId="9" borderId="6" xfId="0" applyFont="1" applyFill="1" applyBorder="1" applyAlignment="1">
      <alignment horizontal="left" vertical="center" wrapText="1" indent="1"/>
    </xf>
    <xf numFmtId="0" fontId="9" fillId="9" borderId="4" xfId="0" applyFont="1" applyFill="1" applyBorder="1" applyAlignment="1">
      <alignment horizontal="left" vertical="center" wrapText="1" indent="1"/>
    </xf>
    <xf numFmtId="1" fontId="9" fillId="9" borderId="4" xfId="0" applyNumberFormat="1" applyFont="1" applyFill="1" applyBorder="1" applyAlignment="1">
      <alignment horizontal="center" vertical="center"/>
    </xf>
    <xf numFmtId="164" fontId="9" fillId="9" borderId="4" xfId="0" applyNumberFormat="1" applyFont="1" applyFill="1" applyBorder="1" applyAlignment="1">
      <alignment horizontal="right" vertical="center"/>
    </xf>
    <xf numFmtId="164" fontId="9" fillId="9" borderId="4" xfId="0" applyNumberFormat="1" applyFont="1" applyFill="1" applyBorder="1" applyAlignment="1">
      <alignment vertical="center"/>
    </xf>
    <xf numFmtId="164" fontId="9" fillId="9" borderId="4" xfId="0" applyNumberFormat="1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vertical="center"/>
    </xf>
    <xf numFmtId="0" fontId="9" fillId="0" borderId="18" xfId="5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9" fillId="9" borderId="16" xfId="0" applyFont="1" applyFill="1" applyBorder="1" applyAlignment="1">
      <alignment horizontal="left" vertical="center" wrapText="1" indent="1"/>
    </xf>
    <xf numFmtId="0" fontId="9" fillId="9" borderId="17" xfId="0" applyFont="1" applyFill="1" applyBorder="1" applyAlignment="1">
      <alignment horizontal="left" vertical="center" wrapText="1" indent="1"/>
    </xf>
    <xf numFmtId="1" fontId="9" fillId="9" borderId="17" xfId="0" applyNumberFormat="1" applyFont="1" applyFill="1" applyBorder="1" applyAlignment="1">
      <alignment horizontal="center" vertical="center"/>
    </xf>
    <xf numFmtId="164" fontId="9" fillId="9" borderId="17" xfId="0" applyNumberFormat="1" applyFont="1" applyFill="1" applyBorder="1" applyAlignment="1">
      <alignment horizontal="right" vertical="center"/>
    </xf>
    <xf numFmtId="164" fontId="9" fillId="9" borderId="17" xfId="0" applyNumberFormat="1" applyFont="1" applyFill="1" applyBorder="1" applyAlignment="1">
      <alignment vertical="center"/>
    </xf>
    <xf numFmtId="0" fontId="9" fillId="9" borderId="1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/>
    <xf numFmtId="0" fontId="24" fillId="0" borderId="19" xfId="0" applyFont="1" applyBorder="1" applyAlignment="1">
      <alignment vertical="center"/>
    </xf>
    <xf numFmtId="0" fontId="24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3" xfId="0" applyFont="1" applyBorder="1" applyAlignment="1">
      <alignment vertical="center"/>
    </xf>
    <xf numFmtId="8" fontId="24" fillId="0" borderId="25" xfId="0" applyNumberFormat="1" applyFont="1" applyBorder="1" applyAlignment="1">
      <alignment horizontal="right" vertical="center"/>
    </xf>
    <xf numFmtId="0" fontId="19" fillId="0" borderId="23" xfId="0" applyFont="1" applyBorder="1" applyAlignment="1">
      <alignment vertical="center"/>
    </xf>
    <xf numFmtId="9" fontId="19" fillId="0" borderId="25" xfId="0" applyNumberFormat="1" applyFont="1" applyBorder="1" applyAlignment="1">
      <alignment horizontal="right" vertical="center"/>
    </xf>
    <xf numFmtId="164" fontId="9" fillId="0" borderId="17" xfId="0" applyNumberFormat="1" applyFont="1" applyFill="1" applyBorder="1" applyAlignment="1">
      <alignment horizontal="center" vertical="center"/>
    </xf>
    <xf numFmtId="164" fontId="8" fillId="0" borderId="4" xfId="4" applyNumberFormat="1" applyFont="1" applyBorder="1" applyAlignment="1" applyProtection="1">
      <alignment horizontal="center" vertical="center"/>
    </xf>
    <xf numFmtId="164" fontId="7" fillId="0" borderId="4" xfId="0" applyNumberFormat="1" applyFont="1" applyBorder="1" applyAlignment="1" applyProtection="1">
      <alignment horizontal="center" vertical="center"/>
    </xf>
    <xf numFmtId="9" fontId="7" fillId="0" borderId="4" xfId="6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165" fontId="9" fillId="0" borderId="0" xfId="0" applyNumberFormat="1" applyFont="1"/>
    <xf numFmtId="0" fontId="26" fillId="0" borderId="16" xfId="0" applyFont="1" applyFill="1" applyBorder="1" applyAlignment="1">
      <alignment horizontal="left" vertical="center" wrapText="1" indent="1"/>
    </xf>
    <xf numFmtId="0" fontId="26" fillId="0" borderId="17" xfId="0" applyFont="1" applyFill="1" applyBorder="1" applyAlignment="1">
      <alignment horizontal="left" vertical="center" wrapText="1" indent="1"/>
    </xf>
    <xf numFmtId="164" fontId="26" fillId="0" borderId="17" xfId="0" applyNumberFormat="1" applyFont="1" applyFill="1" applyBorder="1" applyAlignment="1">
      <alignment horizontal="right" vertical="center"/>
    </xf>
    <xf numFmtId="164" fontId="26" fillId="0" borderId="17" xfId="0" applyNumberFormat="1" applyFont="1" applyBorder="1" applyAlignment="1">
      <alignment vertical="center"/>
    </xf>
    <xf numFmtId="0" fontId="26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1" fontId="9" fillId="2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right" vertical="center"/>
    </xf>
    <xf numFmtId="164" fontId="9" fillId="2" borderId="4" xfId="0" applyNumberFormat="1" applyFont="1" applyFill="1" applyBorder="1" applyAlignment="1">
      <alignment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1" fillId="0" borderId="12" xfId="1" applyNumberFormat="1" applyBorder="1" applyAlignment="1">
      <alignment vertical="center"/>
    </xf>
    <xf numFmtId="0" fontId="10" fillId="2" borderId="9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6" fillId="3" borderId="4" xfId="2" applyNumberFormat="1" applyFont="1" applyFill="1" applyBorder="1" applyAlignment="1" applyProtection="1">
      <alignment horizontal="left" vertical="center" indent="1"/>
      <protection locked="0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 applyAlignment="1">
      <alignment horizontal="center" vertical="center"/>
    </xf>
    <xf numFmtId="0" fontId="9" fillId="0" borderId="4" xfId="0" applyNumberFormat="1" applyFont="1" applyBorder="1" applyAlignment="1">
      <alignment vertical="center"/>
    </xf>
    <xf numFmtId="16" fontId="9" fillId="0" borderId="4" xfId="0" applyNumberFormat="1" applyFont="1" applyFill="1" applyBorder="1" applyAlignment="1">
      <alignment horizontal="center" vertical="center"/>
    </xf>
    <xf numFmtId="165" fontId="4" fillId="0" borderId="0" xfId="0" applyNumberFormat="1" applyFont="1"/>
    <xf numFmtId="164" fontId="9" fillId="0" borderId="18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7" xfId="0" applyNumberFormat="1" applyFont="1" applyBorder="1" applyAlignment="1">
      <alignment horizontal="left" vertical="center"/>
    </xf>
    <xf numFmtId="16" fontId="9" fillId="0" borderId="17" xfId="0" applyNumberFormat="1" applyFont="1" applyFill="1" applyBorder="1" applyAlignment="1">
      <alignment horizontal="center" vertical="center"/>
    </xf>
    <xf numFmtId="164" fontId="9" fillId="9" borderId="18" xfId="0" applyNumberFormat="1" applyFont="1" applyFill="1" applyBorder="1" applyAlignment="1">
      <alignment horizontal="center" vertical="center"/>
    </xf>
    <xf numFmtId="164" fontId="9" fillId="9" borderId="17" xfId="0" applyNumberFormat="1" applyFont="1" applyFill="1" applyBorder="1" applyAlignment="1">
      <alignment horizontal="center" vertical="center"/>
    </xf>
    <xf numFmtId="0" fontId="0" fillId="0" borderId="0" xfId="0" applyBorder="1"/>
    <xf numFmtId="165" fontId="17" fillId="0" borderId="0" xfId="0" applyNumberFormat="1" applyFont="1" applyBorder="1" applyAlignment="1">
      <alignment horizontal="right"/>
    </xf>
    <xf numFmtId="165" fontId="18" fillId="0" borderId="0" xfId="0" applyNumberFormat="1" applyFont="1" applyBorder="1"/>
    <xf numFmtId="43" fontId="19" fillId="0" borderId="0" xfId="0" applyNumberFormat="1" applyFont="1" applyBorder="1"/>
    <xf numFmtId="43" fontId="20" fillId="0" borderId="0" xfId="0" applyNumberFormat="1" applyFont="1" applyBorder="1"/>
    <xf numFmtId="43" fontId="21" fillId="0" borderId="0" xfId="0" applyNumberFormat="1" applyFont="1" applyBorder="1"/>
    <xf numFmtId="164" fontId="0" fillId="0" borderId="0" xfId="0" applyNumberFormat="1" applyBorder="1"/>
    <xf numFmtId="164" fontId="4" fillId="0" borderId="0" xfId="0" applyNumberFormat="1" applyFont="1"/>
    <xf numFmtId="164" fontId="13" fillId="0" borderId="4" xfId="1" applyNumberFormat="1" applyFont="1" applyBorder="1" applyAlignment="1" applyProtection="1">
      <alignment horizontal="center" vertical="center"/>
      <protection locked="0"/>
    </xf>
    <xf numFmtId="164" fontId="1" fillId="0" borderId="4" xfId="1" applyNumberFormat="1" applyBorder="1" applyAlignment="1" applyProtection="1">
      <alignment horizontal="center" vertical="center"/>
      <protection locked="0"/>
    </xf>
    <xf numFmtId="165" fontId="15" fillId="5" borderId="4" xfId="5" applyNumberFormat="1" applyFont="1" applyFill="1" applyBorder="1" applyAlignment="1">
      <alignment horizontal="left"/>
    </xf>
    <xf numFmtId="44" fontId="0" fillId="0" borderId="0" xfId="13" applyFont="1"/>
    <xf numFmtId="0" fontId="15" fillId="5" borderId="0" xfId="5" applyFont="1" applyFill="1" applyBorder="1"/>
    <xf numFmtId="165" fontId="15" fillId="5" borderId="0" xfId="5" applyNumberFormat="1" applyFont="1" applyFill="1" applyBorder="1" applyAlignment="1">
      <alignment horizontal="left"/>
    </xf>
    <xf numFmtId="165" fontId="15" fillId="5" borderId="0" xfId="5" applyNumberFormat="1" applyFont="1" applyFill="1" applyBorder="1"/>
    <xf numFmtId="164" fontId="0" fillId="0" borderId="0" xfId="0" applyNumberFormat="1" applyFont="1" applyBorder="1"/>
    <xf numFmtId="164" fontId="0" fillId="0" borderId="0" xfId="0" applyNumberFormat="1" applyFont="1"/>
    <xf numFmtId="44" fontId="22" fillId="0" borderId="0" xfId="13" applyFont="1"/>
    <xf numFmtId="167" fontId="28" fillId="0" borderId="0" xfId="15" applyNumberFormat="1" applyFont="1" applyFill="1" applyBorder="1" applyAlignment="1" applyProtection="1">
      <alignment horizontal="center" vertical="center" wrapText="1" readingOrder="1"/>
      <protection locked="0"/>
    </xf>
    <xf numFmtId="8" fontId="0" fillId="0" borderId="0" xfId="0" applyNumberFormat="1"/>
    <xf numFmtId="0" fontId="15" fillId="5" borderId="9" xfId="5" applyFont="1" applyFill="1" applyBorder="1"/>
    <xf numFmtId="165" fontId="15" fillId="5" borderId="9" xfId="5" applyNumberFormat="1" applyFont="1" applyFill="1" applyBorder="1" applyAlignment="1">
      <alignment horizontal="left"/>
    </xf>
    <xf numFmtId="165" fontId="15" fillId="5" borderId="9" xfId="5" applyNumberFormat="1" applyFont="1" applyFill="1" applyBorder="1"/>
    <xf numFmtId="0" fontId="29" fillId="0" borderId="0" xfId="0" applyFont="1"/>
    <xf numFmtId="0" fontId="15" fillId="5" borderId="4" xfId="5" applyNumberFormat="1" applyFont="1" applyFill="1" applyBorder="1" applyAlignment="1">
      <alignment horizontal="right"/>
    </xf>
    <xf numFmtId="44" fontId="4" fillId="0" borderId="0" xfId="13" applyNumberFormat="1" applyFont="1" applyAlignment="1">
      <alignment horizontal="right"/>
    </xf>
    <xf numFmtId="44" fontId="4" fillId="0" borderId="0" xfId="13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4" fontId="4" fillId="0" borderId="0" xfId="0" applyNumberFormat="1" applyFont="1" applyAlignment="1">
      <alignment horizontal="right"/>
    </xf>
    <xf numFmtId="0" fontId="9" fillId="0" borderId="17" xfId="0" applyFont="1" applyBorder="1" applyAlignment="1">
      <alignment horizontal="center" vertical="center"/>
    </xf>
    <xf numFmtId="0" fontId="30" fillId="0" borderId="5" xfId="0" applyFont="1" applyFill="1" applyBorder="1" applyAlignment="1">
      <alignment horizontal="left" vertical="center" wrapText="1" indent="1"/>
    </xf>
    <xf numFmtId="0" fontId="30" fillId="0" borderId="4" xfId="0" applyFont="1" applyFill="1" applyBorder="1" applyAlignment="1">
      <alignment horizontal="left" vertical="center" wrapText="1" indent="1"/>
    </xf>
    <xf numFmtId="1" fontId="30" fillId="0" borderId="4" xfId="0" applyNumberFormat="1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164" fontId="30" fillId="0" borderId="4" xfId="0" applyNumberFormat="1" applyFont="1" applyFill="1" applyBorder="1" applyAlignment="1">
      <alignment horizontal="right" vertical="center"/>
    </xf>
    <xf numFmtId="164" fontId="30" fillId="0" borderId="4" xfId="0" applyNumberFormat="1" applyFont="1" applyBorder="1" applyAlignment="1">
      <alignment vertical="center"/>
    </xf>
    <xf numFmtId="164" fontId="30" fillId="0" borderId="17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164" fontId="6" fillId="3" borderId="4" xfId="2" applyNumberFormat="1" applyFont="1" applyFill="1" applyBorder="1" applyAlignment="1" applyProtection="1">
      <alignment horizontal="center" vertical="center"/>
      <protection locked="0"/>
    </xf>
    <xf numFmtId="164" fontId="9" fillId="7" borderId="4" xfId="0" applyNumberFormat="1" applyFont="1" applyFill="1" applyBorder="1" applyAlignment="1" applyProtection="1">
      <alignment horizontal="center" vertical="center"/>
      <protection locked="0"/>
    </xf>
    <xf numFmtId="9" fontId="1" fillId="0" borderId="4" xfId="6" applyFont="1" applyBorder="1" applyAlignment="1" applyProtection="1">
      <alignment vertical="center"/>
      <protection locked="0"/>
    </xf>
    <xf numFmtId="9" fontId="6" fillId="3" borderId="4" xfId="6" applyFont="1" applyFill="1" applyBorder="1" applyAlignment="1" applyProtection="1">
      <alignment horizontal="left" vertical="center" indent="1"/>
      <protection locked="0"/>
    </xf>
    <xf numFmtId="9" fontId="9" fillId="0" borderId="4" xfId="6" applyFont="1" applyBorder="1" applyAlignment="1" applyProtection="1">
      <alignment vertical="center"/>
      <protection locked="0"/>
    </xf>
    <xf numFmtId="0" fontId="31" fillId="10" borderId="18" xfId="5" applyNumberFormat="1" applyFont="1" applyFill="1" applyBorder="1" applyAlignment="1">
      <alignment horizontal="left" vertical="center"/>
    </xf>
    <xf numFmtId="164" fontId="31" fillId="10" borderId="4" xfId="0" applyNumberFormat="1" applyFont="1" applyFill="1" applyBorder="1" applyAlignment="1" applyProtection="1">
      <alignment horizontal="center" vertical="center"/>
      <protection locked="0"/>
    </xf>
    <xf numFmtId="9" fontId="31" fillId="10" borderId="4" xfId="6" applyFont="1" applyFill="1" applyBorder="1" applyAlignment="1" applyProtection="1">
      <alignment horizontal="center" vertical="center"/>
      <protection locked="0"/>
    </xf>
    <xf numFmtId="164" fontId="31" fillId="10" borderId="4" xfId="0" applyNumberFormat="1" applyFont="1" applyFill="1" applyBorder="1" applyAlignment="1" applyProtection="1">
      <alignment vertical="center"/>
      <protection locked="0"/>
    </xf>
    <xf numFmtId="0" fontId="31" fillId="10" borderId="4" xfId="0" applyFont="1" applyFill="1" applyBorder="1" applyAlignment="1">
      <alignment vertical="center"/>
    </xf>
    <xf numFmtId="164" fontId="30" fillId="0" borderId="15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left" vertical="center" wrapText="1"/>
    </xf>
    <xf numFmtId="0" fontId="9" fillId="9" borderId="4" xfId="0" applyNumberFormat="1" applyFont="1" applyFill="1" applyBorder="1" applyAlignment="1">
      <alignment horizontal="left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0" fontId="9" fillId="9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30" fillId="0" borderId="4" xfId="0" applyNumberFormat="1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164" fontId="13" fillId="0" borderId="4" xfId="1" applyNumberFormat="1" applyFont="1" applyBorder="1" applyAlignment="1" applyProtection="1">
      <alignment horizontal="center" vertical="center"/>
      <protection locked="0"/>
    </xf>
    <xf numFmtId="164" fontId="1" fillId="0" borderId="4" xfId="1" applyNumberFormat="1" applyBorder="1" applyAlignment="1" applyProtection="1">
      <alignment horizontal="center" vertical="center"/>
      <protection locked="0"/>
    </xf>
    <xf numFmtId="0" fontId="0" fillId="0" borderId="28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165" fontId="29" fillId="0" borderId="27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29" fillId="0" borderId="32" xfId="0" applyNumberFormat="1" applyFont="1" applyBorder="1" applyAlignment="1">
      <alignment horizontal="center" vertical="center"/>
    </xf>
    <xf numFmtId="165" fontId="29" fillId="0" borderId="28" xfId="0" applyNumberFormat="1" applyFont="1" applyBorder="1" applyAlignment="1">
      <alignment horizontal="center" vertical="center"/>
    </xf>
    <xf numFmtId="0" fontId="29" fillId="0" borderId="30" xfId="0" applyNumberFormat="1" applyFont="1" applyBorder="1" applyAlignment="1">
      <alignment horizontal="center" vertical="center"/>
    </xf>
    <xf numFmtId="0" fontId="29" fillId="0" borderId="25" xfId="0" applyNumberFormat="1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43" fontId="0" fillId="0" borderId="27" xfId="0" applyNumberFormat="1" applyFont="1" applyFill="1" applyBorder="1" applyAlignment="1">
      <alignment horizontal="center" vertical="center"/>
    </xf>
    <xf numFmtId="43" fontId="0" fillId="0" borderId="0" xfId="0" applyNumberFormat="1" applyFont="1" applyFill="1" applyBorder="1" applyAlignment="1">
      <alignment horizontal="center" vertical="center"/>
    </xf>
    <xf numFmtId="43" fontId="0" fillId="0" borderId="32" xfId="0" applyNumberFormat="1" applyFont="1" applyFill="1" applyBorder="1" applyAlignment="1">
      <alignment horizontal="center" vertical="center"/>
    </xf>
    <xf numFmtId="164" fontId="29" fillId="0" borderId="27" xfId="0" applyNumberFormat="1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164" fontId="29" fillId="0" borderId="27" xfId="0" applyNumberFormat="1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164" fontId="29" fillId="0" borderId="32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43" fontId="0" fillId="0" borderId="0" xfId="0" applyNumberFormat="1" applyFont="1" applyFill="1" applyAlignment="1">
      <alignment horizontal="center" vertical="center"/>
    </xf>
    <xf numFmtId="43" fontId="0" fillId="0" borderId="14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0" fillId="0" borderId="14" xfId="0" applyNumberForma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4" fontId="29" fillId="0" borderId="14" xfId="0" applyNumberFormat="1" applyFont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7">
    <cellStyle name="Milliers 2" xfId="8" xr:uid="{00000000-0005-0000-0000-000000000000}"/>
    <cellStyle name="Monétaire" xfId="13" builtinId="4"/>
    <cellStyle name="Monétaire 2" xfId="15" xr:uid="{00000000-0005-0000-0000-000036000000}"/>
    <cellStyle name="Monétaire 3" xfId="16" xr:uid="{00000000-0005-0000-0000-000038000000}"/>
    <cellStyle name="Normal" xfId="0" builtinId="0"/>
    <cellStyle name="Normal 2" xfId="5" xr:uid="{00000000-0005-0000-0000-000002000000}"/>
    <cellStyle name="Normal 2 3" xfId="10" xr:uid="{00000000-0005-0000-0000-000003000000}"/>
    <cellStyle name="Normal 2 4" xfId="12" xr:uid="{00000000-0005-0000-0000-000004000000}"/>
    <cellStyle name="Normal 3" xfId="7" xr:uid="{00000000-0005-0000-0000-000005000000}"/>
    <cellStyle name="Normal 4" xfId="14" xr:uid="{00000000-0005-0000-0000-000037000000}"/>
    <cellStyle name="Normal 5" xfId="9" xr:uid="{00000000-0005-0000-0000-000006000000}"/>
    <cellStyle name="Pourcentage" xfId="6" builtinId="5"/>
    <cellStyle name="Pourcentage 2" xfId="11" xr:uid="{00000000-0005-0000-0000-000008000000}"/>
    <cellStyle name="Titre" xfId="1" builtinId="15"/>
    <cellStyle name="Titre 1" xfId="2" builtinId="16"/>
    <cellStyle name="Titre 2" xfId="3" builtinId="17"/>
    <cellStyle name="Total" xfId="4" builtinId="25"/>
  </cellStyles>
  <dxfs count="56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7" tint="0.40000610370189521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7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7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7" tint="0.40000610370189521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7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7" tint="0.40000610370189521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7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7" tint="0.40000610370189521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7" tint="0.40000610370189521"/>
          </stop>
          <stop position="1">
            <color theme="0"/>
          </stop>
        </gradientFill>
      </fill>
    </dxf>
    <dxf>
      <font>
        <b/>
        <i val="0"/>
      </font>
      <fill>
        <patternFill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.00\ &quot;€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indexed="64"/>
          <bgColor rgb="FF00B0F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</font>
      <fill>
        <patternFill>
          <bgColor theme="0"/>
        </patternFill>
      </fill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ont>
        <b val="0"/>
        <i val="0"/>
        <color theme="0"/>
      </font>
      <fill>
        <patternFill patternType="solid">
          <fgColor theme="4" tint="-0.499984740745262"/>
          <bgColor theme="4" tint="-0.499984740745262"/>
        </patternFill>
      </fill>
    </dxf>
    <dxf>
      <border>
        <vertical style="thick">
          <color theme="0"/>
        </vertical>
      </border>
    </dxf>
    <dxf>
      <fill>
        <patternFill>
          <bgColor rgb="FFF2F2F2"/>
        </patternFill>
      </fill>
    </dxf>
    <dxf>
      <fill>
        <patternFill>
          <bgColor rgb="FFFFFFFF"/>
        </patternFill>
      </fill>
    </dxf>
    <dxf>
      <font>
        <b val="0"/>
        <i val="0"/>
        <color rgb="FFFFFFFF"/>
      </font>
      <fill>
        <patternFill patternType="solid">
          <fgColor rgb="FF335C30"/>
          <bgColor rgb="FF335C30"/>
        </patternFill>
      </fill>
    </dxf>
    <dxf>
      <border>
        <vertical style="thick">
          <color rgb="FFFFFFFF"/>
        </vertical>
      </border>
    </dxf>
  </dxfs>
  <tableStyles count="2" defaultTableStyle="TableStyleMedium2" defaultPivotStyle="PivotStyleLight16">
    <tableStyle name="Inventaire d’entrepôt" pivot="0" count="4" xr9:uid="{00000000-0011-0000-FFFF-FFFF00000000}">
      <tableStyleElement type="wholeTable" dxfId="55"/>
      <tableStyleElement type="headerRow" dxfId="54"/>
      <tableStyleElement type="lastColumn" dxfId="53"/>
      <tableStyleElement type="secondRowStripe" dxfId="52"/>
    </tableStyle>
    <tableStyle name="Inventaire d’entrepôt 2" pivot="0" count="4" xr9:uid="{00000000-0011-0000-FFFF-FFFF01000000}">
      <tableStyleElement type="wholeTable" dxfId="51"/>
      <tableStyleElement type="headerRow" dxfId="50"/>
      <tableStyleElement type="lastColumn" dxfId="49"/>
      <tableStyleElement type="secondRowStrip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SP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2017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'SUSHI 2017'!$G$5:$R$5</c:f>
              <c:numCache>
                <c:formatCode>#\ ##0.00\ "€"</c:formatCode>
                <c:ptCount val="12"/>
                <c:pt idx="0">
                  <c:v>39285.583999999944</c:v>
                </c:pt>
                <c:pt idx="1">
                  <c:v>38602.415999999961</c:v>
                </c:pt>
                <c:pt idx="2">
                  <c:v>41566.055999999895</c:v>
                </c:pt>
                <c:pt idx="3">
                  <c:v>40075.320000000051</c:v>
                </c:pt>
                <c:pt idx="4">
                  <c:v>38328.376000000077</c:v>
                </c:pt>
                <c:pt idx="5">
                  <c:v>41340.200000000048</c:v>
                </c:pt>
                <c:pt idx="6">
                  <c:v>35615.639999999948</c:v>
                </c:pt>
                <c:pt idx="7">
                  <c:v>47937.759999999857</c:v>
                </c:pt>
                <c:pt idx="8">
                  <c:v>48947.160000000011</c:v>
                </c:pt>
                <c:pt idx="9">
                  <c:v>44785.199999999895</c:v>
                </c:pt>
                <c:pt idx="10">
                  <c:v>43332.95999999989</c:v>
                </c:pt>
                <c:pt idx="11">
                  <c:v>50270.199999999953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C-4598-B998-41BA486C7963}"/>
            </c:ext>
          </c:extLst>
        </c:ser>
        <c:ser>
          <c:idx val="1"/>
          <c:order val="1"/>
          <c:tx>
            <c:v>2018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'SUSHI 2018'!$G$10:$R$10</c:f>
              <c:numCache>
                <c:formatCode>#\ ##0.00\ "€"</c:formatCode>
                <c:ptCount val="12"/>
                <c:pt idx="0">
                  <c:v>53241.58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C-4598-B998-41BA486C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204320"/>
        <c:axId val="587205960"/>
      </c:barChart>
      <c:catAx>
        <c:axId val="587204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7205960"/>
        <c:crosses val="autoZero"/>
        <c:auto val="1"/>
        <c:lblAlgn val="ctr"/>
        <c:lblOffset val="100"/>
        <c:noMultiLvlLbl val="0"/>
      </c:catAx>
      <c:valAx>
        <c:axId val="58720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Chiffre d'affaire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7204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roits d''entr&#233;e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51054</xdr:colOff>
      <xdr:row>1</xdr:row>
      <xdr:rowOff>57149</xdr:rowOff>
    </xdr:from>
    <xdr:to>
      <xdr:col>5</xdr:col>
      <xdr:colOff>159955</xdr:colOff>
      <xdr:row>1</xdr:row>
      <xdr:rowOff>285749</xdr:rowOff>
    </xdr:to>
    <xdr:sp macro="" textlink="">
      <xdr:nvSpPr>
        <xdr:cNvPr id="7" name="Inventaire" descr="Forme de navigation pour afficher la feuille de calcul Emplacement des stocks">
          <a:hlinkClick xmlns:r="http://schemas.openxmlformats.org/officeDocument/2006/relationships" r:id="rId1" tooltip="Sélectionnez pour ajouter ou modifier des informations sur l’emplacement des stocks"/>
          <a:extLst>
            <a:ext uri="{FF2B5EF4-FFF2-40B4-BE49-F238E27FC236}">
              <a16:creationId xmlns:a16="http://schemas.microsoft.com/office/drawing/2014/main" id="{141BAD8D-B118-4D74-86A5-A8E05442F40D}"/>
            </a:ext>
          </a:extLst>
        </xdr:cNvPr>
        <xdr:cNvSpPr/>
      </xdr:nvSpPr>
      <xdr:spPr>
        <a:xfrm>
          <a:off x="9418892" y="742949"/>
          <a:ext cx="1942463" cy="228600"/>
        </a:xfrm>
        <a:prstGeom prst="homePlate">
          <a:avLst/>
        </a:prstGeom>
        <a:solidFill>
          <a:schemeClr val="accent1">
            <a:lumMod val="50000"/>
          </a:schemeClr>
        </a:solidFill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 rtl="0"/>
          <a:r>
            <a:rPr lang="fr" sz="1100">
              <a:solidFill>
                <a:schemeClr val="lt1"/>
              </a:solidFill>
              <a:latin typeface="+mn-lt"/>
              <a:ea typeface="+mn-ea"/>
              <a:cs typeface="+mn-cs"/>
            </a:rPr>
            <a:t>Droits d'entrée 2018</a:t>
          </a:r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</xdr:colOff>
      <xdr:row>0</xdr:row>
      <xdr:rowOff>0</xdr:rowOff>
    </xdr:from>
    <xdr:to>
      <xdr:col>9</xdr:col>
      <xdr:colOff>409575</xdr:colOff>
      <xdr:row>24</xdr:row>
      <xdr:rowOff>166688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AC7F524-3728-4CB3-B41F-8A14C968F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Kimoco" displayName="Kimoco" ref="A5:Q42" totalsRowShown="0" headerRowDxfId="46" dataDxfId="45" headerRowCellStyle="Titre 1">
  <autoFilter ref="A5:Q42" xr:uid="{00000000-0009-0000-0100-000005000000}"/>
  <sortState ref="A6:Q31">
    <sortCondition ref="A5:A31"/>
  </sortState>
  <tableColumns count="17">
    <tableColumn id="1" xr3:uid="{00000000-0010-0000-0000-000001000000}" name="SITE" dataDxfId="44"/>
    <tableColumn id="2" xr3:uid="{00000000-0010-0000-0000-000002000000}" name="VISITE" dataDxfId="43"/>
    <tableColumn id="3" xr3:uid="{00000000-0010-0000-0000-000003000000}" name="PLAN" dataDxfId="42"/>
    <tableColumn id="4" xr3:uid="{00000000-0010-0000-0000-000004000000}" name="VALIDATION ADHERANT" dataDxfId="41">
      <calculatedColumnFormula>IFERROR(VLOOKUP(Kimoco[[#This Row],[PLAN]],#REF!,3,FALSE),"")</calculatedColumnFormula>
    </tableColumn>
    <tableColumn id="5" xr3:uid="{00000000-0010-0000-0000-000005000000}" name="COMMANDE COSMO" dataDxfId="40"/>
    <tableColumn id="6" xr3:uid="{00000000-0010-0000-0000-000006000000}" name="DIMENSION Lxl" dataDxfId="39"/>
    <tableColumn id="7" xr3:uid="{00000000-0010-0000-0000-000007000000}" name="DATE DE LIVRAISON" dataDxfId="38"/>
    <tableColumn id="8" xr3:uid="{00000000-0010-0000-0000-000008000000}" name="VALEUR HT" dataDxfId="37"/>
    <tableColumn id="9" xr3:uid="{00000000-0010-0000-0000-000009000000}" name="VALEUR TTC" dataDxfId="36">
      <calculatedColumnFormula>Kimoco[[#This Row],[VALEUR HT]]*1.22</calculatedColumnFormula>
    </tableColumn>
    <tableColumn id="10" xr3:uid="{00000000-0010-0000-0000-00000A000000}" name="CA DE LA MAREE" dataDxfId="35"/>
    <tableColumn id="11" xr3:uid="{00000000-0010-0000-0000-00000B000000}" name="CA PREVISIONNEL DU STAND" dataDxfId="34"/>
    <tableColumn id="13" xr3:uid="{00000000-0010-0000-0000-00000D000000}" name="COMMISSION PREVISIONNEL DU STAND" dataDxfId="33"/>
    <tableColumn id="14" xr3:uid="{00000000-0010-0000-0000-00000E000000}" name="DROIT D'ENTREE" dataDxfId="32">
      <calculatedColumnFormula>13000</calculatedColumnFormula>
    </tableColumn>
    <tableColumn id="15" xr3:uid="{00000000-0010-0000-0000-00000F000000}" name="ENCAISSEMENT" dataDxfId="31"/>
    <tableColumn id="16" xr3:uid="{00000000-0010-0000-0000-000010000000}" name="Colonne3" dataDxfId="30"/>
    <tableColumn id="17" xr3:uid="{00000000-0010-0000-0000-000011000000}" name="Colonne4" dataDxfId="29"/>
    <tableColumn id="18" xr3:uid="{00000000-0010-0000-0000-000012000000}" name="Colonne5" dataDxfId="28"/>
  </tableColumns>
  <tableStyleInfo name="Inventaire d’entrepôt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Q42"/>
  <sheetViews>
    <sheetView zoomScale="44" zoomScaleNormal="50" workbookViewId="0">
      <pane xSplit="1" topLeftCell="D1" activePane="topRight" state="frozen"/>
      <selection pane="topRight" activeCell="E39" sqref="E39"/>
    </sheetView>
  </sheetViews>
  <sheetFormatPr baseColWidth="10" defaultColWidth="10" defaultRowHeight="30" customHeight="1" x14ac:dyDescent="0.45"/>
  <cols>
    <col min="1" max="1" width="59.73046875" style="33" customWidth="1"/>
    <col min="2" max="2" width="31" style="34" customWidth="1"/>
    <col min="3" max="3" width="19.86328125" style="32" customWidth="1"/>
    <col min="4" max="4" width="26" style="32" customWidth="1"/>
    <col min="5" max="5" width="25.73046875" style="32" customWidth="1"/>
    <col min="6" max="6" width="19" style="32" customWidth="1"/>
    <col min="7" max="7" width="23.1328125" style="162" customWidth="1"/>
    <col min="8" max="8" width="45" style="32" bestFit="1" customWidth="1"/>
    <col min="9" max="9" width="21.3984375" style="32" customWidth="1"/>
    <col min="10" max="10" width="27" style="30" customWidth="1"/>
    <col min="11" max="11" width="41" style="30" bestFit="1" customWidth="1"/>
    <col min="12" max="12" width="44.59765625" style="30" bestFit="1" customWidth="1"/>
    <col min="13" max="13" width="29.265625" style="30" bestFit="1" customWidth="1"/>
    <col min="14" max="14" width="39" style="32" bestFit="1" customWidth="1"/>
    <col min="15" max="16384" width="10" style="32"/>
  </cols>
  <sheetData>
    <row r="1" spans="1:17" s="11" customFormat="1" ht="54" customHeight="1" thickBot="1" x14ac:dyDescent="0.9">
      <c r="A1" s="6" t="s">
        <v>0</v>
      </c>
      <c r="B1" s="7"/>
      <c r="C1" s="8"/>
      <c r="D1" s="9"/>
      <c r="E1" s="9"/>
      <c r="F1" s="9"/>
      <c r="G1" s="154"/>
      <c r="H1" s="9"/>
      <c r="I1" s="9"/>
      <c r="J1" s="9"/>
      <c r="K1" s="10"/>
      <c r="L1" s="10"/>
      <c r="M1" s="10"/>
      <c r="N1" s="10"/>
      <c r="O1" s="10"/>
    </row>
    <row r="2" spans="1:17" s="39" customFormat="1" ht="24.75" customHeight="1" x14ac:dyDescent="0.45">
      <c r="A2" s="35" t="s">
        <v>1</v>
      </c>
      <c r="B2" s="36" t="s">
        <v>2</v>
      </c>
      <c r="C2" s="38"/>
      <c r="D2" s="38"/>
      <c r="E2" s="38"/>
      <c r="F2" s="38"/>
      <c r="G2" s="155"/>
      <c r="H2" s="37" t="s">
        <v>3</v>
      </c>
      <c r="I2" s="39" t="s">
        <v>4</v>
      </c>
      <c r="J2" s="40"/>
      <c r="K2" s="41" t="s">
        <v>60</v>
      </c>
      <c r="L2" s="41" t="s">
        <v>59</v>
      </c>
      <c r="M2" s="41" t="s">
        <v>58</v>
      </c>
      <c r="N2" s="39" t="s">
        <v>5</v>
      </c>
    </row>
    <row r="3" spans="1:17" s="3" customFormat="1" ht="30" customHeight="1" x14ac:dyDescent="0.45">
      <c r="A3" s="24">
        <f>N3-H3</f>
        <v>502580</v>
      </c>
      <c r="B3" s="5">
        <f>COUNTA(Kimoco[VISITE])</f>
        <v>23</v>
      </c>
      <c r="C3" s="2"/>
      <c r="G3" s="156"/>
      <c r="H3" s="1">
        <f>SUM(Kimoco[VALEUR HT])</f>
        <v>179600</v>
      </c>
      <c r="I3" s="4">
        <f>SUM(I$6:I$1048576)*22%</f>
        <v>39991.599999999999</v>
      </c>
      <c r="J3" s="4"/>
      <c r="K3" s="4">
        <f>SUM(K$6:K$1048576)</f>
        <v>8379000</v>
      </c>
      <c r="L3" s="4">
        <f>SUM(L$6:L$1048576)</f>
        <v>664860</v>
      </c>
      <c r="M3" s="4">
        <f>SUM(M$6:M$1048576)</f>
        <v>268500</v>
      </c>
      <c r="N3" s="4">
        <f>SUM(N6:N1048576)</f>
        <v>682180</v>
      </c>
    </row>
    <row r="4" spans="1:17" s="21" customFormat="1" ht="9.75" customHeight="1" x14ac:dyDescent="0.45">
      <c r="A4" s="18"/>
      <c r="B4" s="19"/>
      <c r="C4" s="20"/>
      <c r="G4" s="157"/>
      <c r="H4" s="22"/>
      <c r="I4" s="23"/>
      <c r="J4" s="23"/>
      <c r="K4" s="23"/>
      <c r="L4" s="23"/>
      <c r="M4" s="23"/>
      <c r="N4" s="23"/>
    </row>
    <row r="5" spans="1:17" s="17" customFormat="1" ht="16.899999999999999" customHeight="1" x14ac:dyDescent="0.45">
      <c r="A5" s="12" t="s">
        <v>6</v>
      </c>
      <c r="B5" s="13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58" t="s">
        <v>12</v>
      </c>
      <c r="H5" s="14" t="s">
        <v>13</v>
      </c>
      <c r="I5" s="14" t="s">
        <v>14</v>
      </c>
      <c r="J5" s="15" t="s">
        <v>15</v>
      </c>
      <c r="K5" s="16" t="s">
        <v>16</v>
      </c>
      <c r="L5" s="43" t="s">
        <v>17</v>
      </c>
      <c r="M5" s="43" t="s">
        <v>18</v>
      </c>
      <c r="N5" s="43" t="s">
        <v>19</v>
      </c>
      <c r="O5" s="44" t="s">
        <v>55</v>
      </c>
      <c r="P5" s="44" t="s">
        <v>56</v>
      </c>
      <c r="Q5" s="45" t="s">
        <v>57</v>
      </c>
    </row>
    <row r="6" spans="1:17" ht="30" customHeight="1" x14ac:dyDescent="0.45">
      <c r="A6" s="25" t="s">
        <v>32</v>
      </c>
      <c r="B6" s="26" t="s">
        <v>33</v>
      </c>
      <c r="C6" s="27" t="s">
        <v>34</v>
      </c>
      <c r="D6" s="223" t="s">
        <v>22</v>
      </c>
      <c r="E6" s="27" t="s">
        <v>35</v>
      </c>
      <c r="F6" s="28" t="s">
        <v>30</v>
      </c>
      <c r="G6" s="159" t="s">
        <v>30</v>
      </c>
      <c r="H6" s="29">
        <v>0</v>
      </c>
      <c r="I6" s="29">
        <f>Kimoco[[#This Row],[VALEUR HT]]*1.22</f>
        <v>0</v>
      </c>
      <c r="J6" s="30">
        <v>1400000</v>
      </c>
      <c r="K6" s="31">
        <f>Kimoco[[#This Row],[CA DE LA MAREE]]*18%</f>
        <v>252000</v>
      </c>
      <c r="L6" s="31">
        <f>Kimoco[[#This Row],[CA PREVISIONNEL DU STAND]]*5%</f>
        <v>12600</v>
      </c>
      <c r="M6" s="31">
        <f>13000</f>
        <v>13000</v>
      </c>
      <c r="N6" s="31">
        <f t="shared" ref="N6:N10" si="0">L6+M6</f>
        <v>25600</v>
      </c>
      <c r="O6" s="42"/>
      <c r="P6" s="42"/>
      <c r="Q6" s="42"/>
    </row>
    <row r="7" spans="1:17" ht="30" customHeight="1" x14ac:dyDescent="0.45">
      <c r="A7" s="25" t="s">
        <v>48</v>
      </c>
      <c r="B7" s="26" t="s">
        <v>283</v>
      </c>
      <c r="C7" s="27"/>
      <c r="D7" s="223" t="s">
        <v>292</v>
      </c>
      <c r="E7" s="27"/>
      <c r="F7" s="28"/>
      <c r="G7" s="159"/>
      <c r="H7" s="29"/>
      <c r="I7" s="29">
        <f>Kimoco[[#This Row],[VALEUR HT]]*1.22</f>
        <v>0</v>
      </c>
      <c r="J7" s="30">
        <v>750000</v>
      </c>
      <c r="K7" s="31">
        <f>Kimoco[[#This Row],[CA DE LA MAREE]]*25%</f>
        <v>187500</v>
      </c>
      <c r="L7" s="31">
        <f>Kimoco[[#This Row],[CA PREVISIONNEL DU STAND]]*8%</f>
        <v>15000</v>
      </c>
      <c r="M7" s="31">
        <v>12000</v>
      </c>
      <c r="N7" s="31">
        <f t="shared" si="0"/>
        <v>27000</v>
      </c>
      <c r="O7" s="42"/>
      <c r="P7" s="42"/>
      <c r="Q7" s="42"/>
    </row>
    <row r="8" spans="1:17" ht="30" customHeight="1" x14ac:dyDescent="0.45">
      <c r="A8" s="25" t="s">
        <v>41</v>
      </c>
      <c r="B8" s="26" t="s">
        <v>42</v>
      </c>
      <c r="C8" s="27" t="s">
        <v>22</v>
      </c>
      <c r="D8" s="223" t="s">
        <v>43</v>
      </c>
      <c r="E8" s="27" t="s">
        <v>44</v>
      </c>
      <c r="F8" s="28" t="s">
        <v>45</v>
      </c>
      <c r="G8" s="163">
        <v>43149</v>
      </c>
      <c r="H8" s="29">
        <v>18000</v>
      </c>
      <c r="I8" s="29">
        <f>Kimoco[[#This Row],[VALEUR HT]]*1.22</f>
        <v>21960</v>
      </c>
      <c r="J8" s="30">
        <v>1300000</v>
      </c>
      <c r="K8" s="31">
        <f>Kimoco[[#This Row],[CA DE LA MAREE]]*20%</f>
        <v>260000</v>
      </c>
      <c r="L8" s="31">
        <f>Kimoco[[#This Row],[CA PREVISIONNEL DU STAND]]*5%</f>
        <v>13000</v>
      </c>
      <c r="M8" s="31">
        <f>13000</f>
        <v>13000</v>
      </c>
      <c r="N8" s="31">
        <f t="shared" si="0"/>
        <v>26000</v>
      </c>
      <c r="O8" s="42"/>
      <c r="P8" s="42"/>
      <c r="Q8" s="42"/>
    </row>
    <row r="9" spans="1:17" ht="30" customHeight="1" x14ac:dyDescent="0.45">
      <c r="A9" s="25" t="s">
        <v>47</v>
      </c>
      <c r="B9" s="26" t="s">
        <v>284</v>
      </c>
      <c r="C9" s="27"/>
      <c r="D9" s="223" t="s">
        <v>297</v>
      </c>
      <c r="E9" s="27"/>
      <c r="F9" s="28"/>
      <c r="G9" s="163"/>
      <c r="H9" s="29"/>
      <c r="I9" s="29">
        <f>Kimoco[[#This Row],[VALEUR HT]]*1.22</f>
        <v>0</v>
      </c>
      <c r="J9" s="30">
        <v>920000</v>
      </c>
      <c r="K9" s="31">
        <f>Kimoco[[#This Row],[CA DE LA MAREE]]*25%</f>
        <v>230000</v>
      </c>
      <c r="L9" s="31">
        <f>Kimoco[[#This Row],[CA PREVISIONNEL DU STAND]]*8%</f>
        <v>18400</v>
      </c>
      <c r="M9" s="31">
        <f>13000</f>
        <v>13000</v>
      </c>
      <c r="N9" s="31">
        <f t="shared" si="0"/>
        <v>31400</v>
      </c>
      <c r="O9" s="42"/>
      <c r="P9" s="42"/>
      <c r="Q9" s="42"/>
    </row>
    <row r="10" spans="1:17" ht="30" customHeight="1" x14ac:dyDescent="0.45">
      <c r="A10" s="25" t="s">
        <v>46</v>
      </c>
      <c r="B10" s="26" t="s">
        <v>282</v>
      </c>
      <c r="C10" s="27"/>
      <c r="D10" s="223" t="s">
        <v>298</v>
      </c>
      <c r="E10" s="27"/>
      <c r="F10" s="28"/>
      <c r="G10" s="163"/>
      <c r="H10" s="29"/>
      <c r="I10" s="29">
        <f>Kimoco[[#This Row],[VALEUR HT]]*1.22</f>
        <v>0</v>
      </c>
      <c r="J10" s="30">
        <v>1070000</v>
      </c>
      <c r="K10" s="31">
        <f>Kimoco[[#This Row],[CA DE LA MAREE]]*25%</f>
        <v>267500</v>
      </c>
      <c r="L10" s="31">
        <f>Kimoco[[#This Row],[CA PREVISIONNEL DU STAND]]*8%</f>
        <v>21400</v>
      </c>
      <c r="M10" s="31">
        <f>13000</f>
        <v>13000</v>
      </c>
      <c r="N10" s="31">
        <f t="shared" si="0"/>
        <v>34400</v>
      </c>
      <c r="O10" s="42"/>
      <c r="P10" s="42"/>
      <c r="Q10" s="42"/>
    </row>
    <row r="11" spans="1:17" ht="30" customHeight="1" x14ac:dyDescent="0.45">
      <c r="A11" s="25" t="s">
        <v>177</v>
      </c>
      <c r="B11" s="26" t="s">
        <v>178</v>
      </c>
      <c r="C11" s="27" t="s">
        <v>22</v>
      </c>
      <c r="D11" s="224"/>
      <c r="E11" s="27"/>
      <c r="F11" s="28" t="s">
        <v>25</v>
      </c>
      <c r="G11" s="163"/>
      <c r="H11" s="29">
        <v>12600</v>
      </c>
      <c r="I11" s="29"/>
      <c r="J11" s="30">
        <v>1600000</v>
      </c>
      <c r="K11" s="31">
        <f>Kimoco[[#This Row],[CA DE LA MAREE]]*18%</f>
        <v>288000</v>
      </c>
      <c r="L11" s="31">
        <f>Kimoco[[#This Row],[CA PREVISIONNEL DU STAND]]*8%</f>
        <v>23040</v>
      </c>
      <c r="M11" s="31">
        <f>13000</f>
        <v>13000</v>
      </c>
      <c r="N11" s="31"/>
      <c r="O11" s="42"/>
      <c r="P11" s="42"/>
      <c r="Q11" s="42"/>
    </row>
    <row r="12" spans="1:17" s="153" customFormat="1" ht="30" customHeight="1" x14ac:dyDescent="0.45">
      <c r="A12" s="25" t="s">
        <v>252</v>
      </c>
      <c r="B12" s="26"/>
      <c r="C12" s="27"/>
      <c r="D12" s="224" t="str">
        <f>IFERROR(VLOOKUP(Kimoco[[#This Row],[PLAN]],#REF!,3,FALSE),"")</f>
        <v/>
      </c>
      <c r="E12" s="27"/>
      <c r="F12" s="28"/>
      <c r="G12" s="159"/>
      <c r="H12" s="29"/>
      <c r="I12" s="29">
        <f>Kimoco[[#This Row],[VALEUR HT]]*1.22</f>
        <v>0</v>
      </c>
      <c r="J12" s="30"/>
      <c r="K12" s="31"/>
      <c r="L12" s="31"/>
      <c r="M12" s="31">
        <f>13000</f>
        <v>13000</v>
      </c>
      <c r="N12" s="42"/>
      <c r="O12" s="42"/>
      <c r="P12" s="42"/>
      <c r="Q12" s="42"/>
    </row>
    <row r="13" spans="1:17" ht="30" customHeight="1" x14ac:dyDescent="0.45">
      <c r="A13" s="145" t="s">
        <v>174</v>
      </c>
      <c r="B13" s="146" t="s">
        <v>176</v>
      </c>
      <c r="C13" s="147" t="s">
        <v>22</v>
      </c>
      <c r="D13" s="225" t="s">
        <v>242</v>
      </c>
      <c r="E13" s="147"/>
      <c r="F13" s="148" t="s">
        <v>25</v>
      </c>
      <c r="G13" s="163">
        <v>43153</v>
      </c>
      <c r="H13" s="149">
        <v>12600</v>
      </c>
      <c r="I13" s="149">
        <f>Kimoco[[#This Row],[VALEUR HT]]*1.22</f>
        <v>15372</v>
      </c>
      <c r="J13" s="150">
        <v>1200000</v>
      </c>
      <c r="K13" s="151">
        <f>Kimoco[[#This Row],[CA DE LA MAREE]]*18%</f>
        <v>216000</v>
      </c>
      <c r="L13" s="151">
        <f>Kimoco[[#This Row],[CA PREVISIONNEL DU STAND]]*8%</f>
        <v>17280</v>
      </c>
      <c r="M13" s="31"/>
      <c r="N13" s="151">
        <f>L13+M13</f>
        <v>17280</v>
      </c>
      <c r="O13" s="152"/>
      <c r="P13" s="152"/>
      <c r="Q13" s="152"/>
    </row>
    <row r="14" spans="1:17" s="115" customFormat="1" ht="30" customHeight="1" x14ac:dyDescent="0.45">
      <c r="A14" s="25" t="s">
        <v>251</v>
      </c>
      <c r="B14" s="26"/>
      <c r="C14" s="27"/>
      <c r="D14" s="224" t="str">
        <f>IFERROR(VLOOKUP(Kimoco[[#This Row],[PLAN]],#REF!,3,FALSE),"")</f>
        <v/>
      </c>
      <c r="E14" s="27"/>
      <c r="F14" s="28"/>
      <c r="G14" s="159"/>
      <c r="H14" s="29"/>
      <c r="I14" s="29">
        <f>Kimoco[[#This Row],[VALEUR HT]]*1.22</f>
        <v>0</v>
      </c>
      <c r="J14" s="30"/>
      <c r="K14" s="31"/>
      <c r="L14" s="31"/>
      <c r="M14" s="31">
        <f>13000</f>
        <v>13000</v>
      </c>
      <c r="N14" s="42"/>
      <c r="O14" s="42"/>
      <c r="P14" s="42"/>
      <c r="Q14" s="42"/>
    </row>
    <row r="15" spans="1:17" ht="30" customHeight="1" x14ac:dyDescent="0.45">
      <c r="A15" s="25" t="s">
        <v>179</v>
      </c>
      <c r="B15" s="26" t="s">
        <v>180</v>
      </c>
      <c r="C15" s="27" t="s">
        <v>22</v>
      </c>
      <c r="D15" s="224" t="s">
        <v>242</v>
      </c>
      <c r="E15" s="27"/>
      <c r="F15" s="28" t="s">
        <v>45</v>
      </c>
      <c r="G15" s="163"/>
      <c r="H15" s="29">
        <v>18000</v>
      </c>
      <c r="I15" s="29"/>
      <c r="J15" s="30">
        <v>1900000</v>
      </c>
      <c r="K15" s="31">
        <f>Kimoco[[#This Row],[CA DE LA MAREE]]*18%</f>
        <v>342000</v>
      </c>
      <c r="L15" s="31">
        <f>Kimoco[[#This Row],[CA PREVISIONNEL DU STAND]]*8%</f>
        <v>27360</v>
      </c>
      <c r="M15" s="31"/>
      <c r="N15" s="31">
        <f>L15+M15</f>
        <v>27360</v>
      </c>
      <c r="O15" s="42"/>
      <c r="P15" s="42"/>
      <c r="Q15" s="42"/>
    </row>
    <row r="16" spans="1:17" ht="30" customHeight="1" x14ac:dyDescent="0.45">
      <c r="A16" s="107" t="s">
        <v>171</v>
      </c>
      <c r="B16" s="108" t="s">
        <v>172</v>
      </c>
      <c r="C16" s="109" t="s">
        <v>22</v>
      </c>
      <c r="D16" s="226" t="s">
        <v>173</v>
      </c>
      <c r="E16" s="109"/>
      <c r="F16" s="110" t="s">
        <v>175</v>
      </c>
      <c r="G16" s="163"/>
      <c r="H16" s="111">
        <v>18000</v>
      </c>
      <c r="I16" s="111">
        <f>Kimoco[[#This Row],[VALEUR HT]]*1.22</f>
        <v>21960</v>
      </c>
      <c r="J16" s="112">
        <v>1200000</v>
      </c>
      <c r="K16" s="113">
        <f>Kimoco[[#This Row],[CA DE LA MAREE]]*18%</f>
        <v>216000</v>
      </c>
      <c r="L16" s="113">
        <f>Kimoco[[#This Row],[CA PREVISIONNEL DU STAND]]*8%</f>
        <v>17280</v>
      </c>
      <c r="M16" s="31"/>
      <c r="N16" s="113"/>
      <c r="O16" s="114"/>
      <c r="P16" s="114"/>
      <c r="Q16" s="114"/>
    </row>
    <row r="17" spans="1:17" ht="30" customHeight="1" x14ac:dyDescent="0.45">
      <c r="A17" s="118" t="s">
        <v>27</v>
      </c>
      <c r="B17" s="119" t="s">
        <v>28</v>
      </c>
      <c r="C17" s="119"/>
      <c r="D17" s="228" t="s">
        <v>29</v>
      </c>
      <c r="E17" s="119" t="s">
        <v>30</v>
      </c>
      <c r="F17" s="120" t="s">
        <v>31</v>
      </c>
      <c r="G17" s="168"/>
      <c r="H17" s="121">
        <v>16000</v>
      </c>
      <c r="I17" s="121">
        <f>Kimoco[[#This Row],[VALEUR HT]]*1.22</f>
        <v>19520</v>
      </c>
      <c r="J17" s="122">
        <v>2000000</v>
      </c>
      <c r="K17" s="169">
        <f>Kimoco[[#This Row],[CA DE LA MAREE]]*18%</f>
        <v>360000</v>
      </c>
      <c r="L17" s="170">
        <f>Kimoco[[#This Row],[CA PREVISIONNEL DU STAND]]*9%</f>
        <v>32400</v>
      </c>
      <c r="M17" s="133"/>
      <c r="N17" s="170"/>
      <c r="O17" s="123"/>
      <c r="P17" s="123"/>
      <c r="Q17" s="123"/>
    </row>
    <row r="18" spans="1:17" ht="30" customHeight="1" x14ac:dyDescent="0.45">
      <c r="A18" s="25" t="s">
        <v>20</v>
      </c>
      <c r="B18" s="26" t="s">
        <v>21</v>
      </c>
      <c r="C18" s="27" t="s">
        <v>22</v>
      </c>
      <c r="D18" s="223" t="s">
        <v>23</v>
      </c>
      <c r="E18" s="27" t="s">
        <v>24</v>
      </c>
      <c r="F18" s="28" t="s">
        <v>25</v>
      </c>
      <c r="G18" s="163">
        <v>43194</v>
      </c>
      <c r="H18" s="29">
        <v>12600</v>
      </c>
      <c r="I18" s="29">
        <f>Kimoco[[#This Row],[VALEUR HT]]*1.22</f>
        <v>15372</v>
      </c>
      <c r="J18" s="30">
        <v>1600000</v>
      </c>
      <c r="K18" s="31">
        <f>Kimoco[[#This Row],[CA DE LA MAREE]]*18%</f>
        <v>288000</v>
      </c>
      <c r="L18" s="31">
        <f>Kimoco[[#This Row],[CA PREVISIONNEL DU STAND]]*5%</f>
        <v>14400</v>
      </c>
      <c r="M18" s="31">
        <f>13000</f>
        <v>13000</v>
      </c>
      <c r="N18" s="31">
        <f>L18+M18</f>
        <v>27400</v>
      </c>
      <c r="O18" s="42"/>
      <c r="P18" s="42"/>
      <c r="Q18" s="42"/>
    </row>
    <row r="19" spans="1:17" ht="30" customHeight="1" x14ac:dyDescent="0.45">
      <c r="A19" s="25" t="s">
        <v>255</v>
      </c>
      <c r="B19" s="26"/>
      <c r="C19" s="27"/>
      <c r="D19" s="224" t="str">
        <f>IFERROR(VLOOKUP(Kimoco[[#This Row],[PLAN]],#REF!,3,FALSE),"")</f>
        <v/>
      </c>
      <c r="E19" s="27"/>
      <c r="F19" s="28"/>
      <c r="G19" s="159"/>
      <c r="H19" s="29"/>
      <c r="I19" s="29">
        <f>Kimoco[[#This Row],[VALEUR HT]]*1.22</f>
        <v>0</v>
      </c>
      <c r="K19" s="31"/>
      <c r="L19" s="31"/>
      <c r="M19" s="31">
        <f>13000</f>
        <v>13000</v>
      </c>
      <c r="N19" s="42"/>
      <c r="O19" s="42"/>
      <c r="P19" s="42"/>
      <c r="Q19" s="42"/>
    </row>
    <row r="20" spans="1:17" ht="30" customHeight="1" x14ac:dyDescent="0.45">
      <c r="A20" s="25" t="s">
        <v>170</v>
      </c>
      <c r="B20" s="26" t="s">
        <v>172</v>
      </c>
      <c r="C20" s="27" t="s">
        <v>22</v>
      </c>
      <c r="D20" s="224" t="s">
        <v>242</v>
      </c>
      <c r="E20" s="27" t="s">
        <v>24</v>
      </c>
      <c r="F20" s="28" t="s">
        <v>25</v>
      </c>
      <c r="G20" s="163"/>
      <c r="H20" s="29">
        <v>12600</v>
      </c>
      <c r="I20" s="29">
        <f>Kimoco[[#This Row],[VALEUR HT]]*1.22</f>
        <v>15372</v>
      </c>
      <c r="J20" s="30">
        <v>1800000</v>
      </c>
      <c r="K20" s="31">
        <f>Kimoco[[#This Row],[CA DE LA MAREE]]*18%</f>
        <v>324000</v>
      </c>
      <c r="L20" s="31">
        <f>Kimoco[[#This Row],[CA PREVISIONNEL DU STAND]]*8%</f>
        <v>25920</v>
      </c>
      <c r="M20" s="31"/>
      <c r="N20" s="31">
        <f>L20+M20</f>
        <v>25920</v>
      </c>
      <c r="O20" s="42"/>
      <c r="P20" s="42"/>
      <c r="Q20" s="42"/>
    </row>
    <row r="21" spans="1:17" s="115" customFormat="1" ht="30" customHeight="1" x14ac:dyDescent="0.45">
      <c r="A21" s="25" t="s">
        <v>51</v>
      </c>
      <c r="B21" s="26" t="s">
        <v>52</v>
      </c>
      <c r="C21" s="27" t="s">
        <v>22</v>
      </c>
      <c r="D21" s="224" t="s">
        <v>53</v>
      </c>
      <c r="E21" s="27" t="s">
        <v>54</v>
      </c>
      <c r="F21" s="28" t="s">
        <v>25</v>
      </c>
      <c r="G21" s="163"/>
      <c r="H21" s="29">
        <v>12600</v>
      </c>
      <c r="I21" s="29">
        <f>Kimoco[[#This Row],[VALEUR HT]]*1.22</f>
        <v>15372</v>
      </c>
      <c r="J21" s="30">
        <v>1900000</v>
      </c>
      <c r="K21" s="31">
        <f>Kimoco[[#This Row],[CA DE LA MAREE]]*18%</f>
        <v>342000</v>
      </c>
      <c r="L21" s="31">
        <f>Kimoco[[#This Row],[CA PREVISIONNEL DU STAND]]*9%</f>
        <v>30780</v>
      </c>
      <c r="M21" s="31"/>
      <c r="N21" s="31">
        <f>L21+M21</f>
        <v>30780</v>
      </c>
      <c r="O21" s="42"/>
      <c r="P21" s="42"/>
      <c r="Q21" s="42"/>
    </row>
    <row r="22" spans="1:17" ht="30" customHeight="1" x14ac:dyDescent="0.45">
      <c r="A22" s="87" t="s">
        <v>216</v>
      </c>
      <c r="B22" s="88" t="s">
        <v>249</v>
      </c>
      <c r="C22" s="88" t="s">
        <v>22</v>
      </c>
      <c r="D22" s="227" t="s">
        <v>242</v>
      </c>
      <c r="E22" s="88"/>
      <c r="F22" s="89" t="s">
        <v>217</v>
      </c>
      <c r="G22" s="163">
        <v>75</v>
      </c>
      <c r="H22" s="90">
        <v>19000</v>
      </c>
      <c r="I22" s="90">
        <f>Kimoco[[#This Row],[VALEUR HT]]*1.22</f>
        <v>23180</v>
      </c>
      <c r="J22" s="91">
        <v>2400000</v>
      </c>
      <c r="K22" s="31">
        <f>Kimoco[[#This Row],[CA DE LA MAREE]]*18%</f>
        <v>432000</v>
      </c>
      <c r="L22" s="31">
        <f>Kimoco[[#This Row],[CA PREVISIONNEL DU STAND]]*6%</f>
        <v>25920</v>
      </c>
      <c r="M22" s="31">
        <f>20000</f>
        <v>20000</v>
      </c>
      <c r="N22" s="31">
        <f>L22+M22</f>
        <v>45920</v>
      </c>
      <c r="O22" s="92"/>
      <c r="P22" s="92"/>
      <c r="Q22" s="92"/>
    </row>
    <row r="23" spans="1:17" ht="30" customHeight="1" x14ac:dyDescent="0.45">
      <c r="A23" s="25" t="s">
        <v>36</v>
      </c>
      <c r="B23" s="27" t="s">
        <v>37</v>
      </c>
      <c r="C23" s="27" t="s">
        <v>22</v>
      </c>
      <c r="D23" s="223" t="s">
        <v>38</v>
      </c>
      <c r="E23" s="27" t="s">
        <v>39</v>
      </c>
      <c r="F23" s="28" t="s">
        <v>40</v>
      </c>
      <c r="G23" s="163">
        <v>43160</v>
      </c>
      <c r="H23" s="29">
        <v>15000</v>
      </c>
      <c r="I23" s="29">
        <f>Kimoco[[#This Row],[VALEUR HT]]*1.22</f>
        <v>18300</v>
      </c>
      <c r="J23" s="30">
        <v>2900000</v>
      </c>
      <c r="K23" s="31">
        <f>Kimoco[[#This Row],[CA DE LA MAREE]]*18%</f>
        <v>522000</v>
      </c>
      <c r="L23" s="31">
        <f>Kimoco[[#This Row],[CA PREVISIONNEL DU STAND]]*9%</f>
        <v>46980</v>
      </c>
      <c r="M23" s="31">
        <v>25000</v>
      </c>
      <c r="N23" s="31">
        <f>L23+M23</f>
        <v>71980</v>
      </c>
      <c r="O23" s="92"/>
      <c r="P23" s="92"/>
      <c r="Q23" s="92"/>
    </row>
    <row r="24" spans="1:17" ht="30" customHeight="1" x14ac:dyDescent="0.45">
      <c r="A24" s="87" t="s">
        <v>49</v>
      </c>
      <c r="B24" s="26" t="s">
        <v>50</v>
      </c>
      <c r="C24" s="27" t="s">
        <v>34</v>
      </c>
      <c r="D24" s="223" t="s">
        <v>23</v>
      </c>
      <c r="E24" s="27" t="s">
        <v>35</v>
      </c>
      <c r="F24" s="28" t="s">
        <v>30</v>
      </c>
      <c r="G24" s="163"/>
      <c r="H24" s="29">
        <v>0</v>
      </c>
      <c r="I24" s="90">
        <f>Kimoco[[#This Row],[VALEUR HT]]*1.22</f>
        <v>0</v>
      </c>
      <c r="J24" s="30">
        <v>1300000</v>
      </c>
      <c r="K24" s="31">
        <f>Kimoco[[#This Row],[CA DE LA MAREE]]*18%</f>
        <v>234000</v>
      </c>
      <c r="L24" s="31">
        <f>Kimoco[[#This Row],[CA PREVISIONNEL DU STAND]]*8%</f>
        <v>18720</v>
      </c>
      <c r="M24" s="31">
        <v>11500</v>
      </c>
      <c r="N24" s="31">
        <f>L24+M24</f>
        <v>30220</v>
      </c>
      <c r="O24" s="42"/>
      <c r="P24" s="42"/>
      <c r="Q24" s="42"/>
    </row>
    <row r="25" spans="1:17" ht="30" customHeight="1" x14ac:dyDescent="0.45">
      <c r="A25" s="87" t="s">
        <v>221</v>
      </c>
      <c r="B25" s="88" t="s">
        <v>222</v>
      </c>
      <c r="C25" s="88"/>
      <c r="D25" s="227" t="s">
        <v>302</v>
      </c>
      <c r="E25" s="88"/>
      <c r="F25" s="89"/>
      <c r="G25" s="168"/>
      <c r="H25" s="90"/>
      <c r="I25" s="90">
        <f>Kimoco[[#This Row],[VALEUR HT]]*1.22</f>
        <v>0</v>
      </c>
      <c r="J25" s="91">
        <v>1700000</v>
      </c>
      <c r="K25" s="165">
        <f>Kimoco[[#This Row],[CA DE LA MAREE]]*18%</f>
        <v>306000</v>
      </c>
      <c r="L25" s="133">
        <f>Kimoco[[#This Row],[CA PREVISIONNEL DU STAND]]*8%</f>
        <v>24480</v>
      </c>
      <c r="M25" s="31">
        <v>15000</v>
      </c>
      <c r="N25" s="133"/>
      <c r="O25" s="92"/>
      <c r="P25" s="92"/>
      <c r="Q25" s="92"/>
    </row>
    <row r="26" spans="1:17" ht="30" customHeight="1" x14ac:dyDescent="0.45">
      <c r="A26" s="87" t="s">
        <v>240</v>
      </c>
      <c r="B26" s="88" t="s">
        <v>241</v>
      </c>
      <c r="C26" s="88"/>
      <c r="D26" s="227" t="s">
        <v>301</v>
      </c>
      <c r="E26" s="88"/>
      <c r="F26" s="89" t="s">
        <v>307</v>
      </c>
      <c r="G26" s="160"/>
      <c r="H26" s="90"/>
      <c r="I26" s="90">
        <f>Kimoco[[#This Row],[VALEUR HT]]*1.22</f>
        <v>0</v>
      </c>
      <c r="J26" s="91">
        <v>1500000</v>
      </c>
      <c r="K26" s="165">
        <f>Kimoco[[#This Row],[CA DE LA MAREE]]*18%</f>
        <v>270000</v>
      </c>
      <c r="L26" s="133">
        <f>Kimoco[[#This Row],[CA PREVISIONNEL DU STAND]]*10%</f>
        <v>27000</v>
      </c>
      <c r="M26" s="31">
        <v>13000</v>
      </c>
      <c r="N26" s="133"/>
      <c r="O26" s="92"/>
      <c r="P26" s="92"/>
      <c r="Q26" s="92"/>
    </row>
    <row r="27" spans="1:17" ht="30" customHeight="1" x14ac:dyDescent="0.45">
      <c r="A27" s="87" t="s">
        <v>169</v>
      </c>
      <c r="B27" s="88" t="s">
        <v>26</v>
      </c>
      <c r="C27" s="88" t="s">
        <v>22</v>
      </c>
      <c r="D27" s="229" t="s">
        <v>30</v>
      </c>
      <c r="E27" s="203"/>
      <c r="F27" s="89" t="s">
        <v>305</v>
      </c>
      <c r="G27" s="168"/>
      <c r="H27" s="90">
        <v>12600</v>
      </c>
      <c r="I27" s="90">
        <f>Kimoco[[#This Row],[VALEUR HT]]*1.22</f>
        <v>15372</v>
      </c>
      <c r="J27" s="91">
        <v>5200000</v>
      </c>
      <c r="K27" s="165">
        <f>Kimoco[[#This Row],[CA DE LA MAREE]]*18%</f>
        <v>936000</v>
      </c>
      <c r="L27" s="133">
        <f>Kimoco[[#This Row],[CA PREVISIONNEL DU STAND]]*9%</f>
        <v>84240</v>
      </c>
      <c r="M27" s="133">
        <v>40000</v>
      </c>
      <c r="N27" s="133">
        <f>L27+M27</f>
        <v>124240</v>
      </c>
      <c r="O27" s="92"/>
      <c r="P27" s="92"/>
      <c r="Q27" s="92"/>
    </row>
    <row r="28" spans="1:17" ht="30" customHeight="1" x14ac:dyDescent="0.45">
      <c r="A28" s="25" t="s">
        <v>299</v>
      </c>
      <c r="B28" s="203"/>
      <c r="C28" s="203"/>
      <c r="D28" s="224" t="s">
        <v>300</v>
      </c>
      <c r="E28" s="203"/>
      <c r="F28" s="204"/>
      <c r="G28" s="205"/>
      <c r="H28" s="206"/>
      <c r="I28" s="206">
        <f>Kimoco[[#This Row],[VALEUR HT]]*1.22</f>
        <v>0</v>
      </c>
      <c r="J28" s="207"/>
      <c r="K28" s="221"/>
      <c r="L28" s="208"/>
      <c r="M28" s="208"/>
      <c r="N28" s="208"/>
      <c r="O28" s="209"/>
      <c r="P28" s="209"/>
      <c r="Q28" s="209"/>
    </row>
    <row r="29" spans="1:17" ht="30" customHeight="1" x14ac:dyDescent="0.45">
      <c r="A29" s="139" t="s">
        <v>246</v>
      </c>
      <c r="B29" s="88" t="s">
        <v>254</v>
      </c>
      <c r="C29" s="140"/>
      <c r="D29" s="227" t="s">
        <v>304</v>
      </c>
      <c r="E29" s="140"/>
      <c r="F29" s="222" t="s">
        <v>306</v>
      </c>
      <c r="G29" s="161"/>
      <c r="H29" s="141"/>
      <c r="I29" s="141">
        <f>Kimoco[[#This Row],[VALEUR HT]]*1.22</f>
        <v>0</v>
      </c>
      <c r="J29" s="142">
        <v>2900000</v>
      </c>
      <c r="K29" s="165">
        <f>Kimoco[[#This Row],[CA DE LA MAREE]]*18%</f>
        <v>522000</v>
      </c>
      <c r="L29" s="133">
        <f>Kimoco[[#This Row],[CA PREVISIONNEL DU STAND]]*5%</f>
        <v>26100</v>
      </c>
      <c r="M29" s="133">
        <v>15000</v>
      </c>
      <c r="N29" s="133">
        <f t="shared" ref="N29:N31" si="1">L29+M29</f>
        <v>41100</v>
      </c>
      <c r="O29" s="143"/>
      <c r="P29" s="143"/>
      <c r="Q29" s="143"/>
    </row>
    <row r="30" spans="1:17" ht="30" customHeight="1" x14ac:dyDescent="0.45">
      <c r="A30" s="87" t="s">
        <v>253</v>
      </c>
      <c r="B30" s="88" t="s">
        <v>279</v>
      </c>
      <c r="C30" s="88"/>
      <c r="D30" s="227" t="s">
        <v>303</v>
      </c>
      <c r="E30" s="88"/>
      <c r="F30" s="89"/>
      <c r="G30" s="160"/>
      <c r="H30" s="90"/>
      <c r="I30" s="90">
        <f>Kimoco[[#This Row],[VALEUR HT]]*1.22</f>
        <v>0</v>
      </c>
      <c r="J30" s="91">
        <v>3100000</v>
      </c>
      <c r="K30" s="165">
        <f>Kimoco[[#This Row],[CA DE LA MAREE]]*18%</f>
        <v>558000</v>
      </c>
      <c r="L30" s="133">
        <f>Kimoco[[#This Row],[CA PREVISIONNEL DU STAND]]*9%</f>
        <v>50220</v>
      </c>
      <c r="M30" s="133"/>
      <c r="N30" s="133">
        <f t="shared" si="1"/>
        <v>50220</v>
      </c>
      <c r="O30" s="92"/>
      <c r="P30" s="92"/>
      <c r="Q30" s="92"/>
    </row>
    <row r="31" spans="1:17" ht="30" customHeight="1" x14ac:dyDescent="0.45">
      <c r="A31" s="144" t="s">
        <v>245</v>
      </c>
      <c r="B31" s="166"/>
      <c r="C31" s="166"/>
      <c r="D31" s="166" t="s">
        <v>296</v>
      </c>
      <c r="E31" s="166"/>
      <c r="F31" s="201" t="s">
        <v>305</v>
      </c>
      <c r="G31" s="167"/>
      <c r="H31" s="166"/>
      <c r="I31" s="90">
        <f>Kimoco[[#This Row],[VALEUR HT]]*1.22</f>
        <v>0</v>
      </c>
      <c r="J31" s="93">
        <v>2800000</v>
      </c>
      <c r="K31" s="165">
        <f>Kimoco[[#This Row],[CA DE LA MAREE]]*18%</f>
        <v>504000</v>
      </c>
      <c r="L31" s="133">
        <f>Kimoco[[#This Row],[CA PREVISIONNEL DU STAND]]*9%</f>
        <v>45360</v>
      </c>
      <c r="M31" s="133"/>
      <c r="N31" s="133">
        <f t="shared" si="1"/>
        <v>45360</v>
      </c>
      <c r="O31" s="166"/>
      <c r="P31" s="166"/>
      <c r="Q31" s="166"/>
    </row>
    <row r="32" spans="1:17" ht="30" customHeight="1" x14ac:dyDescent="0.45">
      <c r="A32" s="25" t="s">
        <v>291</v>
      </c>
      <c r="B32" s="27"/>
      <c r="C32" s="27"/>
      <c r="D32" s="224" t="s">
        <v>292</v>
      </c>
      <c r="E32" s="27"/>
      <c r="F32" s="28"/>
      <c r="G32" s="159"/>
      <c r="H32" s="29"/>
      <c r="I32" s="29">
        <f>Kimoco[[#This Row],[VALEUR HT]]*1.22</f>
        <v>0</v>
      </c>
      <c r="K32" s="165">
        <f>Kimoco[[#This Row],[CA DE LA MAREE]]*18%</f>
        <v>0</v>
      </c>
      <c r="L32" s="133">
        <f>Kimoco[[#This Row],[CA PREVISIONNEL DU STAND]]*9%</f>
        <v>0</v>
      </c>
      <c r="M32" s="31"/>
      <c r="N32" s="42"/>
      <c r="O32" s="92"/>
      <c r="P32" s="92"/>
      <c r="Q32" s="92"/>
    </row>
    <row r="33" spans="1:17" ht="30" customHeight="1" x14ac:dyDescent="0.45">
      <c r="A33" s="87" t="s">
        <v>250</v>
      </c>
      <c r="B33" s="88" t="s">
        <v>281</v>
      </c>
      <c r="C33" s="88"/>
      <c r="D33" s="224" t="s">
        <v>293</v>
      </c>
      <c r="E33" s="88"/>
      <c r="F33" s="89"/>
      <c r="G33" s="160"/>
      <c r="H33" s="90"/>
      <c r="I33" s="90">
        <f>Kimoco[[#This Row],[VALEUR HT]]*1.22</f>
        <v>0</v>
      </c>
      <c r="J33" s="91"/>
      <c r="K33" s="165">
        <f>Kimoco[[#This Row],[CA DE LA MAREE]]*18%</f>
        <v>0</v>
      </c>
      <c r="L33" s="133">
        <f>Kimoco[[#This Row],[CA PREVISIONNEL DU STAND]]*9%</f>
        <v>0</v>
      </c>
      <c r="M33" s="31"/>
      <c r="N33" s="92"/>
      <c r="O33" s="92"/>
      <c r="P33" s="92"/>
      <c r="Q33" s="92"/>
    </row>
    <row r="34" spans="1:17" ht="30" customHeight="1" x14ac:dyDescent="0.45">
      <c r="A34" s="87" t="s">
        <v>256</v>
      </c>
      <c r="B34" s="88" t="s">
        <v>280</v>
      </c>
      <c r="C34" s="88"/>
      <c r="D34" s="227" t="s">
        <v>294</v>
      </c>
      <c r="E34" s="88"/>
      <c r="F34" s="89"/>
      <c r="G34" s="160"/>
      <c r="H34" s="90"/>
      <c r="I34" s="90">
        <f>Kimoco[[#This Row],[VALEUR HT]]*1.22</f>
        <v>0</v>
      </c>
      <c r="J34" s="91">
        <v>2900000</v>
      </c>
      <c r="K34" s="165">
        <f>Kimoco[[#This Row],[CA DE LA MAREE]]*18%</f>
        <v>522000</v>
      </c>
      <c r="L34" s="133">
        <f>Kimoco[[#This Row],[CA PREVISIONNEL DU STAND]]*9%</f>
        <v>46980</v>
      </c>
      <c r="M34" s="133"/>
      <c r="N34" s="92"/>
      <c r="O34" s="92"/>
      <c r="P34" s="92"/>
      <c r="Q34" s="92"/>
    </row>
    <row r="35" spans="1:17" ht="30" customHeight="1" x14ac:dyDescent="0.45">
      <c r="A35" s="25" t="s">
        <v>290</v>
      </c>
      <c r="B35" s="203"/>
      <c r="C35" s="203"/>
      <c r="D35" s="224" t="s">
        <v>295</v>
      </c>
      <c r="E35" s="203"/>
      <c r="F35" s="204"/>
      <c r="G35" s="205"/>
      <c r="H35" s="206"/>
      <c r="I35" s="206">
        <f>Kimoco[[#This Row],[VALEUR HT]]*1.22</f>
        <v>0</v>
      </c>
      <c r="J35" s="207"/>
      <c r="K35" s="165">
        <f>Kimoco[[#This Row],[CA DE LA MAREE]]*18%</f>
        <v>0</v>
      </c>
      <c r="L35" s="133">
        <f>Kimoco[[#This Row],[CA PREVISIONNEL DU STAND]]*9%</f>
        <v>0</v>
      </c>
      <c r="M35" s="208"/>
      <c r="N35" s="209"/>
      <c r="O35" s="209"/>
      <c r="P35" s="209"/>
      <c r="Q35" s="209"/>
    </row>
    <row r="36" spans="1:17" ht="30" customHeight="1" x14ac:dyDescent="0.45">
      <c r="A36" s="202"/>
      <c r="B36" s="203"/>
      <c r="C36" s="203"/>
      <c r="D36" s="230" t="str">
        <f>IFERROR(VLOOKUP(Kimoco[[#This Row],[PLAN]],#REF!,3,FALSE),"")</f>
        <v/>
      </c>
      <c r="E36" s="203"/>
      <c r="F36" s="204"/>
      <c r="G36" s="205"/>
      <c r="H36" s="206"/>
      <c r="I36" s="206">
        <f>Kimoco[[#This Row],[VALEUR HT]]*1.22</f>
        <v>0</v>
      </c>
      <c r="J36" s="207"/>
      <c r="K36" s="165">
        <f>Kimoco[[#This Row],[CA DE LA MAREE]]*18%</f>
        <v>0</v>
      </c>
      <c r="L36" s="133">
        <f>Kimoco[[#This Row],[CA PREVISIONNEL DU STAND]]*9%</f>
        <v>0</v>
      </c>
      <c r="M36" s="208"/>
      <c r="N36" s="209"/>
      <c r="O36" s="209"/>
      <c r="P36" s="209"/>
      <c r="Q36" s="209"/>
    </row>
    <row r="37" spans="1:17" ht="30" customHeight="1" x14ac:dyDescent="0.45">
      <c r="A37" s="202"/>
      <c r="B37" s="203"/>
      <c r="C37" s="203"/>
      <c r="D37" s="230" t="str">
        <f>IFERROR(VLOOKUP(Kimoco[[#This Row],[PLAN]],#REF!,3,FALSE),"")</f>
        <v/>
      </c>
      <c r="E37" s="203"/>
      <c r="F37" s="204"/>
      <c r="G37" s="205"/>
      <c r="H37" s="206"/>
      <c r="I37" s="206">
        <f>Kimoco[[#This Row],[VALEUR HT]]*1.22</f>
        <v>0</v>
      </c>
      <c r="J37" s="207"/>
      <c r="K37" s="165">
        <f>Kimoco[[#This Row],[CA DE LA MAREE]]*18%</f>
        <v>0</v>
      </c>
      <c r="L37" s="133">
        <f>Kimoco[[#This Row],[CA PREVISIONNEL DU STAND]]*9%</f>
        <v>0</v>
      </c>
      <c r="M37" s="208"/>
      <c r="N37" s="209"/>
      <c r="O37" s="209"/>
      <c r="P37" s="209"/>
      <c r="Q37" s="209"/>
    </row>
    <row r="38" spans="1:17" ht="30" customHeight="1" x14ac:dyDescent="0.45">
      <c r="A38" s="202"/>
      <c r="B38" s="203"/>
      <c r="C38" s="203"/>
      <c r="D38" s="230" t="str">
        <f>IFERROR(VLOOKUP(Kimoco[[#This Row],[PLAN]],#REF!,3,FALSE),"")</f>
        <v/>
      </c>
      <c r="E38" s="203"/>
      <c r="F38" s="204"/>
      <c r="G38" s="205"/>
      <c r="H38" s="206"/>
      <c r="I38" s="206">
        <f>Kimoco[[#This Row],[VALEUR HT]]*1.22</f>
        <v>0</v>
      </c>
      <c r="J38" s="207"/>
      <c r="K38" s="165">
        <f>Kimoco[[#This Row],[CA DE LA MAREE]]*18%</f>
        <v>0</v>
      </c>
      <c r="L38" s="133">
        <f>Kimoco[[#This Row],[CA PREVISIONNEL DU STAND]]*9%</f>
        <v>0</v>
      </c>
      <c r="M38" s="208"/>
      <c r="N38" s="209"/>
      <c r="O38" s="209"/>
      <c r="P38" s="209"/>
      <c r="Q38" s="209"/>
    </row>
    <row r="39" spans="1:17" ht="30" customHeight="1" x14ac:dyDescent="0.45">
      <c r="A39" s="202"/>
      <c r="B39" s="203"/>
      <c r="C39" s="203"/>
      <c r="D39" s="230" t="str">
        <f>IFERROR(VLOOKUP(Kimoco[[#This Row],[PLAN]],#REF!,3,FALSE),"")</f>
        <v/>
      </c>
      <c r="E39" s="203"/>
      <c r="F39" s="204"/>
      <c r="G39" s="205"/>
      <c r="H39" s="206"/>
      <c r="I39" s="206">
        <f>Kimoco[[#This Row],[VALEUR HT]]*1.22</f>
        <v>0</v>
      </c>
      <c r="J39" s="207"/>
      <c r="K39" s="165">
        <f>Kimoco[[#This Row],[CA DE LA MAREE]]*18%</f>
        <v>0</v>
      </c>
      <c r="L39" s="208"/>
      <c r="M39" s="208"/>
      <c r="N39" s="209"/>
      <c r="O39" s="209"/>
      <c r="P39" s="209"/>
      <c r="Q39" s="209"/>
    </row>
    <row r="40" spans="1:17" ht="30" customHeight="1" x14ac:dyDescent="0.45">
      <c r="A40" s="202"/>
      <c r="B40" s="203"/>
      <c r="C40" s="203"/>
      <c r="D40" s="230" t="str">
        <f>IFERROR(VLOOKUP(Kimoco[[#This Row],[PLAN]],#REF!,3,FALSE),"")</f>
        <v/>
      </c>
      <c r="E40" s="203"/>
      <c r="F40" s="204"/>
      <c r="G40" s="205"/>
      <c r="H40" s="206"/>
      <c r="I40" s="206">
        <f>Kimoco[[#This Row],[VALEUR HT]]*1.22</f>
        <v>0</v>
      </c>
      <c r="J40" s="207"/>
      <c r="K40" s="165">
        <f>Kimoco[[#This Row],[CA DE LA MAREE]]*18%</f>
        <v>0</v>
      </c>
      <c r="L40" s="208"/>
      <c r="M40" s="208"/>
      <c r="N40" s="209"/>
      <c r="O40" s="209"/>
      <c r="P40" s="209"/>
      <c r="Q40" s="209"/>
    </row>
    <row r="41" spans="1:17" ht="30" customHeight="1" x14ac:dyDescent="0.45">
      <c r="A41" s="202"/>
      <c r="B41" s="203"/>
      <c r="C41" s="203"/>
      <c r="D41" s="230" t="str">
        <f>IFERROR(VLOOKUP(Kimoco[[#This Row],[PLAN]],#REF!,3,FALSE),"")</f>
        <v/>
      </c>
      <c r="E41" s="203"/>
      <c r="F41" s="204"/>
      <c r="G41" s="205"/>
      <c r="H41" s="206"/>
      <c r="I41" s="206">
        <f>Kimoco[[#This Row],[VALEUR HT]]*1.22</f>
        <v>0</v>
      </c>
      <c r="J41" s="207"/>
      <c r="K41" s="165">
        <f>Kimoco[[#This Row],[CA DE LA MAREE]]*18%</f>
        <v>0</v>
      </c>
      <c r="L41" s="208"/>
      <c r="M41" s="208"/>
      <c r="N41" s="209"/>
      <c r="O41" s="209"/>
      <c r="P41" s="209"/>
      <c r="Q41" s="209"/>
    </row>
    <row r="42" spans="1:17" ht="30" customHeight="1" x14ac:dyDescent="0.45">
      <c r="A42" s="202"/>
      <c r="B42" s="203"/>
      <c r="C42" s="203"/>
      <c r="D42" s="230" t="str">
        <f>IFERROR(VLOOKUP(Kimoco[[#This Row],[PLAN]],#REF!,3,FALSE),"")</f>
        <v/>
      </c>
      <c r="E42" s="203"/>
      <c r="F42" s="204"/>
      <c r="G42" s="205"/>
      <c r="H42" s="206"/>
      <c r="I42" s="206">
        <f>Kimoco[[#This Row],[VALEUR HT]]*1.22</f>
        <v>0</v>
      </c>
      <c r="J42" s="207"/>
      <c r="K42" s="165">
        <f>Kimoco[[#This Row],[CA DE LA MAREE]]*18%</f>
        <v>0</v>
      </c>
      <c r="L42" s="208"/>
      <c r="M42" s="208"/>
      <c r="N42" s="209"/>
      <c r="O42" s="209"/>
      <c r="P42" s="209"/>
      <c r="Q42" s="209"/>
    </row>
  </sheetData>
  <conditionalFormatting sqref="I32:I33 I6:I24">
    <cfRule type="dataBar" priority="4">
      <dataBar>
        <cfvo type="num" val="8000"/>
        <cfvo type="num" val="25000"/>
        <color theme="5" tint="0.39997558519241921"/>
      </dataBar>
      <extLst>
        <ext xmlns:x14="http://schemas.microsoft.com/office/spreadsheetml/2009/9/main" uri="{B025F937-C7B1-47D3-B67F-A62EFF666E3E}">
          <x14:id>{208CE549-9470-4B8E-BD11-077903FFA518}</x14:id>
        </ext>
      </extLst>
    </cfRule>
  </conditionalFormatting>
  <conditionalFormatting sqref="A24 I24 A32:I32 A33 C33:I33 A6:I23">
    <cfRule type="expression" dxfId="47" priority="3">
      <formula>"If(blnBinNo=""True"")"</formula>
    </cfRule>
  </conditionalFormatting>
  <conditionalFormatting sqref="K1:L1048576">
    <cfRule type="dataBar" priority="2">
      <dataBar>
        <cfvo type="num" val="150000"/>
        <cfvo type="num" val="1000000"/>
        <color rgb="FF638EC6"/>
      </dataBar>
      <extLst>
        <ext xmlns:x14="http://schemas.microsoft.com/office/spreadsheetml/2009/9/main" uri="{B025F937-C7B1-47D3-B67F-A62EFF666E3E}">
          <x14:id>{086358FB-C4BE-41BE-899C-AEAAE830FA1A}</x14:id>
        </ext>
      </extLst>
    </cfRule>
  </conditionalFormatting>
  <conditionalFormatting sqref="H1:H2 H25:H1048576 H4:H23">
    <cfRule type="dataBar" priority="1">
      <dataBar>
        <cfvo type="num" val="6000"/>
        <cfvo type="num" val="20000"/>
        <color rgb="FFFF0000"/>
      </dataBar>
      <extLst>
        <ext xmlns:x14="http://schemas.microsoft.com/office/spreadsheetml/2009/9/main" uri="{B025F937-C7B1-47D3-B67F-A62EFF666E3E}">
          <x14:id>{E798611B-1F65-46DE-A7F1-68B9E14F7E8A}</x14:id>
        </ext>
      </extLst>
    </cfRule>
  </conditionalFormatting>
  <dataValidations xWindow="1391" yWindow="651" count="14">
    <dataValidation allowBlank="1" showInputMessage="1" showErrorMessage="1" prompt="La valeur de stock est calculée automatiquement dans cette colonne sur la base des valeurs QTÉ et PRIX présentes dans le tableau" sqref="I5" xr:uid="{00000000-0002-0000-0000-000000000000}"/>
    <dataValidation allowBlank="1" showInputMessage="1" showErrorMessage="1" prompt="Entrez le prix de chaque article dans cette colonne" sqref="H5" xr:uid="{00000000-0002-0000-0000-000001000000}"/>
    <dataValidation allowBlank="1" showInputMessage="1" showErrorMessage="1" prompt="Entrez la quantité à réapprovisionner dans cette colonne" sqref="G5" xr:uid="{00000000-0002-0000-0000-000002000000}"/>
    <dataValidation allowBlank="1" showInputMessage="1" showErrorMessage="1" prompt="Entrez la quantité de chaque article dans cette colonne" sqref="F5" xr:uid="{00000000-0002-0000-0000-000003000000}"/>
    <dataValidation allowBlank="1" showInputMessage="1" showErrorMessage="1" prompt="Entrez l’unité dans cette colonne" sqref="E5" xr:uid="{00000000-0002-0000-0000-000004000000}"/>
    <dataValidation allowBlank="1" showInputMessage="1" showErrorMessage="1" prompt="L’emplacement est automatiquement mis à jour dans cette colonne sur la base du numéro de bac et des informations présentes dans la feuille de calcul Emplacement des stocks " sqref="D5" xr:uid="{00000000-0002-0000-0000-000005000000}"/>
    <dataValidation allowBlank="1" showInputMessage="1" showErrorMessage="1" prompt="Sélectionnez le numéro de bac dans la liste déroulante. Appuyez sur Alt+Bas pour ouvrir la liste déroulante, puis sur Entrée pour sélectionner l’un des éléments" sqref="C5" xr:uid="{00000000-0002-0000-0000-000006000000}"/>
    <dataValidation allowBlank="1" showInputMessage="1" showErrorMessage="1" prompt="Entrez une description de l’article dans cette colonne" sqref="B5" xr:uid="{00000000-0002-0000-0000-000007000000}"/>
    <dataValidation allowBlank="1" showInputMessage="1" showErrorMessage="1" prompt="Entrez la référence dans cette colonne" sqref="A5" xr:uid="{00000000-0002-0000-0000-000008000000}"/>
    <dataValidation allowBlank="1" showInputMessage="1" showErrorMessage="1" prompt="Nombre d’articles calculé automatiquement en fonction de leur description" sqref="B3:B4" xr:uid="{00000000-0002-0000-0000-000009000000}"/>
    <dataValidation allowBlank="1" showInputMessage="1" showErrorMessage="1" prompt="Nombre de bacs calculé automatiquement" sqref="C3:C4" xr:uid="{00000000-0002-0000-0000-00000A000000}"/>
    <dataValidation allowBlank="1" showInputMessage="1" showErrorMessage="1" prompt="Valeur de stock totale calculée automatiquement" sqref="A3:A4 H3:H4" xr:uid="{00000000-0002-0000-0000-00000B000000}"/>
    <dataValidation allowBlank="1" showInputMessage="1" showErrorMessage="1" prompt="Une icône d’indicateur dans cette colonne indique que les éléments de l’inventaire doivent être réapprovisionnés" sqref="K5:N5" xr:uid="{00000000-0002-0000-0000-00000C000000}"/>
    <dataValidation type="list" errorStyle="warning" allowBlank="1" showInputMessage="1" showErrorMessage="1" error="Ce numéro de bac n’est pas dans la liste. Oui pour conserver l’entrée, Annuler pour l’ajouter au tableau de la feuille Emplacement des stocks (le numéro de bac sera ensuite ajouté à cette liste) ou Non puis Alt+Bas pour choisir un élément dans la liste." sqref="C32:C33 C6:C23" xr:uid="{00000000-0002-0000-0000-00000D000000}">
      <formula1>NuméroBac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8CE549-9470-4B8E-BD11-077903FFA518}">
            <x14:dataBar minLength="0" maxLength="100">
              <x14:cfvo type="num">
                <xm:f>8000</xm:f>
              </x14:cfvo>
              <x14:cfvo type="num">
                <xm:f>25000</xm:f>
              </x14:cfvo>
              <x14:negativeFillColor rgb="FFFF0000"/>
              <x14:axisColor rgb="FF000000"/>
            </x14:dataBar>
          </x14:cfRule>
          <xm:sqref>I32:I33 I6:I24</xm:sqref>
        </x14:conditionalFormatting>
        <x14:conditionalFormatting xmlns:xm="http://schemas.microsoft.com/office/excel/2006/main">
          <x14:cfRule type="dataBar" id="{086358FB-C4BE-41BE-899C-AEAAE830FA1A}">
            <x14:dataBar minLength="0" maxLength="100">
              <x14:cfvo type="num">
                <xm:f>150000</xm:f>
              </x14:cfvo>
              <x14:cfvo type="num">
                <xm:f>1000000</xm:f>
              </x14:cfvo>
              <x14:negativeFillColor rgb="FFFF0000"/>
              <x14:axisColor rgb="FF000000"/>
            </x14:dataBar>
          </x14:cfRule>
          <xm:sqref>K1:L1048576</xm:sqref>
        </x14:conditionalFormatting>
        <x14:conditionalFormatting xmlns:xm="http://schemas.microsoft.com/office/excel/2006/main">
          <x14:cfRule type="dataBar" id="{E798611B-1F65-46DE-A7F1-68B9E14F7E8A}">
            <x14:dataBar minLength="0" maxLength="100">
              <x14:cfvo type="num">
                <xm:f>6000</xm:f>
              </x14:cfvo>
              <x14:cfvo type="num">
                <xm:f>20000</xm:f>
              </x14:cfvo>
              <x14:negativeFillColor rgb="FFFF0000"/>
              <x14:axisColor rgb="FF000000"/>
            </x14:dataBar>
          </x14:cfRule>
          <xm:sqref>H1:H2 H25:H1048576 H4:H23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J15"/>
  <sheetViews>
    <sheetView zoomScaleNormal="100" workbookViewId="0">
      <selection activeCell="K11" sqref="K11"/>
    </sheetView>
  </sheetViews>
  <sheetFormatPr baseColWidth="10" defaultRowHeight="14.25" x14ac:dyDescent="0.45"/>
  <cols>
    <col min="1" max="1" width="30.6640625" bestFit="1" customWidth="1"/>
    <col min="2" max="4" width="13.6640625" customWidth="1"/>
    <col min="5" max="6" width="14.9296875" customWidth="1"/>
    <col min="7" max="7" width="14.3984375" customWidth="1"/>
    <col min="8" max="8" width="14.46484375" customWidth="1"/>
    <col min="9" max="9" width="16.6640625" customWidth="1"/>
    <col min="10" max="10" width="11.265625" bestFit="1" customWidth="1"/>
  </cols>
  <sheetData>
    <row r="1" spans="1:10" ht="23.65" thickBot="1" x14ac:dyDescent="0.75">
      <c r="A1" s="124"/>
      <c r="J1" s="125"/>
    </row>
    <row r="2" spans="1:10" ht="23.65" thickBot="1" x14ac:dyDescent="0.5">
      <c r="A2" s="126"/>
      <c r="B2" s="231" t="s">
        <v>117</v>
      </c>
      <c r="C2" s="232"/>
      <c r="D2" s="232"/>
      <c r="E2" s="232"/>
      <c r="F2" s="232"/>
      <c r="G2" s="232"/>
      <c r="H2" s="232"/>
      <c r="I2" s="233"/>
    </row>
    <row r="3" spans="1:10" ht="14.65" thickBot="1" x14ac:dyDescent="0.5">
      <c r="A3" s="127" t="s">
        <v>106</v>
      </c>
      <c r="B3" s="234" t="s">
        <v>116</v>
      </c>
      <c r="C3" s="235"/>
      <c r="D3" s="235"/>
      <c r="E3" s="235"/>
      <c r="F3" s="235"/>
      <c r="G3" s="235"/>
      <c r="H3" s="236"/>
      <c r="I3" s="128"/>
    </row>
    <row r="4" spans="1:10" ht="14.65" thickBot="1" x14ac:dyDescent="0.5">
      <c r="A4" s="127"/>
      <c r="B4" s="128" t="s">
        <v>111</v>
      </c>
      <c r="C4" s="128" t="s">
        <v>112</v>
      </c>
      <c r="D4" s="128" t="s">
        <v>235</v>
      </c>
      <c r="E4" s="128" t="s">
        <v>113</v>
      </c>
      <c r="F4" s="128" t="s">
        <v>114</v>
      </c>
      <c r="G4" s="128" t="s">
        <v>236</v>
      </c>
      <c r="H4" s="128" t="s">
        <v>115</v>
      </c>
      <c r="I4" s="128" t="s">
        <v>237</v>
      </c>
    </row>
    <row r="5" spans="1:10" ht="14.65" thickBot="1" x14ac:dyDescent="0.5">
      <c r="A5" s="129" t="s">
        <v>238</v>
      </c>
      <c r="B5" s="130">
        <v>12000</v>
      </c>
      <c r="C5" s="130">
        <v>13000</v>
      </c>
      <c r="D5" s="130">
        <v>15000</v>
      </c>
      <c r="E5" s="130">
        <v>20000</v>
      </c>
      <c r="F5" s="130">
        <v>25000</v>
      </c>
      <c r="G5" s="130">
        <v>30000</v>
      </c>
      <c r="H5" s="130">
        <v>35000</v>
      </c>
      <c r="I5" s="130">
        <v>40000</v>
      </c>
    </row>
    <row r="6" spans="1:10" ht="14.65" thickBot="1" x14ac:dyDescent="0.5">
      <c r="A6" s="129" t="s">
        <v>107</v>
      </c>
      <c r="B6" s="130">
        <v>9600</v>
      </c>
      <c r="C6" s="130">
        <v>10400</v>
      </c>
      <c r="D6" s="130">
        <v>12000</v>
      </c>
      <c r="E6" s="130">
        <v>16000</v>
      </c>
      <c r="F6" s="130">
        <v>20000</v>
      </c>
      <c r="G6" s="130">
        <v>24000</v>
      </c>
      <c r="H6" s="130">
        <v>28000</v>
      </c>
      <c r="I6" s="130">
        <v>32000</v>
      </c>
    </row>
    <row r="7" spans="1:10" ht="14.65" thickBot="1" x14ac:dyDescent="0.5">
      <c r="A7" s="129" t="s">
        <v>108</v>
      </c>
      <c r="B7" s="130">
        <v>8640</v>
      </c>
      <c r="C7" s="130">
        <v>9360</v>
      </c>
      <c r="D7" s="130">
        <v>10800</v>
      </c>
      <c r="E7" s="130">
        <v>14400</v>
      </c>
      <c r="F7" s="130">
        <v>18000</v>
      </c>
      <c r="G7" s="130">
        <v>21600</v>
      </c>
      <c r="H7" s="130">
        <v>25200</v>
      </c>
      <c r="I7" s="130">
        <v>25600</v>
      </c>
    </row>
    <row r="8" spans="1:10" ht="14.65" thickBot="1" x14ac:dyDescent="0.5">
      <c r="A8" s="129" t="s">
        <v>109</v>
      </c>
      <c r="B8" s="130">
        <v>8400</v>
      </c>
      <c r="C8" s="130">
        <v>9100</v>
      </c>
      <c r="D8" s="130">
        <v>10500</v>
      </c>
      <c r="E8" s="130">
        <v>14000</v>
      </c>
      <c r="F8" s="130">
        <v>17500</v>
      </c>
      <c r="G8" s="130">
        <v>21000</v>
      </c>
      <c r="H8" s="130">
        <v>24500</v>
      </c>
      <c r="I8" s="130">
        <v>28000</v>
      </c>
    </row>
    <row r="9" spans="1:10" ht="14.65" thickBot="1" x14ac:dyDescent="0.5">
      <c r="A9" s="129" t="s">
        <v>110</v>
      </c>
      <c r="B9" s="130">
        <v>7200</v>
      </c>
      <c r="C9" s="130">
        <v>7800</v>
      </c>
      <c r="D9" s="130">
        <v>9000</v>
      </c>
      <c r="E9" s="130">
        <v>12000</v>
      </c>
      <c r="F9" s="130">
        <v>15000</v>
      </c>
      <c r="G9" s="130">
        <v>18000</v>
      </c>
      <c r="H9" s="130">
        <v>21000</v>
      </c>
      <c r="I9" s="130">
        <v>24000</v>
      </c>
    </row>
    <row r="10" spans="1:10" ht="14.65" thickBot="1" x14ac:dyDescent="0.5">
      <c r="A10" s="129"/>
      <c r="B10" s="130">
        <v>45840</v>
      </c>
      <c r="C10" s="130">
        <v>49660</v>
      </c>
      <c r="D10" s="130">
        <v>57300</v>
      </c>
      <c r="E10" s="130">
        <v>76400</v>
      </c>
      <c r="F10" s="130">
        <v>95500</v>
      </c>
      <c r="G10" s="130">
        <v>114600</v>
      </c>
      <c r="H10" s="130">
        <v>133700</v>
      </c>
      <c r="I10" s="130">
        <v>149600</v>
      </c>
    </row>
    <row r="11" spans="1:10" ht="14.65" thickBot="1" x14ac:dyDescent="0.5">
      <c r="A11" s="131" t="s">
        <v>239</v>
      </c>
      <c r="B11" s="132">
        <v>0.25</v>
      </c>
      <c r="C11" s="132">
        <v>0.25</v>
      </c>
      <c r="D11" s="132">
        <v>0.26</v>
      </c>
      <c r="E11" s="132">
        <v>0.26</v>
      </c>
      <c r="F11" s="132">
        <v>0.27</v>
      </c>
      <c r="G11" s="132">
        <v>0.27</v>
      </c>
      <c r="H11" s="132">
        <v>0.28000000000000003</v>
      </c>
      <c r="I11" s="132">
        <v>0.28999999999999998</v>
      </c>
    </row>
    <row r="12" spans="1:10" x14ac:dyDescent="0.45">
      <c r="A12" s="124"/>
    </row>
    <row r="13" spans="1:10" x14ac:dyDescent="0.45">
      <c r="A13" s="124"/>
    </row>
    <row r="14" spans="1:10" x14ac:dyDescent="0.45">
      <c r="A14" t="s">
        <v>243</v>
      </c>
    </row>
    <row r="15" spans="1:10" x14ac:dyDescent="0.45">
      <c r="A15" t="s">
        <v>244</v>
      </c>
    </row>
  </sheetData>
  <mergeCells count="2">
    <mergeCell ref="B2:I2"/>
    <mergeCell ref="B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K330"/>
  <sheetViews>
    <sheetView zoomScale="50" zoomScaleNormal="50" workbookViewId="0">
      <selection activeCell="A5" sqref="A5"/>
    </sheetView>
  </sheetViews>
  <sheetFormatPr baseColWidth="10" defaultColWidth="10" defaultRowHeight="30" customHeight="1" x14ac:dyDescent="0.45"/>
  <cols>
    <col min="1" max="1" width="59.73046875" style="67" customWidth="1"/>
    <col min="2" max="2" width="44.3984375" style="210" customWidth="1"/>
    <col min="3" max="3" width="33.86328125" style="78" bestFit="1" customWidth="1"/>
    <col min="4" max="4" width="33.86328125" style="215" customWidth="1"/>
    <col min="5" max="5" width="33.73046875" style="83" customWidth="1"/>
    <col min="6" max="6" width="16.3984375" style="78" bestFit="1" customWidth="1"/>
    <col min="7" max="7" width="16.265625" style="78" customWidth="1"/>
    <col min="8" max="8" width="14.86328125" style="78" bestFit="1" customWidth="1"/>
    <col min="9" max="9" width="15" style="78" bestFit="1" customWidth="1"/>
    <col min="10" max="10" width="41" style="67" bestFit="1" customWidth="1"/>
    <col min="11" max="11" width="61.86328125" style="32" bestFit="1" customWidth="1"/>
    <col min="12" max="12" width="91.59765625" style="32" customWidth="1"/>
    <col min="13" max="16384" width="10" style="32"/>
  </cols>
  <sheetData>
    <row r="1" spans="1:11" s="62" customFormat="1" ht="54" customHeight="1" x14ac:dyDescent="0.45">
      <c r="A1" s="64">
        <v>2018</v>
      </c>
      <c r="B1" s="180"/>
      <c r="C1" s="68"/>
      <c r="D1" s="213"/>
      <c r="E1" s="69"/>
      <c r="F1" s="238"/>
      <c r="G1" s="238"/>
      <c r="H1" s="238"/>
      <c r="I1" s="238"/>
      <c r="J1" s="68"/>
      <c r="K1" s="61"/>
    </row>
    <row r="2" spans="1:11" s="62" customFormat="1" ht="61.15" x14ac:dyDescent="0.45">
      <c r="A2" s="64"/>
      <c r="B2" s="179" t="s">
        <v>215</v>
      </c>
      <c r="C2" s="68"/>
      <c r="D2" s="213"/>
      <c r="E2" s="68"/>
      <c r="F2" s="237" t="s">
        <v>101</v>
      </c>
      <c r="G2" s="237"/>
      <c r="H2" s="237"/>
      <c r="I2" s="237"/>
      <c r="J2" s="68"/>
      <c r="K2" s="61"/>
    </row>
    <row r="3" spans="1:11" s="62" customFormat="1" ht="28.9" customHeight="1" x14ac:dyDescent="0.45">
      <c r="A3" s="64"/>
      <c r="B3" s="180"/>
      <c r="C3" s="68"/>
      <c r="D3" s="213"/>
      <c r="E3" s="69"/>
      <c r="F3" s="237">
        <f>F5+G5+H5+I5</f>
        <v>528517</v>
      </c>
      <c r="G3" s="237"/>
      <c r="H3" s="237"/>
      <c r="I3" s="237"/>
      <c r="J3" s="68"/>
      <c r="K3" s="61"/>
    </row>
    <row r="4" spans="1:11" s="63" customFormat="1" ht="24.75" customHeight="1" x14ac:dyDescent="0.45">
      <c r="A4" s="65" t="s">
        <v>1</v>
      </c>
      <c r="B4" s="70" t="s">
        <v>97</v>
      </c>
      <c r="C4" s="70" t="s">
        <v>98</v>
      </c>
      <c r="D4" s="71" t="s">
        <v>288</v>
      </c>
      <c r="E4" s="71" t="s">
        <v>287</v>
      </c>
      <c r="F4" s="70" t="s">
        <v>102</v>
      </c>
      <c r="G4" s="70" t="s">
        <v>103</v>
      </c>
      <c r="H4" s="70" t="s">
        <v>104</v>
      </c>
      <c r="I4" s="70" t="s">
        <v>105</v>
      </c>
      <c r="J4" s="72" t="s">
        <v>5</v>
      </c>
      <c r="K4" s="63" t="s">
        <v>218</v>
      </c>
    </row>
    <row r="5" spans="1:11" s="137" customFormat="1" ht="30" customHeight="1" x14ac:dyDescent="0.45">
      <c r="A5" s="134">
        <f>J5+F3</f>
        <v>1120198.9926</v>
      </c>
      <c r="B5" s="135">
        <f>SUM(B8:B1048576)</f>
        <v>837054.69999999972</v>
      </c>
      <c r="C5" s="135">
        <f>SUM(C8:C1048576)</f>
        <v>63164.992599999983</v>
      </c>
      <c r="D5" s="136"/>
      <c r="E5" s="136"/>
      <c r="F5" s="135">
        <f>SUM(F$8:F$1048576)</f>
        <v>296917</v>
      </c>
      <c r="G5" s="135">
        <f>SUM(G$8:G$1048576)</f>
        <v>143200</v>
      </c>
      <c r="H5" s="135">
        <f>SUM(H$8:H$1048576)</f>
        <v>52000</v>
      </c>
      <c r="I5" s="135">
        <f>SUM(I$8:I$1048576)</f>
        <v>36400</v>
      </c>
      <c r="J5" s="135">
        <f>SUM(J8:J1048576)</f>
        <v>591681.9926</v>
      </c>
    </row>
    <row r="6" spans="1:11" s="21" customFormat="1" ht="27" customHeight="1" x14ac:dyDescent="0.45">
      <c r="A6" s="66"/>
      <c r="B6" s="73"/>
      <c r="C6" s="73"/>
      <c r="D6" s="74"/>
      <c r="E6" s="74"/>
      <c r="F6" s="73"/>
      <c r="G6" s="73"/>
      <c r="H6" s="73"/>
      <c r="I6" s="75"/>
      <c r="J6" s="73"/>
    </row>
    <row r="7" spans="1:11" s="17" customFormat="1" ht="17.100000000000001" customHeight="1" x14ac:dyDescent="0.45">
      <c r="A7" s="94" t="s">
        <v>6</v>
      </c>
      <c r="B7" s="211" t="s">
        <v>61</v>
      </c>
      <c r="C7" s="16" t="s">
        <v>62</v>
      </c>
      <c r="D7" s="214"/>
      <c r="E7" s="59"/>
      <c r="F7" s="16"/>
      <c r="G7" s="16"/>
      <c r="H7" s="16"/>
      <c r="I7" s="46"/>
      <c r="J7" s="16" t="s">
        <v>19</v>
      </c>
    </row>
    <row r="8" spans="1:11" ht="30" customHeight="1" x14ac:dyDescent="0.45">
      <c r="A8" s="95" t="s">
        <v>32</v>
      </c>
      <c r="B8" s="76">
        <f>'CA TOTAL 2018'!B41</f>
        <v>0</v>
      </c>
      <c r="C8" s="76">
        <f>B8*8%</f>
        <v>0</v>
      </c>
      <c r="D8" s="77">
        <v>0.2</v>
      </c>
      <c r="E8" s="77">
        <v>0.08</v>
      </c>
      <c r="F8" s="76">
        <v>13000</v>
      </c>
      <c r="G8" s="76"/>
      <c r="H8" s="76"/>
      <c r="J8" s="78">
        <f t="shared" ref="J8:J37" si="0">C8+F8+G8+H8+I8</f>
        <v>13000</v>
      </c>
    </row>
    <row r="9" spans="1:11" ht="30" customHeight="1" x14ac:dyDescent="0.45">
      <c r="A9" s="96" t="s">
        <v>71</v>
      </c>
      <c r="B9" s="76">
        <f>'CA TOTAL 2018'!B31</f>
        <v>32406.349999999977</v>
      </c>
      <c r="C9" s="76">
        <f t="shared" ref="C9:C55" si="1">B9*8%</f>
        <v>2592.507999999998</v>
      </c>
      <c r="D9" s="77">
        <v>0.2</v>
      </c>
      <c r="E9" s="77">
        <v>0.08</v>
      </c>
      <c r="F9" s="76"/>
      <c r="G9" s="76"/>
      <c r="H9" s="76"/>
      <c r="J9" s="78">
        <f t="shared" si="0"/>
        <v>2592.507999999998</v>
      </c>
      <c r="K9" s="32" t="s">
        <v>207</v>
      </c>
    </row>
    <row r="10" spans="1:11" ht="30" customHeight="1" x14ac:dyDescent="0.45">
      <c r="A10" s="97" t="s">
        <v>79</v>
      </c>
      <c r="B10" s="76">
        <f>'CA TOTAL 2018'!B35</f>
        <v>30115.759999999973</v>
      </c>
      <c r="C10" s="76">
        <f>B10*10%</f>
        <v>3011.5759999999973</v>
      </c>
      <c r="D10" s="77">
        <v>0.2</v>
      </c>
      <c r="E10" s="77">
        <v>0.1</v>
      </c>
      <c r="F10" s="79">
        <v>3000</v>
      </c>
      <c r="G10" s="76">
        <v>10000</v>
      </c>
      <c r="H10" s="76"/>
      <c r="J10" s="78">
        <f t="shared" si="0"/>
        <v>16011.575999999997</v>
      </c>
    </row>
    <row r="11" spans="1:11" ht="30" customHeight="1" x14ac:dyDescent="0.45">
      <c r="A11" s="96" t="s">
        <v>91</v>
      </c>
      <c r="B11" s="76">
        <f>'CA TOTAL 2018'!B26</f>
        <v>18638.549999999992</v>
      </c>
      <c r="C11" s="76">
        <f>B11*5%</f>
        <v>931.92749999999967</v>
      </c>
      <c r="D11" s="77">
        <v>0.2</v>
      </c>
      <c r="E11" s="77">
        <v>0.05</v>
      </c>
      <c r="F11" s="76"/>
      <c r="G11" s="76">
        <v>10000</v>
      </c>
      <c r="H11" s="76"/>
      <c r="J11" s="78">
        <f t="shared" si="0"/>
        <v>10931.9275</v>
      </c>
    </row>
    <row r="12" spans="1:11" ht="30" customHeight="1" x14ac:dyDescent="0.45">
      <c r="A12" s="97" t="s">
        <v>92</v>
      </c>
      <c r="B12" s="76">
        <f>'CA TOTAL 2018'!B15</f>
        <v>17939.38</v>
      </c>
      <c r="C12" s="76">
        <f>B12*7%</f>
        <v>1255.7566000000002</v>
      </c>
      <c r="D12" s="77">
        <v>0.2</v>
      </c>
      <c r="E12" s="77">
        <v>7.0000000000000007E-2</v>
      </c>
      <c r="F12" s="76">
        <v>3750</v>
      </c>
      <c r="G12" s="76">
        <v>12000</v>
      </c>
      <c r="H12" s="76"/>
      <c r="J12" s="78">
        <f t="shared" si="0"/>
        <v>17005.756600000001</v>
      </c>
    </row>
    <row r="13" spans="1:11" ht="30" customHeight="1" x14ac:dyDescent="0.45">
      <c r="A13" s="96" t="s">
        <v>72</v>
      </c>
      <c r="B13" s="76">
        <f>'CA TOTAL 2018'!B32</f>
        <v>19020.579999999998</v>
      </c>
      <c r="C13" s="76">
        <f t="shared" si="1"/>
        <v>1521.6463999999999</v>
      </c>
      <c r="D13" s="77">
        <v>0.2</v>
      </c>
      <c r="E13" s="77">
        <v>0.08</v>
      </c>
      <c r="F13" s="76">
        <v>13000</v>
      </c>
      <c r="G13" s="76"/>
      <c r="H13" s="76"/>
      <c r="J13" s="78">
        <f t="shared" si="0"/>
        <v>14521.6464</v>
      </c>
    </row>
    <row r="14" spans="1:11" ht="30" customHeight="1" x14ac:dyDescent="0.45">
      <c r="A14" s="97" t="s">
        <v>86</v>
      </c>
      <c r="B14" s="76">
        <f>'CA TOTAL 2018'!B14</f>
        <v>28011.130000000005</v>
      </c>
      <c r="C14" s="76">
        <f>B14*7%</f>
        <v>1960.7791000000004</v>
      </c>
      <c r="D14" s="77">
        <v>0.2</v>
      </c>
      <c r="E14" s="77">
        <v>7.0000000000000007E-2</v>
      </c>
      <c r="F14" s="76"/>
      <c r="G14" s="76">
        <v>15500</v>
      </c>
      <c r="H14" s="76"/>
      <c r="J14" s="78">
        <f t="shared" si="0"/>
        <v>17460.7791</v>
      </c>
    </row>
    <row r="15" spans="1:11" ht="30" customHeight="1" x14ac:dyDescent="0.45">
      <c r="A15" s="96" t="s">
        <v>84</v>
      </c>
      <c r="B15" s="76">
        <f>'CA TOTAL 2018'!B23</f>
        <v>14457.839999999997</v>
      </c>
      <c r="C15" s="76">
        <f>B15*7%</f>
        <v>1012.0487999999998</v>
      </c>
      <c r="D15" s="77">
        <v>0.15</v>
      </c>
      <c r="E15" s="77">
        <v>7.0000000000000007E-2</v>
      </c>
      <c r="F15" s="76"/>
      <c r="G15" s="76"/>
      <c r="H15" s="76"/>
      <c r="J15" s="78">
        <f t="shared" si="0"/>
        <v>1012.0487999999998</v>
      </c>
      <c r="K15" s="32" t="s">
        <v>285</v>
      </c>
    </row>
    <row r="16" spans="1:11" ht="30" customHeight="1" x14ac:dyDescent="0.45">
      <c r="A16" s="97" t="s">
        <v>65</v>
      </c>
      <c r="B16" s="76">
        <f>'CA TOTAL 2018'!B21</f>
        <v>35297.759999999987</v>
      </c>
      <c r="C16" s="76">
        <f>B16*7%</f>
        <v>2470.8431999999993</v>
      </c>
      <c r="D16" s="77">
        <v>0.2</v>
      </c>
      <c r="E16" s="77">
        <v>7.0000000000000007E-2</v>
      </c>
      <c r="F16" s="76"/>
      <c r="G16" s="76">
        <v>6200</v>
      </c>
      <c r="H16" s="76">
        <v>12000</v>
      </c>
      <c r="J16" s="78">
        <f t="shared" si="0"/>
        <v>20670.843199999999</v>
      </c>
    </row>
    <row r="17" spans="1:11" ht="30" customHeight="1" x14ac:dyDescent="0.45">
      <c r="A17" s="95" t="s">
        <v>48</v>
      </c>
      <c r="C17" s="76">
        <f t="shared" si="1"/>
        <v>0</v>
      </c>
      <c r="D17" s="77">
        <v>0.2</v>
      </c>
      <c r="J17" s="78">
        <f t="shared" si="0"/>
        <v>0</v>
      </c>
    </row>
    <row r="18" spans="1:11" ht="30" customHeight="1" x14ac:dyDescent="0.45">
      <c r="A18" s="98" t="s">
        <v>41</v>
      </c>
      <c r="B18" s="76"/>
      <c r="C18" s="76">
        <f t="shared" si="1"/>
        <v>0</v>
      </c>
      <c r="D18" s="77">
        <v>0.2</v>
      </c>
      <c r="E18" s="77"/>
      <c r="F18" s="76">
        <v>13000</v>
      </c>
      <c r="G18" s="76"/>
      <c r="H18" s="76"/>
      <c r="I18" s="80"/>
      <c r="J18" s="78">
        <f t="shared" si="0"/>
        <v>13000</v>
      </c>
    </row>
    <row r="19" spans="1:11" ht="30" customHeight="1" x14ac:dyDescent="0.45">
      <c r="A19" s="98" t="s">
        <v>47</v>
      </c>
      <c r="C19" s="76">
        <f t="shared" si="1"/>
        <v>0</v>
      </c>
      <c r="D19" s="77">
        <v>0.2</v>
      </c>
      <c r="J19" s="78">
        <f t="shared" si="0"/>
        <v>0</v>
      </c>
    </row>
    <row r="20" spans="1:11" ht="30" customHeight="1" x14ac:dyDescent="0.45">
      <c r="A20" s="95" t="s">
        <v>46</v>
      </c>
      <c r="C20" s="76">
        <f t="shared" si="1"/>
        <v>0</v>
      </c>
      <c r="D20" s="77">
        <v>0.2</v>
      </c>
      <c r="J20" s="78">
        <f t="shared" si="0"/>
        <v>0</v>
      </c>
    </row>
    <row r="21" spans="1:11" ht="30" customHeight="1" x14ac:dyDescent="0.45">
      <c r="A21" s="97" t="s">
        <v>74</v>
      </c>
      <c r="B21" s="76">
        <f>'CA TOTAL 2018'!B27</f>
        <v>23458.209999999992</v>
      </c>
      <c r="C21" s="76">
        <f>B21*6%</f>
        <v>1407.4925999999994</v>
      </c>
      <c r="D21" s="77">
        <v>0.2</v>
      </c>
      <c r="E21" s="77">
        <v>0.06</v>
      </c>
      <c r="F21" s="76">
        <v>15000</v>
      </c>
      <c r="G21" s="76"/>
      <c r="H21" s="76"/>
      <c r="I21" s="80"/>
      <c r="J21" s="78">
        <f t="shared" si="0"/>
        <v>16407.492599999998</v>
      </c>
    </row>
    <row r="22" spans="1:11" ht="30" customHeight="1" x14ac:dyDescent="0.45">
      <c r="A22" s="96" t="s">
        <v>87</v>
      </c>
      <c r="B22" s="76">
        <f>'CA TOTAL 2018'!B36</f>
        <v>18698.530000000006</v>
      </c>
      <c r="C22" s="76">
        <f t="shared" si="1"/>
        <v>1495.8824000000004</v>
      </c>
      <c r="D22" s="77">
        <v>0.2</v>
      </c>
      <c r="E22" s="77">
        <v>0.08</v>
      </c>
      <c r="F22" s="76"/>
      <c r="G22" s="76">
        <v>3000</v>
      </c>
      <c r="H22" s="76">
        <v>10000</v>
      </c>
      <c r="I22" s="80"/>
      <c r="J22" s="78">
        <f t="shared" si="0"/>
        <v>14495.8824</v>
      </c>
    </row>
    <row r="23" spans="1:11" ht="30" customHeight="1" x14ac:dyDescent="0.45">
      <c r="A23" s="97" t="s">
        <v>93</v>
      </c>
      <c r="B23" s="76">
        <f>'CA TOTAL 2018'!B6</f>
        <v>7624.38</v>
      </c>
      <c r="C23" s="76">
        <f>B23*7%</f>
        <v>533.70660000000009</v>
      </c>
      <c r="D23" s="77">
        <v>0.15</v>
      </c>
      <c r="E23" s="77">
        <v>7.0000000000000007E-2</v>
      </c>
      <c r="F23" s="76">
        <v>10000</v>
      </c>
      <c r="G23" s="76"/>
      <c r="H23" s="76"/>
      <c r="I23" s="80"/>
      <c r="J23" s="78">
        <f t="shared" si="0"/>
        <v>10533.7066</v>
      </c>
    </row>
    <row r="24" spans="1:11" ht="30" customHeight="1" x14ac:dyDescent="0.45">
      <c r="A24" s="96" t="s">
        <v>66</v>
      </c>
      <c r="B24" s="76">
        <f>'CA TOTAL 2018'!B37</f>
        <v>25901.12000000001</v>
      </c>
      <c r="C24" s="76">
        <f>B24*5%</f>
        <v>1295.0560000000005</v>
      </c>
      <c r="D24" s="77">
        <v>0.2</v>
      </c>
      <c r="E24" s="77">
        <v>0.05</v>
      </c>
      <c r="F24" s="76"/>
      <c r="G24" s="76"/>
      <c r="H24" s="76"/>
      <c r="I24" s="80"/>
      <c r="J24" s="78">
        <f t="shared" si="0"/>
        <v>1295.0560000000005</v>
      </c>
      <c r="K24" s="32" t="s">
        <v>286</v>
      </c>
    </row>
    <row r="25" spans="1:11" ht="30" customHeight="1" x14ac:dyDescent="0.45">
      <c r="A25" s="97" t="s">
        <v>81</v>
      </c>
      <c r="B25" s="76">
        <f>'CA TOTAL 2018'!B17</f>
        <v>36954.399999999965</v>
      </c>
      <c r="C25" s="76">
        <f>B25*7%</f>
        <v>2586.8079999999977</v>
      </c>
      <c r="D25" s="77">
        <v>0.2</v>
      </c>
      <c r="E25" s="77">
        <v>7.0000000000000007E-2</v>
      </c>
      <c r="F25" s="76"/>
      <c r="G25" s="76"/>
      <c r="H25" s="76"/>
      <c r="I25" s="80"/>
      <c r="J25" s="78">
        <f t="shared" si="0"/>
        <v>2586.8079999999977</v>
      </c>
      <c r="K25" s="32" t="s">
        <v>208</v>
      </c>
    </row>
    <row r="26" spans="1:11" ht="30" customHeight="1" x14ac:dyDescent="0.45">
      <c r="A26" s="96" t="s">
        <v>80</v>
      </c>
      <c r="B26" s="76">
        <f>'CA TOTAL 2018'!B34</f>
        <v>25960.259999999966</v>
      </c>
      <c r="C26" s="76">
        <f>B26*7%</f>
        <v>1817.2181999999978</v>
      </c>
      <c r="D26" s="77">
        <v>0.2</v>
      </c>
      <c r="E26" s="77">
        <v>7.0000000000000007E-2</v>
      </c>
      <c r="F26" s="76"/>
      <c r="G26" s="76"/>
      <c r="H26" s="76">
        <v>10000</v>
      </c>
      <c r="I26" s="80"/>
      <c r="J26" s="78">
        <f t="shared" si="0"/>
        <v>11817.218199999998</v>
      </c>
    </row>
    <row r="27" spans="1:11" s="60" customFormat="1" ht="30" customHeight="1" x14ac:dyDescent="0.45">
      <c r="A27" s="97" t="s">
        <v>94</v>
      </c>
      <c r="B27" s="76">
        <f>'CA TOTAL 2018'!B39</f>
        <v>10878.9</v>
      </c>
      <c r="C27" s="76">
        <f>B27*7%</f>
        <v>761.52300000000002</v>
      </c>
      <c r="D27" s="77">
        <v>0.15</v>
      </c>
      <c r="E27" s="77">
        <v>7.0000000000000007E-2</v>
      </c>
      <c r="F27" s="76"/>
      <c r="G27" s="76"/>
      <c r="H27" s="76"/>
      <c r="I27" s="80"/>
      <c r="J27" s="78">
        <f t="shared" si="0"/>
        <v>761.52300000000002</v>
      </c>
      <c r="K27" s="32"/>
    </row>
    <row r="28" spans="1:11" s="220" customFormat="1" ht="30" customHeight="1" x14ac:dyDescent="0.45">
      <c r="A28" s="216" t="s">
        <v>63</v>
      </c>
      <c r="B28" s="217">
        <f>'CA TOTAL 2018'!B16</f>
        <v>9951.0500000000011</v>
      </c>
      <c r="C28" s="217">
        <f t="shared" si="1"/>
        <v>796.08400000000006</v>
      </c>
      <c r="D28" s="218">
        <v>0.2</v>
      </c>
      <c r="E28" s="218"/>
      <c r="F28" s="217"/>
      <c r="G28" s="217"/>
      <c r="H28" s="217"/>
      <c r="I28" s="219"/>
      <c r="J28" s="219">
        <f t="shared" si="0"/>
        <v>796.08400000000006</v>
      </c>
      <c r="K28" s="220" t="s">
        <v>289</v>
      </c>
    </row>
    <row r="29" spans="1:11" ht="30" customHeight="1" x14ac:dyDescent="0.45">
      <c r="A29" s="97" t="s">
        <v>83</v>
      </c>
      <c r="B29" s="76">
        <f>'CA TOTAL 2018'!B11</f>
        <v>59592.71</v>
      </c>
      <c r="C29" s="76">
        <f>B29*7%</f>
        <v>4171.4897000000001</v>
      </c>
      <c r="D29" s="77">
        <v>0.2</v>
      </c>
      <c r="E29" s="77">
        <v>7.0000000000000007E-2</v>
      </c>
      <c r="F29" s="76"/>
      <c r="G29" s="76"/>
      <c r="H29" s="76"/>
      <c r="I29" s="80">
        <v>21000</v>
      </c>
      <c r="J29" s="78">
        <f t="shared" si="0"/>
        <v>25171.489699999998</v>
      </c>
    </row>
    <row r="30" spans="1:11" s="117" customFormat="1" ht="30" customHeight="1" x14ac:dyDescent="0.45">
      <c r="A30" s="116" t="s">
        <v>76</v>
      </c>
      <c r="B30" s="76">
        <f>'CA TOTAL 2018'!B19</f>
        <v>18988.700000000004</v>
      </c>
      <c r="C30" s="76">
        <f>B30*7%</f>
        <v>1329.2090000000005</v>
      </c>
      <c r="D30" s="77">
        <v>0.15</v>
      </c>
      <c r="E30" s="77">
        <v>7.0000000000000007E-2</v>
      </c>
      <c r="F30" s="76"/>
      <c r="G30" s="76"/>
      <c r="H30" s="76"/>
      <c r="I30" s="80"/>
      <c r="J30" s="80">
        <f t="shared" si="0"/>
        <v>1329.2090000000005</v>
      </c>
      <c r="K30" s="117" t="s">
        <v>211</v>
      </c>
    </row>
    <row r="31" spans="1:11" ht="30" customHeight="1" x14ac:dyDescent="0.45">
      <c r="A31" s="97" t="s">
        <v>75</v>
      </c>
      <c r="B31" s="210">
        <f>'CA TOTAL 2018'!B28</f>
        <v>10570.480000000007</v>
      </c>
      <c r="C31" s="76">
        <f>B31*7%</f>
        <v>739.93360000000052</v>
      </c>
      <c r="D31" s="77">
        <v>0.15</v>
      </c>
      <c r="E31" s="83">
        <v>7.0000000000000007E-2</v>
      </c>
      <c r="F31" s="78">
        <v>8000</v>
      </c>
      <c r="G31" s="78">
        <v>9000</v>
      </c>
      <c r="J31" s="78">
        <f t="shared" si="0"/>
        <v>17739.9336</v>
      </c>
      <c r="K31" s="32" t="s">
        <v>209</v>
      </c>
    </row>
    <row r="32" spans="1:11" ht="30" customHeight="1" x14ac:dyDescent="0.45">
      <c r="A32" s="96" t="s">
        <v>78</v>
      </c>
      <c r="B32" s="210">
        <f>'CA TOTAL 2018'!B18</f>
        <v>35281.390000000007</v>
      </c>
      <c r="C32" s="76">
        <f>B32*7%</f>
        <v>2469.6973000000007</v>
      </c>
      <c r="D32" s="77">
        <v>0.2</v>
      </c>
      <c r="E32" s="83">
        <v>7.0000000000000007E-2</v>
      </c>
      <c r="H32" s="78">
        <v>10000</v>
      </c>
      <c r="J32" s="78">
        <f t="shared" si="0"/>
        <v>12469.6973</v>
      </c>
    </row>
    <row r="33" spans="1:11" ht="30" customHeight="1" x14ac:dyDescent="0.45">
      <c r="A33" s="97" t="s">
        <v>73</v>
      </c>
      <c r="B33" s="210">
        <f>'CA TOTAL 2018'!B30</f>
        <v>22223.079999999994</v>
      </c>
      <c r="C33" s="76">
        <f t="shared" si="1"/>
        <v>1777.8463999999997</v>
      </c>
      <c r="D33" s="77">
        <v>0.2</v>
      </c>
      <c r="J33" s="78">
        <f t="shared" si="0"/>
        <v>1777.8463999999997</v>
      </c>
      <c r="K33" s="32" t="s">
        <v>210</v>
      </c>
    </row>
    <row r="34" spans="1:11" ht="30" customHeight="1" x14ac:dyDescent="0.45">
      <c r="A34" s="96" t="s">
        <v>179</v>
      </c>
      <c r="C34" s="76">
        <f t="shared" si="1"/>
        <v>0</v>
      </c>
      <c r="D34" s="77">
        <v>0.18</v>
      </c>
      <c r="F34" s="78">
        <v>15000</v>
      </c>
      <c r="J34" s="78">
        <f t="shared" si="0"/>
        <v>15000</v>
      </c>
    </row>
    <row r="35" spans="1:11" ht="30" customHeight="1" x14ac:dyDescent="0.45">
      <c r="A35" s="98" t="s">
        <v>20</v>
      </c>
      <c r="C35" s="76">
        <f t="shared" si="1"/>
        <v>0</v>
      </c>
      <c r="D35" s="77">
        <v>0.18</v>
      </c>
      <c r="F35" s="78">
        <v>13000</v>
      </c>
      <c r="J35" s="78">
        <f t="shared" si="0"/>
        <v>13000</v>
      </c>
    </row>
    <row r="36" spans="1:11" ht="30" customHeight="1" x14ac:dyDescent="0.45">
      <c r="A36" s="97" t="s">
        <v>96</v>
      </c>
      <c r="B36" s="210">
        <f>'CA TOTAL 2018'!B43</f>
        <v>22445.4</v>
      </c>
      <c r="C36" s="76">
        <f>B36*7%</f>
        <v>1571.1780000000003</v>
      </c>
      <c r="D36" s="77">
        <v>0.2</v>
      </c>
      <c r="E36" s="83">
        <v>7.0000000000000007E-2</v>
      </c>
      <c r="F36" s="78">
        <v>15000</v>
      </c>
      <c r="J36" s="78">
        <f t="shared" si="0"/>
        <v>16571.178</v>
      </c>
    </row>
    <row r="37" spans="1:11" ht="30" customHeight="1" x14ac:dyDescent="0.45">
      <c r="A37" s="98" t="s">
        <v>51</v>
      </c>
      <c r="B37" s="210">
        <f>'CA TOTAL 2018'!B44</f>
        <v>32184.15</v>
      </c>
      <c r="C37" s="76">
        <f>B37*10%</f>
        <v>3218.4150000000004</v>
      </c>
      <c r="D37" s="77">
        <v>0.18</v>
      </c>
      <c r="E37" s="83">
        <v>0.1</v>
      </c>
      <c r="F37" s="78">
        <v>20000</v>
      </c>
      <c r="J37" s="78">
        <f t="shared" si="0"/>
        <v>23218.415000000001</v>
      </c>
    </row>
    <row r="38" spans="1:11" ht="30" customHeight="1" x14ac:dyDescent="0.45">
      <c r="A38" s="97" t="s">
        <v>216</v>
      </c>
      <c r="C38" s="76">
        <f t="shared" si="1"/>
        <v>0</v>
      </c>
      <c r="D38" s="77">
        <v>0.18</v>
      </c>
      <c r="E38" s="83">
        <v>0.09</v>
      </c>
      <c r="F38" s="78">
        <v>22000</v>
      </c>
      <c r="J38" s="78">
        <f t="shared" ref="J38:J56" si="2">C38+F38+G38+H38+I38</f>
        <v>22000</v>
      </c>
    </row>
    <row r="39" spans="1:11" ht="30" customHeight="1" x14ac:dyDescent="0.45">
      <c r="A39" s="95" t="s">
        <v>36</v>
      </c>
      <c r="C39" s="76">
        <f t="shared" si="1"/>
        <v>0</v>
      </c>
      <c r="D39" s="77">
        <v>0.2</v>
      </c>
      <c r="F39" s="78">
        <v>25000</v>
      </c>
      <c r="J39" s="78">
        <f t="shared" si="2"/>
        <v>25000</v>
      </c>
    </row>
    <row r="40" spans="1:11" ht="30" customHeight="1" x14ac:dyDescent="0.45">
      <c r="A40" s="96" t="s">
        <v>95</v>
      </c>
      <c r="B40" s="210">
        <f>'CA TOTAL 2018'!B47</f>
        <v>23825.1</v>
      </c>
      <c r="C40" s="76">
        <f t="shared" si="1"/>
        <v>1906.0079999999998</v>
      </c>
      <c r="D40" s="77">
        <v>0.2</v>
      </c>
      <c r="E40" s="83">
        <v>0.08</v>
      </c>
      <c r="F40" s="78">
        <v>15000</v>
      </c>
      <c r="J40" s="78">
        <f t="shared" si="2"/>
        <v>16906.008000000002</v>
      </c>
    </row>
    <row r="41" spans="1:11" s="60" customFormat="1" ht="30" customHeight="1" x14ac:dyDescent="0.45">
      <c r="A41" s="95" t="s">
        <v>49</v>
      </c>
      <c r="B41" s="210">
        <f>'CA TOTAL 2018'!B48</f>
        <v>24441.200000000001</v>
      </c>
      <c r="C41" s="76">
        <f t="shared" si="1"/>
        <v>1955.296</v>
      </c>
      <c r="D41" s="77">
        <v>0.2</v>
      </c>
      <c r="E41" s="83">
        <v>0.08</v>
      </c>
      <c r="F41" s="78">
        <v>11500</v>
      </c>
      <c r="G41" s="78"/>
      <c r="H41" s="78"/>
      <c r="I41" s="78"/>
      <c r="J41" s="78">
        <f t="shared" si="2"/>
        <v>13455.296</v>
      </c>
      <c r="K41" s="32"/>
    </row>
    <row r="42" spans="1:11" ht="30" customHeight="1" x14ac:dyDescent="0.45">
      <c r="A42" s="95" t="s">
        <v>169</v>
      </c>
      <c r="C42" s="76">
        <f t="shared" si="1"/>
        <v>0</v>
      </c>
      <c r="D42" s="77">
        <v>0.2</v>
      </c>
      <c r="E42" s="83">
        <v>0.09</v>
      </c>
      <c r="F42" s="78">
        <v>40000</v>
      </c>
      <c r="J42" s="78">
        <f t="shared" si="2"/>
        <v>40000</v>
      </c>
    </row>
    <row r="43" spans="1:11" ht="30" customHeight="1" x14ac:dyDescent="0.45">
      <c r="A43" s="96" t="s">
        <v>90</v>
      </c>
      <c r="B43" s="210">
        <f>'CA TOTAL 2018'!B10</f>
        <v>20100.439999999962</v>
      </c>
      <c r="C43" s="76">
        <f t="shared" si="1"/>
        <v>1608.0351999999971</v>
      </c>
      <c r="D43" s="77">
        <v>0.18</v>
      </c>
      <c r="E43" s="83">
        <v>7.0000000000000007E-2</v>
      </c>
      <c r="G43" s="78">
        <v>8000</v>
      </c>
      <c r="J43" s="78">
        <f t="shared" si="2"/>
        <v>9608.0351999999966</v>
      </c>
    </row>
    <row r="44" spans="1:11" ht="30" customHeight="1" x14ac:dyDescent="0.45">
      <c r="A44" s="99" t="s">
        <v>68</v>
      </c>
      <c r="B44" s="212">
        <f>'CA TOTAL 2018'!B8</f>
        <v>8595.8500000000076</v>
      </c>
      <c r="C44" s="76">
        <f t="shared" si="1"/>
        <v>687.66800000000057</v>
      </c>
      <c r="D44" s="77">
        <v>0.15</v>
      </c>
      <c r="E44" s="81">
        <v>0.06</v>
      </c>
      <c r="F44" s="82"/>
      <c r="G44" s="82"/>
      <c r="H44" s="82"/>
      <c r="I44" s="82"/>
      <c r="J44" s="82">
        <f t="shared" si="2"/>
        <v>687.66800000000057</v>
      </c>
      <c r="K44" s="60" t="s">
        <v>212</v>
      </c>
    </row>
    <row r="45" spans="1:11" ht="30" customHeight="1" x14ac:dyDescent="0.45">
      <c r="A45" s="96" t="s">
        <v>70</v>
      </c>
      <c r="B45" s="210">
        <f>'CA TOTAL 2018'!B22</f>
        <v>17495.63</v>
      </c>
      <c r="C45" s="76">
        <f t="shared" si="1"/>
        <v>1399.6504000000002</v>
      </c>
      <c r="D45" s="77">
        <v>0.18</v>
      </c>
      <c r="E45" s="83">
        <v>7.0000000000000007E-2</v>
      </c>
      <c r="H45" s="78">
        <v>10000</v>
      </c>
      <c r="J45" s="78">
        <f t="shared" si="2"/>
        <v>11399.6504</v>
      </c>
    </row>
    <row r="46" spans="1:11" ht="30" customHeight="1" x14ac:dyDescent="0.45">
      <c r="A46" s="97" t="s">
        <v>64</v>
      </c>
      <c r="B46" s="210">
        <f>'CA TOTAL 2018'!B9</f>
        <v>22018.339999999997</v>
      </c>
      <c r="C46" s="76">
        <f t="shared" si="1"/>
        <v>1761.4671999999998</v>
      </c>
      <c r="D46" s="77">
        <v>0.18</v>
      </c>
      <c r="E46" s="83">
        <v>0.09</v>
      </c>
      <c r="I46" s="78">
        <v>15400</v>
      </c>
      <c r="J46" s="78">
        <f t="shared" si="2"/>
        <v>17161.467199999999</v>
      </c>
    </row>
    <row r="47" spans="1:11" ht="30" customHeight="1" x14ac:dyDescent="0.45">
      <c r="A47" s="96" t="s">
        <v>85</v>
      </c>
      <c r="B47" s="210">
        <f>'CA TOTAL 2018'!B33</f>
        <v>21686.42</v>
      </c>
      <c r="C47" s="76">
        <f t="shared" si="1"/>
        <v>1734.9135999999999</v>
      </c>
      <c r="D47" s="77">
        <v>0.18</v>
      </c>
      <c r="E47" s="83">
        <v>7.0000000000000007E-2</v>
      </c>
      <c r="F47" s="78">
        <v>15000</v>
      </c>
      <c r="G47" s="78">
        <v>12000</v>
      </c>
      <c r="J47" s="78">
        <f t="shared" si="2"/>
        <v>28734.9136</v>
      </c>
      <c r="K47" s="32" t="s">
        <v>213</v>
      </c>
    </row>
    <row r="48" spans="1:11" ht="30" customHeight="1" x14ac:dyDescent="0.45">
      <c r="A48" s="97" t="s">
        <v>100</v>
      </c>
      <c r="B48" s="210">
        <f>'CA TOTAL 2018'!B13</f>
        <v>8859.84</v>
      </c>
      <c r="C48" s="76">
        <f t="shared" si="1"/>
        <v>708.78719999999998</v>
      </c>
      <c r="D48" s="77">
        <v>0.18</v>
      </c>
      <c r="E48" s="83">
        <v>7.0000000000000007E-2</v>
      </c>
      <c r="J48" s="78">
        <f t="shared" si="2"/>
        <v>708.78719999999998</v>
      </c>
      <c r="K48" s="32" t="s">
        <v>289</v>
      </c>
    </row>
    <row r="49" spans="1:11" ht="30" customHeight="1" x14ac:dyDescent="0.45">
      <c r="A49" s="96" t="s">
        <v>99</v>
      </c>
      <c r="B49" s="210">
        <f>'CA TOTAL 2018'!B12</f>
        <v>13416.66</v>
      </c>
      <c r="C49" s="76">
        <f t="shared" si="1"/>
        <v>1073.3327999999999</v>
      </c>
      <c r="D49" s="77">
        <v>0.15</v>
      </c>
      <c r="E49" s="83">
        <v>0.05</v>
      </c>
      <c r="F49" s="78">
        <v>6667</v>
      </c>
      <c r="G49" s="78">
        <v>9000</v>
      </c>
      <c r="J49" s="78">
        <f t="shared" si="2"/>
        <v>16740.3328</v>
      </c>
    </row>
    <row r="50" spans="1:11" ht="30" customHeight="1" x14ac:dyDescent="0.45">
      <c r="A50" s="97" t="s">
        <v>77</v>
      </c>
      <c r="B50" s="210">
        <f>'CA TOTAL 2018'!B20</f>
        <v>32790.31</v>
      </c>
      <c r="C50" s="76">
        <f t="shared" si="1"/>
        <v>2623.2248</v>
      </c>
      <c r="D50" s="77">
        <v>0.18</v>
      </c>
      <c r="E50" s="83">
        <v>0.06</v>
      </c>
      <c r="F50" s="78">
        <v>8000</v>
      </c>
      <c r="G50" s="78">
        <v>9000</v>
      </c>
      <c r="J50" s="78">
        <f t="shared" si="2"/>
        <v>19623.2248</v>
      </c>
    </row>
    <row r="51" spans="1:11" ht="30" customHeight="1" x14ac:dyDescent="0.45">
      <c r="A51" s="96" t="s">
        <v>88</v>
      </c>
      <c r="B51" s="210">
        <f>'CA TOTAL 2018'!B24</f>
        <v>21070.13</v>
      </c>
      <c r="C51" s="76">
        <f t="shared" si="1"/>
        <v>1685.6104</v>
      </c>
      <c r="D51" s="77">
        <v>0.18</v>
      </c>
      <c r="E51" s="83">
        <v>0.05</v>
      </c>
      <c r="F51" s="78">
        <v>12000</v>
      </c>
      <c r="G51" s="78">
        <v>10000</v>
      </c>
      <c r="J51" s="78">
        <f t="shared" si="2"/>
        <v>23685.610399999998</v>
      </c>
      <c r="K51" s="32" t="s">
        <v>214</v>
      </c>
    </row>
    <row r="52" spans="1:11" ht="30" customHeight="1" x14ac:dyDescent="0.45">
      <c r="A52" s="99" t="s">
        <v>67</v>
      </c>
      <c r="B52" s="212">
        <f>'CA TOTAL 2018'!B7</f>
        <v>14004.800000000012</v>
      </c>
      <c r="C52" s="76">
        <f t="shared" si="1"/>
        <v>1120.3840000000009</v>
      </c>
      <c r="D52" s="77">
        <v>0.18</v>
      </c>
      <c r="E52" s="81">
        <v>0.05</v>
      </c>
      <c r="F52" s="82"/>
      <c r="G52" s="82"/>
      <c r="H52" s="82"/>
      <c r="I52" s="82"/>
      <c r="J52" s="82">
        <f t="shared" si="2"/>
        <v>1120.3840000000009</v>
      </c>
      <c r="K52" s="60" t="s">
        <v>212</v>
      </c>
    </row>
    <row r="53" spans="1:11" ht="30" customHeight="1" x14ac:dyDescent="0.45">
      <c r="A53" s="96" t="s">
        <v>89</v>
      </c>
      <c r="B53" s="210">
        <f>'CA TOTAL 2018'!B25</f>
        <v>23804.23</v>
      </c>
      <c r="C53" s="76">
        <f t="shared" si="1"/>
        <v>1904.3384000000001</v>
      </c>
      <c r="D53" s="77">
        <v>0.18</v>
      </c>
      <c r="E53" s="83">
        <v>7.0000000000000007E-2</v>
      </c>
      <c r="G53" s="78">
        <v>12000</v>
      </c>
      <c r="J53" s="78">
        <f t="shared" si="2"/>
        <v>13904.338400000001</v>
      </c>
    </row>
    <row r="54" spans="1:11" ht="30" customHeight="1" x14ac:dyDescent="0.45">
      <c r="A54" s="97" t="s">
        <v>69</v>
      </c>
      <c r="B54" s="210">
        <f>'CA TOTAL 2018'!B29</f>
        <v>16365.640000000001</v>
      </c>
      <c r="C54" s="76">
        <f t="shared" si="1"/>
        <v>1309.2512000000002</v>
      </c>
      <c r="D54" s="77">
        <v>0.18</v>
      </c>
      <c r="E54" s="83">
        <v>0.05</v>
      </c>
      <c r="G54" s="78">
        <v>10000</v>
      </c>
      <c r="J54" s="78">
        <f t="shared" si="2"/>
        <v>11309.251200000001</v>
      </c>
    </row>
    <row r="55" spans="1:11" ht="30" customHeight="1" x14ac:dyDescent="0.45">
      <c r="A55" s="96" t="s">
        <v>82</v>
      </c>
      <c r="B55" s="210">
        <f>'CA TOTAL 2018'!B38</f>
        <v>11980</v>
      </c>
      <c r="C55" s="76">
        <f t="shared" si="1"/>
        <v>958.4</v>
      </c>
      <c r="D55" s="77">
        <v>0.18</v>
      </c>
      <c r="E55" s="83">
        <v>0.05</v>
      </c>
      <c r="G55" s="78">
        <v>7500</v>
      </c>
      <c r="J55" s="78">
        <f t="shared" si="2"/>
        <v>8458.4</v>
      </c>
    </row>
    <row r="56" spans="1:11" ht="30" customHeight="1" x14ac:dyDescent="0.45">
      <c r="A56" s="96"/>
      <c r="J56" s="78">
        <f t="shared" si="2"/>
        <v>0</v>
      </c>
    </row>
    <row r="57" spans="1:11" ht="30" customHeight="1" x14ac:dyDescent="0.45">
      <c r="A57" s="97"/>
    </row>
    <row r="58" spans="1:11" ht="30" customHeight="1" x14ac:dyDescent="0.45">
      <c r="A58" s="96"/>
    </row>
    <row r="59" spans="1:11" ht="30" customHeight="1" x14ac:dyDescent="0.45">
      <c r="A59" s="97"/>
    </row>
    <row r="60" spans="1:11" ht="30" customHeight="1" x14ac:dyDescent="0.45">
      <c r="A60" s="96"/>
    </row>
    <row r="61" spans="1:11" ht="30" customHeight="1" x14ac:dyDescent="0.45">
      <c r="A61" s="97"/>
    </row>
    <row r="62" spans="1:11" ht="30" customHeight="1" x14ac:dyDescent="0.45">
      <c r="A62" s="96"/>
    </row>
    <row r="63" spans="1:11" ht="30" customHeight="1" x14ac:dyDescent="0.45">
      <c r="A63" s="97"/>
    </row>
    <row r="64" spans="1:11" ht="30" customHeight="1" x14ac:dyDescent="0.45">
      <c r="A64" s="96"/>
    </row>
    <row r="65" spans="1:1" ht="30" customHeight="1" x14ac:dyDescent="0.45">
      <c r="A65" s="97"/>
    </row>
    <row r="66" spans="1:1" ht="30" customHeight="1" x14ac:dyDescent="0.45">
      <c r="A66" s="96"/>
    </row>
    <row r="67" spans="1:1" ht="30" customHeight="1" x14ac:dyDescent="0.45">
      <c r="A67" s="97"/>
    </row>
    <row r="68" spans="1:1" ht="30" customHeight="1" x14ac:dyDescent="0.45">
      <c r="A68" s="96"/>
    </row>
    <row r="69" spans="1:1" ht="30" customHeight="1" x14ac:dyDescent="0.45">
      <c r="A69" s="97"/>
    </row>
    <row r="70" spans="1:1" ht="30" customHeight="1" x14ac:dyDescent="0.45">
      <c r="A70" s="96"/>
    </row>
    <row r="71" spans="1:1" ht="30" customHeight="1" x14ac:dyDescent="0.45">
      <c r="A71" s="97"/>
    </row>
    <row r="72" spans="1:1" ht="30" customHeight="1" x14ac:dyDescent="0.45">
      <c r="A72" s="96"/>
    </row>
    <row r="73" spans="1:1" ht="30" customHeight="1" x14ac:dyDescent="0.45">
      <c r="A73" s="97"/>
    </row>
    <row r="74" spans="1:1" ht="30" customHeight="1" x14ac:dyDescent="0.45">
      <c r="A74" s="96"/>
    </row>
    <row r="75" spans="1:1" ht="30" customHeight="1" x14ac:dyDescent="0.45">
      <c r="A75" s="97"/>
    </row>
    <row r="76" spans="1:1" ht="30" customHeight="1" x14ac:dyDescent="0.45">
      <c r="A76" s="96"/>
    </row>
    <row r="77" spans="1:1" ht="30" customHeight="1" x14ac:dyDescent="0.45">
      <c r="A77" s="97"/>
    </row>
    <row r="78" spans="1:1" ht="30" customHeight="1" x14ac:dyDescent="0.45">
      <c r="A78" s="96"/>
    </row>
    <row r="79" spans="1:1" ht="30" customHeight="1" x14ac:dyDescent="0.45">
      <c r="A79" s="97"/>
    </row>
    <row r="80" spans="1:1" ht="30" customHeight="1" x14ac:dyDescent="0.45">
      <c r="A80" s="96"/>
    </row>
    <row r="81" spans="1:1" ht="30" customHeight="1" x14ac:dyDescent="0.45">
      <c r="A81" s="97"/>
    </row>
    <row r="82" spans="1:1" ht="30" customHeight="1" x14ac:dyDescent="0.45">
      <c r="A82" s="96"/>
    </row>
    <row r="83" spans="1:1" ht="30" customHeight="1" x14ac:dyDescent="0.45">
      <c r="A83" s="97"/>
    </row>
    <row r="84" spans="1:1" ht="30" customHeight="1" x14ac:dyDescent="0.45">
      <c r="A84" s="96"/>
    </row>
    <row r="85" spans="1:1" ht="30" customHeight="1" x14ac:dyDescent="0.45">
      <c r="A85" s="97"/>
    </row>
    <row r="86" spans="1:1" ht="30" customHeight="1" x14ac:dyDescent="0.45">
      <c r="A86" s="96"/>
    </row>
    <row r="87" spans="1:1" ht="30" customHeight="1" x14ac:dyDescent="0.45">
      <c r="A87" s="97"/>
    </row>
    <row r="88" spans="1:1" ht="30" customHeight="1" x14ac:dyDescent="0.45">
      <c r="A88" s="96"/>
    </row>
    <row r="89" spans="1:1" ht="30" customHeight="1" x14ac:dyDescent="0.45">
      <c r="A89" s="97"/>
    </row>
    <row r="90" spans="1:1" ht="30" customHeight="1" x14ac:dyDescent="0.45">
      <c r="A90" s="96"/>
    </row>
    <row r="91" spans="1:1" ht="30" customHeight="1" x14ac:dyDescent="0.45">
      <c r="A91" s="97"/>
    </row>
    <row r="92" spans="1:1" ht="30" customHeight="1" x14ac:dyDescent="0.45">
      <c r="A92" s="96"/>
    </row>
    <row r="93" spans="1:1" ht="30" customHeight="1" x14ac:dyDescent="0.45">
      <c r="A93" s="97"/>
    </row>
    <row r="94" spans="1:1" ht="30" customHeight="1" x14ac:dyDescent="0.45">
      <c r="A94" s="96"/>
    </row>
    <row r="95" spans="1:1" ht="30" customHeight="1" x14ac:dyDescent="0.45">
      <c r="A95" s="97"/>
    </row>
    <row r="96" spans="1:1" ht="30" customHeight="1" x14ac:dyDescent="0.45">
      <c r="A96" s="96"/>
    </row>
    <row r="97" spans="1:1" ht="30" customHeight="1" x14ac:dyDescent="0.45">
      <c r="A97" s="97"/>
    </row>
    <row r="98" spans="1:1" ht="30" customHeight="1" x14ac:dyDescent="0.45">
      <c r="A98" s="96"/>
    </row>
    <row r="99" spans="1:1" ht="30" customHeight="1" x14ac:dyDescent="0.45">
      <c r="A99" s="97"/>
    </row>
    <row r="100" spans="1:1" ht="30" customHeight="1" x14ac:dyDescent="0.45">
      <c r="A100" s="96"/>
    </row>
    <row r="101" spans="1:1" ht="30" customHeight="1" x14ac:dyDescent="0.45">
      <c r="A101" s="97"/>
    </row>
    <row r="102" spans="1:1" ht="30" customHeight="1" x14ac:dyDescent="0.45">
      <c r="A102" s="96"/>
    </row>
    <row r="103" spans="1:1" ht="30" customHeight="1" x14ac:dyDescent="0.45">
      <c r="A103" s="97"/>
    </row>
    <row r="104" spans="1:1" ht="30" customHeight="1" x14ac:dyDescent="0.45">
      <c r="A104" s="96"/>
    </row>
    <row r="105" spans="1:1" ht="30" customHeight="1" x14ac:dyDescent="0.45">
      <c r="A105" s="97"/>
    </row>
    <row r="106" spans="1:1" ht="30" customHeight="1" x14ac:dyDescent="0.45">
      <c r="A106" s="96"/>
    </row>
    <row r="107" spans="1:1" ht="30" customHeight="1" x14ac:dyDescent="0.45">
      <c r="A107" s="97"/>
    </row>
    <row r="108" spans="1:1" ht="30" customHeight="1" x14ac:dyDescent="0.45">
      <c r="A108" s="96"/>
    </row>
    <row r="109" spans="1:1" ht="30" customHeight="1" x14ac:dyDescent="0.45">
      <c r="A109" s="97"/>
    </row>
    <row r="110" spans="1:1" ht="30" customHeight="1" x14ac:dyDescent="0.45">
      <c r="A110" s="96"/>
    </row>
    <row r="111" spans="1:1" ht="30" customHeight="1" x14ac:dyDescent="0.45">
      <c r="A111" s="97"/>
    </row>
    <row r="112" spans="1:1" ht="30" customHeight="1" x14ac:dyDescent="0.45">
      <c r="A112" s="96"/>
    </row>
    <row r="113" spans="1:1" ht="30" customHeight="1" x14ac:dyDescent="0.45">
      <c r="A113" s="97"/>
    </row>
    <row r="114" spans="1:1" ht="30" customHeight="1" x14ac:dyDescent="0.45">
      <c r="A114" s="96"/>
    </row>
    <row r="115" spans="1:1" ht="30" customHeight="1" x14ac:dyDescent="0.45">
      <c r="A115" s="97"/>
    </row>
    <row r="116" spans="1:1" ht="30" customHeight="1" x14ac:dyDescent="0.45">
      <c r="A116" s="96"/>
    </row>
    <row r="117" spans="1:1" ht="30" customHeight="1" x14ac:dyDescent="0.45">
      <c r="A117" s="97"/>
    </row>
    <row r="118" spans="1:1" ht="30" customHeight="1" x14ac:dyDescent="0.45">
      <c r="A118" s="96"/>
    </row>
    <row r="119" spans="1:1" ht="30" customHeight="1" x14ac:dyDescent="0.45">
      <c r="A119" s="97"/>
    </row>
    <row r="120" spans="1:1" ht="30" customHeight="1" x14ac:dyDescent="0.45">
      <c r="A120" s="96"/>
    </row>
    <row r="121" spans="1:1" ht="30" customHeight="1" x14ac:dyDescent="0.45">
      <c r="A121" s="97"/>
    </row>
    <row r="122" spans="1:1" ht="30" customHeight="1" x14ac:dyDescent="0.45">
      <c r="A122" s="96"/>
    </row>
    <row r="123" spans="1:1" ht="30" customHeight="1" x14ac:dyDescent="0.45">
      <c r="A123" s="97"/>
    </row>
    <row r="124" spans="1:1" ht="30" customHeight="1" x14ac:dyDescent="0.45">
      <c r="A124" s="96"/>
    </row>
    <row r="125" spans="1:1" ht="30" customHeight="1" x14ac:dyDescent="0.45">
      <c r="A125" s="97"/>
    </row>
    <row r="126" spans="1:1" ht="30" customHeight="1" x14ac:dyDescent="0.45">
      <c r="A126" s="96"/>
    </row>
    <row r="127" spans="1:1" ht="30" customHeight="1" x14ac:dyDescent="0.45">
      <c r="A127" s="97"/>
    </row>
    <row r="128" spans="1:1" ht="30" customHeight="1" x14ac:dyDescent="0.45">
      <c r="A128" s="96"/>
    </row>
    <row r="129" spans="1:1" ht="30" customHeight="1" x14ac:dyDescent="0.45">
      <c r="A129" s="97"/>
    </row>
    <row r="130" spans="1:1" ht="30" customHeight="1" x14ac:dyDescent="0.45">
      <c r="A130" s="96"/>
    </row>
    <row r="131" spans="1:1" ht="30" customHeight="1" x14ac:dyDescent="0.45">
      <c r="A131" s="97"/>
    </row>
    <row r="132" spans="1:1" ht="30" customHeight="1" x14ac:dyDescent="0.45">
      <c r="A132" s="96"/>
    </row>
    <row r="133" spans="1:1" ht="30" customHeight="1" x14ac:dyDescent="0.45">
      <c r="A133" s="97"/>
    </row>
    <row r="134" spans="1:1" ht="30" customHeight="1" x14ac:dyDescent="0.45">
      <c r="A134" s="96"/>
    </row>
    <row r="135" spans="1:1" ht="30" customHeight="1" x14ac:dyDescent="0.45">
      <c r="A135" s="97"/>
    </row>
    <row r="136" spans="1:1" ht="30" customHeight="1" x14ac:dyDescent="0.45">
      <c r="A136" s="96"/>
    </row>
    <row r="137" spans="1:1" ht="30" customHeight="1" x14ac:dyDescent="0.45">
      <c r="A137" s="97"/>
    </row>
    <row r="138" spans="1:1" ht="30" customHeight="1" x14ac:dyDescent="0.45">
      <c r="A138" s="96"/>
    </row>
    <row r="139" spans="1:1" ht="30" customHeight="1" x14ac:dyDescent="0.45">
      <c r="A139" s="97"/>
    </row>
    <row r="140" spans="1:1" ht="30" customHeight="1" x14ac:dyDescent="0.45">
      <c r="A140" s="96"/>
    </row>
    <row r="141" spans="1:1" ht="30" customHeight="1" x14ac:dyDescent="0.45">
      <c r="A141" s="97"/>
    </row>
    <row r="142" spans="1:1" ht="30" customHeight="1" x14ac:dyDescent="0.45">
      <c r="A142" s="96"/>
    </row>
    <row r="143" spans="1:1" ht="30" customHeight="1" x14ac:dyDescent="0.45">
      <c r="A143" s="97"/>
    </row>
    <row r="144" spans="1:1" ht="30" customHeight="1" x14ac:dyDescent="0.45">
      <c r="A144" s="96"/>
    </row>
    <row r="145" spans="1:1" ht="30" customHeight="1" x14ac:dyDescent="0.45">
      <c r="A145" s="97"/>
    </row>
    <row r="146" spans="1:1" ht="30" customHeight="1" x14ac:dyDescent="0.45">
      <c r="A146" s="96"/>
    </row>
    <row r="147" spans="1:1" ht="30" customHeight="1" x14ac:dyDescent="0.45">
      <c r="A147" s="97"/>
    </row>
    <row r="148" spans="1:1" ht="30" customHeight="1" x14ac:dyDescent="0.45">
      <c r="A148" s="96"/>
    </row>
    <row r="149" spans="1:1" ht="30" customHeight="1" x14ac:dyDescent="0.45">
      <c r="A149" s="97"/>
    </row>
    <row r="150" spans="1:1" ht="30" customHeight="1" x14ac:dyDescent="0.45">
      <c r="A150" s="96"/>
    </row>
    <row r="151" spans="1:1" ht="30" customHeight="1" x14ac:dyDescent="0.45">
      <c r="A151" s="97"/>
    </row>
    <row r="152" spans="1:1" ht="30" customHeight="1" x14ac:dyDescent="0.45">
      <c r="A152" s="96"/>
    </row>
    <row r="153" spans="1:1" ht="30" customHeight="1" x14ac:dyDescent="0.45">
      <c r="A153" s="97"/>
    </row>
    <row r="154" spans="1:1" ht="30" customHeight="1" x14ac:dyDescent="0.45">
      <c r="A154" s="96"/>
    </row>
    <row r="155" spans="1:1" ht="30" customHeight="1" x14ac:dyDescent="0.45">
      <c r="A155" s="97"/>
    </row>
    <row r="156" spans="1:1" ht="30" customHeight="1" x14ac:dyDescent="0.45">
      <c r="A156" s="96"/>
    </row>
    <row r="157" spans="1:1" ht="30" customHeight="1" x14ac:dyDescent="0.45">
      <c r="A157" s="97"/>
    </row>
    <row r="158" spans="1:1" ht="30" customHeight="1" x14ac:dyDescent="0.45">
      <c r="A158" s="96"/>
    </row>
    <row r="159" spans="1:1" ht="30" customHeight="1" x14ac:dyDescent="0.45">
      <c r="A159" s="97"/>
    </row>
    <row r="160" spans="1:1" ht="30" customHeight="1" x14ac:dyDescent="0.45">
      <c r="A160" s="96"/>
    </row>
    <row r="161" spans="1:1" ht="30" customHeight="1" x14ac:dyDescent="0.45">
      <c r="A161" s="97"/>
    </row>
    <row r="162" spans="1:1" ht="30" customHeight="1" x14ac:dyDescent="0.45">
      <c r="A162" s="96"/>
    </row>
    <row r="163" spans="1:1" ht="30" customHeight="1" x14ac:dyDescent="0.45">
      <c r="A163" s="97"/>
    </row>
    <row r="164" spans="1:1" ht="30" customHeight="1" x14ac:dyDescent="0.45">
      <c r="A164" s="96"/>
    </row>
    <row r="165" spans="1:1" ht="30" customHeight="1" x14ac:dyDescent="0.45">
      <c r="A165" s="97"/>
    </row>
    <row r="166" spans="1:1" ht="30" customHeight="1" x14ac:dyDescent="0.45">
      <c r="A166" s="96"/>
    </row>
    <row r="167" spans="1:1" ht="30" customHeight="1" x14ac:dyDescent="0.45">
      <c r="A167" s="97"/>
    </row>
    <row r="168" spans="1:1" ht="30" customHeight="1" x14ac:dyDescent="0.45">
      <c r="A168" s="96"/>
    </row>
    <row r="169" spans="1:1" ht="30" customHeight="1" x14ac:dyDescent="0.45">
      <c r="A169" s="97"/>
    </row>
    <row r="170" spans="1:1" ht="30" customHeight="1" x14ac:dyDescent="0.45">
      <c r="A170" s="96"/>
    </row>
    <row r="171" spans="1:1" ht="30" customHeight="1" x14ac:dyDescent="0.45">
      <c r="A171" s="97"/>
    </row>
    <row r="172" spans="1:1" ht="30" customHeight="1" x14ac:dyDescent="0.45">
      <c r="A172" s="96"/>
    </row>
    <row r="173" spans="1:1" ht="30" customHeight="1" x14ac:dyDescent="0.45">
      <c r="A173" s="97"/>
    </row>
    <row r="174" spans="1:1" ht="30" customHeight="1" x14ac:dyDescent="0.45">
      <c r="A174" s="96"/>
    </row>
    <row r="175" spans="1:1" ht="30" customHeight="1" x14ac:dyDescent="0.45">
      <c r="A175" s="97"/>
    </row>
    <row r="176" spans="1:1" ht="30" customHeight="1" x14ac:dyDescent="0.45">
      <c r="A176" s="96"/>
    </row>
    <row r="177" spans="1:1" ht="30" customHeight="1" x14ac:dyDescent="0.45">
      <c r="A177" s="97"/>
    </row>
    <row r="178" spans="1:1" ht="30" customHeight="1" x14ac:dyDescent="0.45">
      <c r="A178" s="96"/>
    </row>
    <row r="179" spans="1:1" ht="30" customHeight="1" x14ac:dyDescent="0.45">
      <c r="A179" s="97"/>
    </row>
    <row r="180" spans="1:1" ht="30" customHeight="1" x14ac:dyDescent="0.45">
      <c r="A180" s="96"/>
    </row>
    <row r="181" spans="1:1" ht="30" customHeight="1" x14ac:dyDescent="0.45">
      <c r="A181" s="97"/>
    </row>
    <row r="182" spans="1:1" ht="30" customHeight="1" x14ac:dyDescent="0.45">
      <c r="A182" s="96"/>
    </row>
    <row r="183" spans="1:1" ht="30" customHeight="1" x14ac:dyDescent="0.45">
      <c r="A183" s="97"/>
    </row>
    <row r="184" spans="1:1" ht="30" customHeight="1" x14ac:dyDescent="0.45">
      <c r="A184" s="96"/>
    </row>
    <row r="185" spans="1:1" ht="30" customHeight="1" x14ac:dyDescent="0.45">
      <c r="A185" s="97"/>
    </row>
    <row r="186" spans="1:1" ht="30" customHeight="1" x14ac:dyDescent="0.45">
      <c r="A186" s="96"/>
    </row>
    <row r="187" spans="1:1" ht="30" customHeight="1" x14ac:dyDescent="0.45">
      <c r="A187" s="97"/>
    </row>
    <row r="188" spans="1:1" ht="30" customHeight="1" x14ac:dyDescent="0.45">
      <c r="A188" s="96"/>
    </row>
    <row r="189" spans="1:1" ht="30" customHeight="1" x14ac:dyDescent="0.45">
      <c r="A189" s="97"/>
    </row>
    <row r="190" spans="1:1" ht="30" customHeight="1" x14ac:dyDescent="0.45">
      <c r="A190" s="96"/>
    </row>
    <row r="191" spans="1:1" ht="30" customHeight="1" x14ac:dyDescent="0.45">
      <c r="A191" s="97"/>
    </row>
    <row r="192" spans="1:1" ht="30" customHeight="1" x14ac:dyDescent="0.45">
      <c r="A192" s="96"/>
    </row>
    <row r="193" spans="1:1" ht="30" customHeight="1" x14ac:dyDescent="0.45">
      <c r="A193" s="97"/>
    </row>
    <row r="194" spans="1:1" ht="30" customHeight="1" x14ac:dyDescent="0.45">
      <c r="A194" s="96"/>
    </row>
    <row r="195" spans="1:1" ht="30" customHeight="1" x14ac:dyDescent="0.45">
      <c r="A195" s="97"/>
    </row>
    <row r="196" spans="1:1" ht="30" customHeight="1" x14ac:dyDescent="0.45">
      <c r="A196" s="96"/>
    </row>
    <row r="197" spans="1:1" ht="30" customHeight="1" x14ac:dyDescent="0.45">
      <c r="A197" s="97"/>
    </row>
    <row r="198" spans="1:1" ht="30" customHeight="1" x14ac:dyDescent="0.45">
      <c r="A198" s="96"/>
    </row>
    <row r="199" spans="1:1" ht="30" customHeight="1" x14ac:dyDescent="0.45">
      <c r="A199" s="97"/>
    </row>
    <row r="200" spans="1:1" ht="30" customHeight="1" x14ac:dyDescent="0.45">
      <c r="A200" s="96"/>
    </row>
    <row r="201" spans="1:1" ht="30" customHeight="1" x14ac:dyDescent="0.45">
      <c r="A201" s="97"/>
    </row>
    <row r="202" spans="1:1" ht="30" customHeight="1" x14ac:dyDescent="0.45">
      <c r="A202" s="96"/>
    </row>
    <row r="203" spans="1:1" ht="30" customHeight="1" x14ac:dyDescent="0.45">
      <c r="A203" s="97"/>
    </row>
    <row r="204" spans="1:1" ht="30" customHeight="1" x14ac:dyDescent="0.45">
      <c r="A204" s="96"/>
    </row>
    <row r="205" spans="1:1" ht="30" customHeight="1" x14ac:dyDescent="0.45">
      <c r="A205" s="97"/>
    </row>
    <row r="206" spans="1:1" ht="30" customHeight="1" x14ac:dyDescent="0.45">
      <c r="A206" s="96"/>
    </row>
    <row r="207" spans="1:1" ht="30" customHeight="1" x14ac:dyDescent="0.45">
      <c r="A207" s="97"/>
    </row>
    <row r="208" spans="1:1" ht="30" customHeight="1" x14ac:dyDescent="0.45">
      <c r="A208" s="96"/>
    </row>
    <row r="209" spans="1:1" ht="30" customHeight="1" x14ac:dyDescent="0.45">
      <c r="A209" s="97"/>
    </row>
    <row r="210" spans="1:1" ht="30" customHeight="1" x14ac:dyDescent="0.45">
      <c r="A210" s="96"/>
    </row>
    <row r="211" spans="1:1" ht="30" customHeight="1" x14ac:dyDescent="0.45">
      <c r="A211" s="97"/>
    </row>
    <row r="212" spans="1:1" ht="30" customHeight="1" x14ac:dyDescent="0.45">
      <c r="A212" s="96"/>
    </row>
    <row r="213" spans="1:1" ht="30" customHeight="1" x14ac:dyDescent="0.45">
      <c r="A213" s="97"/>
    </row>
    <row r="214" spans="1:1" ht="30" customHeight="1" x14ac:dyDescent="0.45">
      <c r="A214" s="96"/>
    </row>
    <row r="215" spans="1:1" ht="30" customHeight="1" x14ac:dyDescent="0.45">
      <c r="A215" s="97"/>
    </row>
    <row r="216" spans="1:1" ht="30" customHeight="1" x14ac:dyDescent="0.45">
      <c r="A216" s="96"/>
    </row>
    <row r="217" spans="1:1" ht="30" customHeight="1" x14ac:dyDescent="0.45">
      <c r="A217" s="97"/>
    </row>
    <row r="218" spans="1:1" ht="30" customHeight="1" x14ac:dyDescent="0.45">
      <c r="A218" s="96"/>
    </row>
    <row r="219" spans="1:1" ht="30" customHeight="1" x14ac:dyDescent="0.45">
      <c r="A219" s="97"/>
    </row>
    <row r="220" spans="1:1" ht="30" customHeight="1" x14ac:dyDescent="0.45">
      <c r="A220" s="96"/>
    </row>
    <row r="221" spans="1:1" ht="30" customHeight="1" x14ac:dyDescent="0.45">
      <c r="A221" s="97"/>
    </row>
    <row r="222" spans="1:1" ht="30" customHeight="1" x14ac:dyDescent="0.45">
      <c r="A222" s="96"/>
    </row>
    <row r="223" spans="1:1" ht="30" customHeight="1" x14ac:dyDescent="0.45">
      <c r="A223" s="97"/>
    </row>
    <row r="224" spans="1:1" ht="30" customHeight="1" x14ac:dyDescent="0.45">
      <c r="A224" s="96"/>
    </row>
    <row r="225" spans="1:1" ht="30" customHeight="1" x14ac:dyDescent="0.45">
      <c r="A225" s="97"/>
    </row>
    <row r="226" spans="1:1" ht="30" customHeight="1" x14ac:dyDescent="0.45">
      <c r="A226" s="96"/>
    </row>
    <row r="227" spans="1:1" ht="30" customHeight="1" x14ac:dyDescent="0.45">
      <c r="A227" s="97"/>
    </row>
    <row r="228" spans="1:1" ht="30" customHeight="1" x14ac:dyDescent="0.45">
      <c r="A228" s="96"/>
    </row>
    <row r="229" spans="1:1" ht="30" customHeight="1" x14ac:dyDescent="0.45">
      <c r="A229" s="97"/>
    </row>
    <row r="230" spans="1:1" ht="30" customHeight="1" x14ac:dyDescent="0.45">
      <c r="A230" s="96"/>
    </row>
    <row r="231" spans="1:1" ht="30" customHeight="1" x14ac:dyDescent="0.45">
      <c r="A231" s="97"/>
    </row>
    <row r="232" spans="1:1" ht="30" customHeight="1" x14ac:dyDescent="0.45">
      <c r="A232" s="96"/>
    </row>
    <row r="233" spans="1:1" ht="30" customHeight="1" x14ac:dyDescent="0.45">
      <c r="A233" s="97"/>
    </row>
    <row r="234" spans="1:1" ht="30" customHeight="1" x14ac:dyDescent="0.45">
      <c r="A234" s="96"/>
    </row>
    <row r="235" spans="1:1" ht="30" customHeight="1" x14ac:dyDescent="0.45">
      <c r="A235" s="97"/>
    </row>
    <row r="236" spans="1:1" ht="30" customHeight="1" x14ac:dyDescent="0.45">
      <c r="A236" s="96"/>
    </row>
    <row r="237" spans="1:1" ht="30" customHeight="1" x14ac:dyDescent="0.45">
      <c r="A237" s="97"/>
    </row>
    <row r="238" spans="1:1" ht="30" customHeight="1" x14ac:dyDescent="0.45">
      <c r="A238" s="96"/>
    </row>
    <row r="239" spans="1:1" ht="30" customHeight="1" x14ac:dyDescent="0.45">
      <c r="A239" s="97"/>
    </row>
    <row r="240" spans="1:1" ht="30" customHeight="1" x14ac:dyDescent="0.45">
      <c r="A240" s="96"/>
    </row>
    <row r="241" spans="1:1" ht="30" customHeight="1" x14ac:dyDescent="0.45">
      <c r="A241" s="97"/>
    </row>
    <row r="242" spans="1:1" ht="30" customHeight="1" x14ac:dyDescent="0.45">
      <c r="A242" s="96"/>
    </row>
    <row r="243" spans="1:1" ht="30" customHeight="1" x14ac:dyDescent="0.45">
      <c r="A243" s="97"/>
    </row>
    <row r="244" spans="1:1" ht="30" customHeight="1" x14ac:dyDescent="0.45">
      <c r="A244" s="96"/>
    </row>
    <row r="245" spans="1:1" ht="30" customHeight="1" x14ac:dyDescent="0.45">
      <c r="A245" s="97"/>
    </row>
    <row r="246" spans="1:1" ht="30" customHeight="1" x14ac:dyDescent="0.45">
      <c r="A246" s="96"/>
    </row>
    <row r="247" spans="1:1" ht="30" customHeight="1" x14ac:dyDescent="0.45">
      <c r="A247" s="97"/>
    </row>
    <row r="248" spans="1:1" ht="30" customHeight="1" x14ac:dyDescent="0.45">
      <c r="A248" s="96"/>
    </row>
    <row r="249" spans="1:1" ht="30" customHeight="1" x14ac:dyDescent="0.45">
      <c r="A249" s="97"/>
    </row>
    <row r="250" spans="1:1" ht="30" customHeight="1" x14ac:dyDescent="0.45">
      <c r="A250" s="96"/>
    </row>
    <row r="251" spans="1:1" ht="30" customHeight="1" x14ac:dyDescent="0.45">
      <c r="A251" s="97"/>
    </row>
    <row r="252" spans="1:1" ht="30" customHeight="1" x14ac:dyDescent="0.45">
      <c r="A252" s="96"/>
    </row>
    <row r="253" spans="1:1" ht="30" customHeight="1" x14ac:dyDescent="0.45">
      <c r="A253" s="97"/>
    </row>
    <row r="254" spans="1:1" ht="30" customHeight="1" x14ac:dyDescent="0.45">
      <c r="A254" s="96"/>
    </row>
    <row r="255" spans="1:1" ht="30" customHeight="1" x14ac:dyDescent="0.45">
      <c r="A255" s="97"/>
    </row>
    <row r="256" spans="1:1" ht="30" customHeight="1" x14ac:dyDescent="0.45">
      <c r="A256" s="96"/>
    </row>
    <row r="257" spans="1:1" ht="30" customHeight="1" x14ac:dyDescent="0.45">
      <c r="A257" s="97"/>
    </row>
    <row r="258" spans="1:1" ht="30" customHeight="1" x14ac:dyDescent="0.45">
      <c r="A258" s="96"/>
    </row>
    <row r="259" spans="1:1" ht="30" customHeight="1" x14ac:dyDescent="0.45">
      <c r="A259" s="97"/>
    </row>
    <row r="260" spans="1:1" ht="30" customHeight="1" x14ac:dyDescent="0.45">
      <c r="A260" s="96"/>
    </row>
    <row r="261" spans="1:1" ht="30" customHeight="1" x14ac:dyDescent="0.45">
      <c r="A261" s="97"/>
    </row>
    <row r="262" spans="1:1" ht="30" customHeight="1" x14ac:dyDescent="0.45">
      <c r="A262" s="96"/>
    </row>
    <row r="263" spans="1:1" ht="30" customHeight="1" x14ac:dyDescent="0.45">
      <c r="A263" s="97"/>
    </row>
    <row r="264" spans="1:1" ht="30" customHeight="1" x14ac:dyDescent="0.45">
      <c r="A264" s="96"/>
    </row>
    <row r="265" spans="1:1" ht="30" customHeight="1" x14ac:dyDescent="0.45">
      <c r="A265" s="97"/>
    </row>
    <row r="266" spans="1:1" ht="30" customHeight="1" x14ac:dyDescent="0.45">
      <c r="A266" s="96"/>
    </row>
    <row r="267" spans="1:1" ht="30" customHeight="1" x14ac:dyDescent="0.45">
      <c r="A267" s="97"/>
    </row>
    <row r="268" spans="1:1" ht="30" customHeight="1" x14ac:dyDescent="0.45">
      <c r="A268" s="96"/>
    </row>
    <row r="269" spans="1:1" ht="30" customHeight="1" x14ac:dyDescent="0.45">
      <c r="A269" s="97"/>
    </row>
    <row r="270" spans="1:1" ht="30" customHeight="1" x14ac:dyDescent="0.45">
      <c r="A270" s="96"/>
    </row>
    <row r="271" spans="1:1" ht="30" customHeight="1" x14ac:dyDescent="0.45">
      <c r="A271" s="97"/>
    </row>
    <row r="272" spans="1:1" ht="30" customHeight="1" x14ac:dyDescent="0.45">
      <c r="A272" s="96"/>
    </row>
    <row r="273" spans="1:1" ht="30" customHeight="1" x14ac:dyDescent="0.45">
      <c r="A273" s="97"/>
    </row>
    <row r="274" spans="1:1" ht="30" customHeight="1" x14ac:dyDescent="0.45">
      <c r="A274" s="96"/>
    </row>
    <row r="275" spans="1:1" ht="30" customHeight="1" x14ac:dyDescent="0.45">
      <c r="A275" s="97"/>
    </row>
    <row r="276" spans="1:1" ht="30" customHeight="1" x14ac:dyDescent="0.45">
      <c r="A276" s="96"/>
    </row>
    <row r="277" spans="1:1" ht="30" customHeight="1" x14ac:dyDescent="0.45">
      <c r="A277" s="97"/>
    </row>
    <row r="278" spans="1:1" ht="30" customHeight="1" x14ac:dyDescent="0.45">
      <c r="A278" s="96"/>
    </row>
    <row r="279" spans="1:1" ht="30" customHeight="1" x14ac:dyDescent="0.45">
      <c r="A279" s="97"/>
    </row>
    <row r="280" spans="1:1" ht="30" customHeight="1" x14ac:dyDescent="0.45">
      <c r="A280" s="96"/>
    </row>
    <row r="281" spans="1:1" ht="30" customHeight="1" x14ac:dyDescent="0.45">
      <c r="A281" s="97"/>
    </row>
    <row r="282" spans="1:1" ht="30" customHeight="1" x14ac:dyDescent="0.45">
      <c r="A282" s="96"/>
    </row>
    <row r="283" spans="1:1" ht="30" customHeight="1" x14ac:dyDescent="0.45">
      <c r="A283" s="97"/>
    </row>
    <row r="284" spans="1:1" ht="30" customHeight="1" x14ac:dyDescent="0.45">
      <c r="A284" s="96"/>
    </row>
    <row r="285" spans="1:1" ht="30" customHeight="1" x14ac:dyDescent="0.45">
      <c r="A285" s="97"/>
    </row>
    <row r="286" spans="1:1" ht="30" customHeight="1" x14ac:dyDescent="0.45">
      <c r="A286" s="96"/>
    </row>
    <row r="287" spans="1:1" ht="30" customHeight="1" x14ac:dyDescent="0.45">
      <c r="A287" s="97"/>
    </row>
    <row r="288" spans="1:1" ht="30" customHeight="1" x14ac:dyDescent="0.45">
      <c r="A288" s="96"/>
    </row>
    <row r="289" spans="1:1" ht="30" customHeight="1" x14ac:dyDescent="0.45">
      <c r="A289" s="97"/>
    </row>
    <row r="290" spans="1:1" ht="30" customHeight="1" x14ac:dyDescent="0.45">
      <c r="A290" s="96"/>
    </row>
    <row r="291" spans="1:1" ht="30" customHeight="1" x14ac:dyDescent="0.45">
      <c r="A291" s="97"/>
    </row>
    <row r="292" spans="1:1" ht="30" customHeight="1" x14ac:dyDescent="0.45">
      <c r="A292" s="96"/>
    </row>
    <row r="293" spans="1:1" ht="30" customHeight="1" x14ac:dyDescent="0.45">
      <c r="A293" s="97"/>
    </row>
    <row r="294" spans="1:1" ht="30" customHeight="1" x14ac:dyDescent="0.45">
      <c r="A294" s="96"/>
    </row>
    <row r="295" spans="1:1" ht="30" customHeight="1" x14ac:dyDescent="0.45">
      <c r="A295" s="97"/>
    </row>
    <row r="296" spans="1:1" ht="30" customHeight="1" x14ac:dyDescent="0.45">
      <c r="A296" s="96"/>
    </row>
    <row r="297" spans="1:1" ht="30" customHeight="1" x14ac:dyDescent="0.45">
      <c r="A297" s="97"/>
    </row>
    <row r="298" spans="1:1" ht="30" customHeight="1" x14ac:dyDescent="0.45">
      <c r="A298" s="96"/>
    </row>
    <row r="299" spans="1:1" ht="30" customHeight="1" x14ac:dyDescent="0.45">
      <c r="A299" s="97"/>
    </row>
    <row r="300" spans="1:1" ht="30" customHeight="1" x14ac:dyDescent="0.45">
      <c r="A300" s="96"/>
    </row>
    <row r="301" spans="1:1" ht="30" customHeight="1" x14ac:dyDescent="0.45">
      <c r="A301" s="97"/>
    </row>
    <row r="302" spans="1:1" ht="30" customHeight="1" x14ac:dyDescent="0.45">
      <c r="A302" s="96"/>
    </row>
    <row r="303" spans="1:1" ht="30" customHeight="1" x14ac:dyDescent="0.45">
      <c r="A303" s="97"/>
    </row>
    <row r="304" spans="1:1" ht="30" customHeight="1" x14ac:dyDescent="0.45">
      <c r="A304" s="96"/>
    </row>
    <row r="305" spans="1:1" ht="30" customHeight="1" x14ac:dyDescent="0.45">
      <c r="A305" s="97"/>
    </row>
    <row r="306" spans="1:1" ht="30" customHeight="1" x14ac:dyDescent="0.45">
      <c r="A306" s="96"/>
    </row>
    <row r="307" spans="1:1" ht="30" customHeight="1" x14ac:dyDescent="0.45">
      <c r="A307" s="97"/>
    </row>
    <row r="308" spans="1:1" ht="30" customHeight="1" x14ac:dyDescent="0.45">
      <c r="A308" s="96"/>
    </row>
    <row r="309" spans="1:1" ht="30" customHeight="1" x14ac:dyDescent="0.45">
      <c r="A309" s="97"/>
    </row>
    <row r="310" spans="1:1" ht="30" customHeight="1" x14ac:dyDescent="0.45">
      <c r="A310" s="96"/>
    </row>
    <row r="311" spans="1:1" ht="30" customHeight="1" x14ac:dyDescent="0.45">
      <c r="A311" s="97"/>
    </row>
    <row r="312" spans="1:1" ht="30" customHeight="1" x14ac:dyDescent="0.45">
      <c r="A312" s="96"/>
    </row>
    <row r="313" spans="1:1" ht="30" customHeight="1" x14ac:dyDescent="0.45">
      <c r="A313" s="97"/>
    </row>
    <row r="314" spans="1:1" ht="30" customHeight="1" x14ac:dyDescent="0.45">
      <c r="A314" s="96"/>
    </row>
    <row r="315" spans="1:1" ht="30" customHeight="1" x14ac:dyDescent="0.45">
      <c r="A315" s="97"/>
    </row>
    <row r="316" spans="1:1" ht="30" customHeight="1" x14ac:dyDescent="0.45">
      <c r="A316" s="96"/>
    </row>
    <row r="317" spans="1:1" ht="30" customHeight="1" x14ac:dyDescent="0.45">
      <c r="A317" s="97"/>
    </row>
    <row r="318" spans="1:1" ht="30" customHeight="1" x14ac:dyDescent="0.45">
      <c r="A318" s="96"/>
    </row>
    <row r="319" spans="1:1" ht="30" customHeight="1" x14ac:dyDescent="0.45">
      <c r="A319" s="97"/>
    </row>
    <row r="320" spans="1:1" ht="30" customHeight="1" x14ac:dyDescent="0.45">
      <c r="A320" s="96"/>
    </row>
    <row r="321" spans="1:1" ht="30" customHeight="1" x14ac:dyDescent="0.45">
      <c r="A321" s="97"/>
    </row>
    <row r="322" spans="1:1" ht="30" customHeight="1" x14ac:dyDescent="0.45">
      <c r="A322" s="96"/>
    </row>
    <row r="323" spans="1:1" ht="30" customHeight="1" x14ac:dyDescent="0.45">
      <c r="A323" s="97"/>
    </row>
    <row r="324" spans="1:1" ht="30" customHeight="1" x14ac:dyDescent="0.45">
      <c r="A324" s="96"/>
    </row>
    <row r="325" spans="1:1" ht="30" customHeight="1" x14ac:dyDescent="0.45">
      <c r="A325" s="97"/>
    </row>
    <row r="326" spans="1:1" ht="30" customHeight="1" x14ac:dyDescent="0.45">
      <c r="A326" s="96"/>
    </row>
    <row r="327" spans="1:1" ht="30" customHeight="1" x14ac:dyDescent="0.45">
      <c r="A327" s="97"/>
    </row>
    <row r="328" spans="1:1" ht="30" customHeight="1" x14ac:dyDescent="0.45">
      <c r="A328" s="96"/>
    </row>
    <row r="329" spans="1:1" ht="30" customHeight="1" x14ac:dyDescent="0.45">
      <c r="A329" s="97"/>
    </row>
    <row r="330" spans="1:1" ht="30" customHeight="1" x14ac:dyDescent="0.45">
      <c r="A330" s="100"/>
    </row>
  </sheetData>
  <autoFilter ref="A7:K7" xr:uid="{00000000-0009-0000-0000-000001000000}">
    <sortState ref="A8:K56">
      <sortCondition ref="A7"/>
    </sortState>
  </autoFilter>
  <mergeCells count="3">
    <mergeCell ref="F2:I2"/>
    <mergeCell ref="F1:I1"/>
    <mergeCell ref="F3:I3"/>
  </mergeCells>
  <conditionalFormatting sqref="A8:A330">
    <cfRule type="expression" dxfId="27" priority="2">
      <formula>"If(blnBinNo=""True"")"</formula>
    </cfRule>
  </conditionalFormatting>
  <conditionalFormatting sqref="B17:B27 E17:I27 B8:H16 C17:D55">
    <cfRule type="dataBar" priority="3">
      <dataBar>
        <cfvo type="num" val="200000"/>
        <cfvo type="num" val="1500000"/>
        <color rgb="FF638EC6"/>
      </dataBar>
      <extLst>
        <ext xmlns:x14="http://schemas.microsoft.com/office/spreadsheetml/2009/9/main" uri="{B025F937-C7B1-47D3-B67F-A62EFF666E3E}">
          <x14:id>{E3A20251-7189-4723-B312-1AC23327CD87}</x14:id>
        </ext>
      </extLst>
    </cfRule>
  </conditionalFormatting>
  <dataValidations count="3">
    <dataValidation allowBlank="1" showInputMessage="1" showErrorMessage="1" prompt="Entrez la référence dans cette colonne" sqref="A7" xr:uid="{00000000-0002-0000-0100-000001000000}"/>
    <dataValidation allowBlank="1" showInputMessage="1" showErrorMessage="1" prompt="Une icône d’indicateur dans cette colonne indique que les éléments de l’inventaire doivent être réapprovisionnés" sqref="B7:J7" xr:uid="{00000000-0002-0000-0100-000003000000}"/>
    <dataValidation allowBlank="1" showInputMessage="1" showErrorMessage="1" prompt="Valeur de stock totale calculée automatiquement" sqref="A5:A6" xr:uid="{00000000-0002-0000-0100-000000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A20251-7189-4723-B312-1AC23327CD87}">
            <x14:dataBar minLength="0" maxLength="100">
              <x14:cfvo type="num">
                <xm:f>200000</xm:f>
              </x14:cfvo>
              <x14:cfvo type="num">
                <xm:f>1500000</xm:f>
              </x14:cfvo>
              <x14:negativeFillColor rgb="FFFF0000"/>
              <x14:axisColor rgb="FF000000"/>
            </x14:dataBar>
          </x14:cfRule>
          <xm:sqref>B17:B27 E17:I27 B8:H16 C17:D55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CDC30-D9E0-4360-A5B5-C92213BC970B}">
  <dimension ref="A1:S49"/>
  <sheetViews>
    <sheetView zoomScale="58" workbookViewId="0">
      <selection activeCell="B11" sqref="B11"/>
    </sheetView>
  </sheetViews>
  <sheetFormatPr baseColWidth="10" defaultRowHeight="14.25" x14ac:dyDescent="0.45"/>
  <cols>
    <col min="1" max="1" width="42.19921875" bestFit="1" customWidth="1"/>
    <col min="2" max="2" width="11.46484375" bestFit="1" customWidth="1"/>
    <col min="3" max="3" width="15.6640625" bestFit="1" customWidth="1"/>
    <col min="11" max="11" width="17.59765625" customWidth="1"/>
    <col min="13" max="13" width="16.265625" customWidth="1"/>
  </cols>
  <sheetData>
    <row r="1" spans="1:19" x14ac:dyDescent="0.45">
      <c r="A1" s="248" t="s">
        <v>278</v>
      </c>
      <c r="B1" s="249"/>
      <c r="C1" s="249"/>
      <c r="D1" s="254" t="s">
        <v>120</v>
      </c>
      <c r="E1" s="257">
        <f>SUM(B5:B48)</f>
        <v>837054.7</v>
      </c>
      <c r="F1" s="258"/>
      <c r="G1" s="261" t="s">
        <v>206</v>
      </c>
      <c r="H1" s="264">
        <f>SUM(C5:C45)</f>
        <v>596124.55579999974</v>
      </c>
      <c r="I1" s="264"/>
      <c r="J1" s="261" t="s">
        <v>276</v>
      </c>
      <c r="K1" s="242">
        <f>B6+B11+B14+B15+B16+B17+B18+B19+B21+B23+B26+B27+B28+B30+B31+B32+B34+B35+B36+B37+B39+B41+B42+B43+B44+B46+B45+B47+B48+B49</f>
        <v>604866.40999999992</v>
      </c>
      <c r="L1" s="239" t="s">
        <v>277</v>
      </c>
      <c r="M1" s="245">
        <f>B7+B8+B9+B10+B12+B13+B20+B22+B24+B25+B29+B33+B38</f>
        <v>232188.28999999998</v>
      </c>
      <c r="N1" s="85"/>
      <c r="O1" s="85"/>
      <c r="P1" s="85"/>
      <c r="Q1" s="85"/>
      <c r="R1" s="84"/>
      <c r="S1" s="85"/>
    </row>
    <row r="2" spans="1:19" x14ac:dyDescent="0.45">
      <c r="A2" s="250"/>
      <c r="B2" s="251"/>
      <c r="C2" s="251"/>
      <c r="D2" s="255"/>
      <c r="E2" s="259"/>
      <c r="F2" s="259"/>
      <c r="G2" s="262"/>
      <c r="H2" s="265"/>
      <c r="I2" s="265"/>
      <c r="J2" s="262"/>
      <c r="K2" s="243"/>
      <c r="L2" s="240"/>
      <c r="M2" s="246"/>
      <c r="N2" s="85"/>
      <c r="O2" s="85"/>
      <c r="P2" s="85"/>
      <c r="Q2" s="85"/>
      <c r="R2" s="84"/>
      <c r="S2" s="85"/>
    </row>
    <row r="3" spans="1:19" ht="14.65" thickBot="1" x14ac:dyDescent="0.5">
      <c r="A3" s="252"/>
      <c r="B3" s="253"/>
      <c r="C3" s="253"/>
      <c r="D3" s="256"/>
      <c r="E3" s="260"/>
      <c r="F3" s="260"/>
      <c r="G3" s="263"/>
      <c r="H3" s="266"/>
      <c r="I3" s="266"/>
      <c r="J3" s="263"/>
      <c r="K3" s="244"/>
      <c r="L3" s="241"/>
      <c r="M3" s="247"/>
      <c r="N3" s="85"/>
      <c r="O3" s="85"/>
      <c r="P3" s="85"/>
      <c r="Q3" s="85"/>
      <c r="R3" s="84"/>
      <c r="S3" s="85"/>
    </row>
    <row r="4" spans="1:19" ht="18" x14ac:dyDescent="0.55000000000000004">
      <c r="A4" s="191" t="s">
        <v>119</v>
      </c>
      <c r="B4" s="192" t="s">
        <v>120</v>
      </c>
      <c r="C4" s="193" t="s">
        <v>247</v>
      </c>
      <c r="M4" s="194"/>
    </row>
    <row r="5" spans="1:19" x14ac:dyDescent="0.45">
      <c r="A5" s="183"/>
      <c r="B5" s="184"/>
      <c r="C5" s="185"/>
    </row>
    <row r="6" spans="1:19" ht="15.75" x14ac:dyDescent="0.5">
      <c r="A6" s="171" t="s">
        <v>157</v>
      </c>
      <c r="B6" s="172">
        <f>'SUSHI 2018'!B5+'WOK 2018'!B5</f>
        <v>7624.38</v>
      </c>
      <c r="C6" s="173">
        <f>B6*0.85</f>
        <v>6480.723</v>
      </c>
    </row>
    <row r="7" spans="1:19" ht="15.75" x14ac:dyDescent="0.5">
      <c r="A7" t="s">
        <v>159</v>
      </c>
      <c r="B7" s="172">
        <f>'SUSHI 2018'!B6</f>
        <v>14004.800000000012</v>
      </c>
      <c r="C7" s="173">
        <f>B7*0.82</f>
        <v>11483.936000000009</v>
      </c>
    </row>
    <row r="8" spans="1:19" ht="15.75" x14ac:dyDescent="0.5">
      <c r="A8" t="s">
        <v>160</v>
      </c>
      <c r="B8" s="172">
        <f>'SUSHI 2018'!B7+'WOK 2018'!B27</f>
        <v>8595.8500000000076</v>
      </c>
      <c r="C8" s="173">
        <f>B8*0.82</f>
        <v>7048.5970000000061</v>
      </c>
    </row>
    <row r="9" spans="1:19" ht="15.75" x14ac:dyDescent="0.5">
      <c r="A9" t="s">
        <v>158</v>
      </c>
      <c r="B9" s="172">
        <f>'SUSHI 2018'!B8</f>
        <v>22018.339999999997</v>
      </c>
      <c r="C9" s="173">
        <f>B9*0.82</f>
        <v>18055.038799999995</v>
      </c>
    </row>
    <row r="10" spans="1:19" ht="15.75" x14ac:dyDescent="0.5">
      <c r="A10" t="s">
        <v>163</v>
      </c>
      <c r="B10" s="172">
        <f>'WOK 2018'!B6+'SUSHI 2018'!B9</f>
        <v>20100.439999999962</v>
      </c>
      <c r="C10" s="173">
        <f>B10*0.82</f>
        <v>16482.360799999969</v>
      </c>
    </row>
    <row r="11" spans="1:19" ht="15.75" x14ac:dyDescent="0.5">
      <c r="A11" t="s">
        <v>137</v>
      </c>
      <c r="B11" s="172">
        <f>'WOK 2018'!B7+'SUSHI 2018'!B10</f>
        <v>59592.71</v>
      </c>
      <c r="C11" s="173">
        <f>B11*0.8</f>
        <v>47674.168000000005</v>
      </c>
    </row>
    <row r="12" spans="1:19" ht="15.75" x14ac:dyDescent="0.5">
      <c r="A12" t="s">
        <v>203</v>
      </c>
      <c r="B12" s="172">
        <f>'SUSHI 2018'!B11+'WOK 2018'!B26</f>
        <v>13416.66</v>
      </c>
      <c r="C12" s="173">
        <f>B12*0.85</f>
        <v>11404.161</v>
      </c>
    </row>
    <row r="13" spans="1:19" ht="15.75" x14ac:dyDescent="0.5">
      <c r="A13" t="s">
        <v>204</v>
      </c>
      <c r="B13" s="172">
        <f>'SUSHI 2018'!B12</f>
        <v>8859.84</v>
      </c>
      <c r="C13" s="173">
        <f>B13*0.85</f>
        <v>7530.8639999999996</v>
      </c>
    </row>
    <row r="14" spans="1:19" ht="15.75" x14ac:dyDescent="0.5">
      <c r="A14" t="s">
        <v>154</v>
      </c>
      <c r="B14" s="172">
        <f>'SUSHI 2018'!B13</f>
        <v>28011.130000000005</v>
      </c>
      <c r="C14" s="173">
        <f>B14*0.8</f>
        <v>22408.904000000006</v>
      </c>
    </row>
    <row r="15" spans="1:19" ht="15.75" x14ac:dyDescent="0.5">
      <c r="A15" t="s">
        <v>155</v>
      </c>
      <c r="B15" s="172">
        <f>'WOK 2018'!B8+'SUSHI 2018'!B14</f>
        <v>17939.38</v>
      </c>
      <c r="C15" s="173">
        <f>B15*0.8</f>
        <v>14351.504000000001</v>
      </c>
    </row>
    <row r="16" spans="1:19" ht="15.75" x14ac:dyDescent="0.5">
      <c r="A16" t="s">
        <v>150</v>
      </c>
      <c r="B16" s="172">
        <f>'WOK 2018'!B9+'SUSHI 2018'!B15</f>
        <v>9951.0500000000011</v>
      </c>
      <c r="C16" s="173">
        <f>B16*0.8</f>
        <v>7960.8400000000011</v>
      </c>
    </row>
    <row r="17" spans="1:3" ht="15.75" x14ac:dyDescent="0.5">
      <c r="A17" t="s">
        <v>148</v>
      </c>
      <c r="B17" s="172">
        <f>'WOK 2018'!B10+'SUSHI 2018'!B16</f>
        <v>36954.399999999965</v>
      </c>
      <c r="C17" s="173">
        <f>B17*0.8</f>
        <v>29563.519999999975</v>
      </c>
    </row>
    <row r="18" spans="1:3" ht="15.75" x14ac:dyDescent="0.5">
      <c r="A18" t="s">
        <v>141</v>
      </c>
      <c r="B18" s="172">
        <f>'WOK 2018'!B11+'SUSHI 2018'!B17</f>
        <v>35281.390000000007</v>
      </c>
      <c r="C18" s="173">
        <f>B18*0.8</f>
        <v>28225.112000000008</v>
      </c>
    </row>
    <row r="19" spans="1:3" ht="15.75" x14ac:dyDescent="0.5">
      <c r="A19" t="s">
        <v>153</v>
      </c>
      <c r="B19" s="172">
        <f>'WOK 2018'!B12+'SUSHI 2018'!B18</f>
        <v>18988.700000000004</v>
      </c>
      <c r="C19" s="173">
        <f>B19*0.85</f>
        <v>16140.395000000004</v>
      </c>
    </row>
    <row r="20" spans="1:3" ht="15.75" x14ac:dyDescent="0.5">
      <c r="A20" t="s">
        <v>165</v>
      </c>
      <c r="B20" s="172">
        <f>'SUSHI 2018'!B19+'WOK 2018'!B25</f>
        <v>32790.31</v>
      </c>
      <c r="C20" s="173">
        <f>B20*0.82</f>
        <v>26888.054199999995</v>
      </c>
    </row>
    <row r="21" spans="1:3" ht="15.75" x14ac:dyDescent="0.5">
      <c r="A21" t="s">
        <v>149</v>
      </c>
      <c r="B21" s="172">
        <f>'WOK 2018'!B13+'SUSHI 2018'!B20</f>
        <v>35297.759999999987</v>
      </c>
      <c r="C21" s="173">
        <f>B21*0.8</f>
        <v>28238.207999999991</v>
      </c>
    </row>
    <row r="22" spans="1:3" ht="15.75" x14ac:dyDescent="0.5">
      <c r="A22" t="s">
        <v>164</v>
      </c>
      <c r="B22" s="172">
        <f>'SUSHI 2018'!B21</f>
        <v>17495.63</v>
      </c>
      <c r="C22" s="173">
        <f>B22*0.82</f>
        <v>14346.4166</v>
      </c>
    </row>
    <row r="23" spans="1:3" ht="15.75" x14ac:dyDescent="0.5">
      <c r="A23" t="s">
        <v>152</v>
      </c>
      <c r="B23" s="172">
        <f>'WOK 2018'!B14+'SUSHI 2018'!B22</f>
        <v>14457.839999999997</v>
      </c>
      <c r="C23" s="173">
        <f>B23*0.85</f>
        <v>12289.163999999997</v>
      </c>
    </row>
    <row r="24" spans="1:3" ht="15.75" x14ac:dyDescent="0.5">
      <c r="A24" t="s">
        <v>166</v>
      </c>
      <c r="B24" s="172">
        <f>'SUSHI 2018'!B23+'WOK 2018'!B29</f>
        <v>21070.13</v>
      </c>
      <c r="C24" s="173">
        <f>B24*0.82</f>
        <v>17277.506600000001</v>
      </c>
    </row>
    <row r="25" spans="1:3" ht="15.75" x14ac:dyDescent="0.5">
      <c r="A25" t="s">
        <v>161</v>
      </c>
      <c r="B25" s="172">
        <f>'SUSHI 2018'!B24</f>
        <v>23804.23</v>
      </c>
      <c r="C25" s="173">
        <f>B25*0.82</f>
        <v>19519.4686</v>
      </c>
    </row>
    <row r="26" spans="1:3" ht="15.75" x14ac:dyDescent="0.5">
      <c r="A26" t="s">
        <v>146</v>
      </c>
      <c r="B26" s="172">
        <f>'WOK 2018'!B15+'SUSHI 2018'!B25</f>
        <v>18638.549999999992</v>
      </c>
      <c r="C26" s="173">
        <f>B26*0.8</f>
        <v>14910.839999999995</v>
      </c>
    </row>
    <row r="27" spans="1:3" ht="15.75" x14ac:dyDescent="0.5">
      <c r="A27" t="s">
        <v>142</v>
      </c>
      <c r="B27" s="172">
        <f>'WOK 2018'!B16+'SUSHI 2018'!B26</f>
        <v>23458.209999999992</v>
      </c>
      <c r="C27" s="173">
        <f>B27*0.8</f>
        <v>18766.567999999996</v>
      </c>
    </row>
    <row r="28" spans="1:3" ht="15.75" x14ac:dyDescent="0.5">
      <c r="A28" t="s">
        <v>151</v>
      </c>
      <c r="B28" s="172">
        <f>'SUSHI 2018'!B27</f>
        <v>10570.480000000007</v>
      </c>
      <c r="C28" s="173">
        <f>B28*0.85</f>
        <v>8984.9080000000049</v>
      </c>
    </row>
    <row r="29" spans="1:3" ht="15.75" x14ac:dyDescent="0.5">
      <c r="A29" t="s">
        <v>168</v>
      </c>
      <c r="B29" s="172">
        <f>'SUSHI 2018'!B28+'WOK 2018'!B24</f>
        <v>16365.640000000001</v>
      </c>
      <c r="C29" s="173">
        <f>B29*0.82</f>
        <v>13419.8248</v>
      </c>
    </row>
    <row r="30" spans="1:3" ht="15.75" x14ac:dyDescent="0.5">
      <c r="A30" t="s">
        <v>140</v>
      </c>
      <c r="B30" s="172">
        <f>'WOK 2018'!B17+'SUSHI 2018'!B29</f>
        <v>22223.079999999994</v>
      </c>
      <c r="C30" s="173">
        <f>B30*0.8</f>
        <v>17778.463999999996</v>
      </c>
    </row>
    <row r="31" spans="1:3" ht="15.75" x14ac:dyDescent="0.5">
      <c r="A31" t="s">
        <v>138</v>
      </c>
      <c r="B31" s="172">
        <f>'WOK 2018'!B18+'SUSHI 2018'!B30</f>
        <v>32406.349999999977</v>
      </c>
      <c r="C31" s="173">
        <f>B31*0.8</f>
        <v>25925.079999999984</v>
      </c>
    </row>
    <row r="32" spans="1:3" ht="15.75" x14ac:dyDescent="0.5">
      <c r="A32" t="s">
        <v>139</v>
      </c>
      <c r="B32" s="172">
        <f>'WOK 2018'!B19+'SUSHI 2018'!B31</f>
        <v>19020.579999999998</v>
      </c>
      <c r="C32" s="173">
        <f>B32*0.8</f>
        <v>15216.464</v>
      </c>
    </row>
    <row r="33" spans="1:3" ht="15.75" x14ac:dyDescent="0.5">
      <c r="A33" t="s">
        <v>162</v>
      </c>
      <c r="B33" s="172">
        <f>'SUSHI 2018'!B32</f>
        <v>21686.42</v>
      </c>
      <c r="C33" s="173">
        <f>B33*0.82</f>
        <v>17782.864399999999</v>
      </c>
    </row>
    <row r="34" spans="1:3" ht="15.75" x14ac:dyDescent="0.5">
      <c r="A34" t="s">
        <v>145</v>
      </c>
      <c r="B34" s="172">
        <f>'SUSHI 2018'!B33</f>
        <v>25960.259999999966</v>
      </c>
      <c r="C34" s="173">
        <f>B34*0.8</f>
        <v>20768.207999999973</v>
      </c>
    </row>
    <row r="35" spans="1:3" ht="15.75" x14ac:dyDescent="0.5">
      <c r="A35" t="s">
        <v>147</v>
      </c>
      <c r="B35" s="172">
        <f>'WOK 2018'!B20+'SUSHI 2018'!B34</f>
        <v>30115.759999999973</v>
      </c>
      <c r="C35" s="173">
        <f>B35*0.8</f>
        <v>24092.607999999978</v>
      </c>
    </row>
    <row r="36" spans="1:3" ht="15.75" x14ac:dyDescent="0.5">
      <c r="A36" t="s">
        <v>143</v>
      </c>
      <c r="B36" s="172">
        <f>'WOK 2018'!B21+'SUSHI 2018'!B35</f>
        <v>18698.530000000006</v>
      </c>
      <c r="C36" s="173">
        <f>B36*0.8</f>
        <v>14958.824000000006</v>
      </c>
    </row>
    <row r="37" spans="1:3" ht="15.75" x14ac:dyDescent="0.5">
      <c r="A37" t="s">
        <v>144</v>
      </c>
      <c r="B37" s="172">
        <f>'WOK 2018'!B22+'SUSHI 2018'!B36</f>
        <v>25901.12000000001</v>
      </c>
      <c r="C37" s="173">
        <f>B37*0.8</f>
        <v>20720.896000000008</v>
      </c>
    </row>
    <row r="38" spans="1:3" ht="15.75" x14ac:dyDescent="0.5">
      <c r="A38" t="s">
        <v>167</v>
      </c>
      <c r="B38" s="172">
        <f>'SUSHI 2018'!B37+'WOK 2018'!B28</f>
        <v>11980</v>
      </c>
      <c r="C38" s="173">
        <f>B38*0.85</f>
        <v>10183</v>
      </c>
    </row>
    <row r="39" spans="1:3" ht="15.75" x14ac:dyDescent="0.5">
      <c r="A39" t="s">
        <v>156</v>
      </c>
      <c r="B39" s="172">
        <f>'WOK 2018'!B23+'SUSHI 2018'!B38</f>
        <v>10878.9</v>
      </c>
      <c r="C39" s="173">
        <f>B39*0.85</f>
        <v>9247.0649999999987</v>
      </c>
    </row>
    <row r="40" spans="1:3" ht="15.75" x14ac:dyDescent="0.5">
      <c r="A40" t="s">
        <v>220</v>
      </c>
      <c r="B40" s="172">
        <f>'SUSHI 2018'!B39</f>
        <v>0</v>
      </c>
      <c r="C40" s="173">
        <f>SUM(G40:S40)*0.8</f>
        <v>0</v>
      </c>
    </row>
    <row r="41" spans="1:3" ht="15.75" x14ac:dyDescent="0.5">
      <c r="A41" t="s">
        <v>32</v>
      </c>
      <c r="B41" s="172">
        <f>'SUSHI 2018'!B40</f>
        <v>0</v>
      </c>
      <c r="C41" s="173">
        <f>SUM(G41:S41)*0.8</f>
        <v>0</v>
      </c>
    </row>
    <row r="42" spans="1:3" ht="15.75" x14ac:dyDescent="0.5">
      <c r="A42" t="s">
        <v>219</v>
      </c>
      <c r="B42" s="172">
        <f>'SUSHI 2018'!B41</f>
        <v>0</v>
      </c>
      <c r="C42" s="173">
        <f>SUM(G42:S42)*0.82</f>
        <v>0</v>
      </c>
    </row>
    <row r="43" spans="1:3" ht="15.75" x14ac:dyDescent="0.5">
      <c r="A43" t="s">
        <v>96</v>
      </c>
      <c r="B43" s="172">
        <f>'SUSHI 2018'!B42</f>
        <v>22445.4</v>
      </c>
      <c r="C43" s="173">
        <f>SUM(G43:S43)*0.82</f>
        <v>0</v>
      </c>
    </row>
    <row r="44" spans="1:3" ht="15.75" x14ac:dyDescent="0.5">
      <c r="A44" t="s">
        <v>188</v>
      </c>
      <c r="B44" s="172">
        <f>'SUSHI 2018'!B43</f>
        <v>32184.15</v>
      </c>
      <c r="C44" s="173">
        <f>SUM(G44:S44)*0.82</f>
        <v>0</v>
      </c>
    </row>
    <row r="45" spans="1:3" ht="15.75" x14ac:dyDescent="0.5">
      <c r="A45" t="s">
        <v>216</v>
      </c>
      <c r="B45" s="172">
        <f>'SUSHI 2018'!B44</f>
        <v>0</v>
      </c>
      <c r="C45" s="173">
        <f>SUM(G45:S45)*0.82</f>
        <v>0</v>
      </c>
    </row>
    <row r="46" spans="1:3" ht="15.75" x14ac:dyDescent="0.5">
      <c r="A46" t="s">
        <v>36</v>
      </c>
      <c r="B46" s="172">
        <f>'SUSHI 2018'!B45</f>
        <v>0</v>
      </c>
      <c r="C46" s="173">
        <f>SUM(G46:S46)*0.8</f>
        <v>0</v>
      </c>
    </row>
    <row r="47" spans="1:3" ht="15.75" x14ac:dyDescent="0.5">
      <c r="A47" t="s">
        <v>189</v>
      </c>
      <c r="B47" s="172">
        <f>'SUSHI 2018'!B46</f>
        <v>23825.1</v>
      </c>
      <c r="C47" s="173">
        <f>SUM(G47:S47)*0.8</f>
        <v>0</v>
      </c>
    </row>
    <row r="48" spans="1:3" ht="15.75" x14ac:dyDescent="0.5">
      <c r="A48" t="s">
        <v>49</v>
      </c>
      <c r="B48" s="172">
        <f>'SUSHI 2018'!B47</f>
        <v>24441.200000000001</v>
      </c>
      <c r="C48" s="173">
        <f>SUM(G48:S48)*0.8</f>
        <v>0</v>
      </c>
    </row>
    <row r="49" spans="1:3" ht="15.75" x14ac:dyDescent="0.5">
      <c r="A49" t="s">
        <v>169</v>
      </c>
      <c r="B49" s="172">
        <f>'SUSHI 2018'!B48</f>
        <v>0</v>
      </c>
      <c r="C49" s="173">
        <f>SUM(G49:S49)*0.8</f>
        <v>0</v>
      </c>
    </row>
  </sheetData>
  <autoFilter ref="A4:C4" xr:uid="{2AE8D34C-1C9F-4C0A-8F93-A014C1F62F03}">
    <sortState ref="A7:C49">
      <sortCondition ref="A4"/>
    </sortState>
  </autoFilter>
  <mergeCells count="9">
    <mergeCell ref="L1:L3"/>
    <mergeCell ref="K1:K3"/>
    <mergeCell ref="M1:M3"/>
    <mergeCell ref="A1:C3"/>
    <mergeCell ref="D1:D3"/>
    <mergeCell ref="E1:F3"/>
    <mergeCell ref="G1:G3"/>
    <mergeCell ref="H1:I3"/>
    <mergeCell ref="J1:J3"/>
  </mergeCells>
  <conditionalFormatting sqref="C6:C49">
    <cfRule type="cellIs" dxfId="26" priority="1" operator="between">
      <formula>150000</formula>
      <formula>300000</formula>
    </cfRule>
    <cfRule type="cellIs" dxfId="25" priority="2" operator="greaterThan">
      <formula>300000</formula>
    </cfRule>
    <cfRule type="cellIs" dxfId="24" priority="3" operator="lessThan">
      <formula>150000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36"/>
  <sheetViews>
    <sheetView zoomScale="86" zoomScaleNormal="70" workbookViewId="0">
      <selection activeCell="B7" sqref="B7"/>
    </sheetView>
  </sheetViews>
  <sheetFormatPr baseColWidth="10" defaultRowHeight="14.25" x14ac:dyDescent="0.45"/>
  <cols>
    <col min="1" max="1" width="43.86328125" bestFit="1" customWidth="1"/>
    <col min="2" max="2" width="11.3984375" bestFit="1" customWidth="1"/>
    <col min="3" max="3" width="13.59765625" bestFit="1" customWidth="1"/>
    <col min="4" max="4" width="14" bestFit="1" customWidth="1"/>
    <col min="5" max="5" width="14.6640625" bestFit="1" customWidth="1"/>
    <col min="6" max="6" width="12.796875" bestFit="1" customWidth="1"/>
    <col min="7" max="7" width="11.796875" style="199" bestFit="1" customWidth="1"/>
  </cols>
  <sheetData>
    <row r="1" spans="1:18" x14ac:dyDescent="0.45">
      <c r="A1" s="267" t="s">
        <v>278</v>
      </c>
      <c r="B1" s="267"/>
      <c r="C1" s="267"/>
      <c r="D1" s="269" t="s">
        <v>205</v>
      </c>
      <c r="E1" s="271">
        <f>SUM(B5:B49)</f>
        <v>77041.729999999967</v>
      </c>
      <c r="F1" s="272"/>
      <c r="G1" s="274" t="s">
        <v>206</v>
      </c>
      <c r="H1" s="276">
        <f>SUM(C5:C46)</f>
        <v>65485.470499999974</v>
      </c>
      <c r="I1" s="276"/>
      <c r="J1" s="85"/>
      <c r="K1" s="85"/>
      <c r="L1" s="85"/>
      <c r="M1" s="85"/>
      <c r="N1" s="85"/>
      <c r="O1" s="85"/>
      <c r="P1" s="85"/>
      <c r="Q1" s="84"/>
      <c r="R1" s="85"/>
    </row>
    <row r="2" spans="1:18" x14ac:dyDescent="0.45">
      <c r="A2" s="267"/>
      <c r="B2" s="267"/>
      <c r="C2" s="267"/>
      <c r="D2" s="269"/>
      <c r="E2" s="272"/>
      <c r="F2" s="272"/>
      <c r="G2" s="274"/>
      <c r="H2" s="276"/>
      <c r="I2" s="276"/>
      <c r="J2" s="85"/>
      <c r="K2" s="85"/>
      <c r="L2" s="85"/>
      <c r="M2" s="85"/>
      <c r="N2" s="85"/>
      <c r="O2" s="85"/>
      <c r="P2" s="85"/>
      <c r="Q2" s="84"/>
      <c r="R2" s="85"/>
    </row>
    <row r="3" spans="1:18" x14ac:dyDescent="0.45">
      <c r="A3" s="268"/>
      <c r="B3" s="268"/>
      <c r="C3" s="268"/>
      <c r="D3" s="270"/>
      <c r="E3" s="273"/>
      <c r="F3" s="273"/>
      <c r="G3" s="275"/>
      <c r="H3" s="277"/>
      <c r="I3" s="277"/>
      <c r="J3" s="85"/>
      <c r="K3" s="85"/>
      <c r="L3" s="85"/>
      <c r="M3" s="85"/>
      <c r="N3" s="85"/>
      <c r="O3" s="85"/>
      <c r="P3" s="85"/>
      <c r="Q3" s="84"/>
      <c r="R3" s="85"/>
    </row>
    <row r="4" spans="1:18" x14ac:dyDescent="0.45">
      <c r="A4" s="48" t="s">
        <v>119</v>
      </c>
      <c r="B4" s="181" t="s">
        <v>120</v>
      </c>
      <c r="C4" s="102" t="s">
        <v>247</v>
      </c>
      <c r="D4" s="48" t="s">
        <v>122</v>
      </c>
      <c r="E4" s="48" t="s">
        <v>248</v>
      </c>
      <c r="F4" s="48" t="s">
        <v>124</v>
      </c>
      <c r="G4" s="195" t="s">
        <v>223</v>
      </c>
      <c r="H4" s="57" t="s">
        <v>224</v>
      </c>
      <c r="I4" s="86" t="s">
        <v>225</v>
      </c>
      <c r="J4" s="57" t="s">
        <v>226</v>
      </c>
      <c r="K4" s="57" t="s">
        <v>227</v>
      </c>
      <c r="L4" s="57" t="s">
        <v>228</v>
      </c>
      <c r="M4" s="57" t="s">
        <v>229</v>
      </c>
      <c r="N4" s="57" t="s">
        <v>230</v>
      </c>
      <c r="O4" s="57" t="s">
        <v>231</v>
      </c>
      <c r="P4" s="57" t="s">
        <v>232</v>
      </c>
      <c r="Q4" s="58" t="s">
        <v>233</v>
      </c>
      <c r="R4" s="57" t="s">
        <v>234</v>
      </c>
    </row>
    <row r="5" spans="1:18" ht="15.75" x14ac:dyDescent="0.5">
      <c r="A5" s="182" t="s">
        <v>257</v>
      </c>
      <c r="B5" s="172">
        <f>SUM(G5:R5)</f>
        <v>172.38</v>
      </c>
      <c r="C5" s="173">
        <f>SUM(G5:R5)*0.85</f>
        <v>146.523</v>
      </c>
      <c r="D5" s="174">
        <f t="shared" ref="D5:D29" si="0">E5-(E5*10%)</f>
        <v>12.9285</v>
      </c>
      <c r="E5" s="175">
        <f t="shared" ref="E5:E29" si="1">SUM(G5:T5)/12</f>
        <v>14.365</v>
      </c>
      <c r="F5" s="176">
        <f t="shared" ref="F5:F29" si="2">E5+(E5*10%)</f>
        <v>15.801500000000001</v>
      </c>
      <c r="G5" s="196">
        <v>172.38</v>
      </c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</row>
    <row r="6" spans="1:18" ht="15.75" x14ac:dyDescent="0.5">
      <c r="A6" s="182" t="s">
        <v>258</v>
      </c>
      <c r="B6" s="172">
        <f t="shared" ref="B6:B29" si="3">SUM(G6:R6)</f>
        <v>7409.33</v>
      </c>
      <c r="C6" s="173">
        <f t="shared" ref="C6:C29" si="4">SUM(G6:R6)*0.85</f>
        <v>6297.9304999999995</v>
      </c>
      <c r="D6" s="49">
        <f t="shared" si="0"/>
        <v>555.69974999999999</v>
      </c>
      <c r="E6" s="50">
        <f t="shared" si="1"/>
        <v>617.44416666666666</v>
      </c>
      <c r="F6" s="51">
        <f t="shared" si="2"/>
        <v>679.18858333333333</v>
      </c>
      <c r="G6" s="196">
        <v>7409.33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.75" x14ac:dyDescent="0.5">
      <c r="A7" s="182" t="s">
        <v>259</v>
      </c>
      <c r="B7" s="172">
        <f t="shared" si="3"/>
        <v>6351.13</v>
      </c>
      <c r="C7" s="173">
        <f t="shared" si="4"/>
        <v>5398.4605000000001</v>
      </c>
      <c r="D7" s="49">
        <f t="shared" si="0"/>
        <v>476.33475000000004</v>
      </c>
      <c r="E7" s="50">
        <f t="shared" si="1"/>
        <v>529.26083333333338</v>
      </c>
      <c r="F7" s="51">
        <f t="shared" si="2"/>
        <v>582.18691666666678</v>
      </c>
      <c r="G7" s="196">
        <v>6351.13</v>
      </c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18" ht="15.75" x14ac:dyDescent="0.5">
      <c r="A8" s="182" t="s">
        <v>260</v>
      </c>
      <c r="B8" s="172">
        <f t="shared" si="3"/>
        <v>892.55</v>
      </c>
      <c r="C8" s="173">
        <f t="shared" si="4"/>
        <v>758.6674999999999</v>
      </c>
      <c r="D8" s="49">
        <f t="shared" si="0"/>
        <v>66.941249999999997</v>
      </c>
      <c r="E8" s="50">
        <f t="shared" si="1"/>
        <v>74.379166666666663</v>
      </c>
      <c r="F8" s="51">
        <f t="shared" si="2"/>
        <v>81.817083333333329</v>
      </c>
      <c r="G8" s="196">
        <v>892.55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ht="15.75" x14ac:dyDescent="0.5">
      <c r="A9" s="182" t="s">
        <v>261</v>
      </c>
      <c r="B9" s="172">
        <f t="shared" si="3"/>
        <v>75.400000000000006</v>
      </c>
      <c r="C9" s="173">
        <f t="shared" si="4"/>
        <v>64.09</v>
      </c>
      <c r="D9" s="49">
        <f t="shared" si="0"/>
        <v>5.6550000000000011</v>
      </c>
      <c r="E9" s="50">
        <f t="shared" si="1"/>
        <v>6.2833333333333341</v>
      </c>
      <c r="F9" s="51">
        <f t="shared" si="2"/>
        <v>6.9116666666666671</v>
      </c>
      <c r="G9" s="196">
        <v>75.400000000000006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15.75" x14ac:dyDescent="0.5">
      <c r="A10" s="182" t="s">
        <v>262</v>
      </c>
      <c r="B10" s="172">
        <f t="shared" si="3"/>
        <v>9370.9099999999926</v>
      </c>
      <c r="C10" s="173">
        <f t="shared" si="4"/>
        <v>7965.2734999999939</v>
      </c>
      <c r="D10" s="49">
        <f t="shared" si="0"/>
        <v>702.81824999999935</v>
      </c>
      <c r="E10" s="50">
        <f t="shared" si="1"/>
        <v>780.90916666666601</v>
      </c>
      <c r="F10" s="51">
        <f t="shared" si="2"/>
        <v>859.00008333333267</v>
      </c>
      <c r="G10" s="196">
        <v>9370.9099999999926</v>
      </c>
      <c r="H10" s="178"/>
      <c r="I10" s="178"/>
      <c r="J10" s="47"/>
      <c r="K10" s="47"/>
      <c r="L10" s="47"/>
      <c r="M10" s="47"/>
      <c r="N10" s="47"/>
      <c r="O10" s="47"/>
      <c r="P10" s="47"/>
      <c r="Q10" s="47"/>
      <c r="R10" s="47"/>
    </row>
    <row r="11" spans="1:18" ht="15.75" x14ac:dyDescent="0.5">
      <c r="A11" s="182" t="s">
        <v>263</v>
      </c>
      <c r="B11" s="172">
        <f t="shared" si="3"/>
        <v>7561.3900000000012</v>
      </c>
      <c r="C11" s="173">
        <f t="shared" si="4"/>
        <v>6427.1815000000006</v>
      </c>
      <c r="D11" s="49">
        <f t="shared" si="0"/>
        <v>567.10425000000009</v>
      </c>
      <c r="E11" s="50">
        <f t="shared" si="1"/>
        <v>630.1158333333334</v>
      </c>
      <c r="F11" s="51">
        <f t="shared" si="2"/>
        <v>693.1274166666667</v>
      </c>
      <c r="G11" s="196">
        <v>7561.3900000000012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 ht="15.75" x14ac:dyDescent="0.5">
      <c r="A12" s="182" t="s">
        <v>264</v>
      </c>
      <c r="B12" s="172">
        <f t="shared" si="3"/>
        <v>3114.1299999999978</v>
      </c>
      <c r="C12" s="173">
        <f t="shared" si="4"/>
        <v>2647.010499999998</v>
      </c>
      <c r="D12" s="49">
        <f t="shared" si="0"/>
        <v>233.55974999999984</v>
      </c>
      <c r="E12" s="50">
        <f t="shared" si="1"/>
        <v>259.51083333333315</v>
      </c>
      <c r="F12" s="51">
        <f t="shared" si="2"/>
        <v>285.46191666666647</v>
      </c>
      <c r="G12" s="196">
        <v>3114.1299999999978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 ht="15.75" x14ac:dyDescent="0.5">
      <c r="A13" s="182" t="s">
        <v>265</v>
      </c>
      <c r="B13" s="172">
        <f t="shared" si="3"/>
        <v>7810.8799999999956</v>
      </c>
      <c r="C13" s="173">
        <f t="shared" si="4"/>
        <v>6639.247999999996</v>
      </c>
      <c r="D13" s="49">
        <f t="shared" si="0"/>
        <v>585.81599999999969</v>
      </c>
      <c r="E13" s="50">
        <f t="shared" si="1"/>
        <v>650.9066666666663</v>
      </c>
      <c r="F13" s="51">
        <f t="shared" si="2"/>
        <v>715.9973333333329</v>
      </c>
      <c r="G13" s="196">
        <v>7810.8799999999956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18" ht="15.75" x14ac:dyDescent="0.5">
      <c r="A14" s="182" t="s">
        <v>266</v>
      </c>
      <c r="B14" s="172">
        <f t="shared" si="3"/>
        <v>2570.8399999999992</v>
      </c>
      <c r="C14" s="173">
        <f t="shared" si="4"/>
        <v>2185.2139999999995</v>
      </c>
      <c r="D14" s="49">
        <f t="shared" si="0"/>
        <v>192.81299999999993</v>
      </c>
      <c r="E14" s="50">
        <f t="shared" si="1"/>
        <v>214.23666666666659</v>
      </c>
      <c r="F14" s="51">
        <f t="shared" si="2"/>
        <v>235.66033333333326</v>
      </c>
      <c r="G14" s="196">
        <v>2570.8399999999992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18" ht="15.75" x14ac:dyDescent="0.5">
      <c r="A15" s="182" t="s">
        <v>267</v>
      </c>
      <c r="B15" s="172">
        <f t="shared" si="3"/>
        <v>1498.6699999999996</v>
      </c>
      <c r="C15" s="173">
        <f t="shared" si="4"/>
        <v>1273.8694999999996</v>
      </c>
      <c r="D15" s="49">
        <f t="shared" si="0"/>
        <v>112.40024999999997</v>
      </c>
      <c r="E15" s="50">
        <f t="shared" si="1"/>
        <v>124.88916666666664</v>
      </c>
      <c r="F15" s="51">
        <f t="shared" si="2"/>
        <v>137.37808333333331</v>
      </c>
      <c r="G15" s="196">
        <v>1498.6699999999996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ht="15.75" x14ac:dyDescent="0.5">
      <c r="A16" s="182" t="s">
        <v>268</v>
      </c>
      <c r="B16" s="172">
        <f t="shared" si="3"/>
        <v>521.70000000000005</v>
      </c>
      <c r="C16" s="173">
        <f t="shared" si="4"/>
        <v>443.44500000000005</v>
      </c>
      <c r="D16" s="49">
        <f t="shared" si="0"/>
        <v>39.127499999999998</v>
      </c>
      <c r="E16" s="50">
        <f t="shared" si="1"/>
        <v>43.475000000000001</v>
      </c>
      <c r="F16" s="51">
        <f t="shared" si="2"/>
        <v>47.822500000000005</v>
      </c>
      <c r="G16" s="196">
        <v>521.70000000000005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ht="15.75" x14ac:dyDescent="0.5">
      <c r="A17" s="182" t="s">
        <v>269</v>
      </c>
      <c r="B17" s="172">
        <f t="shared" si="3"/>
        <v>250.51</v>
      </c>
      <c r="C17" s="173">
        <f t="shared" si="4"/>
        <v>212.93349999999998</v>
      </c>
      <c r="D17" s="49">
        <f t="shared" si="0"/>
        <v>18.788249999999998</v>
      </c>
      <c r="E17" s="50">
        <f t="shared" si="1"/>
        <v>20.875833333333333</v>
      </c>
      <c r="F17" s="51">
        <f t="shared" si="2"/>
        <v>22.963416666666667</v>
      </c>
      <c r="G17" s="196">
        <v>250.51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ht="15.75" x14ac:dyDescent="0.5">
      <c r="A18" s="182" t="s">
        <v>270</v>
      </c>
      <c r="B18" s="172">
        <f t="shared" si="3"/>
        <v>856.92000000000007</v>
      </c>
      <c r="C18" s="173">
        <f t="shared" si="4"/>
        <v>728.38200000000006</v>
      </c>
      <c r="D18" s="49">
        <f t="shared" si="0"/>
        <v>64.269000000000005</v>
      </c>
      <c r="E18" s="50">
        <f t="shared" si="1"/>
        <v>71.410000000000011</v>
      </c>
      <c r="F18" s="51">
        <f t="shared" si="2"/>
        <v>78.551000000000016</v>
      </c>
      <c r="G18" s="196">
        <v>856.92000000000007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ht="15.75" x14ac:dyDescent="0.5">
      <c r="A19" s="182" t="s">
        <v>271</v>
      </c>
      <c r="B19" s="172">
        <f t="shared" si="3"/>
        <v>87.27</v>
      </c>
      <c r="C19" s="173">
        <f t="shared" si="4"/>
        <v>74.17949999999999</v>
      </c>
      <c r="D19" s="49">
        <f t="shared" si="0"/>
        <v>6.5452500000000002</v>
      </c>
      <c r="E19" s="50">
        <f t="shared" si="1"/>
        <v>7.2725</v>
      </c>
      <c r="F19" s="51">
        <f t="shared" si="2"/>
        <v>7.9997499999999997</v>
      </c>
      <c r="G19" s="196">
        <v>87.27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ht="15.75" x14ac:dyDescent="0.5">
      <c r="A20" s="182" t="s">
        <v>272</v>
      </c>
      <c r="B20" s="172">
        <f t="shared" si="3"/>
        <v>2359.1400000000008</v>
      </c>
      <c r="C20" s="173">
        <f t="shared" si="4"/>
        <v>2005.2690000000007</v>
      </c>
      <c r="D20" s="49">
        <f t="shared" si="0"/>
        <v>176.93550000000005</v>
      </c>
      <c r="E20" s="50">
        <f t="shared" si="1"/>
        <v>196.59500000000006</v>
      </c>
      <c r="F20" s="51">
        <f t="shared" si="2"/>
        <v>216.25450000000006</v>
      </c>
      <c r="G20" s="196">
        <v>2359.1400000000008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ht="15.75" x14ac:dyDescent="0.5">
      <c r="A21" s="182" t="s">
        <v>273</v>
      </c>
      <c r="B21" s="172">
        <f t="shared" si="3"/>
        <v>4771.33</v>
      </c>
      <c r="C21" s="173">
        <f t="shared" si="4"/>
        <v>4055.6304999999998</v>
      </c>
      <c r="D21" s="49">
        <f t="shared" si="0"/>
        <v>357.84975000000003</v>
      </c>
      <c r="E21" s="50">
        <f t="shared" si="1"/>
        <v>397.61083333333335</v>
      </c>
      <c r="F21" s="51">
        <f t="shared" si="2"/>
        <v>437.37191666666666</v>
      </c>
      <c r="G21" s="196">
        <v>4771.33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ht="15.75" x14ac:dyDescent="0.5">
      <c r="A22" s="182" t="s">
        <v>274</v>
      </c>
      <c r="B22" s="172">
        <f>SUM(G22:R22)</f>
        <v>5228.9699999999984</v>
      </c>
      <c r="C22" s="173">
        <f>SUM(G22:R22)*0.85</f>
        <v>4444.624499999999</v>
      </c>
      <c r="D22" s="49">
        <f t="shared" si="0"/>
        <v>392.17274999999989</v>
      </c>
      <c r="E22" s="50">
        <f t="shared" si="1"/>
        <v>435.74749999999989</v>
      </c>
      <c r="F22" s="51">
        <f t="shared" si="2"/>
        <v>479.32224999999988</v>
      </c>
      <c r="G22" s="196">
        <v>5228.9699999999984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ht="15.75" x14ac:dyDescent="0.5">
      <c r="A23" s="182" t="s">
        <v>275</v>
      </c>
      <c r="B23" s="172">
        <f t="shared" si="3"/>
        <v>879.40000000000032</v>
      </c>
      <c r="C23" s="173">
        <f t="shared" si="4"/>
        <v>747.49000000000024</v>
      </c>
      <c r="D23" s="49">
        <f t="shared" si="0"/>
        <v>65.955000000000027</v>
      </c>
      <c r="E23" s="50">
        <f t="shared" si="1"/>
        <v>73.28333333333336</v>
      </c>
      <c r="F23" s="51">
        <f t="shared" si="2"/>
        <v>80.611666666666693</v>
      </c>
      <c r="G23" s="196">
        <v>879.40000000000032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ht="15.75" x14ac:dyDescent="0.5">
      <c r="A24" t="s">
        <v>168</v>
      </c>
      <c r="B24" s="172">
        <f t="shared" si="3"/>
        <v>2773.27</v>
      </c>
      <c r="C24" s="173">
        <f t="shared" si="4"/>
        <v>2357.2795000000001</v>
      </c>
      <c r="D24" s="49">
        <f t="shared" si="0"/>
        <v>207.99525</v>
      </c>
      <c r="E24" s="50">
        <f t="shared" si="1"/>
        <v>231.10583333333332</v>
      </c>
      <c r="F24" s="51">
        <f t="shared" si="2"/>
        <v>254.21641666666665</v>
      </c>
      <c r="G24" s="197">
        <v>2773.27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ht="15.75" x14ac:dyDescent="0.5">
      <c r="A25" t="s">
        <v>165</v>
      </c>
      <c r="B25" s="172">
        <f t="shared" si="3"/>
        <v>8743.59</v>
      </c>
      <c r="C25" s="173">
        <f t="shared" si="4"/>
        <v>7432.0514999999996</v>
      </c>
      <c r="D25" s="49">
        <f t="shared" si="0"/>
        <v>655.76925000000006</v>
      </c>
      <c r="E25" s="50">
        <f t="shared" si="1"/>
        <v>728.63250000000005</v>
      </c>
      <c r="F25" s="51">
        <f t="shared" si="2"/>
        <v>801.49575000000004</v>
      </c>
      <c r="G25" s="200">
        <v>8743.59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ht="15.75" x14ac:dyDescent="0.5">
      <c r="A26" t="s">
        <v>203</v>
      </c>
      <c r="B26" s="172">
        <f t="shared" si="3"/>
        <v>1396.8</v>
      </c>
      <c r="C26" s="173">
        <f t="shared" si="4"/>
        <v>1187.28</v>
      </c>
      <c r="D26" s="49">
        <f t="shared" si="0"/>
        <v>104.75999999999999</v>
      </c>
      <c r="E26" s="50">
        <f t="shared" si="1"/>
        <v>116.39999999999999</v>
      </c>
      <c r="F26" s="51">
        <f t="shared" si="2"/>
        <v>128.04</v>
      </c>
      <c r="G26" s="197">
        <v>1396.8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ht="15.75" x14ac:dyDescent="0.5">
      <c r="A27" t="s">
        <v>160</v>
      </c>
      <c r="B27" s="172">
        <f t="shared" si="3"/>
        <v>100.84</v>
      </c>
      <c r="C27" s="173">
        <f t="shared" si="4"/>
        <v>85.713999999999999</v>
      </c>
      <c r="D27" s="49">
        <f t="shared" si="0"/>
        <v>7.5630000000000006</v>
      </c>
      <c r="E27" s="50">
        <f t="shared" si="1"/>
        <v>8.4033333333333342</v>
      </c>
      <c r="F27" s="51">
        <f t="shared" si="2"/>
        <v>9.2436666666666678</v>
      </c>
      <c r="G27" s="197">
        <v>100.84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ht="15.75" x14ac:dyDescent="0.5">
      <c r="A28" t="s">
        <v>167</v>
      </c>
      <c r="B28" s="172">
        <f t="shared" si="3"/>
        <v>2039.68</v>
      </c>
      <c r="C28" s="173">
        <f t="shared" si="4"/>
        <v>1733.7280000000001</v>
      </c>
      <c r="D28" s="49">
        <f t="shared" si="0"/>
        <v>152.976</v>
      </c>
      <c r="E28" s="50">
        <f t="shared" si="1"/>
        <v>169.97333333333333</v>
      </c>
      <c r="F28" s="51">
        <f t="shared" si="2"/>
        <v>186.97066666666666</v>
      </c>
      <c r="G28" s="197">
        <v>2039.68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ht="15.75" x14ac:dyDescent="0.5">
      <c r="A29" t="s">
        <v>166</v>
      </c>
      <c r="B29" s="172">
        <f t="shared" si="3"/>
        <v>204.7</v>
      </c>
      <c r="C29" s="173">
        <f t="shared" si="4"/>
        <v>173.99499999999998</v>
      </c>
      <c r="D29" s="49">
        <f t="shared" si="0"/>
        <v>15.352499999999999</v>
      </c>
      <c r="E29" s="50">
        <f t="shared" si="1"/>
        <v>17.058333333333334</v>
      </c>
      <c r="F29" s="51">
        <f t="shared" si="2"/>
        <v>18.764166666666668</v>
      </c>
      <c r="G29" s="197">
        <v>204.7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ht="15.75" x14ac:dyDescent="0.5">
      <c r="B30" s="172"/>
      <c r="C30" s="173"/>
      <c r="D30" s="49"/>
      <c r="E30" s="50"/>
      <c r="F30" s="51"/>
      <c r="G30" s="198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ht="15.75" x14ac:dyDescent="0.5">
      <c r="B31" s="172"/>
      <c r="C31" s="173"/>
      <c r="D31" s="49"/>
      <c r="E31" s="50"/>
      <c r="F31" s="51"/>
      <c r="G31" s="19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ht="15.75" x14ac:dyDescent="0.5">
      <c r="B32" s="172"/>
      <c r="C32" s="173"/>
      <c r="D32" s="49"/>
      <c r="E32" s="50"/>
      <c r="F32" s="51"/>
      <c r="G32" s="19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2:18" ht="15.75" x14ac:dyDescent="0.5">
      <c r="B33" s="172"/>
      <c r="C33" s="173"/>
      <c r="D33" s="49"/>
      <c r="E33" s="50"/>
      <c r="F33" s="51"/>
      <c r="G33" s="19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2:18" ht="15.75" x14ac:dyDescent="0.5">
      <c r="B34" s="172"/>
      <c r="C34" s="173"/>
      <c r="D34" s="49"/>
      <c r="E34" s="50"/>
      <c r="F34" s="51"/>
      <c r="G34" s="19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2:18" ht="15.75" x14ac:dyDescent="0.5">
      <c r="B35" s="172"/>
      <c r="C35" s="173"/>
      <c r="D35" s="49"/>
      <c r="E35" s="50"/>
      <c r="F35" s="51"/>
      <c r="G35" s="198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2:18" ht="15.75" x14ac:dyDescent="0.5">
      <c r="B36" s="172"/>
      <c r="C36" s="173"/>
      <c r="D36" s="49"/>
      <c r="E36" s="50"/>
      <c r="F36" s="51"/>
      <c r="G36" s="198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</sheetData>
  <mergeCells count="5">
    <mergeCell ref="A1:C3"/>
    <mergeCell ref="D1:D3"/>
    <mergeCell ref="E1:F3"/>
    <mergeCell ref="G1:G3"/>
    <mergeCell ref="H1:I3"/>
  </mergeCells>
  <conditionalFormatting sqref="H21:R22 G5:R20 G21 G23:R36">
    <cfRule type="expression" dxfId="23" priority="4">
      <formula>AND(G5&lt;&gt;"",G5&lt;$F5,G5&gt;$D5)</formula>
    </cfRule>
    <cfRule type="expression" dxfId="22" priority="5">
      <formula>AND(G5&lt;&gt;"",G5&gt;$F5)</formula>
    </cfRule>
    <cfRule type="expression" dxfId="21" priority="6">
      <formula>AND(G5&lt;&gt;"",G5&lt;$D5)</formula>
    </cfRule>
  </conditionalFormatting>
  <conditionalFormatting sqref="C5:C36">
    <cfRule type="cellIs" dxfId="20" priority="7" operator="between">
      <formula>150000</formula>
      <formula>300000</formula>
    </cfRule>
    <cfRule type="cellIs" dxfId="19" priority="8" operator="greaterThan">
      <formula>300000</formula>
    </cfRule>
    <cfRule type="cellIs" dxfId="18" priority="9" operator="lessThan">
      <formula>150000</formula>
    </cfRule>
  </conditionalFormatting>
  <conditionalFormatting sqref="G22">
    <cfRule type="expression" dxfId="17" priority="10">
      <formula>AND(G22&lt;&gt;"",G22&lt;$F21,G22&gt;$D21)</formula>
    </cfRule>
    <cfRule type="expression" dxfId="16" priority="11">
      <formula>AND(G22&lt;&gt;"",G22&gt;$F21)</formula>
    </cfRule>
    <cfRule type="expression" dxfId="15" priority="12">
      <formula>AND(G22&lt;&gt;"",G22&lt;$D21)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R51"/>
  <sheetViews>
    <sheetView topLeftCell="A3" zoomScale="72" zoomScaleNormal="80" workbookViewId="0">
      <selection activeCell="A33" sqref="A33"/>
    </sheetView>
  </sheetViews>
  <sheetFormatPr baseColWidth="10" defaultRowHeight="14.25" x14ac:dyDescent="0.45"/>
  <cols>
    <col min="1" max="1" width="42.1328125" bestFit="1" customWidth="1"/>
    <col min="2" max="2" width="17.265625" customWidth="1"/>
    <col min="3" max="3" width="16.265625" bestFit="1" customWidth="1"/>
    <col min="4" max="4" width="17.06640625" bestFit="1" customWidth="1"/>
    <col min="5" max="5" width="17.265625" bestFit="1" customWidth="1"/>
    <col min="6" max="6" width="15.33203125" bestFit="1" customWidth="1"/>
    <col min="7" max="7" width="17.3984375" bestFit="1" customWidth="1"/>
    <col min="8" max="18" width="11.86328125" bestFit="1" customWidth="1"/>
  </cols>
  <sheetData>
    <row r="1" spans="1:18" x14ac:dyDescent="0.45">
      <c r="A1" s="267" t="s">
        <v>118</v>
      </c>
      <c r="B1" s="267"/>
      <c r="C1" s="267"/>
      <c r="D1" s="269" t="s">
        <v>205</v>
      </c>
      <c r="E1" s="278">
        <f>SUM(B5:B48)</f>
        <v>760012.96999999986</v>
      </c>
      <c r="F1" s="279"/>
      <c r="G1" s="281" t="s">
        <v>206</v>
      </c>
      <c r="H1" s="281">
        <f>SUM(C5:C45)</f>
        <v>597320.08319999976</v>
      </c>
      <c r="I1" s="281"/>
      <c r="J1" s="85"/>
      <c r="K1" s="85"/>
      <c r="L1" s="85"/>
      <c r="M1" s="85"/>
      <c r="N1" s="85"/>
      <c r="O1" s="85"/>
      <c r="P1" s="85"/>
      <c r="Q1" s="84"/>
      <c r="R1" s="85"/>
    </row>
    <row r="2" spans="1:18" x14ac:dyDescent="0.45">
      <c r="A2" s="267"/>
      <c r="B2" s="267"/>
      <c r="C2" s="267"/>
      <c r="D2" s="269"/>
      <c r="E2" s="279"/>
      <c r="F2" s="279"/>
      <c r="G2" s="281"/>
      <c r="H2" s="281"/>
      <c r="I2" s="281"/>
      <c r="J2" s="85"/>
      <c r="K2" s="85"/>
      <c r="L2" s="85"/>
      <c r="M2" s="85"/>
      <c r="N2" s="85"/>
      <c r="O2" s="85"/>
      <c r="P2" s="85"/>
      <c r="Q2" s="84"/>
      <c r="R2" s="85"/>
    </row>
    <row r="3" spans="1:18" x14ac:dyDescent="0.45">
      <c r="A3" s="268"/>
      <c r="B3" s="268"/>
      <c r="C3" s="268"/>
      <c r="D3" s="270"/>
      <c r="E3" s="280"/>
      <c r="F3" s="280"/>
      <c r="G3" s="282"/>
      <c r="H3" s="282"/>
      <c r="I3" s="282"/>
      <c r="J3" s="85"/>
      <c r="K3" s="85"/>
      <c r="L3" s="85"/>
      <c r="M3" s="85"/>
      <c r="N3" s="85"/>
      <c r="O3" s="85"/>
      <c r="P3" s="85"/>
      <c r="Q3" s="84"/>
      <c r="R3" s="85"/>
    </row>
    <row r="4" spans="1:18" x14ac:dyDescent="0.45">
      <c r="A4" s="48" t="s">
        <v>119</v>
      </c>
      <c r="B4" s="181" t="s">
        <v>120</v>
      </c>
      <c r="C4" s="102" t="s">
        <v>247</v>
      </c>
      <c r="D4" s="48" t="s">
        <v>122</v>
      </c>
      <c r="E4" s="48" t="s">
        <v>248</v>
      </c>
      <c r="F4" s="48" t="s">
        <v>124</v>
      </c>
      <c r="G4" s="57" t="s">
        <v>223</v>
      </c>
      <c r="H4" s="57" t="s">
        <v>224</v>
      </c>
      <c r="I4" s="86" t="s">
        <v>225</v>
      </c>
      <c r="J4" s="57" t="s">
        <v>226</v>
      </c>
      <c r="K4" s="57" t="s">
        <v>227</v>
      </c>
      <c r="L4" s="57" t="s">
        <v>228</v>
      </c>
      <c r="M4" s="57" t="s">
        <v>229</v>
      </c>
      <c r="N4" s="57" t="s">
        <v>230</v>
      </c>
      <c r="O4" s="57" t="s">
        <v>231</v>
      </c>
      <c r="P4" s="57" t="s">
        <v>232</v>
      </c>
      <c r="Q4" s="58" t="s">
        <v>233</v>
      </c>
      <c r="R4" s="57" t="s">
        <v>234</v>
      </c>
    </row>
    <row r="5" spans="1:18" ht="15.75" x14ac:dyDescent="0.5">
      <c r="A5" s="171" t="s">
        <v>157</v>
      </c>
      <c r="B5" s="172">
        <f>SUM(G5:R5)</f>
        <v>7452</v>
      </c>
      <c r="C5" s="173">
        <f>SUM(G5:R5)*0.85</f>
        <v>6334.2</v>
      </c>
      <c r="D5" s="174">
        <f t="shared" ref="D5:D51" si="0">E5-(E5*10%)</f>
        <v>558.9</v>
      </c>
      <c r="E5" s="175">
        <f t="shared" ref="E5:E51" si="1">SUM(G5:T5)/12</f>
        <v>621</v>
      </c>
      <c r="F5" s="176">
        <f t="shared" ref="F5:F51" si="2">E5+(E5*10%)</f>
        <v>683.1</v>
      </c>
      <c r="G5" s="186">
        <v>7452</v>
      </c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</row>
    <row r="6" spans="1:18" ht="15.75" x14ac:dyDescent="0.5">
      <c r="A6" t="s">
        <v>159</v>
      </c>
      <c r="B6" s="172">
        <f t="shared" ref="B6:B48" si="3">SUM(G6:R6)</f>
        <v>14004.800000000012</v>
      </c>
      <c r="C6" s="173">
        <f>SUM(G6:R6)*0.82</f>
        <v>11483.936000000009</v>
      </c>
      <c r="D6" s="49">
        <f t="shared" si="0"/>
        <v>1050.360000000001</v>
      </c>
      <c r="E6" s="50">
        <f t="shared" si="1"/>
        <v>1167.0666666666677</v>
      </c>
      <c r="F6" s="51">
        <f t="shared" si="2"/>
        <v>1283.7733333333344</v>
      </c>
      <c r="G6" s="189">
        <v>14004.800000000012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.75" x14ac:dyDescent="0.5">
      <c r="A7" t="s">
        <v>160</v>
      </c>
      <c r="B7" s="172">
        <f t="shared" si="3"/>
        <v>8495.0100000000075</v>
      </c>
      <c r="C7" s="173">
        <f t="shared" ref="C7:C38" si="4">SUM(G7:R7)*0.85</f>
        <v>7220.7585000000063</v>
      </c>
      <c r="D7" s="49">
        <f t="shared" si="0"/>
        <v>637.12575000000049</v>
      </c>
      <c r="E7" s="50">
        <f t="shared" si="1"/>
        <v>707.91750000000059</v>
      </c>
      <c r="F7" s="51">
        <f t="shared" si="2"/>
        <v>778.70925000000068</v>
      </c>
      <c r="G7" s="189">
        <v>8495.0100000000075</v>
      </c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18" ht="15.75" x14ac:dyDescent="0.5">
      <c r="A8" t="s">
        <v>158</v>
      </c>
      <c r="B8" s="172">
        <f t="shared" si="3"/>
        <v>22018.339999999997</v>
      </c>
      <c r="C8" s="173">
        <f>SUM(G8:R8)*0.82</f>
        <v>18055.038799999995</v>
      </c>
      <c r="D8" s="49">
        <f t="shared" si="0"/>
        <v>1651.3754999999999</v>
      </c>
      <c r="E8" s="50">
        <f t="shared" si="1"/>
        <v>1834.8616666666665</v>
      </c>
      <c r="F8" s="51">
        <f t="shared" si="2"/>
        <v>2018.347833333333</v>
      </c>
      <c r="G8" s="189">
        <v>22018.339999999997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ht="15.75" x14ac:dyDescent="0.5">
      <c r="A9" t="s">
        <v>163</v>
      </c>
      <c r="B9" s="172">
        <f t="shared" si="3"/>
        <v>12691.109999999962</v>
      </c>
      <c r="C9" s="173">
        <f>SUM(G9:R9)*0.82</f>
        <v>10406.710199999969</v>
      </c>
      <c r="D9" s="49">
        <f t="shared" si="0"/>
        <v>951.83324999999707</v>
      </c>
      <c r="E9" s="50">
        <f t="shared" si="1"/>
        <v>1057.5924999999968</v>
      </c>
      <c r="F9" s="51">
        <f t="shared" si="2"/>
        <v>1163.3517499999964</v>
      </c>
      <c r="G9" s="189">
        <v>12691.109999999962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15.75" x14ac:dyDescent="0.5">
      <c r="A10" t="s">
        <v>137</v>
      </c>
      <c r="B10" s="172">
        <f t="shared" si="3"/>
        <v>53241.58</v>
      </c>
      <c r="C10" s="173">
        <f>SUM(G10:R10)*0.82</f>
        <v>43658.095600000001</v>
      </c>
      <c r="D10" s="49">
        <f t="shared" si="0"/>
        <v>3993.1184999999996</v>
      </c>
      <c r="E10" s="50">
        <f t="shared" si="1"/>
        <v>4436.7983333333332</v>
      </c>
      <c r="F10" s="51">
        <f t="shared" si="2"/>
        <v>4880.4781666666668</v>
      </c>
      <c r="G10" s="186">
        <v>53241.58</v>
      </c>
      <c r="H10" s="178"/>
      <c r="I10" s="178"/>
      <c r="J10" s="47"/>
      <c r="K10" s="47"/>
      <c r="L10" s="47"/>
      <c r="M10" s="47"/>
      <c r="N10" s="47"/>
      <c r="O10" s="47"/>
      <c r="P10" s="47"/>
      <c r="Q10" s="47"/>
      <c r="R10" s="47"/>
    </row>
    <row r="11" spans="1:18" ht="15.75" x14ac:dyDescent="0.5">
      <c r="A11" t="s">
        <v>203</v>
      </c>
      <c r="B11" s="172">
        <f>SUM(G11:R11)</f>
        <v>12019.86</v>
      </c>
      <c r="C11" s="173">
        <f>SUM(G11:R11)*0.85</f>
        <v>10216.880999999999</v>
      </c>
      <c r="D11" s="49">
        <f t="shared" si="0"/>
        <v>901.48950000000013</v>
      </c>
      <c r="E11" s="50">
        <f>SUM(G11:T11)/12</f>
        <v>1001.6550000000001</v>
      </c>
      <c r="F11" s="51">
        <f t="shared" si="2"/>
        <v>1101.8205</v>
      </c>
      <c r="G11" s="190">
        <v>12019.86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 ht="15.75" x14ac:dyDescent="0.5">
      <c r="A12" t="s">
        <v>204</v>
      </c>
      <c r="B12" s="172">
        <f>SUM(G12:R12)</f>
        <v>8859.84</v>
      </c>
      <c r="C12" s="173">
        <f>SUM(G12:R12)*0.85</f>
        <v>7530.8639999999996</v>
      </c>
      <c r="D12" s="49">
        <f t="shared" si="0"/>
        <v>664.48800000000006</v>
      </c>
      <c r="E12" s="50">
        <f>SUM(G12:T12)/12</f>
        <v>738.32</v>
      </c>
      <c r="F12" s="51">
        <f t="shared" si="2"/>
        <v>812.15200000000004</v>
      </c>
      <c r="G12" s="190">
        <v>8859.84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 ht="15.75" x14ac:dyDescent="0.5">
      <c r="A13" t="s">
        <v>154</v>
      </c>
      <c r="B13" s="172">
        <f t="shared" si="3"/>
        <v>28011.130000000005</v>
      </c>
      <c r="C13" s="173">
        <f>SUM(G13:R13)*0.8</f>
        <v>22408.904000000006</v>
      </c>
      <c r="D13" s="49">
        <f t="shared" si="0"/>
        <v>2100.8347500000004</v>
      </c>
      <c r="E13" s="50">
        <f t="shared" si="1"/>
        <v>2334.2608333333337</v>
      </c>
      <c r="F13" s="51">
        <f t="shared" si="2"/>
        <v>2567.686916666667</v>
      </c>
      <c r="G13" s="188">
        <v>28011.130000000005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18" ht="15.75" x14ac:dyDescent="0.5">
      <c r="A14" t="s">
        <v>155</v>
      </c>
      <c r="B14" s="172">
        <f t="shared" si="3"/>
        <v>17046.830000000002</v>
      </c>
      <c r="C14" s="173">
        <f>SUM(G14:R14)*0.8</f>
        <v>13637.464000000002</v>
      </c>
      <c r="D14" s="49">
        <f t="shared" si="0"/>
        <v>1278.5122500000002</v>
      </c>
      <c r="E14" s="50">
        <f t="shared" si="1"/>
        <v>1420.5691666666669</v>
      </c>
      <c r="F14" s="51">
        <f t="shared" si="2"/>
        <v>1562.6260833333336</v>
      </c>
      <c r="G14" s="188">
        <v>17046.830000000002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18" ht="15.75" x14ac:dyDescent="0.5">
      <c r="A15" t="s">
        <v>150</v>
      </c>
      <c r="B15" s="172">
        <f t="shared" si="3"/>
        <v>9875.6500000000015</v>
      </c>
      <c r="C15" s="173">
        <f t="shared" si="4"/>
        <v>8394.3025000000016</v>
      </c>
      <c r="D15" s="49">
        <f t="shared" si="0"/>
        <v>740.67375000000004</v>
      </c>
      <c r="E15" s="50">
        <f t="shared" si="1"/>
        <v>822.97083333333342</v>
      </c>
      <c r="F15" s="51">
        <f t="shared" si="2"/>
        <v>905.26791666666679</v>
      </c>
      <c r="G15" s="188">
        <v>9875.6500000000015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ht="15.75" x14ac:dyDescent="0.5">
      <c r="A16" t="s">
        <v>148</v>
      </c>
      <c r="B16" s="172">
        <f t="shared" si="3"/>
        <v>27583.489999999972</v>
      </c>
      <c r="C16" s="173">
        <f t="shared" si="4"/>
        <v>23445.966499999977</v>
      </c>
      <c r="D16" s="49">
        <f t="shared" si="0"/>
        <v>2068.7617499999978</v>
      </c>
      <c r="E16" s="50">
        <f t="shared" si="1"/>
        <v>2298.6241666666642</v>
      </c>
      <c r="F16" s="51">
        <f t="shared" si="2"/>
        <v>2528.4865833333306</v>
      </c>
      <c r="G16" s="188">
        <v>27583.489999999972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ht="15.75" x14ac:dyDescent="0.5">
      <c r="A17" t="s">
        <v>141</v>
      </c>
      <c r="B17" s="172">
        <f t="shared" si="3"/>
        <v>27720.000000000004</v>
      </c>
      <c r="C17" s="173">
        <f t="shared" si="4"/>
        <v>23562.000000000004</v>
      </c>
      <c r="D17" s="49">
        <f t="shared" si="0"/>
        <v>2079.0000000000005</v>
      </c>
      <c r="E17" s="50">
        <f t="shared" si="1"/>
        <v>2310.0000000000005</v>
      </c>
      <c r="F17" s="51">
        <f t="shared" si="2"/>
        <v>2541.0000000000005</v>
      </c>
      <c r="G17" s="188">
        <v>27720.000000000004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ht="15.75" x14ac:dyDescent="0.5">
      <c r="A18" t="s">
        <v>153</v>
      </c>
      <c r="B18" s="172">
        <f t="shared" si="3"/>
        <v>15874.570000000005</v>
      </c>
      <c r="C18" s="173">
        <f t="shared" si="4"/>
        <v>13493.384500000004</v>
      </c>
      <c r="D18" s="49">
        <f t="shared" si="0"/>
        <v>1190.5927500000005</v>
      </c>
      <c r="E18" s="50">
        <f t="shared" si="1"/>
        <v>1322.8808333333338</v>
      </c>
      <c r="F18" s="51">
        <f t="shared" si="2"/>
        <v>1455.1689166666672</v>
      </c>
      <c r="G18" s="188">
        <v>15874.570000000005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ht="15.75" x14ac:dyDescent="0.5">
      <c r="A19" t="s">
        <v>165</v>
      </c>
      <c r="B19" s="172">
        <f>SUM(G19:R19)</f>
        <v>24046.720000000001</v>
      </c>
      <c r="C19" s="173">
        <f>SUM(G19:R19)*0.85</f>
        <v>20439.712</v>
      </c>
      <c r="D19" s="49">
        <f t="shared" si="0"/>
        <v>1803.5040000000001</v>
      </c>
      <c r="E19" s="50">
        <f>SUM(G19:T19)/12</f>
        <v>2003.8933333333334</v>
      </c>
      <c r="F19" s="51">
        <f t="shared" si="2"/>
        <v>2204.282666666667</v>
      </c>
      <c r="G19" s="190">
        <v>24046.720000000001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ht="15.75" x14ac:dyDescent="0.5">
      <c r="A20" t="s">
        <v>149</v>
      </c>
      <c r="B20" s="172">
        <f t="shared" si="3"/>
        <v>27486.879999999994</v>
      </c>
      <c r="C20" s="173">
        <f t="shared" si="4"/>
        <v>23363.847999999994</v>
      </c>
      <c r="D20" s="49">
        <f t="shared" si="0"/>
        <v>2061.5159999999996</v>
      </c>
      <c r="E20" s="50">
        <f t="shared" si="1"/>
        <v>2290.5733333333328</v>
      </c>
      <c r="F20" s="51">
        <f t="shared" si="2"/>
        <v>2519.630666666666</v>
      </c>
      <c r="G20" s="188">
        <v>27486.879999999994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ht="15.75" x14ac:dyDescent="0.5">
      <c r="A21" t="s">
        <v>164</v>
      </c>
      <c r="B21" s="172">
        <f>SUM(G21:R21)</f>
        <v>17495.63</v>
      </c>
      <c r="C21" s="173">
        <f>SUM(G21:R21)*0.85</f>
        <v>14871.2855</v>
      </c>
      <c r="D21" s="49">
        <f t="shared" si="0"/>
        <v>1312.1722500000001</v>
      </c>
      <c r="E21" s="50">
        <f>SUM(G21:T21)/12</f>
        <v>1457.9691666666668</v>
      </c>
      <c r="F21" s="51">
        <f t="shared" si="2"/>
        <v>1603.7660833333334</v>
      </c>
      <c r="G21" s="188">
        <v>17495.63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ht="15.75" x14ac:dyDescent="0.5">
      <c r="A22" t="s">
        <v>152</v>
      </c>
      <c r="B22" s="172">
        <f>SUM(G22:R22)</f>
        <v>11886.999999999996</v>
      </c>
      <c r="C22" s="173">
        <f>SUM(G22:R22)*0.85</f>
        <v>10103.949999999997</v>
      </c>
      <c r="D22" s="49">
        <f t="shared" si="0"/>
        <v>891.52499999999975</v>
      </c>
      <c r="E22" s="50">
        <f t="shared" si="1"/>
        <v>990.58333333333303</v>
      </c>
      <c r="F22" s="51">
        <f t="shared" si="2"/>
        <v>1089.6416666666664</v>
      </c>
      <c r="G22" s="188">
        <v>11886.999999999996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ht="15.75" x14ac:dyDescent="0.5">
      <c r="A23" t="s">
        <v>166</v>
      </c>
      <c r="B23" s="172">
        <f>SUM(G23:R23)</f>
        <v>20865.43</v>
      </c>
      <c r="C23" s="173">
        <f>SUM(G23:R23)*0.85</f>
        <v>17735.6155</v>
      </c>
      <c r="D23" s="49">
        <f t="shared" si="0"/>
        <v>1564.90725</v>
      </c>
      <c r="E23" s="50">
        <f>SUM(G23:T23)/12</f>
        <v>1738.7858333333334</v>
      </c>
      <c r="F23" s="51">
        <f t="shared" si="2"/>
        <v>1912.6644166666667</v>
      </c>
      <c r="G23" s="190">
        <v>20865.43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ht="15.75" x14ac:dyDescent="0.5">
      <c r="A24" t="s">
        <v>161</v>
      </c>
      <c r="B24" s="172">
        <f>SUM(G24:R24)</f>
        <v>23804.23</v>
      </c>
      <c r="C24" s="173">
        <f>SUM(G24:R24)*0.82</f>
        <v>19519.4686</v>
      </c>
      <c r="D24" s="49">
        <f t="shared" si="0"/>
        <v>1785.3172499999998</v>
      </c>
      <c r="E24" s="50">
        <f>SUM(G24:T24)/12</f>
        <v>1983.6858333333332</v>
      </c>
      <c r="F24" s="51">
        <f t="shared" si="2"/>
        <v>2182.0544166666664</v>
      </c>
      <c r="G24" s="190">
        <v>23804.23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ht="15.75" x14ac:dyDescent="0.5">
      <c r="A25" t="s">
        <v>146</v>
      </c>
      <c r="B25" s="172">
        <f t="shared" si="3"/>
        <v>17139.879999999994</v>
      </c>
      <c r="C25" s="173">
        <f t="shared" si="4"/>
        <v>14568.897999999994</v>
      </c>
      <c r="D25" s="49">
        <f t="shared" si="0"/>
        <v>1285.4909999999995</v>
      </c>
      <c r="E25" s="50">
        <f t="shared" si="1"/>
        <v>1428.3233333333328</v>
      </c>
      <c r="F25" s="51">
        <f t="shared" si="2"/>
        <v>1571.1556666666661</v>
      </c>
      <c r="G25" s="188">
        <v>17139.879999999994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ht="15.75" x14ac:dyDescent="0.5">
      <c r="A26" t="s">
        <v>142</v>
      </c>
      <c r="B26" s="172">
        <f t="shared" si="3"/>
        <v>22936.509999999991</v>
      </c>
      <c r="C26" s="173">
        <f t="shared" si="4"/>
        <v>19496.03349999999</v>
      </c>
      <c r="D26" s="49">
        <f t="shared" si="0"/>
        <v>1720.2382499999994</v>
      </c>
      <c r="E26" s="50">
        <f t="shared" si="1"/>
        <v>1911.3758333333326</v>
      </c>
      <c r="F26" s="51">
        <f t="shared" si="2"/>
        <v>2102.5134166666658</v>
      </c>
      <c r="G26" s="188">
        <v>22936.509999999991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ht="15.75" x14ac:dyDescent="0.5">
      <c r="A27" t="s">
        <v>151</v>
      </c>
      <c r="B27" s="172">
        <f t="shared" si="3"/>
        <v>10570.480000000007</v>
      </c>
      <c r="C27" s="173">
        <f t="shared" si="4"/>
        <v>8984.9080000000049</v>
      </c>
      <c r="D27" s="49">
        <f t="shared" si="0"/>
        <v>792.78600000000051</v>
      </c>
      <c r="E27" s="50">
        <f t="shared" si="1"/>
        <v>880.8733333333339</v>
      </c>
      <c r="F27" s="51">
        <f t="shared" si="2"/>
        <v>968.96066666666729</v>
      </c>
      <c r="G27" s="188">
        <v>10570.480000000007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ht="15.75" x14ac:dyDescent="0.5">
      <c r="A28" t="s">
        <v>168</v>
      </c>
      <c r="B28" s="172">
        <f>SUM(G28:R28)</f>
        <v>13592.37</v>
      </c>
      <c r="C28" s="173">
        <f>SUM(G28:R28)*0.85</f>
        <v>11553.514500000001</v>
      </c>
      <c r="D28" s="49">
        <f t="shared" si="0"/>
        <v>1019.4277499999999</v>
      </c>
      <c r="E28" s="50">
        <f>SUM(G28:T28)/12</f>
        <v>1132.6975</v>
      </c>
      <c r="F28" s="51">
        <f t="shared" si="2"/>
        <v>1245.9672499999999</v>
      </c>
      <c r="G28" s="190">
        <v>13592.37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ht="15.75" x14ac:dyDescent="0.5">
      <c r="A29" t="s">
        <v>140</v>
      </c>
      <c r="B29" s="172">
        <f t="shared" si="3"/>
        <v>21972.569999999996</v>
      </c>
      <c r="C29" s="173">
        <f t="shared" si="4"/>
        <v>18676.684499999996</v>
      </c>
      <c r="D29" s="49">
        <f t="shared" si="0"/>
        <v>1647.9427499999997</v>
      </c>
      <c r="E29" s="50">
        <f t="shared" si="1"/>
        <v>1831.0474999999997</v>
      </c>
      <c r="F29" s="51">
        <f t="shared" si="2"/>
        <v>2014.1522499999996</v>
      </c>
      <c r="G29" s="188">
        <v>21972.569999999996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ht="15.75" x14ac:dyDescent="0.5">
      <c r="A30" t="s">
        <v>138</v>
      </c>
      <c r="B30" s="172">
        <f t="shared" si="3"/>
        <v>31549.429999999978</v>
      </c>
      <c r="C30" s="173">
        <f t="shared" si="4"/>
        <v>26817.01549999998</v>
      </c>
      <c r="D30" s="49">
        <f t="shared" si="0"/>
        <v>2366.2072499999986</v>
      </c>
      <c r="E30" s="50">
        <f t="shared" si="1"/>
        <v>2629.119166666665</v>
      </c>
      <c r="F30" s="51">
        <f t="shared" si="2"/>
        <v>2892.0310833333315</v>
      </c>
      <c r="G30" s="188">
        <v>31549.429999999978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ht="15.75" x14ac:dyDescent="0.5">
      <c r="A31" t="s">
        <v>139</v>
      </c>
      <c r="B31" s="172">
        <f t="shared" si="3"/>
        <v>18933.309999999998</v>
      </c>
      <c r="C31" s="173">
        <f t="shared" si="4"/>
        <v>16093.313499999998</v>
      </c>
      <c r="D31" s="49">
        <f t="shared" si="0"/>
        <v>1419.9982499999999</v>
      </c>
      <c r="E31" s="50">
        <f t="shared" si="1"/>
        <v>1577.7758333333331</v>
      </c>
      <c r="F31" s="51">
        <f t="shared" si="2"/>
        <v>1735.5534166666664</v>
      </c>
      <c r="G31" s="188">
        <v>18933.309999999998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ht="15.75" x14ac:dyDescent="0.5">
      <c r="A32" t="s">
        <v>162</v>
      </c>
      <c r="B32" s="172">
        <f>SUM(G32:R32)</f>
        <v>21686.42</v>
      </c>
      <c r="C32" s="173">
        <f>SUM(G32:R32)*0.85</f>
        <v>18433.456999999999</v>
      </c>
      <c r="D32" s="49">
        <f t="shared" si="0"/>
        <v>1626.4814999999999</v>
      </c>
      <c r="E32" s="50">
        <f>SUM(G32:T32)/12</f>
        <v>1807.2016666666666</v>
      </c>
      <c r="F32" s="51">
        <f t="shared" si="2"/>
        <v>1987.9218333333333</v>
      </c>
      <c r="G32" s="190">
        <v>21686.42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x14ac:dyDescent="0.5">
      <c r="A33" t="s">
        <v>145</v>
      </c>
      <c r="B33" s="172">
        <f t="shared" si="3"/>
        <v>25960.259999999966</v>
      </c>
      <c r="C33" s="173">
        <f t="shared" si="4"/>
        <v>22066.220999999969</v>
      </c>
      <c r="D33" s="49">
        <f t="shared" si="0"/>
        <v>1947.0194999999976</v>
      </c>
      <c r="E33" s="50">
        <f t="shared" si="1"/>
        <v>2163.3549999999973</v>
      </c>
      <c r="F33" s="51">
        <f t="shared" si="2"/>
        <v>2379.690499999997</v>
      </c>
      <c r="G33" s="188">
        <v>25960.259999999966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x14ac:dyDescent="0.5">
      <c r="A34" t="s">
        <v>147</v>
      </c>
      <c r="B34" s="172">
        <f t="shared" si="3"/>
        <v>27756.619999999974</v>
      </c>
      <c r="C34" s="173">
        <f t="shared" si="4"/>
        <v>23593.126999999979</v>
      </c>
      <c r="D34" s="49">
        <f t="shared" si="0"/>
        <v>2081.7464999999979</v>
      </c>
      <c r="E34" s="50">
        <f t="shared" si="1"/>
        <v>2313.0516666666645</v>
      </c>
      <c r="F34" s="51">
        <f t="shared" si="2"/>
        <v>2544.356833333331</v>
      </c>
      <c r="G34" s="188">
        <v>27756.619999999974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ht="15.75" x14ac:dyDescent="0.5">
      <c r="A35" t="s">
        <v>143</v>
      </c>
      <c r="B35" s="172">
        <f t="shared" si="3"/>
        <v>13927.200000000006</v>
      </c>
      <c r="C35" s="173">
        <f t="shared" si="4"/>
        <v>11838.120000000004</v>
      </c>
      <c r="D35" s="49">
        <f t="shared" si="0"/>
        <v>1044.5400000000004</v>
      </c>
      <c r="E35" s="50">
        <f t="shared" si="1"/>
        <v>1160.6000000000006</v>
      </c>
      <c r="F35" s="51">
        <f t="shared" si="2"/>
        <v>1276.6600000000008</v>
      </c>
      <c r="G35" s="188">
        <v>13927.200000000006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ht="15.75" x14ac:dyDescent="0.5">
      <c r="A36" t="s">
        <v>144</v>
      </c>
      <c r="B36" s="172">
        <f t="shared" si="3"/>
        <v>20672.150000000012</v>
      </c>
      <c r="C36" s="173">
        <f t="shared" si="4"/>
        <v>17571.32750000001</v>
      </c>
      <c r="D36" s="49">
        <f t="shared" si="0"/>
        <v>1550.411250000001</v>
      </c>
      <c r="E36" s="50">
        <f t="shared" si="1"/>
        <v>1722.6791666666677</v>
      </c>
      <c r="F36" s="51">
        <f t="shared" si="2"/>
        <v>1894.9470833333344</v>
      </c>
      <c r="G36" s="188">
        <v>20672.150000000012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15.75" x14ac:dyDescent="0.5">
      <c r="A37" t="s">
        <v>167</v>
      </c>
      <c r="B37" s="172">
        <f>SUM(G37:R37)</f>
        <v>9940.32</v>
      </c>
      <c r="C37" s="173">
        <f>SUM(G37:R37)*0.85</f>
        <v>8449.271999999999</v>
      </c>
      <c r="D37" s="49">
        <f t="shared" si="0"/>
        <v>745.524</v>
      </c>
      <c r="E37" s="50">
        <f>SUM(G37:T37)/12</f>
        <v>828.36</v>
      </c>
      <c r="F37" s="51">
        <f t="shared" si="2"/>
        <v>911.19600000000003</v>
      </c>
      <c r="G37" s="190">
        <v>9940.32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 ht="15.75" x14ac:dyDescent="0.5">
      <c r="A38" t="s">
        <v>156</v>
      </c>
      <c r="B38" s="172">
        <f t="shared" si="3"/>
        <v>9999.5</v>
      </c>
      <c r="C38" s="173">
        <f t="shared" si="4"/>
        <v>8499.5749999999989</v>
      </c>
      <c r="D38" s="49">
        <f t="shared" si="0"/>
        <v>749.96249999999998</v>
      </c>
      <c r="E38" s="50">
        <f t="shared" si="1"/>
        <v>833.29166666666663</v>
      </c>
      <c r="F38" s="51">
        <f t="shared" si="2"/>
        <v>916.62083333333328</v>
      </c>
      <c r="G38" s="187">
        <v>9999.5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ht="15.75" x14ac:dyDescent="0.5">
      <c r="A39" t="s">
        <v>220</v>
      </c>
      <c r="B39" s="172">
        <f t="shared" si="3"/>
        <v>0</v>
      </c>
      <c r="C39" s="173">
        <f>SUM(G39:R39)*0.8</f>
        <v>0</v>
      </c>
      <c r="D39" s="49">
        <f t="shared" si="0"/>
        <v>0</v>
      </c>
      <c r="E39" s="50">
        <f t="shared" si="1"/>
        <v>0</v>
      </c>
      <c r="F39" s="51">
        <f t="shared" si="2"/>
        <v>0</v>
      </c>
      <c r="G39" s="18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 ht="15.75" x14ac:dyDescent="0.5">
      <c r="A40" t="s">
        <v>32</v>
      </c>
      <c r="B40" s="172">
        <f t="shared" si="3"/>
        <v>0</v>
      </c>
      <c r="C40" s="173">
        <f>SUM(G40:R40)*0.8</f>
        <v>0</v>
      </c>
      <c r="D40" s="49">
        <f t="shared" si="0"/>
        <v>0</v>
      </c>
      <c r="E40" s="50">
        <f t="shared" si="1"/>
        <v>0</v>
      </c>
      <c r="F40" s="51">
        <f t="shared" si="2"/>
        <v>0</v>
      </c>
      <c r="G40" s="18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 ht="15.75" x14ac:dyDescent="0.5">
      <c r="A41" t="s">
        <v>219</v>
      </c>
      <c r="B41" s="172">
        <f t="shared" si="3"/>
        <v>0</v>
      </c>
      <c r="C41" s="173">
        <f t="shared" ref="C41:C42" si="5">SUM(G41:R41)*0.82</f>
        <v>0</v>
      </c>
      <c r="D41" s="49">
        <f t="shared" si="0"/>
        <v>0</v>
      </c>
      <c r="E41" s="50">
        <f t="shared" si="1"/>
        <v>0</v>
      </c>
      <c r="F41" s="51">
        <f t="shared" si="2"/>
        <v>0</v>
      </c>
      <c r="G41" s="18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ht="15.75" x14ac:dyDescent="0.5">
      <c r="A42" t="s">
        <v>96</v>
      </c>
      <c r="B42" s="172">
        <f t="shared" si="3"/>
        <v>22445.4</v>
      </c>
      <c r="C42" s="173">
        <f t="shared" si="5"/>
        <v>18405.227999999999</v>
      </c>
      <c r="D42" s="49">
        <f t="shared" si="0"/>
        <v>1683.405</v>
      </c>
      <c r="E42" s="50">
        <f t="shared" si="1"/>
        <v>1870.45</v>
      </c>
      <c r="F42" s="51">
        <f t="shared" si="2"/>
        <v>2057.4949999999999</v>
      </c>
      <c r="G42" s="187">
        <v>22445.4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ht="15.75" x14ac:dyDescent="0.5">
      <c r="A43" t="s">
        <v>188</v>
      </c>
      <c r="B43" s="172">
        <f t="shared" si="3"/>
        <v>32184.15</v>
      </c>
      <c r="C43" s="173">
        <f>SUM(G43:R43)*0.82</f>
        <v>26391.003000000001</v>
      </c>
      <c r="D43" s="49">
        <f t="shared" si="0"/>
        <v>2413.8112500000002</v>
      </c>
      <c r="E43" s="50">
        <f t="shared" si="1"/>
        <v>2682.0125000000003</v>
      </c>
      <c r="F43" s="51">
        <f t="shared" si="2"/>
        <v>2950.2137500000003</v>
      </c>
      <c r="G43" s="187">
        <v>32184.15</v>
      </c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 ht="15.75" x14ac:dyDescent="0.5">
      <c r="A44" t="s">
        <v>216</v>
      </c>
      <c r="B44" s="172">
        <f t="shared" si="3"/>
        <v>0</v>
      </c>
      <c r="C44" s="173">
        <f>SUM(G44:R44)*0.82</f>
        <v>0</v>
      </c>
      <c r="D44" s="49">
        <f t="shared" si="0"/>
        <v>0</v>
      </c>
      <c r="E44" s="50">
        <f t="shared" si="1"/>
        <v>0</v>
      </c>
      <c r="F44" s="51">
        <f t="shared" si="2"/>
        <v>0</v>
      </c>
      <c r="G44" s="18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ht="15.75" x14ac:dyDescent="0.5">
      <c r="A45" t="s">
        <v>36</v>
      </c>
      <c r="B45" s="172">
        <f t="shared" si="3"/>
        <v>0</v>
      </c>
      <c r="C45" s="173">
        <f>SUM(G45:R45)*0.8</f>
        <v>0</v>
      </c>
      <c r="D45" s="49">
        <f t="shared" si="0"/>
        <v>0</v>
      </c>
      <c r="E45" s="50">
        <f t="shared" si="1"/>
        <v>0</v>
      </c>
      <c r="F45" s="51">
        <f t="shared" si="2"/>
        <v>0</v>
      </c>
      <c r="G45" s="18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ht="15.75" x14ac:dyDescent="0.5">
      <c r="A46" t="s">
        <v>189</v>
      </c>
      <c r="B46" s="172">
        <f t="shared" si="3"/>
        <v>23825.1</v>
      </c>
      <c r="C46" s="173">
        <f>SUM(G46:R46)*0.8</f>
        <v>19060.079999999998</v>
      </c>
      <c r="D46" s="49">
        <f t="shared" si="0"/>
        <v>1786.8824999999999</v>
      </c>
      <c r="E46" s="50">
        <f t="shared" si="1"/>
        <v>1985.425</v>
      </c>
      <c r="F46" s="51">
        <f t="shared" si="2"/>
        <v>2183.9674999999997</v>
      </c>
      <c r="G46" s="187">
        <v>23825.1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ht="15.75" x14ac:dyDescent="0.5">
      <c r="A47" t="s">
        <v>49</v>
      </c>
      <c r="B47" s="172">
        <f t="shared" si="3"/>
        <v>24441.200000000001</v>
      </c>
      <c r="C47" s="173">
        <f>SUM(G47:R47)*0.8</f>
        <v>19552.960000000003</v>
      </c>
      <c r="D47" s="49">
        <f t="shared" si="0"/>
        <v>1833.09</v>
      </c>
      <c r="E47" s="50">
        <f t="shared" si="1"/>
        <v>2036.7666666666667</v>
      </c>
      <c r="F47" s="51">
        <f t="shared" si="2"/>
        <v>2240.4433333333332</v>
      </c>
      <c r="G47" s="187">
        <v>24441.200000000001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ht="15.75" x14ac:dyDescent="0.5">
      <c r="A48" t="s">
        <v>169</v>
      </c>
      <c r="B48" s="172">
        <f t="shared" si="3"/>
        <v>0</v>
      </c>
      <c r="C48" s="173">
        <f>SUM(G48:R48)*0.8</f>
        <v>0</v>
      </c>
      <c r="D48" s="49">
        <f t="shared" si="0"/>
        <v>0</v>
      </c>
      <c r="E48" s="50">
        <f t="shared" si="1"/>
        <v>0</v>
      </c>
      <c r="F48" s="51">
        <f t="shared" si="2"/>
        <v>0</v>
      </c>
      <c r="G48" s="18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x14ac:dyDescent="0.45">
      <c r="A49" t="s">
        <v>308</v>
      </c>
      <c r="D49" s="49">
        <f t="shared" si="0"/>
        <v>0</v>
      </c>
      <c r="E49" s="50">
        <f t="shared" si="1"/>
        <v>0</v>
      </c>
      <c r="F49" s="51">
        <f t="shared" si="2"/>
        <v>0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x14ac:dyDescent="0.45">
      <c r="D50" s="49">
        <f t="shared" si="0"/>
        <v>0</v>
      </c>
      <c r="E50" s="50">
        <f t="shared" si="1"/>
        <v>0</v>
      </c>
      <c r="F50" s="51">
        <f t="shared" si="2"/>
        <v>0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1:18" x14ac:dyDescent="0.45">
      <c r="D51" s="49">
        <f t="shared" si="0"/>
        <v>0</v>
      </c>
      <c r="E51" s="50">
        <f t="shared" si="1"/>
        <v>0</v>
      </c>
      <c r="F51" s="51">
        <f t="shared" si="2"/>
        <v>0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</sheetData>
  <autoFilter ref="A4:R4" xr:uid="{4DAA25AB-B991-4EEF-A658-ECE84DA4CDAD}">
    <sortState ref="A5:R51">
      <sortCondition ref="A4"/>
    </sortState>
  </autoFilter>
  <mergeCells count="5">
    <mergeCell ref="A1:C3"/>
    <mergeCell ref="D1:D3"/>
    <mergeCell ref="E1:F3"/>
    <mergeCell ref="G1:G3"/>
    <mergeCell ref="H1:I3"/>
  </mergeCells>
  <conditionalFormatting sqref="C5:C48">
    <cfRule type="cellIs" dxfId="14" priority="4" operator="between">
      <formula>150000</formula>
      <formula>300000</formula>
    </cfRule>
    <cfRule type="cellIs" dxfId="13" priority="5" operator="greaterThan">
      <formula>300000</formula>
    </cfRule>
    <cfRule type="cellIs" dxfId="12" priority="6" operator="lessThan">
      <formula>150000</formula>
    </cfRule>
  </conditionalFormatting>
  <conditionalFormatting sqref="H21:R22 G5:R20 G21 G23:R51">
    <cfRule type="expression" dxfId="11" priority="1">
      <formula>AND(G5&lt;&gt;"",G5&lt;$F5,G5&gt;$D5)</formula>
    </cfRule>
    <cfRule type="expression" dxfId="10" priority="2">
      <formula>AND(G5&lt;&gt;"",G5&gt;$F5)</formula>
    </cfRule>
    <cfRule type="expression" dxfId="9" priority="3">
      <formula>AND(G5&lt;&gt;"",G5&lt;$D5)</formula>
    </cfRule>
  </conditionalFormatting>
  <conditionalFormatting sqref="G22">
    <cfRule type="expression" dxfId="8" priority="11">
      <formula>AND(G22&lt;&gt;"",G22&lt;$F21,G22&gt;$D21)</formula>
    </cfRule>
    <cfRule type="expression" dxfId="7" priority="12">
      <formula>AND(G22&lt;&gt;"",G22&gt;$F21)</formula>
    </cfRule>
    <cfRule type="expression" dxfId="6" priority="13">
      <formula>AND(G22&lt;&gt;"",G22&lt;$D21)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G54"/>
  <sheetViews>
    <sheetView workbookViewId="0">
      <selection activeCell="B36" sqref="B36"/>
    </sheetView>
  </sheetViews>
  <sheetFormatPr baseColWidth="10" defaultRowHeight="14.25" x14ac:dyDescent="0.45"/>
  <cols>
    <col min="1" max="1" width="34.3984375" bestFit="1" customWidth="1"/>
    <col min="2" max="2" width="13.59765625" style="54" bestFit="1" customWidth="1"/>
    <col min="3" max="3" width="15.1328125" bestFit="1" customWidth="1"/>
    <col min="4" max="4" width="17.1328125" customWidth="1"/>
    <col min="5" max="5" width="16" customWidth="1"/>
    <col min="6" max="6" width="17.73046875" customWidth="1"/>
    <col min="7" max="7" width="19.3984375" customWidth="1"/>
  </cols>
  <sheetData>
    <row r="1" spans="1:7" x14ac:dyDescent="0.45">
      <c r="A1" t="s">
        <v>197</v>
      </c>
      <c r="B1" s="54" t="s">
        <v>201</v>
      </c>
      <c r="C1" s="283" t="s">
        <v>190</v>
      </c>
      <c r="D1" s="283"/>
      <c r="E1" s="283" t="s">
        <v>193</v>
      </c>
      <c r="F1" s="283"/>
      <c r="G1" t="s">
        <v>199</v>
      </c>
    </row>
    <row r="2" spans="1:7" x14ac:dyDescent="0.45">
      <c r="A2" s="53" t="s">
        <v>198</v>
      </c>
      <c r="B2" s="55" t="s">
        <v>202</v>
      </c>
      <c r="C2" t="s">
        <v>191</v>
      </c>
      <c r="D2" t="s">
        <v>192</v>
      </c>
      <c r="E2" t="s">
        <v>194</v>
      </c>
      <c r="F2" t="s">
        <v>195</v>
      </c>
    </row>
    <row r="4" spans="1:7" x14ac:dyDescent="0.45">
      <c r="A4" t="s">
        <v>32</v>
      </c>
      <c r="B4" s="54">
        <f>'OUVERTURES 2018'!K6</f>
        <v>252000</v>
      </c>
    </row>
    <row r="5" spans="1:7" x14ac:dyDescent="0.45">
      <c r="A5" t="s">
        <v>196</v>
      </c>
      <c r="B5" s="54" t="s">
        <v>200</v>
      </c>
    </row>
    <row r="6" spans="1:7" x14ac:dyDescent="0.45">
      <c r="A6" t="s">
        <v>71</v>
      </c>
      <c r="B6" s="54">
        <f>'SUSHI 2017'!B6</f>
        <v>427702.13759999949</v>
      </c>
    </row>
    <row r="7" spans="1:7" x14ac:dyDescent="0.45">
      <c r="A7" t="s">
        <v>182</v>
      </c>
      <c r="B7" s="54">
        <f>'SUSHI 2017'!B15</f>
        <v>309113.2799999995</v>
      </c>
    </row>
    <row r="8" spans="1:7" x14ac:dyDescent="0.45">
      <c r="A8" t="s">
        <v>91</v>
      </c>
      <c r="B8" s="54">
        <f>'SUSHI 2017'!B14</f>
        <v>311707.87200000026</v>
      </c>
    </row>
    <row r="9" spans="1:7" x14ac:dyDescent="0.45">
      <c r="A9" t="s">
        <v>184</v>
      </c>
      <c r="B9" s="54">
        <f>'SUSHI 2017'!B23</f>
        <v>250823.73119999946</v>
      </c>
    </row>
    <row r="10" spans="1:7" x14ac:dyDescent="0.45">
      <c r="A10" t="s">
        <v>72</v>
      </c>
      <c r="B10" s="54">
        <f>'SUSHI 2017'!B7</f>
        <v>384184.89599999978</v>
      </c>
    </row>
    <row r="11" spans="1:7" x14ac:dyDescent="0.45">
      <c r="A11" t="s">
        <v>86</v>
      </c>
      <c r="B11" s="54">
        <f>'SUSHI 2017'!B22</f>
        <v>251735.25119999974</v>
      </c>
    </row>
    <row r="12" spans="1:7" x14ac:dyDescent="0.45">
      <c r="A12" t="s">
        <v>84</v>
      </c>
      <c r="B12" s="54">
        <f>'SUSHI 2017'!B20</f>
        <v>276428.47679999954</v>
      </c>
    </row>
    <row r="13" spans="1:7" x14ac:dyDescent="0.45">
      <c r="A13" t="s">
        <v>183</v>
      </c>
      <c r="B13" s="54">
        <f>'SUSHI 2017'!B17</f>
        <v>297803.50079999998</v>
      </c>
    </row>
    <row r="14" spans="1:7" x14ac:dyDescent="0.45">
      <c r="A14" s="53" t="s">
        <v>41</v>
      </c>
      <c r="B14" s="55">
        <f>'OUVERTURES 2018'!K8</f>
        <v>260000</v>
      </c>
    </row>
    <row r="15" spans="1:7" x14ac:dyDescent="0.45">
      <c r="A15" s="53" t="s">
        <v>47</v>
      </c>
      <c r="B15" s="55">
        <f>'OUVERTURES 2018'!K9</f>
        <v>230000</v>
      </c>
    </row>
    <row r="16" spans="1:7" x14ac:dyDescent="0.45">
      <c r="A16" t="s">
        <v>74</v>
      </c>
      <c r="B16" s="54">
        <f>'SUSHI 2017'!B10</f>
        <v>360000</v>
      </c>
    </row>
    <row r="17" spans="1:2" x14ac:dyDescent="0.45">
      <c r="A17" t="s">
        <v>87</v>
      </c>
      <c r="B17" s="54">
        <f>'SUSHI 2017'!B11</f>
        <v>337151.48515199934</v>
      </c>
    </row>
    <row r="18" spans="1:2" x14ac:dyDescent="0.45">
      <c r="A18" t="s">
        <v>186</v>
      </c>
      <c r="B18" s="54">
        <f>'SUSHI 2017'!B25</f>
        <v>223071.38879999996</v>
      </c>
    </row>
    <row r="19" spans="1:2" x14ac:dyDescent="0.45">
      <c r="A19" t="s">
        <v>66</v>
      </c>
      <c r="B19" s="54">
        <f>'SUSHI 2017'!B12</f>
        <v>330000</v>
      </c>
    </row>
    <row r="20" spans="1:2" x14ac:dyDescent="0.45">
      <c r="A20" t="s">
        <v>81</v>
      </c>
      <c r="B20" s="54">
        <f>'SUSHI 2017'!B16</f>
        <v>306000</v>
      </c>
    </row>
    <row r="21" spans="1:2" x14ac:dyDescent="0.45">
      <c r="A21" t="s">
        <v>181</v>
      </c>
      <c r="B21" s="54">
        <f>'SUSHI 2017'!B13</f>
        <v>329527.49760000018</v>
      </c>
    </row>
    <row r="22" spans="1:2" x14ac:dyDescent="0.45">
      <c r="A22" t="s">
        <v>185</v>
      </c>
      <c r="B22" s="54">
        <f>'SUSHI 2017'!B24</f>
        <v>223676.93663999965</v>
      </c>
    </row>
    <row r="23" spans="1:2" x14ac:dyDescent="0.45">
      <c r="A23" t="s">
        <v>63</v>
      </c>
      <c r="B23" s="54">
        <f>'SUSHI 2017'!B18</f>
        <v>294180.56639999949</v>
      </c>
    </row>
    <row r="24" spans="1:2" x14ac:dyDescent="0.45">
      <c r="A24" t="s">
        <v>83</v>
      </c>
      <c r="B24" s="54">
        <f>'SUSHI 2017'!B5</f>
        <v>612104.24639999948</v>
      </c>
    </row>
    <row r="25" spans="1:2" x14ac:dyDescent="0.45">
      <c r="A25" t="s">
        <v>76</v>
      </c>
      <c r="B25" s="54">
        <f>'SUSHI 2017'!B21</f>
        <v>262461.43439999997</v>
      </c>
    </row>
    <row r="26" spans="1:2" x14ac:dyDescent="0.45">
      <c r="A26" t="s">
        <v>75</v>
      </c>
      <c r="B26" s="54">
        <f>'SUSHI 2017'!B19</f>
        <v>289618.14590400003</v>
      </c>
    </row>
    <row r="27" spans="1:2" x14ac:dyDescent="0.45">
      <c r="A27" t="s">
        <v>78</v>
      </c>
      <c r="B27" s="54">
        <f>'SUSHI 2017'!B9</f>
        <v>367206.44159999985</v>
      </c>
    </row>
    <row r="28" spans="1:2" x14ac:dyDescent="0.45">
      <c r="A28" t="s">
        <v>73</v>
      </c>
      <c r="B28" s="54">
        <f>'SUSHI 2017'!B8</f>
        <v>384000</v>
      </c>
    </row>
    <row r="29" spans="1:2" x14ac:dyDescent="0.45">
      <c r="A29" s="53" t="s">
        <v>177</v>
      </c>
      <c r="B29" s="55" t="e">
        <f>'OUVERTURES 2018'!#REF!</f>
        <v>#REF!</v>
      </c>
    </row>
    <row r="30" spans="1:2" x14ac:dyDescent="0.45">
      <c r="A30" s="53" t="s">
        <v>174</v>
      </c>
      <c r="B30" s="55" t="e">
        <f>'OUVERTURES 2018'!#REF!</f>
        <v>#REF!</v>
      </c>
    </row>
    <row r="31" spans="1:2" x14ac:dyDescent="0.45">
      <c r="A31" s="53" t="s">
        <v>179</v>
      </c>
      <c r="B31" s="55">
        <f>'OUVERTURES 2018'!K21</f>
        <v>342000</v>
      </c>
    </row>
    <row r="32" spans="1:2" x14ac:dyDescent="0.45">
      <c r="A32" s="53" t="s">
        <v>171</v>
      </c>
      <c r="B32" s="55">
        <f>'OUVERTURES 2018'!K16</f>
        <v>216000</v>
      </c>
    </row>
    <row r="33" spans="1:2" x14ac:dyDescent="0.45">
      <c r="A33" s="53" t="s">
        <v>20</v>
      </c>
      <c r="B33" s="55">
        <f>'OUVERTURES 2018'!K11</f>
        <v>288000</v>
      </c>
    </row>
    <row r="34" spans="1:2" x14ac:dyDescent="0.45">
      <c r="A34" s="53" t="s">
        <v>170</v>
      </c>
      <c r="B34" s="55" t="e">
        <f>'OUVERTURES 2018'!#REF!</f>
        <v>#REF!</v>
      </c>
    </row>
    <row r="35" spans="1:2" x14ac:dyDescent="0.45">
      <c r="A35" s="52" t="s">
        <v>96</v>
      </c>
      <c r="B35" s="54">
        <v>300000</v>
      </c>
    </row>
    <row r="36" spans="1:2" x14ac:dyDescent="0.45">
      <c r="A36" s="56" t="s">
        <v>188</v>
      </c>
      <c r="B36" s="55">
        <f>'OUVERTURES 2018'!K12+68000</f>
        <v>68000</v>
      </c>
    </row>
    <row r="37" spans="1:2" x14ac:dyDescent="0.45">
      <c r="A37" s="53" t="s">
        <v>36</v>
      </c>
      <c r="B37" s="55" t="e">
        <f>'OUVERTURES 2018'!#REF!</f>
        <v>#REF!</v>
      </c>
    </row>
    <row r="38" spans="1:2" x14ac:dyDescent="0.45">
      <c r="A38" t="s">
        <v>189</v>
      </c>
      <c r="B38" s="54">
        <v>320000</v>
      </c>
    </row>
    <row r="39" spans="1:2" x14ac:dyDescent="0.45">
      <c r="A39" s="53" t="s">
        <v>49</v>
      </c>
      <c r="B39" s="55">
        <f>'OUVERTURES 2018'!K13</f>
        <v>216000</v>
      </c>
    </row>
    <row r="40" spans="1:2" x14ac:dyDescent="0.45">
      <c r="A40" s="53" t="s">
        <v>27</v>
      </c>
      <c r="B40" s="55">
        <f>'OUVERTURES 2018'!K14</f>
        <v>0</v>
      </c>
    </row>
    <row r="41" spans="1:2" x14ac:dyDescent="0.45">
      <c r="A41" s="53" t="s">
        <v>169</v>
      </c>
      <c r="B41" s="55">
        <f>'OUVERTURES 2018'!K15</f>
        <v>342000</v>
      </c>
    </row>
    <row r="42" spans="1:2" x14ac:dyDescent="0.45">
      <c r="A42" t="s">
        <v>100</v>
      </c>
      <c r="B42" s="54">
        <f>'SUSHI 2017'!B34</f>
        <v>142219.65619200011</v>
      </c>
    </row>
    <row r="43" spans="1:2" x14ac:dyDescent="0.45">
      <c r="A43" t="s">
        <v>99</v>
      </c>
      <c r="B43" s="54">
        <f>'SUSHI 2017'!B37</f>
        <v>112727.8752000001</v>
      </c>
    </row>
    <row r="44" spans="1:2" x14ac:dyDescent="0.45">
      <c r="A44" t="s">
        <v>90</v>
      </c>
      <c r="B44" s="54">
        <f>'SUSHI 2017'!B31</f>
        <v>174870.33000000005</v>
      </c>
    </row>
    <row r="45" spans="1:2" x14ac:dyDescent="0.45">
      <c r="A45" t="s">
        <v>68</v>
      </c>
      <c r="B45" s="54">
        <f>'SUSHI 2017'!B28</f>
        <v>192487.74383999992</v>
      </c>
    </row>
    <row r="46" spans="1:2" x14ac:dyDescent="0.45">
      <c r="A46" t="s">
        <v>70</v>
      </c>
      <c r="B46" s="54">
        <f>'SUSHI 2017'!B32</f>
        <v>174360.22080000021</v>
      </c>
    </row>
    <row r="47" spans="1:2" x14ac:dyDescent="0.45">
      <c r="A47" t="s">
        <v>64</v>
      </c>
      <c r="B47" s="54">
        <f>'SUSHI 2017'!B26</f>
        <v>216672.11616000035</v>
      </c>
    </row>
    <row r="48" spans="1:2" x14ac:dyDescent="0.45">
      <c r="A48" t="s">
        <v>85</v>
      </c>
      <c r="B48" s="54">
        <f>'SUSHI 2017'!B30</f>
        <v>175844.20416000011</v>
      </c>
    </row>
    <row r="49" spans="1:2" x14ac:dyDescent="0.45">
      <c r="A49" t="s">
        <v>77</v>
      </c>
      <c r="B49" s="54">
        <f>'SUSHI 2017'!B33</f>
        <v>153457.37807999982</v>
      </c>
    </row>
    <row r="50" spans="1:2" x14ac:dyDescent="0.45">
      <c r="A50" t="s">
        <v>187</v>
      </c>
      <c r="B50" s="54">
        <f>'SUSHI 2017'!B35</f>
        <v>140267.85191999972</v>
      </c>
    </row>
    <row r="51" spans="1:2" x14ac:dyDescent="0.45">
      <c r="A51" t="s">
        <v>67</v>
      </c>
      <c r="B51" s="54">
        <f>'SUSHI 2017'!B27</f>
        <v>207946.58472000025</v>
      </c>
    </row>
    <row r="52" spans="1:2" x14ac:dyDescent="0.45">
      <c r="A52" t="s">
        <v>89</v>
      </c>
      <c r="B52" s="54">
        <f>'SUSHI 2017'!B29</f>
        <v>188898.24000000008</v>
      </c>
    </row>
    <row r="53" spans="1:2" x14ac:dyDescent="0.45">
      <c r="A53" t="s">
        <v>69</v>
      </c>
      <c r="B53" s="54">
        <f>'SUSHI 2017'!B38</f>
        <v>112161.50400000002</v>
      </c>
    </row>
    <row r="54" spans="1:2" x14ac:dyDescent="0.45">
      <c r="A54" t="s">
        <v>82</v>
      </c>
      <c r="B54" s="54">
        <f>'SUSHI 2017'!B36</f>
        <v>140014.31447999983</v>
      </c>
    </row>
  </sheetData>
  <autoFilter ref="A3:F3" xr:uid="{00000000-0009-0000-0000-000004000000}">
    <sortState ref="A4:F54">
      <sortCondition ref="A3"/>
    </sortState>
  </autoFilter>
  <mergeCells count="2">
    <mergeCell ref="C1:D1"/>
    <mergeCell ref="E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R46"/>
  <sheetViews>
    <sheetView zoomScale="58" zoomScaleNormal="70" workbookViewId="0">
      <pane ySplit="3" topLeftCell="A4" activePane="bottomLeft" state="frozen"/>
      <selection pane="bottomLeft" activeCell="A21" sqref="A21:XFD21"/>
    </sheetView>
  </sheetViews>
  <sheetFormatPr baseColWidth="10" defaultRowHeight="14.25" x14ac:dyDescent="0.45"/>
  <cols>
    <col min="1" max="1" width="43.86328125" bestFit="1" customWidth="1"/>
    <col min="2" max="2" width="11.3984375" style="106" bestFit="1" customWidth="1"/>
    <col min="3" max="3" width="13.59765625" style="105" bestFit="1" customWidth="1"/>
    <col min="4" max="4" width="17.86328125" bestFit="1" customWidth="1"/>
    <col min="5" max="5" width="14.1328125" bestFit="1" customWidth="1"/>
    <col min="6" max="6" width="12.265625" bestFit="1" customWidth="1"/>
    <col min="7" max="8" width="11.3984375" style="85" bestFit="1" customWidth="1"/>
    <col min="9" max="9" width="12.6640625" style="85" bestFit="1" customWidth="1"/>
    <col min="10" max="16" width="11.265625" style="85" bestFit="1" customWidth="1"/>
    <col min="17" max="17" width="11.265625" style="84" bestFit="1" customWidth="1"/>
    <col min="18" max="18" width="11.59765625" style="85" bestFit="1" customWidth="1"/>
    <col min="19" max="19" width="10.6640625" customWidth="1"/>
  </cols>
  <sheetData>
    <row r="1" spans="1:18" x14ac:dyDescent="0.45">
      <c r="A1" s="267" t="s">
        <v>118</v>
      </c>
      <c r="B1" s="267"/>
      <c r="C1" s="267"/>
      <c r="D1" s="269" t="s">
        <v>205</v>
      </c>
      <c r="E1" s="278">
        <f>SUM(B5:B45)</f>
        <v>9316102.6626079958</v>
      </c>
      <c r="F1" s="279"/>
      <c r="G1" s="281" t="s">
        <v>206</v>
      </c>
      <c r="H1" s="281">
        <f>SUM(C5:C46)</f>
        <v>7762298.1188399978</v>
      </c>
      <c r="I1" s="281"/>
    </row>
    <row r="2" spans="1:18" x14ac:dyDescent="0.45">
      <c r="A2" s="267"/>
      <c r="B2" s="267"/>
      <c r="C2" s="267"/>
      <c r="D2" s="269"/>
      <c r="E2" s="279"/>
      <c r="F2" s="279"/>
      <c r="G2" s="281"/>
      <c r="H2" s="281"/>
      <c r="I2" s="281"/>
    </row>
    <row r="3" spans="1:18" x14ac:dyDescent="0.45">
      <c r="A3" s="268"/>
      <c r="B3" s="268"/>
      <c r="C3" s="268"/>
      <c r="D3" s="270"/>
      <c r="E3" s="280"/>
      <c r="F3" s="280"/>
      <c r="G3" s="282"/>
      <c r="H3" s="282"/>
      <c r="I3" s="282"/>
    </row>
    <row r="4" spans="1:18" x14ac:dyDescent="0.45">
      <c r="A4" s="48" t="s">
        <v>119</v>
      </c>
      <c r="B4" s="101" t="s">
        <v>120</v>
      </c>
      <c r="C4" s="102" t="s">
        <v>121</v>
      </c>
      <c r="D4" s="48" t="s">
        <v>122</v>
      </c>
      <c r="E4" s="48" t="s">
        <v>123</v>
      </c>
      <c r="F4" s="48" t="s">
        <v>124</v>
      </c>
      <c r="G4" s="57" t="s">
        <v>125</v>
      </c>
      <c r="H4" s="57" t="s">
        <v>126</v>
      </c>
      <c r="I4" s="86" t="s">
        <v>127</v>
      </c>
      <c r="J4" s="57" t="s">
        <v>128</v>
      </c>
      <c r="K4" s="57" t="s">
        <v>129</v>
      </c>
      <c r="L4" s="57" t="s">
        <v>130</v>
      </c>
      <c r="M4" s="57" t="s">
        <v>131</v>
      </c>
      <c r="N4" s="57" t="s">
        <v>132</v>
      </c>
      <c r="O4" s="57" t="s">
        <v>133</v>
      </c>
      <c r="P4" s="57" t="s">
        <v>134</v>
      </c>
      <c r="Q4" s="58" t="s">
        <v>135</v>
      </c>
      <c r="R4" s="57" t="s">
        <v>136</v>
      </c>
    </row>
    <row r="5" spans="1:18" ht="15.75" x14ac:dyDescent="0.5">
      <c r="A5" t="s">
        <v>137</v>
      </c>
      <c r="B5" s="103">
        <f t="shared" ref="B5:B42" si="0">C5*1.2</f>
        <v>612104.24639999948</v>
      </c>
      <c r="C5" s="104">
        <f>SUM(G5:R5)</f>
        <v>510086.87199999957</v>
      </c>
      <c r="D5" s="49">
        <f>E5-(E5*10%)</f>
        <v>38256.515399999967</v>
      </c>
      <c r="E5" s="50">
        <f>SUM(G5:T5)/12</f>
        <v>42507.239333333295</v>
      </c>
      <c r="F5" s="51">
        <f>E5+(E5*10%)</f>
        <v>46757.963266666622</v>
      </c>
      <c r="G5" s="47">
        <v>39285.583999999944</v>
      </c>
      <c r="H5" s="47">
        <v>38602.415999999961</v>
      </c>
      <c r="I5" s="47">
        <v>41566.055999999895</v>
      </c>
      <c r="J5" s="47">
        <v>40075.320000000051</v>
      </c>
      <c r="K5" s="47">
        <v>38328.376000000077</v>
      </c>
      <c r="L5" s="47">
        <v>41340.200000000048</v>
      </c>
      <c r="M5" s="47">
        <v>35615.639999999948</v>
      </c>
      <c r="N5" s="47">
        <v>47937.759999999857</v>
      </c>
      <c r="O5" s="47">
        <v>48947.160000000011</v>
      </c>
      <c r="P5" s="47">
        <v>44785.199999999895</v>
      </c>
      <c r="Q5" s="47">
        <v>43332.95999999989</v>
      </c>
      <c r="R5" s="47">
        <v>50270.199999999953</v>
      </c>
    </row>
    <row r="6" spans="1:18" ht="15.75" x14ac:dyDescent="0.5">
      <c r="A6" t="s">
        <v>144</v>
      </c>
      <c r="B6" s="103">
        <f t="shared" si="0"/>
        <v>427702.13759999949</v>
      </c>
      <c r="C6" s="104">
        <f>SUM(G6:R6)</f>
        <v>356418.44799999957</v>
      </c>
      <c r="D6" s="49">
        <f>E6-(E6*10%)</f>
        <v>26731.383599999968</v>
      </c>
      <c r="E6" s="50">
        <f>SUM(G6:T6)/12</f>
        <v>29701.537333333297</v>
      </c>
      <c r="F6" s="51">
        <f>E6+(E6*10%)</f>
        <v>32671.691066666626</v>
      </c>
      <c r="G6" s="47">
        <v>16162.079999999994</v>
      </c>
      <c r="H6" s="47">
        <v>15597.663999999999</v>
      </c>
      <c r="I6" s="47">
        <v>18067.207999999955</v>
      </c>
      <c r="J6" s="47">
        <v>29321.343999999957</v>
      </c>
      <c r="K6" s="47">
        <v>26516.992000000009</v>
      </c>
      <c r="L6" s="47">
        <v>33772.47999999993</v>
      </c>
      <c r="M6" s="47">
        <v>50665.719999999979</v>
      </c>
      <c r="N6" s="47">
        <v>74773.399999999761</v>
      </c>
      <c r="O6" s="47">
        <v>30886.160000000014</v>
      </c>
      <c r="P6" s="47">
        <v>22884.720000000019</v>
      </c>
      <c r="Q6" s="47">
        <v>15872.200000000006</v>
      </c>
      <c r="R6" s="47">
        <v>21898.479999999949</v>
      </c>
    </row>
    <row r="7" spans="1:18" ht="15.75" x14ac:dyDescent="0.5">
      <c r="A7" t="s">
        <v>158</v>
      </c>
      <c r="B7" s="103">
        <f t="shared" si="0"/>
        <v>384184.89599999978</v>
      </c>
      <c r="C7" s="104">
        <f>SUM(G7:R7)</f>
        <v>320154.07999999984</v>
      </c>
      <c r="D7" s="49">
        <f>E7-(E7*10%)</f>
        <v>24011.55599999999</v>
      </c>
      <c r="E7" s="50">
        <f>SUM(G7:T7)/12</f>
        <v>26679.506666666653</v>
      </c>
      <c r="F7" s="51">
        <f>E7+(E7*10%)</f>
        <v>29347.457333333317</v>
      </c>
      <c r="G7" s="47">
        <v>20097.455999999915</v>
      </c>
      <c r="H7" s="47">
        <v>18964.623999999898</v>
      </c>
      <c r="I7" s="47">
        <v>24693.951999999983</v>
      </c>
      <c r="J7" s="47">
        <v>25893.992000000013</v>
      </c>
      <c r="K7" s="47">
        <v>27677.447999999997</v>
      </c>
      <c r="L7" s="47">
        <v>27743.359999999997</v>
      </c>
      <c r="M7" s="47">
        <v>37163.839999999982</v>
      </c>
      <c r="N7" s="47">
        <v>52224.280000000006</v>
      </c>
      <c r="O7" s="47">
        <v>24503.735999999979</v>
      </c>
      <c r="P7" s="47">
        <v>21585.696000000036</v>
      </c>
      <c r="Q7" s="47">
        <v>18093.168000000031</v>
      </c>
      <c r="R7" s="47">
        <v>21512.528000000035</v>
      </c>
    </row>
    <row r="8" spans="1:18" ht="15.75" x14ac:dyDescent="0.5">
      <c r="A8" t="s">
        <v>189</v>
      </c>
      <c r="B8" s="103">
        <f t="shared" si="0"/>
        <v>384000</v>
      </c>
      <c r="C8" s="138">
        <v>320000</v>
      </c>
    </row>
    <row r="9" spans="1:18" ht="15.75" x14ac:dyDescent="0.5">
      <c r="A9" t="s">
        <v>138</v>
      </c>
      <c r="B9" s="103">
        <f t="shared" si="0"/>
        <v>367206.44159999985</v>
      </c>
      <c r="C9" s="104">
        <f>SUM(G9:R9)</f>
        <v>306005.3679999999</v>
      </c>
      <c r="D9" s="49">
        <f>E9-(E9*10%)</f>
        <v>22950.402599999994</v>
      </c>
      <c r="E9" s="50">
        <f>SUM(G9:T9)/12</f>
        <v>25500.447333333326</v>
      </c>
      <c r="F9" s="51">
        <f>E9+(E9*10%)</f>
        <v>28050.492066666659</v>
      </c>
      <c r="G9" s="47">
        <v>24448.495999999861</v>
      </c>
      <c r="H9" s="47">
        <v>26199.383999999933</v>
      </c>
      <c r="I9" s="47">
        <v>29179.455999999958</v>
      </c>
      <c r="J9" s="47">
        <v>27460.999999999996</v>
      </c>
      <c r="K9" s="47">
        <v>24942.072000000044</v>
      </c>
      <c r="L9" s="47">
        <v>22747.360000000004</v>
      </c>
      <c r="M9" s="47">
        <v>21035.359999999961</v>
      </c>
      <c r="N9" s="47">
        <v>27506.080000000045</v>
      </c>
      <c r="O9" s="47">
        <v>24318.080000000024</v>
      </c>
      <c r="P9" s="47">
        <v>24277.52000000003</v>
      </c>
      <c r="Q9" s="47">
        <v>23449.519999999993</v>
      </c>
      <c r="R9" s="47">
        <v>30441.040000000023</v>
      </c>
    </row>
    <row r="10" spans="1:18" ht="15.75" x14ac:dyDescent="0.5">
      <c r="A10" t="s">
        <v>96</v>
      </c>
      <c r="B10" s="103">
        <f t="shared" si="0"/>
        <v>360000</v>
      </c>
      <c r="C10" s="138">
        <v>300000</v>
      </c>
    </row>
    <row r="11" spans="1:18" ht="15.75" x14ac:dyDescent="0.5">
      <c r="A11" t="s">
        <v>154</v>
      </c>
      <c r="B11" s="103">
        <f t="shared" si="0"/>
        <v>337151.48515199934</v>
      </c>
      <c r="C11" s="104">
        <f>SUM(G11:R11)</f>
        <v>280959.57095999946</v>
      </c>
      <c r="D11" s="49">
        <f>E11-(E11*10%)</f>
        <v>21071.967821999959</v>
      </c>
      <c r="E11" s="50">
        <f>SUM(G11:T11)/12</f>
        <v>23413.297579999955</v>
      </c>
      <c r="F11" s="51">
        <f>E11+(E11*10%)</f>
        <v>25754.627337999951</v>
      </c>
      <c r="G11" s="47">
        <v>11950.160000000011</v>
      </c>
      <c r="H11" s="47">
        <v>23386.303159999978</v>
      </c>
      <c r="I11" s="47">
        <v>26581.330719999973</v>
      </c>
      <c r="J11" s="47">
        <v>24199.016079999976</v>
      </c>
      <c r="K11" s="47">
        <v>22531.348039999928</v>
      </c>
      <c r="L11" s="47">
        <v>23016.766199999976</v>
      </c>
      <c r="M11" s="47">
        <v>21373.236559999983</v>
      </c>
      <c r="N11" s="47">
        <v>27910.866279999955</v>
      </c>
      <c r="O11" s="47">
        <v>23895.039079999926</v>
      </c>
      <c r="P11" s="47">
        <v>23648.474879999936</v>
      </c>
      <c r="Q11" s="47">
        <v>23026.18335999989</v>
      </c>
      <c r="R11" s="47">
        <v>29440.846599999961</v>
      </c>
    </row>
    <row r="12" spans="1:18" x14ac:dyDescent="0.45">
      <c r="A12" t="s">
        <v>189</v>
      </c>
      <c r="B12" s="103">
        <f t="shared" si="0"/>
        <v>330000</v>
      </c>
      <c r="C12" s="164">
        <v>275000</v>
      </c>
    </row>
    <row r="13" spans="1:18" ht="15.75" x14ac:dyDescent="0.5">
      <c r="A13" t="s">
        <v>141</v>
      </c>
      <c r="B13" s="103">
        <f t="shared" si="0"/>
        <v>329527.49760000018</v>
      </c>
      <c r="C13" s="104">
        <f>SUM(G13:R13)</f>
        <v>274606.24800000014</v>
      </c>
      <c r="D13" s="49">
        <f>E13-(E13*10%)</f>
        <v>20595.468600000007</v>
      </c>
      <c r="E13" s="50">
        <f>SUM(G13:T13)/12</f>
        <v>22883.85400000001</v>
      </c>
      <c r="F13" s="51">
        <f>E13+(E13*10%)</f>
        <v>25172.239400000013</v>
      </c>
      <c r="G13" s="47">
        <v>22276.103999999978</v>
      </c>
      <c r="H13" s="47">
        <v>23257.735999999968</v>
      </c>
      <c r="I13" s="47">
        <v>22600.159999999993</v>
      </c>
      <c r="J13" s="47">
        <v>22084.431999999964</v>
      </c>
      <c r="K13" s="47">
        <v>22170.383999999951</v>
      </c>
      <c r="L13" s="47">
        <v>23450.408000000032</v>
      </c>
      <c r="M13" s="47">
        <v>21070.240000000009</v>
      </c>
      <c r="N13" s="47">
        <v>24763.848000000045</v>
      </c>
      <c r="O13" s="47">
        <v>22488.576000000052</v>
      </c>
      <c r="P13" s="47">
        <v>22401.720000000045</v>
      </c>
      <c r="Q13" s="47">
        <v>20859.760000000057</v>
      </c>
      <c r="R13" s="47">
        <v>27182.879999999997</v>
      </c>
    </row>
    <row r="14" spans="1:18" ht="15.75" x14ac:dyDescent="0.5">
      <c r="A14" t="s">
        <v>149</v>
      </c>
      <c r="B14" s="103">
        <f t="shared" si="0"/>
        <v>311707.87200000026</v>
      </c>
      <c r="C14" s="104">
        <f>SUM(G14:R14)</f>
        <v>259756.56000000023</v>
      </c>
      <c r="D14" s="49">
        <f>E14-(E14*10%)</f>
        <v>19481.742000000017</v>
      </c>
      <c r="E14" s="50">
        <f>SUM(G14:T14)/12</f>
        <v>21646.380000000019</v>
      </c>
      <c r="F14" s="51">
        <f>E14+(E14*10%)</f>
        <v>23811.018000000022</v>
      </c>
      <c r="G14" s="47">
        <v>19479.183999999943</v>
      </c>
      <c r="H14" s="47">
        <v>19819.439999999955</v>
      </c>
      <c r="I14" s="47">
        <v>22419.343999999961</v>
      </c>
      <c r="J14" s="47">
        <v>21927.248000000018</v>
      </c>
      <c r="K14" s="47">
        <v>21689.616000000071</v>
      </c>
      <c r="L14" s="47">
        <v>21315.360000000041</v>
      </c>
      <c r="M14" s="47">
        <v>18605.088000000007</v>
      </c>
      <c r="N14" s="47">
        <v>24433.20000000007</v>
      </c>
      <c r="O14" s="47">
        <v>21905.760000000049</v>
      </c>
      <c r="P14" s="47">
        <v>20805.640000000047</v>
      </c>
      <c r="Q14" s="47">
        <v>20985.720000000027</v>
      </c>
      <c r="R14" s="47">
        <v>26370.960000000046</v>
      </c>
    </row>
    <row r="15" spans="1:18" ht="15.75" x14ac:dyDescent="0.5">
      <c r="A15" t="s">
        <v>147</v>
      </c>
      <c r="B15" s="103">
        <f t="shared" si="0"/>
        <v>309113.2799999995</v>
      </c>
      <c r="C15" s="104">
        <f>SUM(G15:R15)</f>
        <v>257594.39999999959</v>
      </c>
      <c r="D15" s="49">
        <f>E15-(E15*10%)</f>
        <v>19319.579999999969</v>
      </c>
      <c r="E15" s="50">
        <f>SUM(G15:T15)/12</f>
        <v>21466.199999999964</v>
      </c>
      <c r="F15" s="51">
        <f>E15+(E15*10%)</f>
        <v>23612.81999999996</v>
      </c>
      <c r="G15" s="47">
        <v>19225.823999999924</v>
      </c>
      <c r="H15" s="47">
        <v>18925.991999999904</v>
      </c>
      <c r="I15" s="47">
        <v>21953.06399999994</v>
      </c>
      <c r="J15" s="47">
        <v>21059.751999999986</v>
      </c>
      <c r="K15" s="47">
        <v>19071.48</v>
      </c>
      <c r="L15" s="47">
        <v>19800.39199999996</v>
      </c>
      <c r="M15" s="47">
        <v>17623.367999999999</v>
      </c>
      <c r="N15" s="47">
        <v>23212.687999999958</v>
      </c>
      <c r="O15" s="47">
        <v>22506.351999999973</v>
      </c>
      <c r="P15" s="47">
        <v>22646.800000000003</v>
      </c>
      <c r="Q15" s="47">
        <v>22910.167999999965</v>
      </c>
      <c r="R15" s="47">
        <v>28658.519999999957</v>
      </c>
    </row>
    <row r="16" spans="1:18" x14ac:dyDescent="0.45">
      <c r="A16" t="s">
        <v>96</v>
      </c>
      <c r="B16" s="103">
        <f t="shared" si="0"/>
        <v>306000</v>
      </c>
      <c r="C16" s="164">
        <v>255000</v>
      </c>
    </row>
    <row r="17" spans="1:18" ht="15.75" x14ac:dyDescent="0.5">
      <c r="A17" t="s">
        <v>145</v>
      </c>
      <c r="B17" s="103">
        <f t="shared" si="0"/>
        <v>297803.50079999998</v>
      </c>
      <c r="C17" s="104">
        <f t="shared" ref="C17:C42" si="1">SUM(G17:R17)</f>
        <v>248169.58399999997</v>
      </c>
      <c r="D17" s="49">
        <f t="shared" ref="D17:D42" si="2">E17-(E17*10%)</f>
        <v>18612.718799999999</v>
      </c>
      <c r="E17" s="50">
        <f t="shared" ref="E17:E38" si="3">SUM(G17:T17)/12</f>
        <v>20680.798666666666</v>
      </c>
      <c r="F17" s="51">
        <f t="shared" ref="F17:F42" si="4">E17+(E17*10%)</f>
        <v>22748.878533333333</v>
      </c>
      <c r="G17" s="47">
        <v>19555.679999999946</v>
      </c>
      <c r="H17" s="47">
        <v>20284.415999999965</v>
      </c>
      <c r="I17" s="47">
        <v>21021.128000000015</v>
      </c>
      <c r="J17" s="47">
        <v>21084.239999999965</v>
      </c>
      <c r="K17" s="47">
        <v>19609.672000000006</v>
      </c>
      <c r="L17" s="47">
        <v>20209.704000000016</v>
      </c>
      <c r="M17" s="47">
        <v>18973.744000000042</v>
      </c>
      <c r="N17" s="47">
        <v>23647.800000000028</v>
      </c>
      <c r="O17" s="47">
        <v>20169.96000000001</v>
      </c>
      <c r="P17" s="47">
        <v>20916.200000000026</v>
      </c>
      <c r="Q17" s="47">
        <v>19138.44000000001</v>
      </c>
      <c r="R17" s="47">
        <v>23558.599999999962</v>
      </c>
    </row>
    <row r="18" spans="1:18" ht="15.75" x14ac:dyDescent="0.5">
      <c r="A18" t="s">
        <v>142</v>
      </c>
      <c r="B18" s="103">
        <f t="shared" si="0"/>
        <v>294180.56639999949</v>
      </c>
      <c r="C18" s="104">
        <f t="shared" si="1"/>
        <v>245150.47199999957</v>
      </c>
      <c r="D18" s="49">
        <f t="shared" si="2"/>
        <v>18386.285399999968</v>
      </c>
      <c r="E18" s="50">
        <f t="shared" si="3"/>
        <v>20429.205999999966</v>
      </c>
      <c r="F18" s="51">
        <f t="shared" si="4"/>
        <v>22472.126599999963</v>
      </c>
      <c r="G18" s="47">
        <v>21604.695999999873</v>
      </c>
      <c r="H18" s="47">
        <v>19926.695999999876</v>
      </c>
      <c r="I18" s="47">
        <v>22896.751999999986</v>
      </c>
      <c r="J18" s="47">
        <v>20390.695999999982</v>
      </c>
      <c r="K18" s="47">
        <v>21624.552000000062</v>
      </c>
      <c r="L18" s="47">
        <v>20951.439999999999</v>
      </c>
      <c r="M18" s="47">
        <v>16845.519999999953</v>
      </c>
      <c r="N18" s="47">
        <v>20194.719999999976</v>
      </c>
      <c r="O18" s="47">
        <v>18276.079999999936</v>
      </c>
      <c r="P18" s="47">
        <v>20004.800000000007</v>
      </c>
      <c r="Q18" s="47">
        <v>18844.279999999992</v>
      </c>
      <c r="R18" s="47">
        <v>23590.239999999936</v>
      </c>
    </row>
    <row r="19" spans="1:18" ht="15.75" x14ac:dyDescent="0.5">
      <c r="A19" t="s">
        <v>148</v>
      </c>
      <c r="B19" s="103">
        <f t="shared" si="0"/>
        <v>289618.14590400003</v>
      </c>
      <c r="C19" s="104">
        <f t="shared" si="1"/>
        <v>241348.45492000005</v>
      </c>
      <c r="D19" s="49">
        <f t="shared" si="2"/>
        <v>18101.134119000006</v>
      </c>
      <c r="E19" s="50">
        <f t="shared" si="3"/>
        <v>20112.371243333338</v>
      </c>
      <c r="F19" s="51">
        <f t="shared" si="4"/>
        <v>22123.608367666671</v>
      </c>
      <c r="G19" s="47">
        <v>18305.667919999956</v>
      </c>
      <c r="H19" s="47">
        <v>16936.418999999991</v>
      </c>
      <c r="I19" s="47">
        <v>16791.455999999998</v>
      </c>
      <c r="J19" s="47">
        <v>15614.335999999999</v>
      </c>
      <c r="K19" s="47">
        <v>14589.136</v>
      </c>
      <c r="L19" s="47">
        <v>19587.760000000002</v>
      </c>
      <c r="M19" s="47">
        <v>18300.000000000025</v>
      </c>
      <c r="N19" s="47">
        <v>23062.880000000074</v>
      </c>
      <c r="O19" s="47">
        <v>21444.400000000056</v>
      </c>
      <c r="P19" s="47">
        <v>21076.720000000059</v>
      </c>
      <c r="Q19" s="47">
        <v>23439.839999999964</v>
      </c>
      <c r="R19" s="47">
        <v>32199.839999999924</v>
      </c>
    </row>
    <row r="20" spans="1:18" ht="15.75" x14ac:dyDescent="0.5">
      <c r="A20" t="s">
        <v>143</v>
      </c>
      <c r="B20" s="103">
        <f t="shared" si="0"/>
        <v>276428.47679999954</v>
      </c>
      <c r="C20" s="104">
        <f t="shared" si="1"/>
        <v>230357.06399999961</v>
      </c>
      <c r="D20" s="49">
        <f t="shared" si="2"/>
        <v>17276.779799999968</v>
      </c>
      <c r="E20" s="50">
        <f t="shared" si="3"/>
        <v>19196.421999999966</v>
      </c>
      <c r="F20" s="51">
        <f t="shared" si="4"/>
        <v>21116.064199999964</v>
      </c>
      <c r="G20" s="47">
        <v>13840.791999999954</v>
      </c>
      <c r="H20" s="47">
        <v>14628.831999999955</v>
      </c>
      <c r="I20" s="47">
        <v>15625.695999999949</v>
      </c>
      <c r="J20" s="47">
        <v>17787.303999999942</v>
      </c>
      <c r="K20" s="47">
        <v>16194.039999999997</v>
      </c>
      <c r="L20" s="47">
        <v>19451.559999999943</v>
      </c>
      <c r="M20" s="47">
        <v>28231.399999999892</v>
      </c>
      <c r="N20" s="47">
        <v>41034.799999999967</v>
      </c>
      <c r="O20" s="47">
        <v>22260.000000000015</v>
      </c>
      <c r="P20" s="47">
        <v>14582.12000000001</v>
      </c>
      <c r="Q20" s="47">
        <v>11450.080000000005</v>
      </c>
      <c r="R20" s="47">
        <v>15270.440000000017</v>
      </c>
    </row>
    <row r="21" spans="1:18" ht="15.75" x14ac:dyDescent="0.5">
      <c r="A21" t="s">
        <v>161</v>
      </c>
      <c r="B21" s="103">
        <f t="shared" si="0"/>
        <v>262461.43439999997</v>
      </c>
      <c r="C21" s="104">
        <f t="shared" si="1"/>
        <v>218717.86199999999</v>
      </c>
      <c r="D21" s="49">
        <f t="shared" si="2"/>
        <v>16403.839649999998</v>
      </c>
      <c r="E21" s="50">
        <f t="shared" si="3"/>
        <v>18226.488499999999</v>
      </c>
      <c r="F21" s="51">
        <f t="shared" si="4"/>
        <v>20049.137350000001</v>
      </c>
      <c r="G21" s="47">
        <v>16175.319999999978</v>
      </c>
      <c r="H21" s="47">
        <v>16199.327999999969</v>
      </c>
      <c r="I21" s="47">
        <v>21025.647999999928</v>
      </c>
      <c r="J21" s="47">
        <v>20340.304000000004</v>
      </c>
      <c r="K21" s="47">
        <v>19706.000000000022</v>
      </c>
      <c r="L21" s="47">
        <v>9883.5419999999958</v>
      </c>
      <c r="M21" s="47">
        <v>17841.31999999996</v>
      </c>
      <c r="N21" s="47">
        <v>20312.600000000028</v>
      </c>
      <c r="O21" s="47">
        <v>19399.28000000005</v>
      </c>
      <c r="P21" s="47">
        <v>19255.760000000046</v>
      </c>
      <c r="Q21" s="47">
        <v>18343.8</v>
      </c>
      <c r="R21" s="47">
        <v>20234.960000000028</v>
      </c>
    </row>
    <row r="22" spans="1:18" ht="15.75" x14ac:dyDescent="0.5">
      <c r="A22" t="s">
        <v>140</v>
      </c>
      <c r="B22" s="103">
        <f t="shared" si="0"/>
        <v>251735.25119999974</v>
      </c>
      <c r="C22" s="104">
        <f t="shared" si="1"/>
        <v>209779.37599999979</v>
      </c>
      <c r="D22" s="49">
        <f t="shared" si="2"/>
        <v>15733.453199999985</v>
      </c>
      <c r="E22" s="50">
        <f t="shared" si="3"/>
        <v>17481.61466666665</v>
      </c>
      <c r="F22" s="51">
        <f t="shared" si="4"/>
        <v>19229.776133333315</v>
      </c>
      <c r="G22" s="47">
        <v>15566.704000000018</v>
      </c>
      <c r="H22" s="47">
        <v>16528.623999999967</v>
      </c>
      <c r="I22" s="47">
        <v>17947.255999999979</v>
      </c>
      <c r="J22" s="47">
        <v>17387.551999999992</v>
      </c>
      <c r="K22" s="47">
        <v>16538.679999999971</v>
      </c>
      <c r="L22" s="47">
        <v>16902.639999999974</v>
      </c>
      <c r="M22" s="47">
        <v>15625.59999999996</v>
      </c>
      <c r="N22" s="47">
        <v>19655.999999999989</v>
      </c>
      <c r="O22" s="47">
        <v>17609.599999999966</v>
      </c>
      <c r="P22" s="47">
        <v>16227.279999999981</v>
      </c>
      <c r="Q22" s="47">
        <v>16713.839999999997</v>
      </c>
      <c r="R22" s="47">
        <v>23075.599999999977</v>
      </c>
    </row>
    <row r="23" spans="1:18" ht="15.75" x14ac:dyDescent="0.5">
      <c r="A23" t="s">
        <v>139</v>
      </c>
      <c r="B23" s="103">
        <f t="shared" si="0"/>
        <v>250823.73119999946</v>
      </c>
      <c r="C23" s="104">
        <f t="shared" si="1"/>
        <v>209019.77599999955</v>
      </c>
      <c r="D23" s="49">
        <f t="shared" si="2"/>
        <v>15676.483199999966</v>
      </c>
      <c r="E23" s="50">
        <f t="shared" si="3"/>
        <v>17418.314666666629</v>
      </c>
      <c r="F23" s="51">
        <f t="shared" si="4"/>
        <v>19160.146133333292</v>
      </c>
      <c r="G23" s="47">
        <v>18214.199999999899</v>
      </c>
      <c r="H23" s="47">
        <v>18119.439999999904</v>
      </c>
      <c r="I23" s="47">
        <v>18812.591999999895</v>
      </c>
      <c r="J23" s="47">
        <v>18252.375999999978</v>
      </c>
      <c r="K23" s="47">
        <v>16952.567999999934</v>
      </c>
      <c r="L23" s="47">
        <v>17879.319999999956</v>
      </c>
      <c r="M23" s="47">
        <v>14657.360000000013</v>
      </c>
      <c r="N23" s="47">
        <v>17224.359999999968</v>
      </c>
      <c r="O23" s="47">
        <v>18324.439999999959</v>
      </c>
      <c r="P23" s="47">
        <v>16176.240000000025</v>
      </c>
      <c r="Q23" s="47">
        <v>15822.400000000023</v>
      </c>
      <c r="R23" s="47">
        <v>18584.480000000003</v>
      </c>
    </row>
    <row r="24" spans="1:18" ht="15.75" x14ac:dyDescent="0.5">
      <c r="A24" t="s">
        <v>165</v>
      </c>
      <c r="B24" s="103">
        <f t="shared" si="0"/>
        <v>223676.93663999965</v>
      </c>
      <c r="C24" s="104">
        <f t="shared" si="1"/>
        <v>186397.4471999997</v>
      </c>
      <c r="D24" s="49">
        <f t="shared" si="2"/>
        <v>13979.808539999976</v>
      </c>
      <c r="E24" s="50">
        <f t="shared" si="3"/>
        <v>15533.120599999975</v>
      </c>
      <c r="F24" s="51">
        <f t="shared" si="4"/>
        <v>17086.432659999973</v>
      </c>
      <c r="G24" s="47">
        <v>12860.773400000007</v>
      </c>
      <c r="H24" s="47">
        <v>13489.442800000008</v>
      </c>
      <c r="I24" s="47">
        <v>14159.423800000002</v>
      </c>
      <c r="J24" s="47">
        <v>12406.230999999974</v>
      </c>
      <c r="K24" s="47">
        <v>12567.000199999977</v>
      </c>
      <c r="L24" s="47">
        <v>14658.771000000035</v>
      </c>
      <c r="M24" s="47">
        <v>14223.965999999989</v>
      </c>
      <c r="N24" s="47">
        <v>18111.586000000018</v>
      </c>
      <c r="O24" s="47">
        <v>19340.31499999994</v>
      </c>
      <c r="P24" s="47">
        <v>17378.669999999907</v>
      </c>
      <c r="Q24" s="47">
        <v>17816.795999999889</v>
      </c>
      <c r="R24" s="47">
        <v>19384.471999999947</v>
      </c>
    </row>
    <row r="25" spans="1:18" ht="15.75" x14ac:dyDescent="0.5">
      <c r="A25" t="s">
        <v>162</v>
      </c>
      <c r="B25" s="103">
        <f t="shared" si="0"/>
        <v>223071.38879999996</v>
      </c>
      <c r="C25" s="104">
        <f t="shared" si="1"/>
        <v>185892.82399999996</v>
      </c>
      <c r="D25" s="49">
        <f t="shared" si="2"/>
        <v>13941.961799999997</v>
      </c>
      <c r="E25" s="50">
        <f t="shared" si="3"/>
        <v>15491.068666666664</v>
      </c>
      <c r="F25" s="51">
        <f t="shared" si="4"/>
        <v>17040.175533333331</v>
      </c>
      <c r="G25" s="47">
        <v>15441.032000000017</v>
      </c>
      <c r="H25" s="47">
        <v>14401.816000000008</v>
      </c>
      <c r="I25" s="47">
        <v>17260.896000000012</v>
      </c>
      <c r="J25" s="47">
        <v>14041.784000000021</v>
      </c>
      <c r="K25" s="47">
        <v>15716.936000000003</v>
      </c>
      <c r="L25" s="47">
        <v>19230.600000000024</v>
      </c>
      <c r="M25" s="47">
        <v>11824.560000000003</v>
      </c>
      <c r="N25" s="47">
        <v>14093.360000000022</v>
      </c>
      <c r="O25" s="47">
        <v>13367.72000000001</v>
      </c>
      <c r="P25" s="47">
        <v>16686.439999999962</v>
      </c>
      <c r="Q25" s="47">
        <v>17101.31999999996</v>
      </c>
      <c r="R25" s="47">
        <v>16726.359999999939</v>
      </c>
    </row>
    <row r="26" spans="1:18" ht="15.75" x14ac:dyDescent="0.5">
      <c r="A26" t="s">
        <v>164</v>
      </c>
      <c r="B26" s="103">
        <f t="shared" si="0"/>
        <v>216672.11616000035</v>
      </c>
      <c r="C26" s="104">
        <f t="shared" si="1"/>
        <v>180560.09680000029</v>
      </c>
      <c r="D26" s="49">
        <f t="shared" si="2"/>
        <v>13542.00726000002</v>
      </c>
      <c r="E26" s="50">
        <f t="shared" si="3"/>
        <v>15046.674733333357</v>
      </c>
      <c r="F26" s="51">
        <f t="shared" si="4"/>
        <v>16551.342206666694</v>
      </c>
      <c r="G26" s="47">
        <v>17363.836200000027</v>
      </c>
      <c r="H26" s="47">
        <v>16453.84940000001</v>
      </c>
      <c r="I26" s="47">
        <v>20908.089400000023</v>
      </c>
      <c r="J26" s="47">
        <v>14848.617400000008</v>
      </c>
      <c r="K26" s="47">
        <v>14838.252600000033</v>
      </c>
      <c r="L26" s="47">
        <v>12132.720000000023</v>
      </c>
      <c r="M26" s="47">
        <v>11237.649000000014</v>
      </c>
      <c r="N26" s="47">
        <v>12747.941400000038</v>
      </c>
      <c r="O26" s="47">
        <v>14823.632000000041</v>
      </c>
      <c r="P26" s="47">
        <v>15315.83700000001</v>
      </c>
      <c r="Q26" s="47">
        <v>15272.008000000011</v>
      </c>
      <c r="R26" s="47">
        <v>14617.664400000032</v>
      </c>
    </row>
    <row r="27" spans="1:18" ht="15.75" x14ac:dyDescent="0.5">
      <c r="A27" t="s">
        <v>166</v>
      </c>
      <c r="B27" s="103">
        <f t="shared" si="0"/>
        <v>207946.58472000025</v>
      </c>
      <c r="C27" s="104">
        <f t="shared" si="1"/>
        <v>173288.82060000021</v>
      </c>
      <c r="D27" s="49">
        <f t="shared" si="2"/>
        <v>12996.661545000015</v>
      </c>
      <c r="E27" s="50">
        <f t="shared" si="3"/>
        <v>14440.735050000018</v>
      </c>
      <c r="F27" s="51">
        <f t="shared" si="4"/>
        <v>15884.80855500002</v>
      </c>
      <c r="G27" s="47">
        <v>15703.910200000046</v>
      </c>
      <c r="H27" s="47">
        <v>15481.796800000027</v>
      </c>
      <c r="I27" s="47">
        <v>17659.265800000034</v>
      </c>
      <c r="J27" s="47">
        <v>15040.604000000034</v>
      </c>
      <c r="K27" s="47">
        <v>14148.681800000026</v>
      </c>
      <c r="L27" s="47">
        <v>7425.4690000000037</v>
      </c>
      <c r="M27" s="47">
        <v>10304.612000000019</v>
      </c>
      <c r="N27" s="47">
        <v>13160.262000000017</v>
      </c>
      <c r="O27" s="47">
        <v>14020.196000000033</v>
      </c>
      <c r="P27" s="47">
        <v>17594.452999999994</v>
      </c>
      <c r="Q27" s="47">
        <v>16363.920000000011</v>
      </c>
      <c r="R27" s="47">
        <v>16385.650000000001</v>
      </c>
    </row>
    <row r="28" spans="1:18" ht="15.75" x14ac:dyDescent="0.5">
      <c r="A28" t="s">
        <v>159</v>
      </c>
      <c r="B28" s="103">
        <f t="shared" si="0"/>
        <v>192487.74383999992</v>
      </c>
      <c r="C28" s="104">
        <f t="shared" si="1"/>
        <v>160406.45319999993</v>
      </c>
      <c r="D28" s="49">
        <f t="shared" si="2"/>
        <v>12030.483989999993</v>
      </c>
      <c r="E28" s="50">
        <f t="shared" si="3"/>
        <v>13367.204433333327</v>
      </c>
      <c r="F28" s="51">
        <f t="shared" si="4"/>
        <v>14703.924876666661</v>
      </c>
      <c r="G28" s="47">
        <v>11770.960600000009</v>
      </c>
      <c r="H28" s="47">
        <v>11250.154000000002</v>
      </c>
      <c r="I28" s="47">
        <v>11645.328399999999</v>
      </c>
      <c r="J28" s="47">
        <v>11712.658599999992</v>
      </c>
      <c r="K28" s="47">
        <v>12865.357199999984</v>
      </c>
      <c r="L28" s="47">
        <v>27743.359999999997</v>
      </c>
      <c r="M28" s="47">
        <v>12404.369599999973</v>
      </c>
      <c r="N28" s="47">
        <v>15584.35419999996</v>
      </c>
      <c r="O28" s="47">
        <v>12532.666799999972</v>
      </c>
      <c r="P28" s="47">
        <v>11701.57219999999</v>
      </c>
      <c r="Q28" s="47">
        <v>10597.647199999998</v>
      </c>
      <c r="R28" s="47">
        <v>10598.024400000009</v>
      </c>
    </row>
    <row r="29" spans="1:18" ht="15.75" x14ac:dyDescent="0.5">
      <c r="A29" t="s">
        <v>146</v>
      </c>
      <c r="B29" s="103">
        <f t="shared" si="0"/>
        <v>188898.24000000008</v>
      </c>
      <c r="C29" s="104">
        <f t="shared" si="1"/>
        <v>157415.20000000007</v>
      </c>
      <c r="D29" s="49">
        <f t="shared" si="2"/>
        <v>11806.140000000007</v>
      </c>
      <c r="E29" s="50">
        <f t="shared" si="3"/>
        <v>13117.93333333334</v>
      </c>
      <c r="F29" s="51">
        <f t="shared" si="4"/>
        <v>14429.726666666673</v>
      </c>
      <c r="G29" s="47">
        <v>13098.055999999977</v>
      </c>
      <c r="H29" s="47">
        <v>13202.863999999989</v>
      </c>
      <c r="I29" s="47">
        <v>13514.37599999998</v>
      </c>
      <c r="J29" s="47">
        <v>14097.167999999976</v>
      </c>
      <c r="K29" s="47">
        <v>13979.57600000001</v>
      </c>
      <c r="L29" s="47">
        <v>13709.760000000026</v>
      </c>
      <c r="M29" s="47">
        <v>11032.079999999996</v>
      </c>
      <c r="N29" s="47">
        <v>13131.040000000032</v>
      </c>
      <c r="O29" s="47">
        <v>12243.599999999989</v>
      </c>
      <c r="P29" s="47">
        <v>11907.240000000011</v>
      </c>
      <c r="Q29" s="47">
        <v>12522.880000000043</v>
      </c>
      <c r="R29" s="47">
        <v>14976.560000000012</v>
      </c>
    </row>
    <row r="30" spans="1:18" ht="15.75" x14ac:dyDescent="0.5">
      <c r="A30" t="s">
        <v>163</v>
      </c>
      <c r="B30" s="103">
        <f t="shared" si="0"/>
        <v>175844.20416000011</v>
      </c>
      <c r="C30" s="104">
        <f t="shared" si="1"/>
        <v>146536.83680000011</v>
      </c>
      <c r="D30" s="49">
        <f t="shared" si="2"/>
        <v>10990.262760000007</v>
      </c>
      <c r="E30" s="50">
        <f t="shared" si="3"/>
        <v>12211.403066666675</v>
      </c>
      <c r="F30" s="51">
        <f t="shared" si="4"/>
        <v>13432.543373333343</v>
      </c>
      <c r="G30" s="47">
        <v>13316.996799999981</v>
      </c>
      <c r="H30" s="47">
        <v>13008.086399999982</v>
      </c>
      <c r="I30" s="47">
        <v>14842.016400000004</v>
      </c>
      <c r="J30" s="47">
        <v>11846.007000000007</v>
      </c>
      <c r="K30" s="47">
        <v>12570.116200000011</v>
      </c>
      <c r="L30" s="47">
        <v>15995.919999999986</v>
      </c>
      <c r="M30" s="47">
        <v>9922.6560000000154</v>
      </c>
      <c r="N30" s="47">
        <v>11531.455000000029</v>
      </c>
      <c r="O30" s="47">
        <v>11731.084000000032</v>
      </c>
      <c r="P30" s="47">
        <v>11929.811000000032</v>
      </c>
      <c r="Q30" s="47">
        <v>9195.2750000000178</v>
      </c>
      <c r="R30" s="47">
        <v>10647.413</v>
      </c>
    </row>
    <row r="31" spans="1:18" ht="15.75" x14ac:dyDescent="0.5">
      <c r="A31" t="s">
        <v>168</v>
      </c>
      <c r="B31" s="103">
        <f t="shared" si="0"/>
        <v>174870.33000000005</v>
      </c>
      <c r="C31" s="104">
        <f t="shared" si="1"/>
        <v>145725.27500000005</v>
      </c>
      <c r="D31" s="49">
        <f t="shared" si="2"/>
        <v>10929.395625000003</v>
      </c>
      <c r="E31" s="50">
        <f t="shared" si="3"/>
        <v>12143.77291666667</v>
      </c>
      <c r="F31" s="51">
        <f t="shared" si="4"/>
        <v>13358.150208333338</v>
      </c>
      <c r="G31" s="47">
        <v>13861.960600000033</v>
      </c>
      <c r="H31" s="47">
        <v>12238.631200000025</v>
      </c>
      <c r="I31" s="47">
        <v>13330.912199999995</v>
      </c>
      <c r="J31" s="47">
        <v>12113.2204</v>
      </c>
      <c r="K31" s="47">
        <v>11022.546600000001</v>
      </c>
      <c r="L31" s="47">
        <v>10460.329999999974</v>
      </c>
      <c r="M31" s="47">
        <v>10074.479000000019</v>
      </c>
      <c r="N31" s="47">
        <v>11902.669000000018</v>
      </c>
      <c r="O31" s="47">
        <v>13360.096000000005</v>
      </c>
      <c r="P31" s="47">
        <v>12540.546999999995</v>
      </c>
      <c r="Q31" s="47">
        <v>12176.384999999989</v>
      </c>
      <c r="R31" s="47">
        <v>12643.497999999998</v>
      </c>
    </row>
    <row r="32" spans="1:18" ht="15.75" x14ac:dyDescent="0.5">
      <c r="A32" t="s">
        <v>153</v>
      </c>
      <c r="B32" s="103">
        <f t="shared" si="0"/>
        <v>174360.22080000021</v>
      </c>
      <c r="C32" s="104">
        <f t="shared" si="1"/>
        <v>145300.18400000018</v>
      </c>
      <c r="D32" s="49">
        <f t="shared" si="2"/>
        <v>10897.513800000013</v>
      </c>
      <c r="E32" s="50">
        <f t="shared" si="3"/>
        <v>12108.348666666681</v>
      </c>
      <c r="F32" s="51">
        <f t="shared" si="4"/>
        <v>13319.183533333349</v>
      </c>
      <c r="G32" s="47">
        <v>9669.4879999999957</v>
      </c>
      <c r="H32" s="47">
        <v>10555.872000000014</v>
      </c>
      <c r="I32" s="47">
        <v>10699.967999999995</v>
      </c>
      <c r="J32" s="47">
        <v>9970.1200000000081</v>
      </c>
      <c r="K32" s="47">
        <v>8967.0240000000013</v>
      </c>
      <c r="L32" s="47">
        <v>11970.672000000008</v>
      </c>
      <c r="M32" s="47">
        <v>11441.56000000001</v>
      </c>
      <c r="N32" s="47">
        <v>16113.720000000072</v>
      </c>
      <c r="O32" s="47">
        <v>13171.720000000012</v>
      </c>
      <c r="P32" s="47">
        <v>13227.280000000019</v>
      </c>
      <c r="Q32" s="47">
        <v>12734.320000000049</v>
      </c>
      <c r="R32" s="47">
        <v>16778.440000000017</v>
      </c>
    </row>
    <row r="33" spans="1:18" ht="15.75" x14ac:dyDescent="0.5">
      <c r="A33" t="s">
        <v>203</v>
      </c>
      <c r="B33" s="103">
        <f t="shared" si="0"/>
        <v>153457.37807999982</v>
      </c>
      <c r="C33" s="104">
        <f t="shared" si="1"/>
        <v>127881.14839999985</v>
      </c>
      <c r="D33" s="49">
        <f t="shared" si="2"/>
        <v>9591.0861299999888</v>
      </c>
      <c r="E33" s="50">
        <f t="shared" si="3"/>
        <v>10656.762366666653</v>
      </c>
      <c r="F33" s="51">
        <f t="shared" si="4"/>
        <v>11722.438603333318</v>
      </c>
      <c r="G33" s="47">
        <v>11648.944599999977</v>
      </c>
      <c r="H33" s="47">
        <v>10890.075599999976</v>
      </c>
      <c r="I33" s="47">
        <v>13419.832999999962</v>
      </c>
      <c r="J33" s="47">
        <v>11572.76659999999</v>
      </c>
      <c r="K33" s="47">
        <v>11300.157599999997</v>
      </c>
      <c r="L33" s="47">
        <v>10152.501999999989</v>
      </c>
      <c r="M33" s="47">
        <v>7639.8579999999811</v>
      </c>
      <c r="N33" s="47">
        <v>9615.237999999983</v>
      </c>
      <c r="O33" s="47">
        <v>10362.913999999995</v>
      </c>
      <c r="P33" s="47">
        <v>10884.84400000001</v>
      </c>
      <c r="Q33" s="47">
        <v>9273.0519999999942</v>
      </c>
      <c r="R33" s="47">
        <v>11120.962999999994</v>
      </c>
    </row>
    <row r="34" spans="1:18" ht="15.75" x14ac:dyDescent="0.5">
      <c r="A34" t="s">
        <v>152</v>
      </c>
      <c r="B34" s="103">
        <f t="shared" si="0"/>
        <v>142219.65619200011</v>
      </c>
      <c r="C34" s="104">
        <f t="shared" si="1"/>
        <v>118516.3801600001</v>
      </c>
      <c r="D34" s="49">
        <f t="shared" si="2"/>
        <v>8888.728512000007</v>
      </c>
      <c r="E34" s="50">
        <f t="shared" si="3"/>
        <v>9876.3650133333413</v>
      </c>
      <c r="F34" s="51">
        <f t="shared" si="4"/>
        <v>10864.001514666676</v>
      </c>
      <c r="G34" s="47">
        <v>9059.0307199999934</v>
      </c>
      <c r="H34" s="47">
        <v>9134.0719999999965</v>
      </c>
      <c r="I34" s="47">
        <v>11046.031999999979</v>
      </c>
      <c r="J34" s="47">
        <v>9495.3372400000026</v>
      </c>
      <c r="K34" s="47">
        <v>9773.6580800000265</v>
      </c>
      <c r="L34" s="47">
        <v>9244.1051600000137</v>
      </c>
      <c r="M34" s="47">
        <v>8480.9449600000135</v>
      </c>
      <c r="N34" s="47">
        <v>11438.880000000025</v>
      </c>
      <c r="O34" s="47">
        <v>9730.1600000000217</v>
      </c>
      <c r="P34" s="47">
        <v>9148.8800000000047</v>
      </c>
      <c r="Q34" s="47">
        <v>9722.320000000027</v>
      </c>
      <c r="R34" s="47">
        <v>12242.960000000025</v>
      </c>
    </row>
    <row r="35" spans="1:18" ht="15.75" x14ac:dyDescent="0.5">
      <c r="A35" t="s">
        <v>167</v>
      </c>
      <c r="B35" s="103">
        <f t="shared" si="0"/>
        <v>140267.85191999972</v>
      </c>
      <c r="C35" s="104">
        <f t="shared" si="1"/>
        <v>116889.87659999977</v>
      </c>
      <c r="D35" s="49">
        <f t="shared" si="2"/>
        <v>8766.7407449999828</v>
      </c>
      <c r="E35" s="50">
        <f t="shared" si="3"/>
        <v>9740.8230499999809</v>
      </c>
      <c r="F35" s="51">
        <f t="shared" si="4"/>
        <v>10714.905354999979</v>
      </c>
      <c r="G35" s="47">
        <v>9386.589199999984</v>
      </c>
      <c r="H35" s="47">
        <v>9302.3915999999936</v>
      </c>
      <c r="I35" s="47">
        <v>9838.4829999999765</v>
      </c>
      <c r="J35" s="47">
        <v>9206.7713999999851</v>
      </c>
      <c r="K35" s="47">
        <v>9336.3723999999893</v>
      </c>
      <c r="L35" s="47">
        <v>13627.088000000043</v>
      </c>
      <c r="M35" s="47">
        <v>8504.9579999999878</v>
      </c>
      <c r="N35" s="47">
        <v>11270.161999999929</v>
      </c>
      <c r="O35" s="47">
        <v>9539.6339999999855</v>
      </c>
      <c r="P35" s="47">
        <v>9310.5259999999635</v>
      </c>
      <c r="Q35" s="47">
        <v>8704.8329999999587</v>
      </c>
      <c r="R35" s="47">
        <v>8862.0679999999666</v>
      </c>
    </row>
    <row r="36" spans="1:18" ht="15.75" x14ac:dyDescent="0.5">
      <c r="A36" t="s">
        <v>160</v>
      </c>
      <c r="B36" s="103">
        <f t="shared" si="0"/>
        <v>140014.31447999983</v>
      </c>
      <c r="C36" s="104">
        <f t="shared" si="1"/>
        <v>116678.59539999986</v>
      </c>
      <c r="D36" s="49">
        <f t="shared" si="2"/>
        <v>8750.8946549999891</v>
      </c>
      <c r="E36" s="50">
        <f t="shared" si="3"/>
        <v>9723.2162833333223</v>
      </c>
      <c r="F36" s="51">
        <f t="shared" si="4"/>
        <v>10695.537911666655</v>
      </c>
      <c r="G36" s="47">
        <v>9256.7585999999919</v>
      </c>
      <c r="H36" s="47">
        <v>7869.6629999999905</v>
      </c>
      <c r="I36" s="47">
        <v>9940.425400000011</v>
      </c>
      <c r="J36" s="47">
        <v>9483.2917999999972</v>
      </c>
      <c r="K36" s="47">
        <v>9346.7781999999825</v>
      </c>
      <c r="L36" s="47">
        <v>13547.506999999947</v>
      </c>
      <c r="M36" s="47">
        <v>11026.826999999972</v>
      </c>
      <c r="N36" s="47">
        <v>14475.705999999996</v>
      </c>
      <c r="O36" s="47">
        <v>9450.6229999999978</v>
      </c>
      <c r="P36" s="47">
        <v>8023.2080000000051</v>
      </c>
      <c r="Q36" s="47">
        <v>6830.8459999999877</v>
      </c>
      <c r="R36" s="47">
        <v>7426.961400000002</v>
      </c>
    </row>
    <row r="37" spans="1:18" ht="15.75" x14ac:dyDescent="0.5">
      <c r="A37" t="s">
        <v>150</v>
      </c>
      <c r="B37" s="103">
        <f t="shared" si="0"/>
        <v>112727.8752000001</v>
      </c>
      <c r="C37" s="104">
        <f t="shared" si="1"/>
        <v>93939.896000000081</v>
      </c>
      <c r="D37" s="49">
        <f t="shared" si="2"/>
        <v>7045.4922000000061</v>
      </c>
      <c r="E37" s="50">
        <f t="shared" si="3"/>
        <v>7828.3246666666737</v>
      </c>
      <c r="F37" s="51">
        <f t="shared" si="4"/>
        <v>8611.1571333333413</v>
      </c>
      <c r="G37" s="47">
        <v>7653.6640000000098</v>
      </c>
      <c r="H37" s="47">
        <v>6736.9839999999958</v>
      </c>
      <c r="I37" s="47">
        <v>7242.199999999988</v>
      </c>
      <c r="J37" s="47">
        <v>7807.0319999999965</v>
      </c>
      <c r="K37" s="47">
        <v>7629.6959999999999</v>
      </c>
      <c r="L37" s="47">
        <v>7360.9200000000092</v>
      </c>
      <c r="M37" s="47">
        <v>7497.2000000000126</v>
      </c>
      <c r="N37" s="47">
        <v>8974.0000000000164</v>
      </c>
      <c r="O37" s="47">
        <v>8990.2400000000162</v>
      </c>
      <c r="P37" s="47">
        <v>7387.8400000000083</v>
      </c>
      <c r="Q37" s="47">
        <v>7923.6800000000067</v>
      </c>
      <c r="R37" s="47">
        <v>8736.4400000000169</v>
      </c>
    </row>
    <row r="38" spans="1:18" ht="15.75" x14ac:dyDescent="0.5">
      <c r="A38" t="s">
        <v>151</v>
      </c>
      <c r="B38" s="103">
        <f t="shared" si="0"/>
        <v>112161.50400000002</v>
      </c>
      <c r="C38" s="104">
        <f t="shared" si="1"/>
        <v>93467.920000000013</v>
      </c>
      <c r="D38" s="49">
        <f t="shared" si="2"/>
        <v>7010.094000000001</v>
      </c>
      <c r="E38" s="50">
        <f t="shared" si="3"/>
        <v>7788.9933333333347</v>
      </c>
      <c r="F38" s="51">
        <f t="shared" si="4"/>
        <v>8567.8926666666684</v>
      </c>
      <c r="G38" s="47">
        <v>9922.7840000000033</v>
      </c>
      <c r="H38" s="47">
        <v>8704.5039999999881</v>
      </c>
      <c r="I38" s="47">
        <v>8653.1999999999807</v>
      </c>
      <c r="J38" s="47">
        <v>8850.0399999999991</v>
      </c>
      <c r="K38" s="47">
        <v>6664.392000000008</v>
      </c>
      <c r="L38" s="47">
        <v>5973.1999999999989</v>
      </c>
      <c r="M38" s="47">
        <v>5471.920000000001</v>
      </c>
      <c r="N38" s="47">
        <v>6298.8800000000083</v>
      </c>
      <c r="O38" s="47">
        <v>7537.9600000000073</v>
      </c>
      <c r="P38" s="47">
        <v>8574.3920000000162</v>
      </c>
      <c r="Q38" s="47">
        <v>7789.5520000000179</v>
      </c>
      <c r="R38" s="47">
        <v>9027.0959999999959</v>
      </c>
    </row>
    <row r="39" spans="1:18" ht="15.75" x14ac:dyDescent="0.5">
      <c r="A39" t="s">
        <v>155</v>
      </c>
      <c r="B39" s="103">
        <f t="shared" si="0"/>
        <v>107981.1743999999</v>
      </c>
      <c r="C39" s="104">
        <f t="shared" si="1"/>
        <v>89984.311999999918</v>
      </c>
      <c r="D39" s="49">
        <f t="shared" si="2"/>
        <v>13497.646799999988</v>
      </c>
      <c r="E39" s="50">
        <f>SUM(G39:T39)/6</f>
        <v>14997.385333333319</v>
      </c>
      <c r="F39" s="51">
        <f t="shared" si="4"/>
        <v>16497.12386666665</v>
      </c>
      <c r="G39" s="47"/>
      <c r="H39" s="47"/>
      <c r="I39" s="47"/>
      <c r="J39" s="47"/>
      <c r="K39" s="47"/>
      <c r="L39" s="47"/>
      <c r="M39" s="47">
        <v>12532.784000000003</v>
      </c>
      <c r="N39" s="47">
        <v>16617.711999999941</v>
      </c>
      <c r="O39" s="47">
        <v>15083.560000000012</v>
      </c>
      <c r="P39" s="47">
        <v>13693.783999999976</v>
      </c>
      <c r="Q39" s="47">
        <v>14070.735999999984</v>
      </c>
      <c r="R39" s="47">
        <v>17985.735999999997</v>
      </c>
    </row>
    <row r="40" spans="1:18" ht="15.75" x14ac:dyDescent="0.5">
      <c r="A40" t="s">
        <v>204</v>
      </c>
      <c r="B40" s="103">
        <f t="shared" si="0"/>
        <v>104714.76095999994</v>
      </c>
      <c r="C40" s="104">
        <f t="shared" si="1"/>
        <v>87262.300799999954</v>
      </c>
      <c r="D40" s="49">
        <f t="shared" si="2"/>
        <v>6544.6725599999972</v>
      </c>
      <c r="E40" s="50">
        <f>SUM(G40:T40)/12</f>
        <v>7271.8583999999964</v>
      </c>
      <c r="F40" s="51">
        <f t="shared" si="4"/>
        <v>7999.0442399999956</v>
      </c>
      <c r="G40" s="47">
        <v>5476.5832</v>
      </c>
      <c r="H40" s="47">
        <v>5931.1174000000092</v>
      </c>
      <c r="I40" s="47">
        <v>6989.5241999999953</v>
      </c>
      <c r="J40" s="47">
        <v>6957.0686000000069</v>
      </c>
      <c r="K40" s="47">
        <v>7453.5293999999949</v>
      </c>
      <c r="L40" s="47">
        <v>12734.19</v>
      </c>
      <c r="M40" s="47">
        <v>6016.544999999991</v>
      </c>
      <c r="N40" s="47">
        <v>7226.1269999999931</v>
      </c>
      <c r="O40" s="47">
        <v>6852.7809999999954</v>
      </c>
      <c r="P40" s="47">
        <v>6575.7029999999904</v>
      </c>
      <c r="Q40" s="47">
        <v>6316.2960000000012</v>
      </c>
      <c r="R40" s="47">
        <v>8732.8359999999775</v>
      </c>
    </row>
    <row r="41" spans="1:18" ht="15.75" x14ac:dyDescent="0.5">
      <c r="A41" t="s">
        <v>156</v>
      </c>
      <c r="B41" s="103">
        <f t="shared" si="0"/>
        <v>56707.603200000049</v>
      </c>
      <c r="C41" s="104">
        <f t="shared" si="1"/>
        <v>47256.336000000039</v>
      </c>
      <c r="D41" s="49">
        <f t="shared" si="2"/>
        <v>7088.4504000000061</v>
      </c>
      <c r="E41" s="50">
        <f>SUM(G41:T41)/6</f>
        <v>7876.0560000000069</v>
      </c>
      <c r="F41" s="51">
        <f t="shared" si="4"/>
        <v>8663.6616000000067</v>
      </c>
      <c r="G41" s="47"/>
      <c r="H41" s="47"/>
      <c r="I41" s="47"/>
      <c r="J41" s="47"/>
      <c r="K41" s="47"/>
      <c r="L41" s="47"/>
      <c r="M41" s="47">
        <v>8263.4480000000076</v>
      </c>
      <c r="N41" s="47">
        <v>7361.6320000000023</v>
      </c>
      <c r="O41" s="47">
        <v>7010.2960000000085</v>
      </c>
      <c r="P41" s="47">
        <v>8380.4400000000114</v>
      </c>
      <c r="Q41" s="47">
        <v>7301.2000000000107</v>
      </c>
      <c r="R41" s="47">
        <v>8939.3200000000033</v>
      </c>
    </row>
    <row r="42" spans="1:18" ht="15.75" x14ac:dyDescent="0.5">
      <c r="A42" t="s">
        <v>157</v>
      </c>
      <c r="B42" s="103">
        <f t="shared" si="0"/>
        <v>52650.816000000043</v>
      </c>
      <c r="C42" s="104">
        <f t="shared" si="1"/>
        <v>43875.680000000037</v>
      </c>
      <c r="D42" s="49">
        <f t="shared" si="2"/>
        <v>6581.3520000000053</v>
      </c>
      <c r="E42" s="50">
        <f>SUM(G42:T42)/6</f>
        <v>7312.6133333333391</v>
      </c>
      <c r="F42" s="51">
        <f t="shared" si="4"/>
        <v>8043.874666666673</v>
      </c>
      <c r="G42" s="47"/>
      <c r="H42" s="47"/>
      <c r="I42" s="47"/>
      <c r="J42" s="47"/>
      <c r="K42" s="47"/>
      <c r="L42" s="47"/>
      <c r="M42" s="47">
        <v>4411.8400000000047</v>
      </c>
      <c r="N42" s="47">
        <v>10160.760000000026</v>
      </c>
      <c r="O42" s="47">
        <v>7667.4000000000069</v>
      </c>
      <c r="P42" s="47">
        <v>7281.3999999999942</v>
      </c>
      <c r="Q42" s="47">
        <v>7477.0800000000081</v>
      </c>
      <c r="R42" s="47">
        <v>6877.2000000000007</v>
      </c>
    </row>
    <row r="43" spans="1:18" ht="15.75" x14ac:dyDescent="0.5">
      <c r="A43" t="s">
        <v>49</v>
      </c>
      <c r="B43" s="103">
        <v>17385</v>
      </c>
      <c r="C43" s="138">
        <f>(B43*0.8)</f>
        <v>13908</v>
      </c>
    </row>
    <row r="44" spans="1:18" ht="15.75" x14ac:dyDescent="0.5">
      <c r="A44" t="s">
        <v>188</v>
      </c>
      <c r="B44" s="103">
        <v>16238</v>
      </c>
      <c r="C44" s="138">
        <f>(B44*0.8)</f>
        <v>12990.400000000001</v>
      </c>
    </row>
    <row r="45" spans="1:18" x14ac:dyDescent="0.45">
      <c r="B45" s="103">
        <f>C45*1.2</f>
        <v>0</v>
      </c>
    </row>
    <row r="46" spans="1:18" x14ac:dyDescent="0.45">
      <c r="B46" s="103">
        <f>C46*1.2</f>
        <v>0</v>
      </c>
    </row>
  </sheetData>
  <autoFilter ref="A4:R4" xr:uid="{726F4B45-3FEA-4F16-9DF3-16AB8441314F}">
    <sortState ref="A5:R46">
      <sortCondition descending="1" ref="B4"/>
    </sortState>
  </autoFilter>
  <mergeCells count="5">
    <mergeCell ref="G1:G3"/>
    <mergeCell ref="H1:I3"/>
    <mergeCell ref="A1:C3"/>
    <mergeCell ref="D1:D3"/>
    <mergeCell ref="E1:F3"/>
  </mergeCells>
  <conditionalFormatting sqref="C5:C40">
    <cfRule type="cellIs" dxfId="5" priority="5" operator="between">
      <formula>150000</formula>
      <formula>250000</formula>
    </cfRule>
    <cfRule type="cellIs" dxfId="4" priority="6" operator="greaterThan">
      <formula>250000</formula>
    </cfRule>
    <cfRule type="cellIs" dxfId="3" priority="7" operator="lessThan">
      <formula>150000</formula>
    </cfRule>
  </conditionalFormatting>
  <conditionalFormatting sqref="G5:R47">
    <cfRule type="expression" dxfId="2" priority="1">
      <formula>AND(G5&lt;&gt;"",G5&lt;$F5,G5&gt;$D5)</formula>
    </cfRule>
    <cfRule type="expression" dxfId="1" priority="2">
      <formula>AND(G5&lt;&gt;"",G5&gt;$F5)</formula>
    </cfRule>
    <cfRule type="expression" dxfId="0" priority="3">
      <formula>AND(G5&lt;&gt;"",G5&lt;$D5)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4D85-9C1F-4400-AB5C-6DE769569CA9}">
  <dimension ref="A1"/>
  <sheetViews>
    <sheetView tabSelected="1" workbookViewId="0">
      <selection activeCell="M3" sqref="M3"/>
    </sheetView>
  </sheetViews>
  <sheetFormatPr baseColWidth="10"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OUVERTURES 2018</vt:lpstr>
      <vt:lpstr>DROITS D'ENTREES</vt:lpstr>
      <vt:lpstr>PREVISIONNEL 2018</vt:lpstr>
      <vt:lpstr>CA TOTAL 2018</vt:lpstr>
      <vt:lpstr>WOK 2018</vt:lpstr>
      <vt:lpstr>SUSHI 2018</vt:lpstr>
      <vt:lpstr>LISTE DETAILS FOURNISSEURS</vt:lpstr>
      <vt:lpstr>SUSHI 2017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AUGUSTO</dc:creator>
  <cp:lastModifiedBy>Anthony AUGUSTO</cp:lastModifiedBy>
  <dcterms:created xsi:type="dcterms:W3CDTF">2017-12-26T15:12:39Z</dcterms:created>
  <dcterms:modified xsi:type="dcterms:W3CDTF">2018-02-21T10:55:02Z</dcterms:modified>
</cp:coreProperties>
</file>